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charts/chart22.xml" ContentType="application/vnd.openxmlformats-officedocument.drawingml.chart+xml"/>
  <Override PartName="/xl/drawings/drawing10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drawings/drawing11.xml" ContentType="application/vnd.openxmlformats-officedocument.drawing+xml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2.xml" ContentType="application/vnd.openxmlformats-officedocument.drawing+xml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/>
  <mc:AlternateContent xmlns:mc="http://schemas.openxmlformats.org/markup-compatibility/2006">
    <mc:Choice Requires="x15">
      <x15ac:absPath xmlns:x15ac="http://schemas.microsoft.com/office/spreadsheetml/2010/11/ac" url="C:\Users\hp\iCloudDrive\EBS\PersNatu\0. TEMAS ACTUALIZADOS DE INGENIERÍA ELÉCTRICA DE POTENCIA\Versión EBS Web\Excel\"/>
    </mc:Choice>
  </mc:AlternateContent>
  <xr:revisionPtr revIDLastSave="0" documentId="13_ncr:1_{D23D7C01-86BF-41F2-AE3C-5120FCBB2355}" xr6:coauthVersionLast="43" xr6:coauthVersionMax="43" xr10:uidLastSave="{00000000-0000-0000-0000-000000000000}"/>
  <bookViews>
    <workbookView xWindow="-120" yWindow="-120" windowWidth="20730" windowHeight="11160" tabRatio="849" activeTab="14" xr2:uid="{00000000-000D-0000-FFFF-FFFF00000000}"/>
  </bookViews>
  <sheets>
    <sheet name="densidad electrolito" sheetId="1" r:id="rId1"/>
    <sheet name="Curva DOD Pb ác" sheetId="8" r:id="rId2"/>
    <sheet name="Curva DOD Ion-Li" sheetId="20" r:id="rId3"/>
    <sheet name="Constantes físicas" sheetId="2" r:id="rId4"/>
    <sheet name="Circuto equivalente" sheetId="4" r:id="rId5"/>
    <sheet name="Curva de carga Pb sellada" sheetId="5" r:id="rId6"/>
    <sheet name="Curva de carga Li" sheetId="6" r:id="rId7"/>
    <sheet name="6V50A09 2 parámetros" sheetId="13" r:id="rId8"/>
    <sheet name="100 A 39, 3 par. rev." sheetId="14" r:id="rId9"/>
    <sheet name="100 A 39; Q = f(I)" sheetId="15" r:id="rId10"/>
    <sheet name="100 A 39; Q = f(I) (2)" sheetId="16" r:id="rId11"/>
    <sheet name="SLPB68106100 4 parámetros" sheetId="17" r:id="rId12"/>
    <sheet name="Superficie 100 A 63" sheetId="18" r:id="rId13"/>
    <sheet name="Conductividad H2 O" sheetId="19" r:id="rId14"/>
    <sheet name="corrección temperatura" sheetId="21" r:id="rId15"/>
  </sheets>
  <externalReferences>
    <externalReference r:id="rId16"/>
  </externalReferences>
  <definedNames>
    <definedName name="_xlnm._FilterDatabase" localSheetId="14" hidden="1">'corrección temperatura'!$B$1:$G$552</definedName>
    <definedName name="_xlnm.Print_Area" localSheetId="12">'Superficie 100 A 63'!$A$1:$Q$28</definedName>
    <definedName name="solver_adj" localSheetId="8" hidden="1">'100 A 39, 3 par. rev.'!$AB$23:$AB$24</definedName>
    <definedName name="solver_adj" localSheetId="11" hidden="1">'SLPB68106100 4 parámetros'!$K$25:$K$28</definedName>
    <definedName name="solver_cvg" localSheetId="8" hidden="1">0.0001</definedName>
    <definedName name="solver_cvg" localSheetId="11" hidden="1">0.0001</definedName>
    <definedName name="solver_drv" localSheetId="8" hidden="1">1</definedName>
    <definedName name="solver_drv" localSheetId="11" hidden="1">1</definedName>
    <definedName name="solver_est" localSheetId="8" hidden="1">1</definedName>
    <definedName name="solver_est" localSheetId="11" hidden="1">1</definedName>
    <definedName name="solver_itr" localSheetId="8" hidden="1">100</definedName>
    <definedName name="solver_itr" localSheetId="11" hidden="1">100</definedName>
    <definedName name="solver_lin" localSheetId="8" hidden="1">2</definedName>
    <definedName name="solver_lin" localSheetId="11" hidden="1">2</definedName>
    <definedName name="solver_neg" localSheetId="8" hidden="1">2</definedName>
    <definedName name="solver_neg" localSheetId="11" hidden="1">2</definedName>
    <definedName name="solver_num" localSheetId="8" hidden="1">0</definedName>
    <definedName name="solver_num" localSheetId="11" hidden="1">0</definedName>
    <definedName name="solver_nwt" localSheetId="8" hidden="1">1</definedName>
    <definedName name="solver_nwt" localSheetId="11" hidden="1">1</definedName>
    <definedName name="solver_opt" localSheetId="8" hidden="1">'100 A 39, 3 par. rev.'!$AA$31</definedName>
    <definedName name="solver_opt" localSheetId="11" hidden="1">'SLPB68106100 4 parámetros'!$Q$33</definedName>
    <definedName name="solver_pre" localSheetId="8" hidden="1">0.000001</definedName>
    <definedName name="solver_pre" localSheetId="11" hidden="1">0.000001</definedName>
    <definedName name="solver_scl" localSheetId="8" hidden="1">2</definedName>
    <definedName name="solver_scl" localSheetId="11" hidden="1">2</definedName>
    <definedName name="solver_sho" localSheetId="8" hidden="1">2</definedName>
    <definedName name="solver_sho" localSheetId="11" hidden="1">2</definedName>
    <definedName name="solver_tim" localSheetId="8" hidden="1">100</definedName>
    <definedName name="solver_tim" localSheetId="11" hidden="1">100</definedName>
    <definedName name="solver_tol" localSheetId="8" hidden="1">0.05</definedName>
    <definedName name="solver_tol" localSheetId="11" hidden="1">0.05</definedName>
    <definedName name="solver_typ" localSheetId="8" hidden="1">2</definedName>
    <definedName name="solver_typ" localSheetId="11" hidden="1">2</definedName>
    <definedName name="solver_val" localSheetId="8" hidden="1">0</definedName>
    <definedName name="solver_val" localSheetId="11" hidden="1">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3" i="21" l="1"/>
  <c r="C52" i="21"/>
  <c r="D52" i="21" s="1"/>
  <c r="B3" i="21"/>
  <c r="B4" i="21" s="1"/>
  <c r="C2" i="21"/>
  <c r="D2" i="21" s="1"/>
  <c r="C3" i="21" l="1"/>
  <c r="D3" i="21" s="1"/>
  <c r="B54" i="21"/>
  <c r="C53" i="21"/>
  <c r="D53" i="21" s="1"/>
  <c r="C4" i="21"/>
  <c r="D4" i="21" s="1"/>
  <c r="B5" i="21"/>
  <c r="C5" i="21" l="1"/>
  <c r="D5" i="21" s="1"/>
  <c r="B6" i="21"/>
  <c r="B55" i="21"/>
  <c r="C54" i="21"/>
  <c r="D54" i="21" s="1"/>
  <c r="C55" i="21" l="1"/>
  <c r="D55" i="21" s="1"/>
  <c r="B56" i="21"/>
  <c r="B7" i="21"/>
  <c r="C6" i="21"/>
  <c r="D6" i="21" s="1"/>
  <c r="B8" i="21" l="1"/>
  <c r="C7" i="21"/>
  <c r="D7" i="21" s="1"/>
  <c r="C56" i="21"/>
  <c r="D56" i="21" s="1"/>
  <c r="B57" i="21"/>
  <c r="B58" i="21" l="1"/>
  <c r="C57" i="21"/>
  <c r="D57" i="21" s="1"/>
  <c r="C8" i="21"/>
  <c r="D8" i="21" s="1"/>
  <c r="B9" i="21"/>
  <c r="C9" i="21" l="1"/>
  <c r="D9" i="21" s="1"/>
  <c r="B10" i="21"/>
  <c r="B59" i="21"/>
  <c r="C58" i="21"/>
  <c r="D58" i="21" s="1"/>
  <c r="C59" i="21" l="1"/>
  <c r="D59" i="21" s="1"/>
  <c r="B60" i="21"/>
  <c r="B11" i="21"/>
  <c r="C10" i="21"/>
  <c r="D10" i="21" s="1"/>
  <c r="B12" i="21" l="1"/>
  <c r="C11" i="21"/>
  <c r="D11" i="21" s="1"/>
  <c r="C60" i="21"/>
  <c r="D60" i="21" s="1"/>
  <c r="B61" i="21"/>
  <c r="B62" i="21" l="1"/>
  <c r="C61" i="21"/>
  <c r="D61" i="21" s="1"/>
  <c r="C12" i="21"/>
  <c r="D12" i="21" s="1"/>
  <c r="B13" i="21"/>
  <c r="C13" i="21" l="1"/>
  <c r="D13" i="21" s="1"/>
  <c r="B14" i="21"/>
  <c r="B63" i="21"/>
  <c r="C62" i="21"/>
  <c r="D62" i="21" s="1"/>
  <c r="C63" i="21" l="1"/>
  <c r="D63" i="21" s="1"/>
  <c r="B64" i="21"/>
  <c r="B15" i="21"/>
  <c r="C14" i="21"/>
  <c r="D14" i="21" s="1"/>
  <c r="B16" i="21" l="1"/>
  <c r="C15" i="21"/>
  <c r="D15" i="21" s="1"/>
  <c r="C64" i="21"/>
  <c r="D64" i="21" s="1"/>
  <c r="B65" i="21"/>
  <c r="B66" i="21" l="1"/>
  <c r="C65" i="21"/>
  <c r="D65" i="21" s="1"/>
  <c r="C16" i="21"/>
  <c r="D16" i="21" s="1"/>
  <c r="B17" i="21"/>
  <c r="C17" i="21" l="1"/>
  <c r="D17" i="21" s="1"/>
  <c r="B18" i="21"/>
  <c r="B67" i="21"/>
  <c r="C66" i="21"/>
  <c r="D66" i="21" s="1"/>
  <c r="C67" i="21" l="1"/>
  <c r="D67" i="21" s="1"/>
  <c r="B68" i="21"/>
  <c r="B19" i="21"/>
  <c r="C18" i="21"/>
  <c r="D18" i="21" s="1"/>
  <c r="B20" i="21" l="1"/>
  <c r="C19" i="21"/>
  <c r="D19" i="21" s="1"/>
  <c r="C68" i="21"/>
  <c r="D68" i="21" s="1"/>
  <c r="B69" i="21"/>
  <c r="B70" i="21" l="1"/>
  <c r="C69" i="21"/>
  <c r="D69" i="21" s="1"/>
  <c r="C20" i="21"/>
  <c r="D20" i="21" s="1"/>
  <c r="B21" i="21"/>
  <c r="C21" i="21" l="1"/>
  <c r="D21" i="21" s="1"/>
  <c r="B22" i="21"/>
  <c r="B71" i="21"/>
  <c r="C70" i="21"/>
  <c r="D70" i="21" s="1"/>
  <c r="C71" i="21" l="1"/>
  <c r="D71" i="21" s="1"/>
  <c r="B72" i="21"/>
  <c r="B23" i="21"/>
  <c r="C22" i="21"/>
  <c r="D22" i="21" s="1"/>
  <c r="B24" i="21" l="1"/>
  <c r="C23" i="21"/>
  <c r="D23" i="21" s="1"/>
  <c r="C72" i="21"/>
  <c r="D72" i="21" s="1"/>
  <c r="B73" i="21"/>
  <c r="B74" i="21" l="1"/>
  <c r="C73" i="21"/>
  <c r="D73" i="21" s="1"/>
  <c r="C24" i="21"/>
  <c r="D24" i="21" s="1"/>
  <c r="B25" i="21"/>
  <c r="C25" i="21" l="1"/>
  <c r="D25" i="21" s="1"/>
  <c r="B26" i="21"/>
  <c r="B75" i="21"/>
  <c r="C74" i="21"/>
  <c r="D74" i="21" s="1"/>
  <c r="C75" i="21" l="1"/>
  <c r="D75" i="21" s="1"/>
  <c r="B76" i="21"/>
  <c r="B27" i="21"/>
  <c r="C26" i="21"/>
  <c r="D26" i="21" s="1"/>
  <c r="B28" i="21" l="1"/>
  <c r="C27" i="21"/>
  <c r="D27" i="21" s="1"/>
  <c r="C76" i="21"/>
  <c r="D76" i="21" s="1"/>
  <c r="B77" i="21"/>
  <c r="B78" i="21" l="1"/>
  <c r="C77" i="21"/>
  <c r="D77" i="21" s="1"/>
  <c r="C28" i="21"/>
  <c r="D28" i="21" s="1"/>
  <c r="B29" i="21"/>
  <c r="C29" i="21" l="1"/>
  <c r="D29" i="21" s="1"/>
  <c r="B30" i="21"/>
  <c r="B79" i="21"/>
  <c r="C78" i="21"/>
  <c r="D78" i="21" s="1"/>
  <c r="C79" i="21" l="1"/>
  <c r="D79" i="21" s="1"/>
  <c r="B80" i="21"/>
  <c r="B31" i="21"/>
  <c r="C30" i="21"/>
  <c r="D30" i="21" s="1"/>
  <c r="B32" i="21" l="1"/>
  <c r="C31" i="21"/>
  <c r="D31" i="21" s="1"/>
  <c r="C80" i="21"/>
  <c r="D80" i="21" s="1"/>
  <c r="B81" i="21"/>
  <c r="B82" i="21" l="1"/>
  <c r="C81" i="21"/>
  <c r="D81" i="21" s="1"/>
  <c r="C32" i="21"/>
  <c r="D32" i="21" s="1"/>
  <c r="B33" i="21"/>
  <c r="C33" i="21" l="1"/>
  <c r="D33" i="21" s="1"/>
  <c r="B34" i="21"/>
  <c r="B83" i="21"/>
  <c r="C82" i="21"/>
  <c r="D82" i="21" s="1"/>
  <c r="C83" i="21" l="1"/>
  <c r="D83" i="21" s="1"/>
  <c r="B84" i="21"/>
  <c r="B35" i="21"/>
  <c r="C34" i="21"/>
  <c r="D34" i="21" s="1"/>
  <c r="B36" i="21" l="1"/>
  <c r="C35" i="21"/>
  <c r="D35" i="21" s="1"/>
  <c r="C84" i="21"/>
  <c r="D84" i="21" s="1"/>
  <c r="B85" i="21"/>
  <c r="B86" i="21" l="1"/>
  <c r="C85" i="21"/>
  <c r="D85" i="21" s="1"/>
  <c r="C36" i="21"/>
  <c r="D36" i="21" s="1"/>
  <c r="B37" i="21"/>
  <c r="C37" i="21" l="1"/>
  <c r="D37" i="21" s="1"/>
  <c r="B38" i="21"/>
  <c r="B87" i="21"/>
  <c r="C86" i="21"/>
  <c r="D86" i="21" s="1"/>
  <c r="C87" i="21" l="1"/>
  <c r="D87" i="21" s="1"/>
  <c r="B88" i="21"/>
  <c r="B39" i="21"/>
  <c r="C38" i="21"/>
  <c r="D38" i="21" s="1"/>
  <c r="B40" i="21" l="1"/>
  <c r="C39" i="21"/>
  <c r="D39" i="21" s="1"/>
  <c r="C88" i="21"/>
  <c r="D88" i="21" s="1"/>
  <c r="B89" i="21"/>
  <c r="B90" i="21" l="1"/>
  <c r="C89" i="21"/>
  <c r="D89" i="21" s="1"/>
  <c r="C40" i="21"/>
  <c r="D40" i="21" s="1"/>
  <c r="B41" i="21"/>
  <c r="C41" i="21" l="1"/>
  <c r="D41" i="21" s="1"/>
  <c r="B42" i="21"/>
  <c r="B91" i="21"/>
  <c r="C90" i="21"/>
  <c r="D90" i="21" s="1"/>
  <c r="B43" i="21" l="1"/>
  <c r="C42" i="21"/>
  <c r="D42" i="21" s="1"/>
  <c r="C91" i="21"/>
  <c r="D91" i="21" s="1"/>
  <c r="B92" i="21"/>
  <c r="C92" i="21" l="1"/>
  <c r="D92" i="21" s="1"/>
  <c r="B93" i="21"/>
  <c r="B44" i="21"/>
  <c r="C43" i="21"/>
  <c r="D43" i="21" s="1"/>
  <c r="C44" i="21" l="1"/>
  <c r="D44" i="21" s="1"/>
  <c r="B45" i="21"/>
  <c r="B94" i="21"/>
  <c r="C93" i="21"/>
  <c r="D93" i="21" s="1"/>
  <c r="B95" i="21" l="1"/>
  <c r="C94" i="21"/>
  <c r="D94" i="21" s="1"/>
  <c r="C45" i="21"/>
  <c r="D45" i="21" s="1"/>
  <c r="B46" i="21"/>
  <c r="B47" i="21" l="1"/>
  <c r="C46" i="21"/>
  <c r="D46" i="21" s="1"/>
  <c r="C95" i="21"/>
  <c r="D95" i="21" s="1"/>
  <c r="B96" i="21"/>
  <c r="C96" i="21" l="1"/>
  <c r="D96" i="21" s="1"/>
  <c r="B97" i="21"/>
  <c r="B48" i="21"/>
  <c r="C47" i="21"/>
  <c r="D47" i="21" s="1"/>
  <c r="C48" i="21" l="1"/>
  <c r="D48" i="21" s="1"/>
  <c r="B49" i="21"/>
  <c r="B98" i="21"/>
  <c r="C97" i="21"/>
  <c r="D97" i="21" s="1"/>
  <c r="B99" i="21" l="1"/>
  <c r="C98" i="21"/>
  <c r="D98" i="21" s="1"/>
  <c r="C49" i="21"/>
  <c r="D49" i="21" s="1"/>
  <c r="B50" i="21"/>
  <c r="B51" i="21" l="1"/>
  <c r="C51" i="21" s="1"/>
  <c r="D51" i="21" s="1"/>
  <c r="C50" i="21"/>
  <c r="D50" i="21" s="1"/>
  <c r="C99" i="21"/>
  <c r="D99" i="21" s="1"/>
  <c r="B100" i="21"/>
  <c r="C100" i="21" l="1"/>
  <c r="D100" i="21" s="1"/>
  <c r="B101" i="21"/>
  <c r="B102" i="21" l="1"/>
  <c r="C101" i="21"/>
  <c r="D101" i="21" s="1"/>
  <c r="B103" i="21" l="1"/>
  <c r="C102" i="21"/>
  <c r="D102" i="21" s="1"/>
  <c r="C103" i="21" l="1"/>
  <c r="D103" i="21" s="1"/>
  <c r="B104" i="21"/>
  <c r="C104" i="21" l="1"/>
  <c r="D104" i="21" s="1"/>
  <c r="B105" i="21"/>
  <c r="B106" i="21" l="1"/>
  <c r="C105" i="21"/>
  <c r="D105" i="21" s="1"/>
  <c r="B107" i="21" l="1"/>
  <c r="C106" i="21"/>
  <c r="D106" i="21" s="1"/>
  <c r="C107" i="21" l="1"/>
  <c r="D107" i="21" s="1"/>
  <c r="B108" i="21"/>
  <c r="C108" i="21" l="1"/>
  <c r="D108" i="21" s="1"/>
  <c r="B109" i="21"/>
  <c r="B110" i="21" l="1"/>
  <c r="C109" i="21"/>
  <c r="D109" i="21" s="1"/>
  <c r="B111" i="21" l="1"/>
  <c r="C110" i="21"/>
  <c r="D110" i="21" s="1"/>
  <c r="C111" i="21" l="1"/>
  <c r="D111" i="21" s="1"/>
  <c r="B112" i="21"/>
  <c r="C112" i="21" l="1"/>
  <c r="D112" i="21" s="1"/>
  <c r="B113" i="21"/>
  <c r="B114" i="21" l="1"/>
  <c r="C113" i="21"/>
  <c r="D113" i="21" s="1"/>
  <c r="B115" i="21" l="1"/>
  <c r="C114" i="21"/>
  <c r="D114" i="21" s="1"/>
  <c r="C115" i="21" l="1"/>
  <c r="D115" i="21" s="1"/>
  <c r="B116" i="21"/>
  <c r="C116" i="21" l="1"/>
  <c r="D116" i="21" s="1"/>
  <c r="B117" i="21"/>
  <c r="B118" i="21" l="1"/>
  <c r="C117" i="21"/>
  <c r="D117" i="21" s="1"/>
  <c r="B119" i="21" l="1"/>
  <c r="C118" i="21"/>
  <c r="D118" i="21" s="1"/>
  <c r="C119" i="21" l="1"/>
  <c r="D119" i="21" s="1"/>
  <c r="B120" i="21"/>
  <c r="C120" i="21" l="1"/>
  <c r="D120" i="21" s="1"/>
  <c r="B121" i="21"/>
  <c r="B122" i="21" l="1"/>
  <c r="C121" i="21"/>
  <c r="D121" i="21" s="1"/>
  <c r="B123" i="21" l="1"/>
  <c r="C122" i="21"/>
  <c r="D122" i="21" s="1"/>
  <c r="C123" i="21" l="1"/>
  <c r="D123" i="21" s="1"/>
  <c r="B124" i="21"/>
  <c r="C124" i="21" l="1"/>
  <c r="D124" i="21" s="1"/>
  <c r="B125" i="21"/>
  <c r="C125" i="21" l="1"/>
  <c r="D125" i="21" s="1"/>
  <c r="B126" i="21"/>
  <c r="B127" i="21" l="1"/>
  <c r="C126" i="21"/>
  <c r="D126" i="21" s="1"/>
  <c r="B128" i="21" l="1"/>
  <c r="C127" i="21"/>
  <c r="D127" i="21" s="1"/>
  <c r="C128" i="21" l="1"/>
  <c r="D128" i="21" s="1"/>
  <c r="B129" i="21"/>
  <c r="B130" i="21" l="1"/>
  <c r="C129" i="21"/>
  <c r="D129" i="21" s="1"/>
  <c r="B131" i="21" l="1"/>
  <c r="C130" i="21"/>
  <c r="D130" i="21" s="1"/>
  <c r="C131" i="21" l="1"/>
  <c r="D131" i="21" s="1"/>
  <c r="B132" i="21"/>
  <c r="C132" i="21" l="1"/>
  <c r="D132" i="21" s="1"/>
  <c r="B133" i="21"/>
  <c r="B134" i="21" l="1"/>
  <c r="C133" i="21"/>
  <c r="D133" i="21" s="1"/>
  <c r="B135" i="21" l="1"/>
  <c r="C134" i="21"/>
  <c r="D134" i="21" s="1"/>
  <c r="C135" i="21" l="1"/>
  <c r="D135" i="21" s="1"/>
  <c r="B136" i="21"/>
  <c r="C136" i="21" l="1"/>
  <c r="D136" i="21" s="1"/>
  <c r="B137" i="21"/>
  <c r="B138" i="21" l="1"/>
  <c r="C137" i="21"/>
  <c r="D137" i="21" s="1"/>
  <c r="B139" i="21" l="1"/>
  <c r="C138" i="21"/>
  <c r="D138" i="21" s="1"/>
  <c r="C139" i="21" l="1"/>
  <c r="D139" i="21" s="1"/>
  <c r="B140" i="21"/>
  <c r="C140" i="21" l="1"/>
  <c r="D140" i="21" s="1"/>
  <c r="B141" i="21"/>
  <c r="B142" i="21" l="1"/>
  <c r="C141" i="21"/>
  <c r="D141" i="21" s="1"/>
  <c r="B143" i="21" l="1"/>
  <c r="C142" i="21"/>
  <c r="D142" i="21" s="1"/>
  <c r="C143" i="21" l="1"/>
  <c r="D143" i="21" s="1"/>
  <c r="B144" i="21"/>
  <c r="C144" i="21" l="1"/>
  <c r="D144" i="21" s="1"/>
  <c r="B145" i="21"/>
  <c r="B146" i="21" l="1"/>
  <c r="C145" i="21"/>
  <c r="D145" i="21" s="1"/>
  <c r="B147" i="21" l="1"/>
  <c r="C146" i="21"/>
  <c r="D146" i="21" s="1"/>
  <c r="C147" i="21" l="1"/>
  <c r="D147" i="21" s="1"/>
  <c r="B148" i="21"/>
  <c r="C148" i="21" l="1"/>
  <c r="D148" i="21" s="1"/>
  <c r="B149" i="21"/>
  <c r="B150" i="21" l="1"/>
  <c r="C149" i="21"/>
  <c r="D149" i="21" s="1"/>
  <c r="B151" i="21" l="1"/>
  <c r="C150" i="21"/>
  <c r="D150" i="21" s="1"/>
  <c r="C151" i="21" l="1"/>
  <c r="D151" i="21" s="1"/>
  <c r="B152" i="21"/>
  <c r="C152" i="21" l="1"/>
  <c r="D152" i="21" s="1"/>
  <c r="B153" i="21"/>
  <c r="B154" i="21" l="1"/>
  <c r="C153" i="21"/>
  <c r="D153" i="21" s="1"/>
  <c r="B155" i="21" l="1"/>
  <c r="C154" i="21"/>
  <c r="D154" i="21" s="1"/>
  <c r="C155" i="21" l="1"/>
  <c r="D155" i="21" s="1"/>
  <c r="B156" i="21"/>
  <c r="C156" i="21" l="1"/>
  <c r="D156" i="21" s="1"/>
  <c r="B157" i="21"/>
  <c r="B158" i="21" l="1"/>
  <c r="C157" i="21"/>
  <c r="D157" i="21" s="1"/>
  <c r="B159" i="21" l="1"/>
  <c r="C158" i="21"/>
  <c r="D158" i="21" s="1"/>
  <c r="C159" i="21" l="1"/>
  <c r="D159" i="21" s="1"/>
  <c r="B160" i="21"/>
  <c r="C160" i="21" l="1"/>
  <c r="D160" i="21" s="1"/>
  <c r="B161" i="21"/>
  <c r="B162" i="21" l="1"/>
  <c r="C161" i="21"/>
  <c r="D161" i="21" s="1"/>
  <c r="B163" i="21" l="1"/>
  <c r="C162" i="21"/>
  <c r="D162" i="21" s="1"/>
  <c r="C163" i="21" l="1"/>
  <c r="D163" i="21" s="1"/>
  <c r="B164" i="21"/>
  <c r="C164" i="21" l="1"/>
  <c r="D164" i="21" s="1"/>
  <c r="B165" i="21"/>
  <c r="B166" i="21" l="1"/>
  <c r="C165" i="21"/>
  <c r="D165" i="21" s="1"/>
  <c r="B167" i="21" l="1"/>
  <c r="C166" i="21"/>
  <c r="D166" i="21" s="1"/>
  <c r="C167" i="21" l="1"/>
  <c r="D167" i="21" s="1"/>
  <c r="B168" i="21"/>
  <c r="C168" i="21" l="1"/>
  <c r="D168" i="21" s="1"/>
  <c r="B169" i="21"/>
  <c r="B170" i="21" l="1"/>
  <c r="C169" i="21"/>
  <c r="D169" i="21" s="1"/>
  <c r="B171" i="21" l="1"/>
  <c r="C170" i="21"/>
  <c r="D170" i="21" s="1"/>
  <c r="C171" i="21" l="1"/>
  <c r="D171" i="21" s="1"/>
  <c r="B172" i="21"/>
  <c r="C172" i="21" l="1"/>
  <c r="D172" i="21" s="1"/>
  <c r="B173" i="21"/>
  <c r="B174" i="21" l="1"/>
  <c r="C173" i="21"/>
  <c r="D173" i="21" s="1"/>
  <c r="B175" i="21" l="1"/>
  <c r="C174" i="21"/>
  <c r="D174" i="21" s="1"/>
  <c r="C175" i="21" l="1"/>
  <c r="D175" i="21" s="1"/>
  <c r="B176" i="21"/>
  <c r="C176" i="21" l="1"/>
  <c r="D176" i="21" s="1"/>
  <c r="B177" i="21"/>
  <c r="B178" i="21" l="1"/>
  <c r="C177" i="21"/>
  <c r="D177" i="21" s="1"/>
  <c r="B179" i="21" l="1"/>
  <c r="C178" i="21"/>
  <c r="D178" i="21" s="1"/>
  <c r="C179" i="21" l="1"/>
  <c r="D179" i="21" s="1"/>
  <c r="B180" i="21"/>
  <c r="C180" i="21" l="1"/>
  <c r="D180" i="21" s="1"/>
  <c r="B181" i="21"/>
  <c r="B182" i="21" l="1"/>
  <c r="C181" i="21"/>
  <c r="D181" i="21" s="1"/>
  <c r="B183" i="21" l="1"/>
  <c r="C182" i="21"/>
  <c r="D182" i="21" s="1"/>
  <c r="C183" i="21" l="1"/>
  <c r="D183" i="21" s="1"/>
  <c r="B184" i="21"/>
  <c r="C184" i="21" l="1"/>
  <c r="D184" i="21" s="1"/>
  <c r="B185" i="21"/>
  <c r="B186" i="21" l="1"/>
  <c r="C185" i="21"/>
  <c r="D185" i="21" s="1"/>
  <c r="B187" i="21" l="1"/>
  <c r="C186" i="21"/>
  <c r="D186" i="21" s="1"/>
  <c r="C187" i="21" l="1"/>
  <c r="D187" i="21" s="1"/>
  <c r="B188" i="21"/>
  <c r="C188" i="21" l="1"/>
  <c r="D188" i="21" s="1"/>
  <c r="B189" i="21"/>
  <c r="B190" i="21" l="1"/>
  <c r="C189" i="21"/>
  <c r="D189" i="21" s="1"/>
  <c r="B191" i="21" l="1"/>
  <c r="C190" i="21"/>
  <c r="D190" i="21" s="1"/>
  <c r="C191" i="21" l="1"/>
  <c r="D191" i="21" s="1"/>
  <c r="B192" i="21"/>
  <c r="C192" i="21" l="1"/>
  <c r="D192" i="21" s="1"/>
  <c r="B193" i="21"/>
  <c r="B194" i="21" l="1"/>
  <c r="C193" i="21"/>
  <c r="D193" i="21" s="1"/>
  <c r="B195" i="21" l="1"/>
  <c r="C194" i="21"/>
  <c r="D194" i="21" s="1"/>
  <c r="C195" i="21" l="1"/>
  <c r="D195" i="21" s="1"/>
  <c r="B196" i="21"/>
  <c r="C196" i="21" l="1"/>
  <c r="D196" i="21" s="1"/>
  <c r="B197" i="21"/>
  <c r="B198" i="21" l="1"/>
  <c r="C197" i="21"/>
  <c r="D197" i="21" s="1"/>
  <c r="B199" i="21" l="1"/>
  <c r="C198" i="21"/>
  <c r="D198" i="21" s="1"/>
  <c r="C199" i="21" l="1"/>
  <c r="D199" i="21" s="1"/>
  <c r="B200" i="21"/>
  <c r="C200" i="21" l="1"/>
  <c r="D200" i="21" s="1"/>
  <c r="B201" i="21"/>
  <c r="B202" i="21" l="1"/>
  <c r="C201" i="21"/>
  <c r="D201" i="21" s="1"/>
  <c r="B203" i="21" l="1"/>
  <c r="C202" i="21"/>
  <c r="D202" i="21" s="1"/>
  <c r="C203" i="21" l="1"/>
  <c r="D203" i="21" s="1"/>
  <c r="B204" i="21"/>
  <c r="C204" i="21" l="1"/>
  <c r="D204" i="21" s="1"/>
  <c r="B205" i="21"/>
  <c r="B206" i="21" l="1"/>
  <c r="C205" i="21"/>
  <c r="D205" i="21" s="1"/>
  <c r="B207" i="21" l="1"/>
  <c r="C206" i="21"/>
  <c r="D206" i="21" s="1"/>
  <c r="C207" i="21" l="1"/>
  <c r="D207" i="21" s="1"/>
  <c r="B208" i="21"/>
  <c r="C208" i="21" l="1"/>
  <c r="D208" i="21" s="1"/>
  <c r="B209" i="21"/>
  <c r="B210" i="21" l="1"/>
  <c r="C209" i="21"/>
  <c r="D209" i="21" s="1"/>
  <c r="B211" i="21" l="1"/>
  <c r="C210" i="21"/>
  <c r="D210" i="21" s="1"/>
  <c r="C211" i="21" l="1"/>
  <c r="D211" i="21" s="1"/>
  <c r="B212" i="21"/>
  <c r="C212" i="21" l="1"/>
  <c r="D212" i="21" s="1"/>
  <c r="B213" i="21"/>
  <c r="B214" i="21" l="1"/>
  <c r="C213" i="21"/>
  <c r="D213" i="21" s="1"/>
  <c r="B215" i="21" l="1"/>
  <c r="C214" i="21"/>
  <c r="D214" i="21" s="1"/>
  <c r="C215" i="21" l="1"/>
  <c r="D215" i="21" s="1"/>
  <c r="B216" i="21"/>
  <c r="C216" i="21" l="1"/>
  <c r="D216" i="21" s="1"/>
  <c r="B217" i="21"/>
  <c r="B218" i="21" l="1"/>
  <c r="C217" i="21"/>
  <c r="D217" i="21" s="1"/>
  <c r="B219" i="21" l="1"/>
  <c r="C218" i="21"/>
  <c r="D218" i="21" s="1"/>
  <c r="C219" i="21" l="1"/>
  <c r="D219" i="21" s="1"/>
  <c r="B220" i="21"/>
  <c r="C220" i="21" l="1"/>
  <c r="D220" i="21" s="1"/>
  <c r="B221" i="21"/>
  <c r="B222" i="21" l="1"/>
  <c r="C221" i="21"/>
  <c r="D221" i="21" s="1"/>
  <c r="B223" i="21" l="1"/>
  <c r="C222" i="21"/>
  <c r="D222" i="21" s="1"/>
  <c r="C223" i="21" l="1"/>
  <c r="D223" i="21" s="1"/>
  <c r="B224" i="21"/>
  <c r="C224" i="21" l="1"/>
  <c r="D224" i="21" s="1"/>
  <c r="B225" i="21"/>
  <c r="B226" i="21" l="1"/>
  <c r="C225" i="21"/>
  <c r="D225" i="21" s="1"/>
  <c r="B227" i="21" l="1"/>
  <c r="C226" i="21"/>
  <c r="D226" i="21" s="1"/>
  <c r="C227" i="21" l="1"/>
  <c r="D227" i="21" s="1"/>
  <c r="B228" i="21"/>
  <c r="C228" i="21" l="1"/>
  <c r="D228" i="21" s="1"/>
  <c r="B229" i="21"/>
  <c r="B230" i="21" l="1"/>
  <c r="C229" i="21"/>
  <c r="D229" i="21" s="1"/>
  <c r="B231" i="21" l="1"/>
  <c r="C230" i="21"/>
  <c r="D230" i="21" s="1"/>
  <c r="C231" i="21" l="1"/>
  <c r="D231" i="21" s="1"/>
  <c r="B232" i="21"/>
  <c r="C232" i="21" l="1"/>
  <c r="D232" i="21" s="1"/>
  <c r="B233" i="21"/>
  <c r="B234" i="21" l="1"/>
  <c r="C233" i="21"/>
  <c r="D233" i="21" s="1"/>
  <c r="B235" i="21" l="1"/>
  <c r="C234" i="21"/>
  <c r="D234" i="21" s="1"/>
  <c r="C235" i="21" l="1"/>
  <c r="D235" i="21" s="1"/>
  <c r="B236" i="21"/>
  <c r="C236" i="21" l="1"/>
  <c r="D236" i="21" s="1"/>
  <c r="B237" i="21"/>
  <c r="B238" i="21" l="1"/>
  <c r="C237" i="21"/>
  <c r="D237" i="21" s="1"/>
  <c r="B239" i="21" l="1"/>
  <c r="C238" i="21"/>
  <c r="D238" i="21" s="1"/>
  <c r="C239" i="21" l="1"/>
  <c r="D239" i="21" s="1"/>
  <c r="B240" i="21"/>
  <c r="C240" i="21" l="1"/>
  <c r="D240" i="21" s="1"/>
  <c r="B241" i="21"/>
  <c r="B242" i="21" l="1"/>
  <c r="C241" i="21"/>
  <c r="D241" i="21" s="1"/>
  <c r="B243" i="21" l="1"/>
  <c r="C242" i="21"/>
  <c r="D242" i="21" s="1"/>
  <c r="C243" i="21" l="1"/>
  <c r="D243" i="21" s="1"/>
  <c r="B244" i="21"/>
  <c r="C244" i="21" l="1"/>
  <c r="D244" i="21" s="1"/>
  <c r="B245" i="21"/>
  <c r="B246" i="21" l="1"/>
  <c r="C245" i="21"/>
  <c r="D245" i="21" s="1"/>
  <c r="B247" i="21" l="1"/>
  <c r="C246" i="21"/>
  <c r="D246" i="21" s="1"/>
  <c r="C247" i="21" l="1"/>
  <c r="D247" i="21" s="1"/>
  <c r="B248" i="21"/>
  <c r="C248" i="21" l="1"/>
  <c r="D248" i="21" s="1"/>
  <c r="B249" i="21"/>
  <c r="B250" i="21" l="1"/>
  <c r="C249" i="21"/>
  <c r="D249" i="21" s="1"/>
  <c r="B251" i="21" l="1"/>
  <c r="C250" i="21"/>
  <c r="D250" i="21" s="1"/>
  <c r="C251" i="21" l="1"/>
  <c r="D251" i="21" s="1"/>
  <c r="B252" i="21"/>
  <c r="C252" i="21" l="1"/>
  <c r="D252" i="21" s="1"/>
  <c r="B253" i="21"/>
  <c r="B254" i="21" l="1"/>
  <c r="C253" i="21"/>
  <c r="D253" i="21" s="1"/>
  <c r="B255" i="21" l="1"/>
  <c r="C254" i="21"/>
  <c r="D254" i="21" s="1"/>
  <c r="C255" i="21" l="1"/>
  <c r="D255" i="21" s="1"/>
  <c r="B256" i="21"/>
  <c r="C256" i="21" l="1"/>
  <c r="D256" i="21" s="1"/>
  <c r="B257" i="21"/>
  <c r="B258" i="21" l="1"/>
  <c r="C257" i="21"/>
  <c r="D257" i="21" s="1"/>
  <c r="B259" i="21" l="1"/>
  <c r="C258" i="21"/>
  <c r="D258" i="21" s="1"/>
  <c r="C259" i="21" l="1"/>
  <c r="D259" i="21" s="1"/>
  <c r="B260" i="21"/>
  <c r="C260" i="21" l="1"/>
  <c r="D260" i="21" s="1"/>
  <c r="B261" i="21"/>
  <c r="B262" i="21" l="1"/>
  <c r="C261" i="21"/>
  <c r="D261" i="21" s="1"/>
  <c r="B263" i="21" l="1"/>
  <c r="C262" i="21"/>
  <c r="D262" i="21" s="1"/>
  <c r="C263" i="21" l="1"/>
  <c r="D263" i="21" s="1"/>
  <c r="B264" i="21"/>
  <c r="C264" i="21" l="1"/>
  <c r="D264" i="21" s="1"/>
  <c r="B265" i="21"/>
  <c r="B266" i="21" l="1"/>
  <c r="C265" i="21"/>
  <c r="D265" i="21" s="1"/>
  <c r="B267" i="21" l="1"/>
  <c r="C266" i="21"/>
  <c r="D266" i="21" s="1"/>
  <c r="C267" i="21" l="1"/>
  <c r="D267" i="21" s="1"/>
  <c r="B268" i="21"/>
  <c r="C268" i="21" l="1"/>
  <c r="D268" i="21" s="1"/>
  <c r="B269" i="21"/>
  <c r="B270" i="21" l="1"/>
  <c r="C269" i="21"/>
  <c r="D269" i="21" s="1"/>
  <c r="B271" i="21" l="1"/>
  <c r="C270" i="21"/>
  <c r="D270" i="21" s="1"/>
  <c r="C271" i="21" l="1"/>
  <c r="D271" i="21" s="1"/>
  <c r="B272" i="21"/>
  <c r="C272" i="21" l="1"/>
  <c r="D272" i="21" s="1"/>
  <c r="B273" i="21"/>
  <c r="B274" i="21" l="1"/>
  <c r="C273" i="21"/>
  <c r="D273" i="21" s="1"/>
  <c r="B275" i="21" l="1"/>
  <c r="C274" i="21"/>
  <c r="D274" i="21" s="1"/>
  <c r="C275" i="21" l="1"/>
  <c r="D275" i="21" s="1"/>
  <c r="B276" i="21"/>
  <c r="C276" i="21" l="1"/>
  <c r="D276" i="21" s="1"/>
  <c r="B277" i="21"/>
  <c r="B278" i="21" l="1"/>
  <c r="C277" i="21"/>
  <c r="D277" i="21" s="1"/>
  <c r="B279" i="21" l="1"/>
  <c r="C278" i="21"/>
  <c r="D278" i="21" s="1"/>
  <c r="C279" i="21" l="1"/>
  <c r="D279" i="21" s="1"/>
  <c r="B280" i="21"/>
  <c r="C280" i="21" l="1"/>
  <c r="D280" i="21" s="1"/>
  <c r="B281" i="21"/>
  <c r="B282" i="21" l="1"/>
  <c r="C281" i="21"/>
  <c r="D281" i="21" s="1"/>
  <c r="B283" i="21" l="1"/>
  <c r="C282" i="21"/>
  <c r="D282" i="21" s="1"/>
  <c r="C283" i="21" l="1"/>
  <c r="D283" i="21" s="1"/>
  <c r="B284" i="21"/>
  <c r="C284" i="21" l="1"/>
  <c r="D284" i="21" s="1"/>
  <c r="B285" i="21"/>
  <c r="B286" i="21" l="1"/>
  <c r="C285" i="21"/>
  <c r="D285" i="21" s="1"/>
  <c r="B287" i="21" l="1"/>
  <c r="C286" i="21"/>
  <c r="D286" i="21" s="1"/>
  <c r="C287" i="21" l="1"/>
  <c r="D287" i="21" s="1"/>
  <c r="B288" i="21"/>
  <c r="C288" i="21" l="1"/>
  <c r="D288" i="21" s="1"/>
  <c r="B289" i="21"/>
  <c r="B290" i="21" l="1"/>
  <c r="C289" i="21"/>
  <c r="D289" i="21" s="1"/>
  <c r="B291" i="21" l="1"/>
  <c r="C290" i="21"/>
  <c r="D290" i="21" s="1"/>
  <c r="C291" i="21" l="1"/>
  <c r="D291" i="21" s="1"/>
  <c r="B292" i="21"/>
  <c r="C292" i="21" l="1"/>
  <c r="D292" i="21" s="1"/>
  <c r="B293" i="21"/>
  <c r="B294" i="21" l="1"/>
  <c r="C293" i="21"/>
  <c r="D293" i="21" s="1"/>
  <c r="B295" i="21" l="1"/>
  <c r="C294" i="21"/>
  <c r="D294" i="21" s="1"/>
  <c r="C295" i="21" l="1"/>
  <c r="D295" i="21" s="1"/>
  <c r="B296" i="21"/>
  <c r="C296" i="21" l="1"/>
  <c r="D296" i="21" s="1"/>
  <c r="B297" i="21"/>
  <c r="B298" i="21" l="1"/>
  <c r="C297" i="21"/>
  <c r="D297" i="21" s="1"/>
  <c r="B299" i="21" l="1"/>
  <c r="C298" i="21"/>
  <c r="D298" i="21" s="1"/>
  <c r="C299" i="21" l="1"/>
  <c r="D299" i="21" s="1"/>
  <c r="B300" i="21"/>
  <c r="C300" i="21" l="1"/>
  <c r="D300" i="21" s="1"/>
  <c r="B301" i="21"/>
  <c r="B302" i="21" l="1"/>
  <c r="C301" i="21"/>
  <c r="D301" i="21" s="1"/>
  <c r="B303" i="21" l="1"/>
  <c r="C302" i="21"/>
  <c r="D302" i="21" s="1"/>
  <c r="C303" i="21" l="1"/>
  <c r="D303" i="21" s="1"/>
  <c r="B304" i="21"/>
  <c r="C304" i="21" l="1"/>
  <c r="D304" i="21" s="1"/>
  <c r="B305" i="21"/>
  <c r="B306" i="21" l="1"/>
  <c r="C305" i="21"/>
  <c r="D305" i="21" s="1"/>
  <c r="B307" i="21" l="1"/>
  <c r="C306" i="21"/>
  <c r="D306" i="21" s="1"/>
  <c r="C307" i="21" l="1"/>
  <c r="D307" i="21" s="1"/>
  <c r="B308" i="21"/>
  <c r="C308" i="21" l="1"/>
  <c r="D308" i="21" s="1"/>
  <c r="B309" i="21"/>
  <c r="B310" i="21" l="1"/>
  <c r="C309" i="21"/>
  <c r="D309" i="21" s="1"/>
  <c r="B311" i="21" l="1"/>
  <c r="C310" i="21"/>
  <c r="D310" i="21" s="1"/>
  <c r="C311" i="21" l="1"/>
  <c r="D311" i="21" s="1"/>
  <c r="B312" i="21"/>
  <c r="C312" i="21" l="1"/>
  <c r="D312" i="21" s="1"/>
  <c r="B313" i="21"/>
  <c r="B314" i="21" l="1"/>
  <c r="C313" i="21"/>
  <c r="D313" i="21" s="1"/>
  <c r="B315" i="21" l="1"/>
  <c r="C314" i="21"/>
  <c r="D314" i="21" s="1"/>
  <c r="C315" i="21" l="1"/>
  <c r="D315" i="21" s="1"/>
  <c r="B316" i="21"/>
  <c r="C316" i="21" l="1"/>
  <c r="D316" i="21" s="1"/>
  <c r="B317" i="21"/>
  <c r="C317" i="21" l="1"/>
  <c r="D317" i="21" s="1"/>
  <c r="B318" i="21"/>
  <c r="B319" i="21" l="1"/>
  <c r="C318" i="21"/>
  <c r="D318" i="21" s="1"/>
  <c r="B320" i="21" l="1"/>
  <c r="C319" i="21"/>
  <c r="D319" i="21" s="1"/>
  <c r="C320" i="21" l="1"/>
  <c r="D320" i="21" s="1"/>
  <c r="B321" i="21"/>
  <c r="C321" i="21" l="1"/>
  <c r="D321" i="21" s="1"/>
  <c r="B322" i="21"/>
  <c r="B323" i="21" l="1"/>
  <c r="C322" i="21"/>
  <c r="D322" i="21" s="1"/>
  <c r="B324" i="21" l="1"/>
  <c r="C323" i="21"/>
  <c r="D323" i="21" s="1"/>
  <c r="C324" i="21" l="1"/>
  <c r="D324" i="21" s="1"/>
  <c r="B325" i="21"/>
  <c r="C325" i="21" l="1"/>
  <c r="D325" i="21" s="1"/>
  <c r="B326" i="21"/>
  <c r="B327" i="21" l="1"/>
  <c r="C326" i="21"/>
  <c r="D326" i="21" s="1"/>
  <c r="B328" i="21" l="1"/>
  <c r="C327" i="21"/>
  <c r="D327" i="21" s="1"/>
  <c r="C328" i="21" l="1"/>
  <c r="D328" i="21" s="1"/>
  <c r="B329" i="21"/>
  <c r="B330" i="21" l="1"/>
  <c r="C329" i="21"/>
  <c r="D329" i="21" s="1"/>
  <c r="B331" i="21" l="1"/>
  <c r="C330" i="21"/>
  <c r="D330" i="21" s="1"/>
  <c r="C331" i="21" l="1"/>
  <c r="D331" i="21" s="1"/>
  <c r="B332" i="21"/>
  <c r="C332" i="21" l="1"/>
  <c r="D332" i="21" s="1"/>
  <c r="B333" i="21"/>
  <c r="B334" i="21" l="1"/>
  <c r="C333" i="21"/>
  <c r="D333" i="21" s="1"/>
  <c r="B335" i="21" l="1"/>
  <c r="C334" i="21"/>
  <c r="D334" i="21" s="1"/>
  <c r="C335" i="21" l="1"/>
  <c r="D335" i="21" s="1"/>
  <c r="B336" i="21"/>
  <c r="C336" i="21" l="1"/>
  <c r="D336" i="21" s="1"/>
  <c r="B337" i="21"/>
  <c r="B338" i="21" l="1"/>
  <c r="C337" i="21"/>
  <c r="D337" i="21" s="1"/>
  <c r="B339" i="21" l="1"/>
  <c r="C338" i="21"/>
  <c r="D338" i="21" s="1"/>
  <c r="C339" i="21" l="1"/>
  <c r="D339" i="21" s="1"/>
  <c r="B340" i="21"/>
  <c r="C340" i="21" l="1"/>
  <c r="D340" i="21" s="1"/>
  <c r="B341" i="21"/>
  <c r="B342" i="21" l="1"/>
  <c r="C341" i="21"/>
  <c r="D341" i="21" s="1"/>
  <c r="B343" i="21" l="1"/>
  <c r="C342" i="21"/>
  <c r="D342" i="21" s="1"/>
  <c r="C343" i="21" l="1"/>
  <c r="D343" i="21" s="1"/>
  <c r="B344" i="21"/>
  <c r="C344" i="21" l="1"/>
  <c r="D344" i="21" s="1"/>
  <c r="B345" i="21"/>
  <c r="B346" i="21" l="1"/>
  <c r="C345" i="21"/>
  <c r="D345" i="21" s="1"/>
  <c r="B347" i="21" l="1"/>
  <c r="C346" i="21"/>
  <c r="D346" i="21" s="1"/>
  <c r="C347" i="21" l="1"/>
  <c r="D347" i="21" s="1"/>
  <c r="B348" i="21"/>
  <c r="C348" i="21" l="1"/>
  <c r="D348" i="21" s="1"/>
  <c r="B349" i="21"/>
  <c r="B350" i="21" l="1"/>
  <c r="C349" i="21"/>
  <c r="D349" i="21" s="1"/>
  <c r="B351" i="21" l="1"/>
  <c r="C350" i="21"/>
  <c r="D350" i="21" s="1"/>
  <c r="C351" i="21" l="1"/>
  <c r="D351" i="21" s="1"/>
  <c r="B352" i="21"/>
  <c r="C352" i="21" l="1"/>
  <c r="D352" i="21" s="1"/>
  <c r="B353" i="21"/>
  <c r="B354" i="21" l="1"/>
  <c r="C353" i="21"/>
  <c r="D353" i="21" s="1"/>
  <c r="B355" i="21" l="1"/>
  <c r="C354" i="21"/>
  <c r="D354" i="21" s="1"/>
  <c r="C355" i="21" l="1"/>
  <c r="D355" i="21" s="1"/>
  <c r="B356" i="21"/>
  <c r="C356" i="21" l="1"/>
  <c r="D356" i="21" s="1"/>
  <c r="B357" i="21"/>
  <c r="B358" i="21" l="1"/>
  <c r="C357" i="21"/>
  <c r="D357" i="21" s="1"/>
  <c r="B359" i="21" l="1"/>
  <c r="C358" i="21"/>
  <c r="D358" i="21" s="1"/>
  <c r="C359" i="21" l="1"/>
  <c r="D359" i="21" s="1"/>
  <c r="B360" i="21"/>
  <c r="C360" i="21" l="1"/>
  <c r="D360" i="21" s="1"/>
  <c r="B361" i="21"/>
  <c r="B362" i="21" l="1"/>
  <c r="C361" i="21"/>
  <c r="D361" i="21" s="1"/>
  <c r="B363" i="21" l="1"/>
  <c r="C362" i="21"/>
  <c r="D362" i="21" s="1"/>
  <c r="C363" i="21" l="1"/>
  <c r="D363" i="21" s="1"/>
  <c r="B364" i="21"/>
  <c r="C364" i="21" l="1"/>
  <c r="D364" i="21" s="1"/>
  <c r="B365" i="21"/>
  <c r="B366" i="21" l="1"/>
  <c r="C365" i="21"/>
  <c r="D365" i="21" s="1"/>
  <c r="B367" i="21" l="1"/>
  <c r="C366" i="21"/>
  <c r="D366" i="21" s="1"/>
  <c r="C367" i="21" l="1"/>
  <c r="D367" i="21" s="1"/>
  <c r="B368" i="21"/>
  <c r="C368" i="21" l="1"/>
  <c r="D368" i="21" s="1"/>
  <c r="B369" i="21"/>
  <c r="B370" i="21" l="1"/>
  <c r="C369" i="21"/>
  <c r="D369" i="21" s="1"/>
  <c r="B371" i="21" l="1"/>
  <c r="C370" i="21"/>
  <c r="D370" i="21" s="1"/>
  <c r="C371" i="21" l="1"/>
  <c r="D371" i="21" s="1"/>
  <c r="B372" i="21"/>
  <c r="C372" i="21" l="1"/>
  <c r="D372" i="21" s="1"/>
  <c r="B373" i="21"/>
  <c r="B374" i="21" l="1"/>
  <c r="C373" i="21"/>
  <c r="D373" i="21" s="1"/>
  <c r="B375" i="21" l="1"/>
  <c r="C374" i="21"/>
  <c r="D374" i="21" s="1"/>
  <c r="C375" i="21" l="1"/>
  <c r="D375" i="21" s="1"/>
  <c r="B376" i="21"/>
  <c r="C376" i="21" l="1"/>
  <c r="D376" i="21" s="1"/>
  <c r="B377" i="21"/>
  <c r="B378" i="21" l="1"/>
  <c r="C377" i="21"/>
  <c r="D377" i="21" s="1"/>
  <c r="B379" i="21" l="1"/>
  <c r="C378" i="21"/>
  <c r="D378" i="21" s="1"/>
  <c r="C379" i="21" l="1"/>
  <c r="D379" i="21" s="1"/>
  <c r="B380" i="21"/>
  <c r="C380" i="21" l="1"/>
  <c r="D380" i="21" s="1"/>
  <c r="B381" i="21"/>
  <c r="B382" i="21" l="1"/>
  <c r="C381" i="21"/>
  <c r="D381" i="21" s="1"/>
  <c r="B383" i="21" l="1"/>
  <c r="C382" i="21"/>
  <c r="D382" i="21" s="1"/>
  <c r="C383" i="21" l="1"/>
  <c r="D383" i="21" s="1"/>
  <c r="B384" i="21"/>
  <c r="C384" i="21" l="1"/>
  <c r="D384" i="21" s="1"/>
  <c r="B385" i="21"/>
  <c r="B386" i="21" l="1"/>
  <c r="C385" i="21"/>
  <c r="D385" i="21" s="1"/>
  <c r="B387" i="21" l="1"/>
  <c r="C386" i="21"/>
  <c r="D386" i="21" s="1"/>
  <c r="C387" i="21" l="1"/>
  <c r="D387" i="21" s="1"/>
  <c r="B388" i="21"/>
  <c r="B389" i="21" l="1"/>
  <c r="C388" i="21"/>
  <c r="D388" i="21" s="1"/>
  <c r="B390" i="21" l="1"/>
  <c r="C389" i="21"/>
  <c r="D389" i="21" s="1"/>
  <c r="C390" i="21" l="1"/>
  <c r="D390" i="21" s="1"/>
  <c r="B391" i="21"/>
  <c r="C391" i="21" l="1"/>
  <c r="D391" i="21" s="1"/>
  <c r="B392" i="21"/>
  <c r="B393" i="21" l="1"/>
  <c r="C392" i="21"/>
  <c r="D392" i="21" s="1"/>
  <c r="B394" i="21" l="1"/>
  <c r="C393" i="21"/>
  <c r="D393" i="21" s="1"/>
  <c r="C394" i="21" l="1"/>
  <c r="D394" i="21" s="1"/>
  <c r="B395" i="21"/>
  <c r="C395" i="21" l="1"/>
  <c r="D395" i="21" s="1"/>
  <c r="B396" i="21"/>
  <c r="B397" i="21" l="1"/>
  <c r="C396" i="21"/>
  <c r="D396" i="21" s="1"/>
  <c r="B398" i="21" l="1"/>
  <c r="C397" i="21"/>
  <c r="D397" i="21" s="1"/>
  <c r="C398" i="21" l="1"/>
  <c r="D398" i="21" s="1"/>
  <c r="B399" i="21"/>
  <c r="C399" i="21" l="1"/>
  <c r="D399" i="21" s="1"/>
  <c r="B400" i="21"/>
  <c r="B401" i="21" l="1"/>
  <c r="C400" i="21"/>
  <c r="D400" i="21" s="1"/>
  <c r="B402" i="21" l="1"/>
  <c r="C401" i="21"/>
  <c r="D401" i="21" s="1"/>
  <c r="C402" i="21" l="1"/>
  <c r="D402" i="21" s="1"/>
  <c r="B403" i="21"/>
  <c r="C403" i="21" l="1"/>
  <c r="D403" i="21" s="1"/>
  <c r="B404" i="21"/>
  <c r="B405" i="21" l="1"/>
  <c r="C404" i="21"/>
  <c r="D404" i="21" s="1"/>
  <c r="B406" i="21" l="1"/>
  <c r="C405" i="21"/>
  <c r="D405" i="21" s="1"/>
  <c r="C406" i="21" l="1"/>
  <c r="D406" i="21" s="1"/>
  <c r="B407" i="21"/>
  <c r="C407" i="21" l="1"/>
  <c r="D407" i="21" s="1"/>
  <c r="B408" i="21"/>
  <c r="B409" i="21" l="1"/>
  <c r="C408" i="21"/>
  <c r="D408" i="21" s="1"/>
  <c r="B410" i="21" l="1"/>
  <c r="C409" i="21"/>
  <c r="D409" i="21" s="1"/>
  <c r="C410" i="21" l="1"/>
  <c r="D410" i="21" s="1"/>
  <c r="B411" i="21"/>
  <c r="C411" i="21" l="1"/>
  <c r="D411" i="21" s="1"/>
  <c r="B412" i="21"/>
  <c r="B413" i="21" l="1"/>
  <c r="C412" i="21"/>
  <c r="D412" i="21" s="1"/>
  <c r="B414" i="21" l="1"/>
  <c r="C413" i="21"/>
  <c r="D413" i="21" s="1"/>
  <c r="C414" i="21" l="1"/>
  <c r="D414" i="21" s="1"/>
  <c r="B415" i="21"/>
  <c r="C415" i="21" l="1"/>
  <c r="D415" i="21" s="1"/>
  <c r="B416" i="21"/>
  <c r="B417" i="21" l="1"/>
  <c r="C416" i="21"/>
  <c r="D416" i="21" s="1"/>
  <c r="B418" i="21" l="1"/>
  <c r="C417" i="21"/>
  <c r="D417" i="21" s="1"/>
  <c r="C418" i="21" l="1"/>
  <c r="D418" i="21" s="1"/>
  <c r="B419" i="21"/>
  <c r="C419" i="21" l="1"/>
  <c r="D419" i="21" s="1"/>
  <c r="B420" i="21"/>
  <c r="B421" i="21" l="1"/>
  <c r="C420" i="21"/>
  <c r="D420" i="21" s="1"/>
  <c r="B422" i="21" l="1"/>
  <c r="C421" i="21"/>
  <c r="D421" i="21" s="1"/>
  <c r="C422" i="21" l="1"/>
  <c r="D422" i="21" s="1"/>
  <c r="B423" i="21"/>
  <c r="C423" i="21" l="1"/>
  <c r="D423" i="21" s="1"/>
  <c r="B424" i="21"/>
  <c r="B425" i="21" l="1"/>
  <c r="C424" i="21"/>
  <c r="D424" i="21" s="1"/>
  <c r="B426" i="21" l="1"/>
  <c r="C425" i="21"/>
  <c r="D425" i="21" s="1"/>
  <c r="C426" i="21" l="1"/>
  <c r="D426" i="21" s="1"/>
  <c r="B427" i="21"/>
  <c r="C427" i="21" l="1"/>
  <c r="D427" i="21" s="1"/>
  <c r="B428" i="21"/>
  <c r="B429" i="21" l="1"/>
  <c r="C428" i="21"/>
  <c r="D428" i="21" s="1"/>
  <c r="B430" i="21" l="1"/>
  <c r="C429" i="21"/>
  <c r="D429" i="21" s="1"/>
  <c r="C430" i="21" l="1"/>
  <c r="D430" i="21" s="1"/>
  <c r="B431" i="21"/>
  <c r="C431" i="21" l="1"/>
  <c r="D431" i="21" s="1"/>
  <c r="B432" i="21"/>
  <c r="B433" i="21" l="1"/>
  <c r="C432" i="21"/>
  <c r="D432" i="21" s="1"/>
  <c r="B434" i="21" l="1"/>
  <c r="C433" i="21"/>
  <c r="D433" i="21" s="1"/>
  <c r="C434" i="21" l="1"/>
  <c r="D434" i="21" s="1"/>
  <c r="B435" i="21"/>
  <c r="C435" i="21" l="1"/>
  <c r="D435" i="21" s="1"/>
  <c r="B436" i="21"/>
  <c r="B437" i="21" l="1"/>
  <c r="C436" i="21"/>
  <c r="D436" i="21" s="1"/>
  <c r="B438" i="21" l="1"/>
  <c r="C437" i="21"/>
  <c r="D437" i="21" s="1"/>
  <c r="C438" i="21" l="1"/>
  <c r="D438" i="21" s="1"/>
  <c r="B439" i="21"/>
  <c r="B440" i="21" l="1"/>
  <c r="C439" i="21"/>
  <c r="D439" i="21" s="1"/>
  <c r="B441" i="21" l="1"/>
  <c r="C440" i="21"/>
  <c r="D440" i="21" s="1"/>
  <c r="C441" i="21" l="1"/>
  <c r="D441" i="21" s="1"/>
  <c r="B442" i="21"/>
  <c r="C442" i="21" l="1"/>
  <c r="D442" i="21" s="1"/>
  <c r="B443" i="21"/>
  <c r="C443" i="21" l="1"/>
  <c r="D443" i="21" s="1"/>
  <c r="B444" i="21"/>
  <c r="B445" i="21" l="1"/>
  <c r="C444" i="21"/>
  <c r="D444" i="21" s="1"/>
  <c r="C445" i="21" l="1"/>
  <c r="D445" i="21" s="1"/>
  <c r="B446" i="21"/>
  <c r="C446" i="21" l="1"/>
  <c r="D446" i="21" s="1"/>
  <c r="B447" i="21"/>
  <c r="C447" i="21" l="1"/>
  <c r="D447" i="21" s="1"/>
  <c r="B448" i="21"/>
  <c r="B449" i="21" l="1"/>
  <c r="C448" i="21"/>
  <c r="D448" i="21" s="1"/>
  <c r="B450" i="21" l="1"/>
  <c r="C449" i="21"/>
  <c r="D449" i="21" s="1"/>
  <c r="C450" i="21" l="1"/>
  <c r="D450" i="21" s="1"/>
  <c r="B451" i="21"/>
  <c r="B452" i="21" l="1"/>
  <c r="C451" i="21"/>
  <c r="D451" i="21" s="1"/>
  <c r="B453" i="21" l="1"/>
  <c r="C452" i="21"/>
  <c r="D452" i="21" s="1"/>
  <c r="B454" i="21" l="1"/>
  <c r="C453" i="21"/>
  <c r="D453" i="21" s="1"/>
  <c r="C454" i="21" l="1"/>
  <c r="D454" i="21" s="1"/>
  <c r="B455" i="21"/>
  <c r="B456" i="21" l="1"/>
  <c r="C455" i="21"/>
  <c r="D455" i="21" s="1"/>
  <c r="B457" i="21" l="1"/>
  <c r="C456" i="21"/>
  <c r="D456" i="21" s="1"/>
  <c r="C457" i="21" l="1"/>
  <c r="D457" i="21" s="1"/>
  <c r="B458" i="21"/>
  <c r="C458" i="21" l="1"/>
  <c r="D458" i="21" s="1"/>
  <c r="B459" i="21"/>
  <c r="C459" i="21" l="1"/>
  <c r="D459" i="21" s="1"/>
  <c r="B460" i="21"/>
  <c r="B461" i="21" l="1"/>
  <c r="C460" i="21"/>
  <c r="D460" i="21" s="1"/>
  <c r="C461" i="21" l="1"/>
  <c r="D461" i="21" s="1"/>
  <c r="B462" i="21"/>
  <c r="C462" i="21" l="1"/>
  <c r="D462" i="21" s="1"/>
  <c r="B463" i="21"/>
  <c r="B464" i="21" l="1"/>
  <c r="C463" i="21"/>
  <c r="D463" i="21" s="1"/>
  <c r="B465" i="21" l="1"/>
  <c r="C464" i="21"/>
  <c r="D464" i="21" s="1"/>
  <c r="C465" i="21" l="1"/>
  <c r="D465" i="21" s="1"/>
  <c r="B466" i="21"/>
  <c r="C466" i="21" l="1"/>
  <c r="D466" i="21" s="1"/>
  <c r="B467" i="21"/>
  <c r="B468" i="21" l="1"/>
  <c r="C467" i="21"/>
  <c r="D467" i="21" s="1"/>
  <c r="B469" i="21" l="1"/>
  <c r="C468" i="21"/>
  <c r="D468" i="21" s="1"/>
  <c r="C469" i="21" l="1"/>
  <c r="D469" i="21" s="1"/>
  <c r="B470" i="21"/>
  <c r="C470" i="21" l="1"/>
  <c r="D470" i="21" s="1"/>
  <c r="B471" i="21"/>
  <c r="B472" i="21" l="1"/>
  <c r="C471" i="21"/>
  <c r="D471" i="21" s="1"/>
  <c r="B473" i="21" l="1"/>
  <c r="C472" i="21"/>
  <c r="D472" i="21" s="1"/>
  <c r="C473" i="21" l="1"/>
  <c r="D473" i="21" s="1"/>
  <c r="B474" i="21"/>
  <c r="C474" i="21" l="1"/>
  <c r="D474" i="21" s="1"/>
  <c r="B475" i="21"/>
  <c r="B476" i="21" l="1"/>
  <c r="C475" i="21"/>
  <c r="D475" i="21" s="1"/>
  <c r="B477" i="21" l="1"/>
  <c r="C476" i="21"/>
  <c r="D476" i="21" s="1"/>
  <c r="C477" i="21" l="1"/>
  <c r="D477" i="21" s="1"/>
  <c r="B478" i="21"/>
  <c r="C478" i="21" l="1"/>
  <c r="D478" i="21" s="1"/>
  <c r="B479" i="21"/>
  <c r="B480" i="21" l="1"/>
  <c r="C479" i="21"/>
  <c r="D479" i="21" s="1"/>
  <c r="B481" i="21" l="1"/>
  <c r="C480" i="21"/>
  <c r="D480" i="21" s="1"/>
  <c r="C481" i="21" l="1"/>
  <c r="D481" i="21" s="1"/>
  <c r="B482" i="21"/>
  <c r="C482" i="21" l="1"/>
  <c r="D482" i="21" s="1"/>
  <c r="B483" i="21"/>
  <c r="B484" i="21" l="1"/>
  <c r="C483" i="21"/>
  <c r="D483" i="21" s="1"/>
  <c r="B485" i="21" l="1"/>
  <c r="C484" i="21"/>
  <c r="D484" i="21" s="1"/>
  <c r="C485" i="21" l="1"/>
  <c r="D485" i="21" s="1"/>
  <c r="B486" i="21"/>
  <c r="C486" i="21" l="1"/>
  <c r="D486" i="21" s="1"/>
  <c r="B487" i="21"/>
  <c r="B488" i="21" l="1"/>
  <c r="C487" i="21"/>
  <c r="D487" i="21" s="1"/>
  <c r="B489" i="21" l="1"/>
  <c r="C488" i="21"/>
  <c r="D488" i="21" s="1"/>
  <c r="C489" i="21" l="1"/>
  <c r="D489" i="21" s="1"/>
  <c r="B490" i="21"/>
  <c r="C490" i="21" l="1"/>
  <c r="D490" i="21" s="1"/>
  <c r="B491" i="21"/>
  <c r="B492" i="21" l="1"/>
  <c r="C491" i="21"/>
  <c r="D491" i="21" s="1"/>
  <c r="B493" i="21" l="1"/>
  <c r="C492" i="21"/>
  <c r="D492" i="21" s="1"/>
  <c r="C493" i="21" l="1"/>
  <c r="D493" i="21" s="1"/>
  <c r="B494" i="21"/>
  <c r="C494" i="21" l="1"/>
  <c r="D494" i="21" s="1"/>
  <c r="B495" i="21"/>
  <c r="B496" i="21" l="1"/>
  <c r="C495" i="21"/>
  <c r="D495" i="21" s="1"/>
  <c r="B497" i="21" l="1"/>
  <c r="C496" i="21"/>
  <c r="D496" i="21" s="1"/>
  <c r="C497" i="21" l="1"/>
  <c r="D497" i="21" s="1"/>
  <c r="B498" i="21"/>
  <c r="C498" i="21" l="1"/>
  <c r="D498" i="21" s="1"/>
  <c r="B499" i="21"/>
  <c r="B500" i="21" l="1"/>
  <c r="C499" i="21"/>
  <c r="D499" i="21" s="1"/>
  <c r="B501" i="21" l="1"/>
  <c r="C500" i="21"/>
  <c r="D500" i="21" s="1"/>
  <c r="C501" i="21" l="1"/>
  <c r="D501" i="21" s="1"/>
  <c r="B502" i="21"/>
  <c r="C502" i="21" l="1"/>
  <c r="D502" i="21" s="1"/>
  <c r="B503" i="21"/>
  <c r="B504" i="21" l="1"/>
  <c r="C503" i="21"/>
  <c r="D503" i="21" s="1"/>
  <c r="B505" i="21" l="1"/>
  <c r="C504" i="21"/>
  <c r="D504" i="21" s="1"/>
  <c r="C505" i="21" l="1"/>
  <c r="D505" i="21" s="1"/>
  <c r="B506" i="21"/>
  <c r="C506" i="21" l="1"/>
  <c r="D506" i="21" s="1"/>
  <c r="B507" i="21"/>
  <c r="B508" i="21" l="1"/>
  <c r="C507" i="21"/>
  <c r="D507" i="21" s="1"/>
  <c r="B509" i="21" l="1"/>
  <c r="C508" i="21"/>
  <c r="D508" i="21" s="1"/>
  <c r="C509" i="21" l="1"/>
  <c r="D509" i="21" s="1"/>
  <c r="B510" i="21"/>
  <c r="C510" i="21" l="1"/>
  <c r="D510" i="21" s="1"/>
  <c r="B511" i="21"/>
  <c r="B512" i="21" l="1"/>
  <c r="C511" i="21"/>
  <c r="D511" i="21" s="1"/>
  <c r="B513" i="21" l="1"/>
  <c r="C512" i="21"/>
  <c r="D512" i="21" s="1"/>
  <c r="C513" i="21" l="1"/>
  <c r="D513" i="21" s="1"/>
  <c r="B514" i="21"/>
  <c r="C514" i="21" l="1"/>
  <c r="D514" i="21" s="1"/>
  <c r="B515" i="21"/>
  <c r="B516" i="21" l="1"/>
  <c r="C515" i="21"/>
  <c r="D515" i="21" s="1"/>
  <c r="B517" i="21" l="1"/>
  <c r="C516" i="21"/>
  <c r="D516" i="21" s="1"/>
  <c r="C517" i="21" l="1"/>
  <c r="D517" i="21" s="1"/>
  <c r="B518" i="21"/>
  <c r="C518" i="21" l="1"/>
  <c r="D518" i="21" s="1"/>
  <c r="B519" i="21"/>
  <c r="B520" i="21" l="1"/>
  <c r="C519" i="21"/>
  <c r="D519" i="21" s="1"/>
  <c r="B521" i="21" l="1"/>
  <c r="C520" i="21"/>
  <c r="D520" i="21" s="1"/>
  <c r="C521" i="21" l="1"/>
  <c r="D521" i="21" s="1"/>
  <c r="B522" i="21"/>
  <c r="C522" i="21" l="1"/>
  <c r="D522" i="21" s="1"/>
  <c r="B523" i="21"/>
  <c r="B524" i="21" l="1"/>
  <c r="C523" i="21"/>
  <c r="D523" i="21" s="1"/>
  <c r="B525" i="21" l="1"/>
  <c r="C524" i="21"/>
  <c r="D524" i="21" s="1"/>
  <c r="C525" i="21" l="1"/>
  <c r="D525" i="21" s="1"/>
  <c r="B526" i="21"/>
  <c r="C526" i="21" l="1"/>
  <c r="D526" i="21" s="1"/>
  <c r="B527" i="21"/>
  <c r="B528" i="21" l="1"/>
  <c r="C527" i="21"/>
  <c r="D527" i="21" s="1"/>
  <c r="B529" i="21" l="1"/>
  <c r="C528" i="21"/>
  <c r="D528" i="21" s="1"/>
  <c r="C529" i="21" l="1"/>
  <c r="D529" i="21" s="1"/>
  <c r="B530" i="21"/>
  <c r="C530" i="21" l="1"/>
  <c r="D530" i="21" s="1"/>
  <c r="B531" i="21"/>
  <c r="B532" i="21" l="1"/>
  <c r="C531" i="21"/>
  <c r="D531" i="21" s="1"/>
  <c r="B533" i="21" l="1"/>
  <c r="C532" i="21"/>
  <c r="D532" i="21" s="1"/>
  <c r="C533" i="21" l="1"/>
  <c r="D533" i="21" s="1"/>
  <c r="B534" i="21"/>
  <c r="C534" i="21" l="1"/>
  <c r="D534" i="21" s="1"/>
  <c r="B535" i="21"/>
  <c r="B536" i="21" l="1"/>
  <c r="C535" i="21"/>
  <c r="D535" i="21" s="1"/>
  <c r="B537" i="21" l="1"/>
  <c r="C536" i="21"/>
  <c r="D536" i="21" s="1"/>
  <c r="C537" i="21" l="1"/>
  <c r="D537" i="21" s="1"/>
  <c r="B538" i="21"/>
  <c r="C538" i="21" l="1"/>
  <c r="D538" i="21" s="1"/>
  <c r="B539" i="21"/>
  <c r="B540" i="21" l="1"/>
  <c r="C539" i="21"/>
  <c r="D539" i="21" s="1"/>
  <c r="B541" i="21" l="1"/>
  <c r="C540" i="21"/>
  <c r="D540" i="21" s="1"/>
  <c r="C541" i="21" l="1"/>
  <c r="D541" i="21" s="1"/>
  <c r="B542" i="21"/>
  <c r="C542" i="21" l="1"/>
  <c r="D542" i="21" s="1"/>
  <c r="B543" i="21"/>
  <c r="B544" i="21" l="1"/>
  <c r="C543" i="21"/>
  <c r="D543" i="21" s="1"/>
  <c r="B545" i="21" l="1"/>
  <c r="C544" i="21"/>
  <c r="D544" i="21" s="1"/>
  <c r="C545" i="21" l="1"/>
  <c r="D545" i="21" s="1"/>
  <c r="B546" i="21"/>
  <c r="C546" i="21" l="1"/>
  <c r="D546" i="21" s="1"/>
  <c r="B547" i="21"/>
  <c r="B548" i="21" l="1"/>
  <c r="C547" i="21"/>
  <c r="D547" i="21" s="1"/>
  <c r="B549" i="21" l="1"/>
  <c r="C548" i="21"/>
  <c r="D548" i="21" s="1"/>
  <c r="C549" i="21" l="1"/>
  <c r="D549" i="21" s="1"/>
  <c r="B550" i="21"/>
  <c r="C550" i="21" l="1"/>
  <c r="D550" i="21" s="1"/>
  <c r="B551" i="21"/>
  <c r="B552" i="21" l="1"/>
  <c r="C552" i="21" s="1"/>
  <c r="D552" i="21" s="1"/>
  <c r="C551" i="21"/>
  <c r="D551" i="21" s="1"/>
  <c r="F15" i="20" l="1"/>
  <c r="Z39" i="20" l="1"/>
  <c r="Y39" i="20"/>
  <c r="X39" i="20"/>
  <c r="J26" i="20"/>
  <c r="J18" i="20"/>
  <c r="J16" i="20"/>
  <c r="J10" i="20"/>
  <c r="H9" i="20"/>
  <c r="P9" i="20" s="1"/>
  <c r="J8" i="20"/>
  <c r="I8" i="20"/>
  <c r="M8" i="20" s="1"/>
  <c r="N8" i="20" s="1"/>
  <c r="H8" i="20"/>
  <c r="P8" i="20" s="1"/>
  <c r="O8" i="20" s="1"/>
  <c r="P7" i="20"/>
  <c r="S5" i="20"/>
  <c r="R5" i="20"/>
  <c r="Q5" i="20"/>
  <c r="S8" i="20" l="1"/>
  <c r="K8" i="20"/>
  <c r="O9" i="20"/>
  <c r="Q8" i="20"/>
  <c r="O7" i="20"/>
  <c r="I9" i="20"/>
  <c r="M9" i="20" s="1"/>
  <c r="N9" i="20" s="1"/>
  <c r="I10" i="20"/>
  <c r="M10" i="20" s="1"/>
  <c r="N10" i="20" s="1"/>
  <c r="I7" i="20"/>
  <c r="M7" i="20" s="1"/>
  <c r="N7" i="20" s="1"/>
  <c r="Q7" i="20" s="1"/>
  <c r="R8" i="20"/>
  <c r="H10" i="20"/>
  <c r="R7" i="20" l="1"/>
  <c r="H11" i="20"/>
  <c r="P10" i="20"/>
  <c r="K10" i="20"/>
  <c r="S9" i="20"/>
  <c r="R9" i="20"/>
  <c r="Q9" i="20"/>
  <c r="S7" i="20"/>
  <c r="O10" i="20" l="1"/>
  <c r="P11" i="20"/>
  <c r="H12" i="20"/>
  <c r="I11" i="20"/>
  <c r="M11" i="20" s="1"/>
  <c r="N11" i="20" s="1"/>
  <c r="O11" i="20" l="1"/>
  <c r="S11" i="20"/>
  <c r="R11" i="20"/>
  <c r="Q11" i="20"/>
  <c r="R10" i="20"/>
  <c r="S10" i="20"/>
  <c r="Q10" i="20"/>
  <c r="P12" i="20"/>
  <c r="H13" i="20"/>
  <c r="I12" i="20"/>
  <c r="M12" i="20" s="1"/>
  <c r="N12" i="20" s="1"/>
  <c r="H14" i="20" l="1"/>
  <c r="P13" i="20"/>
  <c r="I13" i="20"/>
  <c r="M13" i="20" s="1"/>
  <c r="N13" i="20" s="1"/>
  <c r="O12" i="20"/>
  <c r="S12" i="20" s="1"/>
  <c r="P14" i="20" l="1"/>
  <c r="H15" i="20"/>
  <c r="I14" i="20"/>
  <c r="M14" i="20" s="1"/>
  <c r="N14" i="20" s="1"/>
  <c r="Q12" i="20"/>
  <c r="R12" i="20"/>
  <c r="O13" i="20"/>
  <c r="S13" i="20" s="1"/>
  <c r="R13" i="20" l="1"/>
  <c r="Q13" i="20"/>
  <c r="P15" i="20"/>
  <c r="H16" i="20"/>
  <c r="I15" i="20"/>
  <c r="M15" i="20" s="1"/>
  <c r="N15" i="20" s="1"/>
  <c r="O14" i="20"/>
  <c r="Q14" i="20" s="1"/>
  <c r="S14" i="20"/>
  <c r="R14" i="20"/>
  <c r="O15" i="20" l="1"/>
  <c r="S15" i="20" s="1"/>
  <c r="Q15" i="20"/>
  <c r="R15" i="20"/>
  <c r="H17" i="20"/>
  <c r="P16" i="20"/>
  <c r="I16" i="20"/>
  <c r="P17" i="20" l="1"/>
  <c r="H18" i="20"/>
  <c r="I17" i="20"/>
  <c r="M17" i="20" s="1"/>
  <c r="N17" i="20" s="1"/>
  <c r="M16" i="20"/>
  <c r="N16" i="20" s="1"/>
  <c r="K16" i="20"/>
  <c r="O16" i="20"/>
  <c r="P18" i="20" l="1"/>
  <c r="H19" i="20"/>
  <c r="I18" i="20"/>
  <c r="F6" i="20"/>
  <c r="S16" i="20"/>
  <c r="R16" i="20"/>
  <c r="Q16" i="20"/>
  <c r="O17" i="20"/>
  <c r="R17" i="20" s="1"/>
  <c r="Q17" i="20" l="1"/>
  <c r="S17" i="20"/>
  <c r="O18" i="20"/>
  <c r="F7" i="20"/>
  <c r="F10" i="20"/>
  <c r="F11" i="20" s="1"/>
  <c r="M18" i="20"/>
  <c r="N18" i="20" s="1"/>
  <c r="K18" i="20"/>
  <c r="P19" i="20"/>
  <c r="H20" i="20"/>
  <c r="I19" i="20"/>
  <c r="M19" i="20" s="1"/>
  <c r="N19" i="20" s="1"/>
  <c r="P20" i="20" l="1"/>
  <c r="H21" i="20"/>
  <c r="I20" i="20"/>
  <c r="M20" i="20" s="1"/>
  <c r="N20" i="20" s="1"/>
  <c r="O19" i="20"/>
  <c r="Q19" i="20" s="1"/>
  <c r="S18" i="20"/>
  <c r="Q18" i="20"/>
  <c r="R18" i="20"/>
  <c r="F13" i="20"/>
  <c r="H22" i="20" l="1"/>
  <c r="P21" i="20"/>
  <c r="I21" i="20"/>
  <c r="M21" i="20" s="1"/>
  <c r="N21" i="20" s="1"/>
  <c r="S19" i="20"/>
  <c r="O20" i="20"/>
  <c r="R20" i="20" s="1"/>
  <c r="R19" i="20"/>
  <c r="S20" i="20"/>
  <c r="Q20" i="20"/>
  <c r="O21" i="20" l="1"/>
  <c r="R21" i="20" s="1"/>
  <c r="H23" i="20"/>
  <c r="P22" i="20"/>
  <c r="I22" i="20"/>
  <c r="M22" i="20" s="1"/>
  <c r="N22" i="20" s="1"/>
  <c r="Q21" i="20" l="1"/>
  <c r="S21" i="20"/>
  <c r="O22" i="20"/>
  <c r="R22" i="20" s="1"/>
  <c r="H24" i="20"/>
  <c r="P23" i="20"/>
  <c r="I23" i="20"/>
  <c r="M23" i="20" s="1"/>
  <c r="N23" i="20" s="1"/>
  <c r="S22" i="20" l="1"/>
  <c r="Q22" i="20"/>
  <c r="O23" i="20"/>
  <c r="S23" i="20" s="1"/>
  <c r="R23" i="20"/>
  <c r="H25" i="20"/>
  <c r="P24" i="20"/>
  <c r="I24" i="20"/>
  <c r="M24" i="20" s="1"/>
  <c r="N24" i="20" s="1"/>
  <c r="Q23" i="20" l="1"/>
  <c r="H26" i="20"/>
  <c r="P25" i="20"/>
  <c r="I25" i="20"/>
  <c r="M25" i="20" s="1"/>
  <c r="N25" i="20" s="1"/>
  <c r="O24" i="20"/>
  <c r="Q24" i="20" s="1"/>
  <c r="O25" i="20" l="1"/>
  <c r="H27" i="20"/>
  <c r="P26" i="20"/>
  <c r="I26" i="20"/>
  <c r="R24" i="20"/>
  <c r="S24" i="20"/>
  <c r="R25" i="20"/>
  <c r="Q25" i="20"/>
  <c r="S25" i="20"/>
  <c r="O26" i="20" l="1"/>
  <c r="M26" i="20"/>
  <c r="N26" i="20" s="1"/>
  <c r="K26" i="20"/>
  <c r="K5" i="20" s="1"/>
  <c r="H28" i="20"/>
  <c r="P27" i="20"/>
  <c r="I27" i="20"/>
  <c r="M27" i="20" s="1"/>
  <c r="N27" i="20" s="1"/>
  <c r="O27" i="20" l="1"/>
  <c r="R26" i="20"/>
  <c r="Q26" i="20"/>
  <c r="S26" i="20"/>
  <c r="H29" i="20"/>
  <c r="P28" i="20"/>
  <c r="I28" i="20"/>
  <c r="M28" i="20" s="1"/>
  <c r="N28" i="20" s="1"/>
  <c r="Q27" i="20"/>
  <c r="S27" i="20"/>
  <c r="R27" i="20"/>
  <c r="O28" i="20" l="1"/>
  <c r="Y43" i="20"/>
  <c r="P29" i="20"/>
  <c r="H30" i="20"/>
  <c r="I29" i="20"/>
  <c r="M29" i="20" s="1"/>
  <c r="N29" i="20" s="1"/>
  <c r="Z43" i="20"/>
  <c r="Q28" i="20"/>
  <c r="S28" i="20"/>
  <c r="R28" i="20"/>
  <c r="X43" i="20"/>
  <c r="O29" i="20" l="1"/>
  <c r="Q29" i="20" s="1"/>
  <c r="S29" i="20"/>
  <c r="R29" i="20"/>
  <c r="P30" i="20"/>
  <c r="H31" i="20"/>
  <c r="I30" i="20"/>
  <c r="M30" i="20" s="1"/>
  <c r="N30" i="20" s="1"/>
  <c r="P31" i="20" l="1"/>
  <c r="H32" i="20"/>
  <c r="I31" i="20"/>
  <c r="M31" i="20" s="1"/>
  <c r="N31" i="20" s="1"/>
  <c r="O30" i="20"/>
  <c r="S30" i="20" s="1"/>
  <c r="P32" i="20" l="1"/>
  <c r="H33" i="20"/>
  <c r="I32" i="20"/>
  <c r="M32" i="20" s="1"/>
  <c r="N32" i="20" s="1"/>
  <c r="Q30" i="20"/>
  <c r="O31" i="20"/>
  <c r="R30" i="20"/>
  <c r="R31" i="20"/>
  <c r="Q31" i="20"/>
  <c r="S31" i="20"/>
  <c r="P33" i="20" l="1"/>
  <c r="H34" i="20"/>
  <c r="I33" i="20"/>
  <c r="M33" i="20" s="1"/>
  <c r="N33" i="20" s="1"/>
  <c r="O32" i="20"/>
  <c r="Q32" i="20" s="1"/>
  <c r="S32" i="20" l="1"/>
  <c r="P34" i="20"/>
  <c r="I34" i="20"/>
  <c r="M34" i="20" s="1"/>
  <c r="N34" i="20" s="1"/>
  <c r="R32" i="20"/>
  <c r="O33" i="20"/>
  <c r="R33" i="20" s="1"/>
  <c r="Q33" i="20" l="1"/>
  <c r="S33" i="20"/>
  <c r="O34" i="20"/>
  <c r="S34" i="20" s="1"/>
  <c r="S3" i="20" l="1"/>
  <c r="AB33" i="20" s="1"/>
  <c r="R34" i="20"/>
  <c r="Q34" i="20"/>
  <c r="R3" i="20" l="1"/>
  <c r="AH33" i="20"/>
  <c r="AE33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14" i="20"/>
  <c r="Y13" i="20"/>
  <c r="Y16" i="20"/>
  <c r="Y15" i="20"/>
  <c r="Y12" i="20"/>
  <c r="Y11" i="20"/>
  <c r="Y9" i="20"/>
  <c r="Y8" i="20"/>
  <c r="Y19" i="20"/>
  <c r="Y7" i="20"/>
  <c r="Y10" i="20"/>
  <c r="Y20" i="20"/>
  <c r="Y17" i="20"/>
  <c r="Z42" i="20"/>
  <c r="Y18" i="20"/>
  <c r="AB8" i="20"/>
  <c r="AB9" i="20"/>
  <c r="AB7" i="20"/>
  <c r="AB11" i="20"/>
  <c r="AB10" i="20"/>
  <c r="AB12" i="20"/>
  <c r="AB13" i="20"/>
  <c r="AB14" i="20"/>
  <c r="AB15" i="20"/>
  <c r="AB16" i="20"/>
  <c r="AB17" i="20"/>
  <c r="AB18" i="20"/>
  <c r="AB20" i="20"/>
  <c r="AB19" i="20"/>
  <c r="AB21" i="20"/>
  <c r="AB22" i="20"/>
  <c r="AB23" i="20"/>
  <c r="AB25" i="20"/>
  <c r="AB24" i="20"/>
  <c r="AB27" i="20"/>
  <c r="AB26" i="20"/>
  <c r="AB28" i="20"/>
  <c r="AB29" i="20"/>
  <c r="AB30" i="20"/>
  <c r="AB31" i="20"/>
  <c r="AB32" i="20"/>
  <c r="Q3" i="20"/>
  <c r="Z34" i="20" s="1"/>
  <c r="AB34" i="20"/>
  <c r="AF34" i="20" l="1"/>
  <c r="AC34" i="20"/>
  <c r="AH29" i="20"/>
  <c r="AE29" i="20"/>
  <c r="AH24" i="20"/>
  <c r="AE24" i="20"/>
  <c r="AH21" i="20"/>
  <c r="AE21" i="20"/>
  <c r="AH17" i="20"/>
  <c r="AE17" i="20"/>
  <c r="AH13" i="20"/>
  <c r="AE13" i="20"/>
  <c r="AH7" i="20"/>
  <c r="AE7" i="20"/>
  <c r="AH32" i="20"/>
  <c r="AE32" i="20"/>
  <c r="AH28" i="20"/>
  <c r="AE28" i="20"/>
  <c r="AH25" i="20"/>
  <c r="AE25" i="20"/>
  <c r="AH19" i="20"/>
  <c r="AE19" i="20"/>
  <c r="AH16" i="20"/>
  <c r="AE16" i="20"/>
  <c r="AH12" i="20"/>
  <c r="AE12" i="20"/>
  <c r="AH9" i="20"/>
  <c r="AE9" i="20"/>
  <c r="AH34" i="20"/>
  <c r="AE34" i="20"/>
  <c r="AH31" i="20"/>
  <c r="AE31" i="20"/>
  <c r="AH26" i="20"/>
  <c r="AE26" i="20"/>
  <c r="AH23" i="20"/>
  <c r="AE23" i="20"/>
  <c r="AH20" i="20"/>
  <c r="AE20" i="20"/>
  <c r="AH15" i="20"/>
  <c r="AE15" i="20"/>
  <c r="AH10" i="20"/>
  <c r="AE10" i="20"/>
  <c r="AH8" i="20"/>
  <c r="AE8" i="20"/>
  <c r="Y42" i="20"/>
  <c r="X34" i="20"/>
  <c r="X33" i="20"/>
  <c r="X32" i="20"/>
  <c r="X31" i="20"/>
  <c r="X30" i="20"/>
  <c r="X29" i="20"/>
  <c r="X28" i="20"/>
  <c r="X20" i="20"/>
  <c r="X19" i="20"/>
  <c r="X18" i="20"/>
  <c r="X15" i="20"/>
  <c r="X26" i="20"/>
  <c r="X25" i="20"/>
  <c r="X21" i="20"/>
  <c r="X24" i="20"/>
  <c r="X16" i="20"/>
  <c r="X13" i="20"/>
  <c r="X12" i="20"/>
  <c r="X23" i="20"/>
  <c r="X7" i="20"/>
  <c r="X27" i="20"/>
  <c r="X22" i="20"/>
  <c r="X10" i="20"/>
  <c r="X9" i="20"/>
  <c r="X17" i="20"/>
  <c r="X14" i="20"/>
  <c r="X11" i="20"/>
  <c r="X8" i="20"/>
  <c r="AA8" i="20"/>
  <c r="AA9" i="20"/>
  <c r="AA7" i="20"/>
  <c r="AA11" i="20"/>
  <c r="AA10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7" i="20"/>
  <c r="AA26" i="20"/>
  <c r="AA28" i="20"/>
  <c r="AA29" i="20"/>
  <c r="AA31" i="20"/>
  <c r="AA30" i="20"/>
  <c r="AA33" i="20"/>
  <c r="AA32" i="20"/>
  <c r="W25" i="20"/>
  <c r="W24" i="20"/>
  <c r="W23" i="20"/>
  <c r="W22" i="20"/>
  <c r="W21" i="20"/>
  <c r="X42" i="20"/>
  <c r="W34" i="20"/>
  <c r="W33" i="20"/>
  <c r="W32" i="20"/>
  <c r="W31" i="20"/>
  <c r="W30" i="20"/>
  <c r="W29" i="20"/>
  <c r="W28" i="20"/>
  <c r="W27" i="20"/>
  <c r="W26" i="20"/>
  <c r="W20" i="20"/>
  <c r="W18" i="20"/>
  <c r="W17" i="20"/>
  <c r="W14" i="20"/>
  <c r="W7" i="20"/>
  <c r="W15" i="20"/>
  <c r="W8" i="20"/>
  <c r="W12" i="20"/>
  <c r="W19" i="20"/>
  <c r="W10" i="20"/>
  <c r="W9" i="20"/>
  <c r="W16" i="20"/>
  <c r="W13" i="20"/>
  <c r="W11" i="20"/>
  <c r="Z7" i="20"/>
  <c r="Z8" i="20"/>
  <c r="Z9" i="20"/>
  <c r="Z11" i="20"/>
  <c r="Z10" i="20"/>
  <c r="Z12" i="20"/>
  <c r="Z14" i="20"/>
  <c r="Z13" i="20"/>
  <c r="Z15" i="20"/>
  <c r="Z16" i="20"/>
  <c r="Z17" i="20"/>
  <c r="Z18" i="20"/>
  <c r="Z19" i="20"/>
  <c r="Z20" i="20"/>
  <c r="Z21" i="20"/>
  <c r="Z22" i="20"/>
  <c r="Z23" i="20"/>
  <c r="Z24" i="20"/>
  <c r="Z25" i="20"/>
  <c r="Z27" i="20"/>
  <c r="Z26" i="20"/>
  <c r="Z28" i="20"/>
  <c r="Z29" i="20"/>
  <c r="Z31" i="20"/>
  <c r="Z30" i="20"/>
  <c r="Z32" i="20"/>
  <c r="Z33" i="20"/>
  <c r="AH30" i="20"/>
  <c r="AE30" i="20"/>
  <c r="AH27" i="20"/>
  <c r="AE27" i="20"/>
  <c r="AH22" i="20"/>
  <c r="AE22" i="20"/>
  <c r="AH18" i="20"/>
  <c r="AE18" i="20"/>
  <c r="AH14" i="20"/>
  <c r="AE14" i="20"/>
  <c r="AH11" i="20"/>
  <c r="AE11" i="20"/>
  <c r="AA34" i="20"/>
  <c r="AF33" i="20" l="1"/>
  <c r="AC33" i="20"/>
  <c r="AF29" i="20"/>
  <c r="AC29" i="20"/>
  <c r="AF25" i="20"/>
  <c r="AC25" i="20"/>
  <c r="AF21" i="20"/>
  <c r="AC21" i="20"/>
  <c r="AF17" i="20"/>
  <c r="AC17" i="20"/>
  <c r="AF14" i="20"/>
  <c r="AC14" i="20"/>
  <c r="AF9" i="20"/>
  <c r="AC9" i="20"/>
  <c r="AG32" i="20"/>
  <c r="AD32" i="20"/>
  <c r="AG29" i="20"/>
  <c r="AD29" i="20"/>
  <c r="AG25" i="20"/>
  <c r="AD25" i="20"/>
  <c r="AG21" i="20"/>
  <c r="AD21" i="20"/>
  <c r="AG17" i="20"/>
  <c r="AD17" i="20"/>
  <c r="AG13" i="20"/>
  <c r="AD13" i="20"/>
  <c r="AG7" i="20"/>
  <c r="AD7" i="20"/>
  <c r="AF32" i="20"/>
  <c r="AC32" i="20"/>
  <c r="AF28" i="20"/>
  <c r="AC28" i="20"/>
  <c r="AF24" i="20"/>
  <c r="AC24" i="20"/>
  <c r="AF20" i="20"/>
  <c r="AC20" i="20"/>
  <c r="AF16" i="20"/>
  <c r="AC16" i="20"/>
  <c r="AF12" i="20"/>
  <c r="AC12" i="20"/>
  <c r="AF8" i="20"/>
  <c r="AC8" i="20"/>
  <c r="AG33" i="20"/>
  <c r="AD33" i="20"/>
  <c r="AG28" i="20"/>
  <c r="AD28" i="20"/>
  <c r="AG24" i="20"/>
  <c r="AD24" i="20"/>
  <c r="AG20" i="20"/>
  <c r="AD20" i="20"/>
  <c r="AG16" i="20"/>
  <c r="AD16" i="20"/>
  <c r="AG12" i="20"/>
  <c r="AD12" i="20"/>
  <c r="AG9" i="20"/>
  <c r="AD9" i="20"/>
  <c r="AF30" i="20"/>
  <c r="AC30" i="20"/>
  <c r="AF26" i="20"/>
  <c r="AC26" i="20"/>
  <c r="AF23" i="20"/>
  <c r="AC23" i="20"/>
  <c r="AF19" i="20"/>
  <c r="AC19" i="20"/>
  <c r="AF15" i="20"/>
  <c r="AC15" i="20"/>
  <c r="AF10" i="20"/>
  <c r="AC10" i="20"/>
  <c r="AF7" i="20"/>
  <c r="AC7" i="20"/>
  <c r="AG30" i="20"/>
  <c r="AD30" i="20"/>
  <c r="AG26" i="20"/>
  <c r="AD26" i="20"/>
  <c r="AG23" i="20"/>
  <c r="AD23" i="20"/>
  <c r="AG19" i="20"/>
  <c r="AD19" i="20"/>
  <c r="AG15" i="20"/>
  <c r="AD15" i="20"/>
  <c r="AG10" i="20"/>
  <c r="AD10" i="20"/>
  <c r="AG8" i="20"/>
  <c r="AD8" i="20"/>
  <c r="V5" i="20"/>
  <c r="AG34" i="20"/>
  <c r="AD34" i="20"/>
  <c r="AF31" i="20"/>
  <c r="AC31" i="20"/>
  <c r="AF27" i="20"/>
  <c r="AC27" i="20"/>
  <c r="AF22" i="20"/>
  <c r="AC22" i="20"/>
  <c r="AF18" i="20"/>
  <c r="AC18" i="20"/>
  <c r="AF13" i="20"/>
  <c r="AC13" i="20"/>
  <c r="AF11" i="20"/>
  <c r="AC11" i="20"/>
  <c r="AG31" i="20"/>
  <c r="AD31" i="20"/>
  <c r="AG27" i="20"/>
  <c r="AD27" i="20"/>
  <c r="AG22" i="20"/>
  <c r="AD22" i="20"/>
  <c r="AG18" i="20"/>
  <c r="AD18" i="20"/>
  <c r="AG14" i="20"/>
  <c r="AD14" i="20"/>
  <c r="AG11" i="20"/>
  <c r="AD11" i="20"/>
  <c r="AH5" i="20"/>
  <c r="Z41" i="20" s="1"/>
  <c r="U5" i="20" l="1"/>
  <c r="AG5" i="20"/>
  <c r="Y41" i="20" s="1"/>
  <c r="T5" i="20"/>
  <c r="Z40" i="20"/>
  <c r="V8" i="20"/>
  <c r="V9" i="20"/>
  <c r="V7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AF5" i="20"/>
  <c r="X41" i="20" s="1"/>
  <c r="X40" i="20" l="1"/>
  <c r="T8" i="20"/>
  <c r="T7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Y40" i="20"/>
  <c r="U9" i="20"/>
  <c r="U7" i="20"/>
  <c r="U8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R17" i="19" l="1"/>
  <c r="O17" i="19"/>
  <c r="O18" i="19" s="1"/>
  <c r="Q15" i="19"/>
  <c r="Q14" i="19"/>
  <c r="P11" i="19"/>
  <c r="Q11" i="19" s="1"/>
  <c r="P10" i="19"/>
  <c r="Q10" i="19" s="1"/>
  <c r="O9" i="19"/>
  <c r="P9" i="19" s="1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B34" i="18"/>
  <c r="B35" i="18" s="1"/>
  <c r="I33" i="18"/>
  <c r="I36" i="18" s="1"/>
  <c r="H33" i="18"/>
  <c r="H39" i="18" s="1"/>
  <c r="E33" i="18"/>
  <c r="I32" i="18"/>
  <c r="I35" i="18" s="1"/>
  <c r="H32" i="18"/>
  <c r="E32" i="18"/>
  <c r="D32" i="18"/>
  <c r="C32" i="18"/>
  <c r="D31" i="18"/>
  <c r="C31" i="18"/>
  <c r="I27" i="18"/>
  <c r="J33" i="18" s="1"/>
  <c r="I26" i="18"/>
  <c r="J32" i="18" s="1"/>
  <c r="C25" i="18"/>
  <c r="C27" i="18" s="1"/>
  <c r="C23" i="18"/>
  <c r="C26" i="18" s="1"/>
  <c r="C17" i="18"/>
  <c r="C15" i="18"/>
  <c r="F12" i="18"/>
  <c r="C10" i="18"/>
  <c r="K22" i="18" s="1"/>
  <c r="AU155" i="17"/>
  <c r="AT155" i="17"/>
  <c r="AC155" i="17"/>
  <c r="AU154" i="17"/>
  <c r="AT154" i="17"/>
  <c r="AS154" i="17"/>
  <c r="AN154" i="17"/>
  <c r="AE154" i="17"/>
  <c r="AJ154" i="17" s="1"/>
  <c r="AC154" i="17"/>
  <c r="AB154" i="17"/>
  <c r="AS153" i="17"/>
  <c r="AN152" i="17"/>
  <c r="AS152" i="17" s="1"/>
  <c r="AS151" i="17"/>
  <c r="AX150" i="17"/>
  <c r="AW150" i="17"/>
  <c r="AV150" i="17"/>
  <c r="AU150" i="17"/>
  <c r="AT150" i="17"/>
  <c r="AC150" i="17"/>
  <c r="W150" i="17"/>
  <c r="AE150" i="17" s="1"/>
  <c r="AJ150" i="17" s="1"/>
  <c r="AX149" i="17"/>
  <c r="AW149" i="17"/>
  <c r="AV149" i="17"/>
  <c r="AU149" i="17"/>
  <c r="AT149" i="17"/>
  <c r="AC149" i="17"/>
  <c r="W149" i="17"/>
  <c r="AE149" i="17" s="1"/>
  <c r="AJ149" i="17" s="1"/>
  <c r="AY148" i="17"/>
  <c r="AX148" i="17"/>
  <c r="AW148" i="17"/>
  <c r="AV148" i="17"/>
  <c r="AU148" i="17"/>
  <c r="AT148" i="17"/>
  <c r="AC148" i="17"/>
  <c r="W148" i="17"/>
  <c r="AE148" i="17" s="1"/>
  <c r="AJ148" i="17" s="1"/>
  <c r="AY147" i="17"/>
  <c r="AX147" i="17"/>
  <c r="AW147" i="17"/>
  <c r="AV147" i="17"/>
  <c r="AU147" i="17"/>
  <c r="AT147" i="17"/>
  <c r="AS147" i="17"/>
  <c r="AC147" i="17"/>
  <c r="AB147" i="17"/>
  <c r="W147" i="17"/>
  <c r="AN147" i="17" s="1"/>
  <c r="AY146" i="17"/>
  <c r="AX146" i="17"/>
  <c r="AW146" i="17"/>
  <c r="AV146" i="17"/>
  <c r="AU146" i="17"/>
  <c r="AT146" i="17"/>
  <c r="AC146" i="17"/>
  <c r="W146" i="17"/>
  <c r="AN146" i="17" s="1"/>
  <c r="AS146" i="17" s="1"/>
  <c r="AY145" i="17"/>
  <c r="AX145" i="17"/>
  <c r="AW145" i="17"/>
  <c r="AV145" i="17"/>
  <c r="AU145" i="17"/>
  <c r="AT145" i="17"/>
  <c r="AC145" i="17"/>
  <c r="AB145" i="17"/>
  <c r="W145" i="17"/>
  <c r="AY144" i="17"/>
  <c r="AX144" i="17"/>
  <c r="AW144" i="17"/>
  <c r="AV144" i="17"/>
  <c r="AU144" i="17"/>
  <c r="AT144" i="17"/>
  <c r="AC144" i="17"/>
  <c r="W144" i="17"/>
  <c r="AE144" i="17" s="1"/>
  <c r="AJ144" i="17" s="1"/>
  <c r="AY143" i="17"/>
  <c r="AX143" i="17"/>
  <c r="AW143" i="17"/>
  <c r="AV143" i="17"/>
  <c r="AU143" i="17"/>
  <c r="AT143" i="17"/>
  <c r="AC143" i="17"/>
  <c r="W143" i="17"/>
  <c r="AN143" i="17" s="1"/>
  <c r="AS143" i="17" s="1"/>
  <c r="AY142" i="17"/>
  <c r="AX142" i="17"/>
  <c r="AW142" i="17"/>
  <c r="AV142" i="17"/>
  <c r="AU142" i="17"/>
  <c r="AT142" i="17"/>
  <c r="AC142" i="17"/>
  <c r="W142" i="17"/>
  <c r="AY141" i="17"/>
  <c r="AX141" i="17"/>
  <c r="AW141" i="17"/>
  <c r="AV141" i="17"/>
  <c r="AU141" i="17"/>
  <c r="AT141" i="17"/>
  <c r="AC141" i="17"/>
  <c r="W141" i="17"/>
  <c r="AB141" i="17" s="1"/>
  <c r="AY140" i="17"/>
  <c r="AX140" i="17"/>
  <c r="AW140" i="17"/>
  <c r="AV140" i="17"/>
  <c r="AU140" i="17"/>
  <c r="AT140" i="17"/>
  <c r="AC140" i="17"/>
  <c r="W140" i="17"/>
  <c r="AY139" i="17"/>
  <c r="AX139" i="17"/>
  <c r="AW139" i="17"/>
  <c r="AV139" i="17"/>
  <c r="AU139" i="17"/>
  <c r="AT139" i="17"/>
  <c r="AC139" i="17"/>
  <c r="W139" i="17"/>
  <c r="AB139" i="17" s="1"/>
  <c r="AY138" i="17"/>
  <c r="AX138" i="17"/>
  <c r="AW138" i="17"/>
  <c r="AV138" i="17"/>
  <c r="AU138" i="17"/>
  <c r="AT138" i="17"/>
  <c r="AC138" i="17"/>
  <c r="W138" i="17"/>
  <c r="AN138" i="17" s="1"/>
  <c r="AS138" i="17" s="1"/>
  <c r="AY137" i="17"/>
  <c r="AX137" i="17"/>
  <c r="AW137" i="17"/>
  <c r="AV137" i="17"/>
  <c r="AU137" i="17"/>
  <c r="AT137" i="17"/>
  <c r="AC137" i="17"/>
  <c r="W137" i="17"/>
  <c r="AN137" i="17" s="1"/>
  <c r="AS137" i="17" s="1"/>
  <c r="AY136" i="17"/>
  <c r="AX136" i="17"/>
  <c r="AW136" i="17"/>
  <c r="AV136" i="17"/>
  <c r="AU136" i="17"/>
  <c r="AT136" i="17"/>
  <c r="AC136" i="17"/>
  <c r="W136" i="17"/>
  <c r="AN136" i="17" s="1"/>
  <c r="AS136" i="17" s="1"/>
  <c r="AY135" i="17"/>
  <c r="AX135" i="17"/>
  <c r="AW135" i="17"/>
  <c r="AV135" i="17"/>
  <c r="AU135" i="17"/>
  <c r="AT135" i="17"/>
  <c r="AC135" i="17"/>
  <c r="W135" i="17"/>
  <c r="AY134" i="17"/>
  <c r="AX134" i="17"/>
  <c r="AW134" i="17"/>
  <c r="AV134" i="17"/>
  <c r="AU134" i="17"/>
  <c r="AT134" i="17"/>
  <c r="AC134" i="17"/>
  <c r="W134" i="17"/>
  <c r="AU133" i="17"/>
  <c r="AT133" i="17"/>
  <c r="AN133" i="17"/>
  <c r="AS133" i="17" s="1"/>
  <c r="AJ133" i="17"/>
  <c r="AE133" i="17"/>
  <c r="AC133" i="17"/>
  <c r="AB133" i="17"/>
  <c r="AI132" i="17"/>
  <c r="AH132" i="17"/>
  <c r="AG132" i="17"/>
  <c r="AF132" i="17"/>
  <c r="AA132" i="17"/>
  <c r="Z132" i="17"/>
  <c r="Y132" i="17"/>
  <c r="X132" i="17"/>
  <c r="BE131" i="17"/>
  <c r="BD131" i="17"/>
  <c r="BC131" i="17"/>
  <c r="BB131" i="17"/>
  <c r="AY131" i="17"/>
  <c r="AX131" i="17"/>
  <c r="AW131" i="17"/>
  <c r="AV131" i="17"/>
  <c r="AZ128" i="17"/>
  <c r="AY128" i="17"/>
  <c r="AX128" i="17"/>
  <c r="AS128" i="17"/>
  <c r="AJ128" i="17"/>
  <c r="AP128" i="17" s="1"/>
  <c r="AH128" i="17"/>
  <c r="AC128" i="17"/>
  <c r="AB128" i="17"/>
  <c r="BO126" i="17"/>
  <c r="AZ126" i="17"/>
  <c r="AY126" i="17"/>
  <c r="AH126" i="17"/>
  <c r="AC126" i="17"/>
  <c r="BO125" i="17"/>
  <c r="AZ125" i="17"/>
  <c r="AY125" i="17"/>
  <c r="AH125" i="17"/>
  <c r="AC125" i="17"/>
  <c r="BO124" i="17"/>
  <c r="AZ124" i="17"/>
  <c r="AY124" i="17"/>
  <c r="AH124" i="17"/>
  <c r="AC124" i="17"/>
  <c r="BO123" i="17"/>
  <c r="AZ123" i="17"/>
  <c r="AY123" i="17"/>
  <c r="AH123" i="17"/>
  <c r="AC123" i="17"/>
  <c r="BO122" i="17"/>
  <c r="AZ122" i="17"/>
  <c r="AY122" i="17"/>
  <c r="AH122" i="17"/>
  <c r="AC122" i="17"/>
  <c r="BO121" i="17"/>
  <c r="AZ121" i="17"/>
  <c r="AY121" i="17"/>
  <c r="AH121" i="17"/>
  <c r="AC121" i="17"/>
  <c r="BO120" i="17"/>
  <c r="AZ120" i="17"/>
  <c r="AY120" i="17"/>
  <c r="AH120" i="17"/>
  <c r="AC120" i="17"/>
  <c r="BO119" i="17"/>
  <c r="AZ119" i="17"/>
  <c r="AY119" i="17"/>
  <c r="AH119" i="17"/>
  <c r="AC119" i="17"/>
  <c r="BO118" i="17"/>
  <c r="AZ118" i="17"/>
  <c r="AY118" i="17"/>
  <c r="AH118" i="17"/>
  <c r="AC118" i="17"/>
  <c r="BO117" i="17"/>
  <c r="AZ117" i="17"/>
  <c r="AY117" i="17"/>
  <c r="AH117" i="17"/>
  <c r="AC117" i="17"/>
  <c r="BO116" i="17"/>
  <c r="AZ116" i="17"/>
  <c r="AY116" i="17"/>
  <c r="AH116" i="17"/>
  <c r="AC116" i="17"/>
  <c r="BO115" i="17"/>
  <c r="AZ115" i="17"/>
  <c r="AY115" i="17"/>
  <c r="AH115" i="17"/>
  <c r="AC115" i="17"/>
  <c r="BO114" i="17"/>
  <c r="AZ114" i="17"/>
  <c r="AY114" i="17"/>
  <c r="AH114" i="17"/>
  <c r="AC114" i="17"/>
  <c r="BO113" i="17"/>
  <c r="AZ113" i="17"/>
  <c r="AY113" i="17"/>
  <c r="AH113" i="17"/>
  <c r="AC113" i="17"/>
  <c r="BO112" i="17"/>
  <c r="AZ112" i="17"/>
  <c r="AY112" i="17"/>
  <c r="AH112" i="17"/>
  <c r="AC112" i="17"/>
  <c r="BO111" i="17"/>
  <c r="AZ111" i="17"/>
  <c r="AY111" i="17"/>
  <c r="AH111" i="17"/>
  <c r="AC111" i="17"/>
  <c r="BO110" i="17"/>
  <c r="AZ110" i="17"/>
  <c r="AY110" i="17"/>
  <c r="AH110" i="17"/>
  <c r="AC110" i="17"/>
  <c r="BO109" i="17"/>
  <c r="AZ109" i="17"/>
  <c r="AY109" i="17"/>
  <c r="AH109" i="17"/>
  <c r="AC109" i="17"/>
  <c r="BO108" i="17"/>
  <c r="AZ108" i="17"/>
  <c r="AY108" i="17"/>
  <c r="AH108" i="17"/>
  <c r="AC108" i="17"/>
  <c r="BO107" i="17"/>
  <c r="AZ107" i="17"/>
  <c r="AY107" i="17"/>
  <c r="AH107" i="17"/>
  <c r="AC107" i="17"/>
  <c r="BO106" i="17"/>
  <c r="AZ106" i="17"/>
  <c r="AY106" i="17"/>
  <c r="AH106" i="17"/>
  <c r="AC106" i="17"/>
  <c r="BO105" i="17"/>
  <c r="AZ105" i="17"/>
  <c r="AY105" i="17"/>
  <c r="AH105" i="17"/>
  <c r="AC105" i="17"/>
  <c r="BO104" i="17"/>
  <c r="AZ104" i="17"/>
  <c r="AY104" i="17"/>
  <c r="AH104" i="17"/>
  <c r="AC104" i="17"/>
  <c r="BO103" i="17"/>
  <c r="AZ103" i="17"/>
  <c r="AY103" i="17"/>
  <c r="AH103" i="17"/>
  <c r="AC103" i="17"/>
  <c r="BO102" i="17"/>
  <c r="AZ102" i="17"/>
  <c r="AY102" i="17"/>
  <c r="AH102" i="17"/>
  <c r="AC102" i="17"/>
  <c r="BO101" i="17"/>
  <c r="AZ101" i="17"/>
  <c r="AY101" i="17"/>
  <c r="AH101" i="17"/>
  <c r="AC101" i="17"/>
  <c r="BO100" i="17"/>
  <c r="AZ100" i="17"/>
  <c r="AY100" i="17"/>
  <c r="AH100" i="17"/>
  <c r="AC100" i="17"/>
  <c r="BO99" i="17"/>
  <c r="AZ99" i="17"/>
  <c r="AY99" i="17"/>
  <c r="AH99" i="17"/>
  <c r="AC99" i="17"/>
  <c r="BO98" i="17"/>
  <c r="AZ98" i="17"/>
  <c r="AY98" i="17"/>
  <c r="AH98" i="17"/>
  <c r="AC98" i="17"/>
  <c r="BO97" i="17"/>
  <c r="AZ97" i="17"/>
  <c r="AY97" i="17"/>
  <c r="AH97" i="17"/>
  <c r="AC97" i="17"/>
  <c r="BO96" i="17"/>
  <c r="AZ96" i="17"/>
  <c r="AY96" i="17"/>
  <c r="AH96" i="17"/>
  <c r="AC96" i="17"/>
  <c r="BO95" i="17"/>
  <c r="AZ95" i="17"/>
  <c r="AY95" i="17"/>
  <c r="AH95" i="17"/>
  <c r="AC95" i="17"/>
  <c r="BO94" i="17"/>
  <c r="AZ94" i="17"/>
  <c r="AY94" i="17"/>
  <c r="AH94" i="17"/>
  <c r="AC94" i="17"/>
  <c r="BO93" i="17"/>
  <c r="AZ93" i="17"/>
  <c r="AY93" i="17"/>
  <c r="AH93" i="17"/>
  <c r="AC93" i="17"/>
  <c r="BO92" i="17"/>
  <c r="AZ92" i="17"/>
  <c r="AY92" i="17"/>
  <c r="AH92" i="17"/>
  <c r="AC92" i="17"/>
  <c r="BO91" i="17"/>
  <c r="AZ91" i="17"/>
  <c r="AY91" i="17"/>
  <c r="AH91" i="17"/>
  <c r="AC91" i="17"/>
  <c r="BO90" i="17"/>
  <c r="AZ90" i="17"/>
  <c r="AY90" i="17"/>
  <c r="AH90" i="17"/>
  <c r="AC90" i="17"/>
  <c r="BO89" i="17"/>
  <c r="AZ89" i="17"/>
  <c r="AY89" i="17"/>
  <c r="AH89" i="17"/>
  <c r="AC89" i="17"/>
  <c r="BO88" i="17"/>
  <c r="AZ88" i="17"/>
  <c r="AY88" i="17"/>
  <c r="AH88" i="17"/>
  <c r="AC88" i="17"/>
  <c r="BO87" i="17"/>
  <c r="AZ87" i="17"/>
  <c r="AY87" i="17"/>
  <c r="AH87" i="17"/>
  <c r="AC87" i="17"/>
  <c r="BO86" i="17"/>
  <c r="AZ86" i="17"/>
  <c r="AY86" i="17"/>
  <c r="AH86" i="17"/>
  <c r="AC86" i="17"/>
  <c r="BO85" i="17"/>
  <c r="AZ85" i="17"/>
  <c r="AY85" i="17"/>
  <c r="AH85" i="17"/>
  <c r="AC85" i="17"/>
  <c r="BO84" i="17"/>
  <c r="AZ84" i="17"/>
  <c r="AY84" i="17"/>
  <c r="AH84" i="17"/>
  <c r="AC84" i="17"/>
  <c r="BO83" i="17"/>
  <c r="AZ83" i="17"/>
  <c r="AY83" i="17"/>
  <c r="AH83" i="17"/>
  <c r="AC83" i="17"/>
  <c r="BO82" i="17"/>
  <c r="AZ82" i="17"/>
  <c r="AY82" i="17"/>
  <c r="AH82" i="17"/>
  <c r="AC82" i="17"/>
  <c r="BO81" i="17"/>
  <c r="AZ81" i="17"/>
  <c r="AY81" i="17"/>
  <c r="AH81" i="17"/>
  <c r="AC81" i="17"/>
  <c r="BO80" i="17"/>
  <c r="AZ80" i="17"/>
  <c r="AY80" i="17"/>
  <c r="AH80" i="17"/>
  <c r="AC80" i="17"/>
  <c r="BO79" i="17"/>
  <c r="AZ79" i="17"/>
  <c r="AY79" i="17"/>
  <c r="AH79" i="17"/>
  <c r="AC79" i="17"/>
  <c r="BO78" i="17"/>
  <c r="AZ78" i="17"/>
  <c r="AY78" i="17"/>
  <c r="AH78" i="17"/>
  <c r="AC78" i="17"/>
  <c r="BO77" i="17"/>
  <c r="AZ77" i="17"/>
  <c r="AY77" i="17"/>
  <c r="AH77" i="17"/>
  <c r="AC77" i="17"/>
  <c r="BO76" i="17"/>
  <c r="AZ76" i="17"/>
  <c r="AY76" i="17"/>
  <c r="AH76" i="17"/>
  <c r="AC76" i="17"/>
  <c r="BO75" i="17"/>
  <c r="AZ75" i="17"/>
  <c r="AY75" i="17"/>
  <c r="AH75" i="17"/>
  <c r="AC75" i="17"/>
  <c r="BO74" i="17"/>
  <c r="AZ74" i="17"/>
  <c r="AY74" i="17"/>
  <c r="AH74" i="17"/>
  <c r="AC74" i="17"/>
  <c r="BO73" i="17"/>
  <c r="AZ73" i="17"/>
  <c r="AY73" i="17"/>
  <c r="AH73" i="17"/>
  <c r="AC73" i="17"/>
  <c r="BO72" i="17"/>
  <c r="AZ72" i="17"/>
  <c r="AY72" i="17"/>
  <c r="AH72" i="17"/>
  <c r="AC72" i="17"/>
  <c r="BO71" i="17"/>
  <c r="AZ71" i="17"/>
  <c r="AY71" i="17"/>
  <c r="AH71" i="17"/>
  <c r="AC71" i="17"/>
  <c r="BO70" i="17"/>
  <c r="AZ70" i="17"/>
  <c r="AY70" i="17"/>
  <c r="AH70" i="17"/>
  <c r="AC70" i="17"/>
  <c r="BO69" i="17"/>
  <c r="AZ69" i="17"/>
  <c r="AY69" i="17"/>
  <c r="AH69" i="17"/>
  <c r="AC69" i="17"/>
  <c r="BO68" i="17"/>
  <c r="AZ68" i="17"/>
  <c r="AY68" i="17"/>
  <c r="AH68" i="17"/>
  <c r="AC68" i="17"/>
  <c r="BO67" i="17"/>
  <c r="AZ67" i="17"/>
  <c r="AY67" i="17"/>
  <c r="AH67" i="17"/>
  <c r="AC67" i="17"/>
  <c r="BO66" i="17"/>
  <c r="AZ66" i="17"/>
  <c r="AY66" i="17"/>
  <c r="AH66" i="17"/>
  <c r="AC66" i="17"/>
  <c r="BO65" i="17"/>
  <c r="AZ65" i="17"/>
  <c r="AY65" i="17"/>
  <c r="AH65" i="17"/>
  <c r="AC65" i="17"/>
  <c r="BO64" i="17"/>
  <c r="AZ64" i="17"/>
  <c r="AY64" i="17"/>
  <c r="AH64" i="17"/>
  <c r="AC64" i="17"/>
  <c r="BO63" i="17"/>
  <c r="AZ63" i="17"/>
  <c r="AY63" i="17"/>
  <c r="AH63" i="17"/>
  <c r="AC63" i="17"/>
  <c r="BO62" i="17"/>
  <c r="AZ62" i="17"/>
  <c r="AY62" i="17"/>
  <c r="AH62" i="17"/>
  <c r="AC62" i="17"/>
  <c r="BO61" i="17"/>
  <c r="AZ61" i="17"/>
  <c r="AY61" i="17"/>
  <c r="AH61" i="17"/>
  <c r="AC61" i="17"/>
  <c r="BO60" i="17"/>
  <c r="AZ60" i="17"/>
  <c r="AY60" i="17"/>
  <c r="AH60" i="17"/>
  <c r="AC60" i="17"/>
  <c r="BO59" i="17"/>
  <c r="AZ59" i="17"/>
  <c r="AY59" i="17"/>
  <c r="AH59" i="17"/>
  <c r="AC59" i="17"/>
  <c r="BO58" i="17"/>
  <c r="AZ58" i="17"/>
  <c r="AY58" i="17"/>
  <c r="AH58" i="17"/>
  <c r="AC58" i="17"/>
  <c r="BO57" i="17"/>
  <c r="AZ57" i="17"/>
  <c r="AY57" i="17"/>
  <c r="AH57" i="17"/>
  <c r="AC57" i="17"/>
  <c r="BO56" i="17"/>
  <c r="AZ56" i="17"/>
  <c r="AY56" i="17"/>
  <c r="AH56" i="17"/>
  <c r="AC56" i="17"/>
  <c r="BO55" i="17"/>
  <c r="AZ55" i="17"/>
  <c r="AY55" i="17"/>
  <c r="AH55" i="17"/>
  <c r="AC55" i="17"/>
  <c r="BO54" i="17"/>
  <c r="AZ54" i="17"/>
  <c r="AY54" i="17"/>
  <c r="AH54" i="17"/>
  <c r="AC54" i="17"/>
  <c r="BO53" i="17"/>
  <c r="AZ53" i="17"/>
  <c r="AY53" i="17"/>
  <c r="AH53" i="17"/>
  <c r="AC53" i="17"/>
  <c r="BO52" i="17"/>
  <c r="AZ52" i="17"/>
  <c r="AY52" i="17"/>
  <c r="AH52" i="17"/>
  <c r="AC52" i="17"/>
  <c r="BO51" i="17"/>
  <c r="AZ51" i="17"/>
  <c r="AY51" i="17"/>
  <c r="AH51" i="17"/>
  <c r="AC51" i="17"/>
  <c r="BO50" i="17"/>
  <c r="AZ50" i="17"/>
  <c r="AY50" i="17"/>
  <c r="AH50" i="17"/>
  <c r="AC50" i="17"/>
  <c r="BO49" i="17"/>
  <c r="AZ49" i="17"/>
  <c r="AY49" i="17"/>
  <c r="AH49" i="17"/>
  <c r="AC49" i="17"/>
  <c r="BO48" i="17"/>
  <c r="AZ48" i="17"/>
  <c r="AY48" i="17"/>
  <c r="AH48" i="17"/>
  <c r="AC48" i="17"/>
  <c r="BO47" i="17"/>
  <c r="AZ47" i="17"/>
  <c r="AY47" i="17"/>
  <c r="AH47" i="17"/>
  <c r="AC47" i="17"/>
  <c r="BO46" i="17"/>
  <c r="AZ46" i="17"/>
  <c r="AY46" i="17"/>
  <c r="AH46" i="17"/>
  <c r="AC46" i="17"/>
  <c r="BO45" i="17"/>
  <c r="AZ45" i="17"/>
  <c r="AY45" i="17"/>
  <c r="AH45" i="17"/>
  <c r="AC45" i="17"/>
  <c r="BO44" i="17"/>
  <c r="AZ44" i="17"/>
  <c r="AY44" i="17"/>
  <c r="AH44" i="17"/>
  <c r="AC44" i="17"/>
  <c r="BO43" i="17"/>
  <c r="AZ43" i="17"/>
  <c r="AY43" i="17"/>
  <c r="AH43" i="17"/>
  <c r="AC43" i="17"/>
  <c r="BO42" i="17"/>
  <c r="AZ42" i="17"/>
  <c r="AY42" i="17"/>
  <c r="AH42" i="17"/>
  <c r="AC42" i="17"/>
  <c r="BO41" i="17"/>
  <c r="AZ41" i="17"/>
  <c r="AY41" i="17"/>
  <c r="AH41" i="17"/>
  <c r="AC41" i="17"/>
  <c r="BO40" i="17"/>
  <c r="AZ40" i="17"/>
  <c r="AY40" i="17"/>
  <c r="AH40" i="17"/>
  <c r="AC40" i="17"/>
  <c r="BO39" i="17"/>
  <c r="AZ39" i="17"/>
  <c r="AY39" i="17"/>
  <c r="AH39" i="17"/>
  <c r="AC39" i="17"/>
  <c r="BO38" i="17"/>
  <c r="AZ38" i="17"/>
  <c r="AY38" i="17"/>
  <c r="AH38" i="17"/>
  <c r="AC38" i="17"/>
  <c r="BO37" i="17"/>
  <c r="AZ37" i="17"/>
  <c r="AY37" i="17"/>
  <c r="AH37" i="17"/>
  <c r="AC37" i="17"/>
  <c r="BO36" i="17"/>
  <c r="AZ36" i="17"/>
  <c r="AY36" i="17"/>
  <c r="AH36" i="17"/>
  <c r="AC36" i="17"/>
  <c r="CB35" i="17"/>
  <c r="CD35" i="17" s="1"/>
  <c r="BO35" i="17"/>
  <c r="AZ35" i="17"/>
  <c r="AY35" i="17"/>
  <c r="AH35" i="17"/>
  <c r="AC35" i="17"/>
  <c r="ED34" i="17"/>
  <c r="BO34" i="17"/>
  <c r="AZ34" i="17"/>
  <c r="AY34" i="17"/>
  <c r="AH34" i="17"/>
  <c r="AC34" i="17"/>
  <c r="BO33" i="17"/>
  <c r="AZ33" i="17"/>
  <c r="AY33" i="17"/>
  <c r="AH33" i="17"/>
  <c r="AC33" i="17"/>
  <c r="CD32" i="17"/>
  <c r="DI19" i="17" s="1"/>
  <c r="BO32" i="17"/>
  <c r="AZ32" i="17"/>
  <c r="AY32" i="17"/>
  <c r="AH32" i="17"/>
  <c r="AC32" i="17"/>
  <c r="K32" i="17"/>
  <c r="K33" i="17" s="1"/>
  <c r="BO31" i="17"/>
  <c r="AZ31" i="17"/>
  <c r="AY31" i="17"/>
  <c r="AH31" i="17"/>
  <c r="AC31" i="17"/>
  <c r="Q31" i="17"/>
  <c r="K31" i="17"/>
  <c r="CD30" i="17"/>
  <c r="BO30" i="17"/>
  <c r="AZ30" i="17"/>
  <c r="AY30" i="17"/>
  <c r="AH30" i="17"/>
  <c r="AC30" i="17"/>
  <c r="Q30" i="17"/>
  <c r="CD29" i="17"/>
  <c r="BO29" i="17"/>
  <c r="AZ29" i="17"/>
  <c r="AY29" i="17"/>
  <c r="AH29" i="17"/>
  <c r="AC29" i="17"/>
  <c r="M29" i="17"/>
  <c r="K29" i="17"/>
  <c r="CB37" i="17" s="1"/>
  <c r="CD37" i="17" s="1"/>
  <c r="CP3" i="17" s="1"/>
  <c r="CD28" i="17"/>
  <c r="ED32" i="17" s="1"/>
  <c r="BO28" i="17"/>
  <c r="AZ28" i="17"/>
  <c r="AY28" i="17"/>
  <c r="AH28" i="17"/>
  <c r="AC28" i="17"/>
  <c r="M28" i="17"/>
  <c r="ED27" i="17"/>
  <c r="CD27" i="17"/>
  <c r="BO27" i="17"/>
  <c r="AZ27" i="17"/>
  <c r="AY27" i="17"/>
  <c r="AH27" i="17"/>
  <c r="AC27" i="17"/>
  <c r="C27" i="17"/>
  <c r="CD33" i="17" s="1"/>
  <c r="EE26" i="17"/>
  <c r="ED26" i="17"/>
  <c r="BO26" i="17"/>
  <c r="AZ26" i="17"/>
  <c r="AY26" i="17"/>
  <c r="AH26" i="17"/>
  <c r="AC26" i="17"/>
  <c r="EE25" i="17"/>
  <c r="BO25" i="17"/>
  <c r="AZ25" i="17"/>
  <c r="AY25" i="17"/>
  <c r="AH25" i="17"/>
  <c r="AC25" i="17"/>
  <c r="EE24" i="17"/>
  <c r="BO24" i="17"/>
  <c r="AZ24" i="17"/>
  <c r="AY24" i="17"/>
  <c r="AH24" i="17"/>
  <c r="AC24" i="17"/>
  <c r="EE23" i="17"/>
  <c r="CD23" i="17"/>
  <c r="BO23" i="17"/>
  <c r="AZ23" i="17"/>
  <c r="AY23" i="17"/>
  <c r="AH23" i="17"/>
  <c r="AC23" i="17"/>
  <c r="CZ22" i="17"/>
  <c r="CD22" i="17"/>
  <c r="BO22" i="17"/>
  <c r="AZ22" i="17"/>
  <c r="AY22" i="17"/>
  <c r="AH22" i="17"/>
  <c r="AC22" i="17"/>
  <c r="EE21" i="17"/>
  <c r="ED21" i="17"/>
  <c r="CD21" i="17"/>
  <c r="BO21" i="17"/>
  <c r="AZ21" i="17"/>
  <c r="AY21" i="17"/>
  <c r="AH21" i="17"/>
  <c r="AC21" i="17"/>
  <c r="EE20" i="17"/>
  <c r="DI20" i="17"/>
  <c r="CZ20" i="17"/>
  <c r="CD20" i="17"/>
  <c r="CD25" i="17" s="1"/>
  <c r="BO20" i="17"/>
  <c r="AZ20" i="17"/>
  <c r="AY20" i="17"/>
  <c r="AH20" i="17"/>
  <c r="AC20" i="17"/>
  <c r="ED19" i="17"/>
  <c r="CD19" i="17"/>
  <c r="CD24" i="17" s="1"/>
  <c r="BO19" i="17"/>
  <c r="AZ19" i="17"/>
  <c r="AY19" i="17"/>
  <c r="AH19" i="17"/>
  <c r="AC19" i="17"/>
  <c r="EE18" i="17"/>
  <c r="CZ18" i="17"/>
  <c r="BO18" i="17"/>
  <c r="AZ18" i="17"/>
  <c r="AY18" i="17"/>
  <c r="AH18" i="17"/>
  <c r="AC18" i="17"/>
  <c r="DI17" i="17"/>
  <c r="CZ17" i="17"/>
  <c r="BO17" i="17"/>
  <c r="AZ17" i="17"/>
  <c r="AY17" i="17"/>
  <c r="AH17" i="17"/>
  <c r="AC17" i="17"/>
  <c r="ED16" i="17"/>
  <c r="DI16" i="17"/>
  <c r="BO16" i="17"/>
  <c r="AZ16" i="17"/>
  <c r="AY16" i="17"/>
  <c r="AH16" i="17"/>
  <c r="AC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DI15" i="17"/>
  <c r="CZ15" i="17"/>
  <c r="BO15" i="17"/>
  <c r="AZ15" i="17"/>
  <c r="AY15" i="17"/>
  <c r="AH15" i="17"/>
  <c r="AC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B15" i="17"/>
  <c r="EE14" i="17"/>
  <c r="DU14" i="17"/>
  <c r="CZ14" i="17"/>
  <c r="BO14" i="17"/>
  <c r="AZ14" i="17"/>
  <c r="AY14" i="17"/>
  <c r="AH14" i="17"/>
  <c r="AC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B14" i="17"/>
  <c r="EE13" i="17"/>
  <c r="CZ13" i="17"/>
  <c r="BO13" i="17"/>
  <c r="AZ13" i="17"/>
  <c r="AY13" i="17"/>
  <c r="AH13" i="17"/>
  <c r="AC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13" i="17"/>
  <c r="EE12" i="17"/>
  <c r="ED12" i="17"/>
  <c r="DU12" i="17"/>
  <c r="CZ12" i="17"/>
  <c r="BO12" i="17"/>
  <c r="AZ12" i="17"/>
  <c r="AY12" i="17"/>
  <c r="AH12" i="17"/>
  <c r="AC12" i="17"/>
  <c r="DI11" i="17"/>
  <c r="CZ11" i="17"/>
  <c r="BO11" i="17"/>
  <c r="AZ11" i="17"/>
  <c r="AY11" i="17"/>
  <c r="AH11" i="17"/>
  <c r="AC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EE10" i="17"/>
  <c r="ED10" i="17"/>
  <c r="BO10" i="17"/>
  <c r="AZ10" i="17"/>
  <c r="AY10" i="17"/>
  <c r="AH10" i="17"/>
  <c r="AC10" i="17"/>
  <c r="EE9" i="17"/>
  <c r="DU9" i="17"/>
  <c r="CZ9" i="17"/>
  <c r="BO9" i="17"/>
  <c r="AZ9" i="17"/>
  <c r="AY9" i="17"/>
  <c r="AH9" i="17"/>
  <c r="AC9" i="17"/>
  <c r="ED8" i="17"/>
  <c r="BO8" i="17"/>
  <c r="AZ8" i="17"/>
  <c r="AY8" i="17"/>
  <c r="AH8" i="17"/>
  <c r="AC8" i="17"/>
  <c r="EE7" i="17"/>
  <c r="ED7" i="17"/>
  <c r="CK7" i="17"/>
  <c r="BO7" i="17"/>
  <c r="AZ7" i="17"/>
  <c r="AY7" i="17"/>
  <c r="AH7" i="17"/>
  <c r="AC7" i="17"/>
  <c r="U7" i="17"/>
  <c r="ED6" i="17"/>
  <c r="BO6" i="17"/>
  <c r="AZ6" i="17"/>
  <c r="AY6" i="17"/>
  <c r="AH6" i="17"/>
  <c r="AC6" i="17"/>
  <c r="EE5" i="17"/>
  <c r="ED5" i="17"/>
  <c r="DU5" i="17"/>
  <c r="DI5" i="17"/>
  <c r="CZ5" i="17"/>
  <c r="BO5" i="17"/>
  <c r="BE5" i="17"/>
  <c r="BD5" i="17"/>
  <c r="BC5" i="17"/>
  <c r="BB5" i="17"/>
  <c r="AZ5" i="17"/>
  <c r="AY5" i="17"/>
  <c r="AO5" i="17"/>
  <c r="AN5" i="17"/>
  <c r="AM5" i="17"/>
  <c r="AL5" i="17"/>
  <c r="AH5" i="17"/>
  <c r="AC5" i="17"/>
  <c r="AA5" i="17"/>
  <c r="Z5" i="17"/>
  <c r="Y5" i="17"/>
  <c r="AU5" i="17" s="1"/>
  <c r="AE5" i="17" s="1"/>
  <c r="X5" i="17"/>
  <c r="EK3" i="17"/>
  <c r="EI3" i="17"/>
  <c r="EC3" i="17"/>
  <c r="EA3" i="17"/>
  <c r="DY3" i="17"/>
  <c r="DO3" i="17"/>
  <c r="DN3" i="17"/>
  <c r="DM3" i="17"/>
  <c r="DP3" i="17" s="1"/>
  <c r="DL3" i="17"/>
  <c r="DR3" i="17" s="1"/>
  <c r="BN3" i="17"/>
  <c r="BM3" i="17"/>
  <c r="BL3" i="17"/>
  <c r="BK3" i="17"/>
  <c r="BE3" i="17"/>
  <c r="BD3" i="17"/>
  <c r="BC3" i="17"/>
  <c r="BB3" i="17"/>
  <c r="AW3" i="17"/>
  <c r="AV3" i="17"/>
  <c r="AU3" i="17"/>
  <c r="AT3" i="17"/>
  <c r="AO3" i="17"/>
  <c r="AN3" i="17"/>
  <c r="AM3" i="17"/>
  <c r="AL3" i="17"/>
  <c r="AG3" i="17"/>
  <c r="AF3" i="17"/>
  <c r="AE3" i="17"/>
  <c r="AD3" i="17"/>
  <c r="AA3" i="17"/>
  <c r="Z3" i="17"/>
  <c r="Y3" i="17"/>
  <c r="X3" i="17"/>
  <c r="DH2" i="17"/>
  <c r="DF2" i="17"/>
  <c r="DE2" i="17"/>
  <c r="DC2" i="17"/>
  <c r="CY2" i="17"/>
  <c r="CW2" i="17"/>
  <c r="CV2" i="17"/>
  <c r="CT2" i="17"/>
  <c r="CS2" i="17"/>
  <c r="CQ2" i="17"/>
  <c r="CO2" i="17"/>
  <c r="CX2" i="17" s="1"/>
  <c r="M202" i="16"/>
  <c r="K202" i="16"/>
  <c r="B202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B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B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B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B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B19" i="16"/>
  <c r="W18" i="16"/>
  <c r="Y18" i="16" s="1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B18" i="16"/>
  <c r="W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B17" i="16"/>
  <c r="W16" i="16"/>
  <c r="W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W14" i="16"/>
  <c r="Z10" i="16"/>
  <c r="Z9" i="16"/>
  <c r="N206" i="15"/>
  <c r="L206" i="15"/>
  <c r="N205" i="15"/>
  <c r="L205" i="15"/>
  <c r="N204" i="15"/>
  <c r="L204" i="15"/>
  <c r="N203" i="15"/>
  <c r="L203" i="15"/>
  <c r="N202" i="15"/>
  <c r="L202" i="15"/>
  <c r="N201" i="15"/>
  <c r="L201" i="15"/>
  <c r="N200" i="15"/>
  <c r="L200" i="15"/>
  <c r="N199" i="15"/>
  <c r="L199" i="15"/>
  <c r="N198" i="15"/>
  <c r="L198" i="15"/>
  <c r="C198" i="15"/>
  <c r="N197" i="15"/>
  <c r="L197" i="15"/>
  <c r="D197" i="15"/>
  <c r="N196" i="15"/>
  <c r="L196" i="15"/>
  <c r="N195" i="15"/>
  <c r="L195" i="15"/>
  <c r="E195" i="15"/>
  <c r="N194" i="15"/>
  <c r="L194" i="15"/>
  <c r="N193" i="15"/>
  <c r="L193" i="15"/>
  <c r="F193" i="15"/>
  <c r="N192" i="15"/>
  <c r="L192" i="15"/>
  <c r="G192" i="15"/>
  <c r="N191" i="15"/>
  <c r="L191" i="15"/>
  <c r="N190" i="15"/>
  <c r="L190" i="15"/>
  <c r="N189" i="15"/>
  <c r="L189" i="15"/>
  <c r="H189" i="15"/>
  <c r="N188" i="15"/>
  <c r="L188" i="15"/>
  <c r="N187" i="15"/>
  <c r="L187" i="15"/>
  <c r="N186" i="15"/>
  <c r="L186" i="15"/>
  <c r="N185" i="15"/>
  <c r="L185" i="15"/>
  <c r="I185" i="15"/>
  <c r="N184" i="15"/>
  <c r="L184" i="15"/>
  <c r="N183" i="15"/>
  <c r="L183" i="15"/>
  <c r="N182" i="15"/>
  <c r="L182" i="15"/>
  <c r="J182" i="15"/>
  <c r="N181" i="15"/>
  <c r="L181" i="15"/>
  <c r="N180" i="15"/>
  <c r="L180" i="15"/>
  <c r="N179" i="15"/>
  <c r="L179" i="15"/>
  <c r="C179" i="15"/>
  <c r="N178" i="15"/>
  <c r="L178" i="15"/>
  <c r="N177" i="15"/>
  <c r="L177" i="15"/>
  <c r="K177" i="15"/>
  <c r="N176" i="15"/>
  <c r="L176" i="15"/>
  <c r="D176" i="15"/>
  <c r="N175" i="15"/>
  <c r="L175" i="15"/>
  <c r="E175" i="15"/>
  <c r="N174" i="15"/>
  <c r="L174" i="15"/>
  <c r="N173" i="15"/>
  <c r="L173" i="15"/>
  <c r="F173" i="15"/>
  <c r="N172" i="15"/>
  <c r="L172" i="15"/>
  <c r="G172" i="15"/>
  <c r="AT171" i="15"/>
  <c r="AS171" i="15"/>
  <c r="BB171" i="15" s="1"/>
  <c r="AR171" i="15"/>
  <c r="BA171" i="15" s="1"/>
  <c r="AQ171" i="15"/>
  <c r="AZ171" i="15" s="1"/>
  <c r="AP171" i="15"/>
  <c r="AY171" i="15" s="1"/>
  <c r="AO171" i="15"/>
  <c r="AX171" i="15" s="1"/>
  <c r="AN171" i="15"/>
  <c r="AW171" i="15" s="1"/>
  <c r="AM171" i="15"/>
  <c r="AV171" i="15" s="1"/>
  <c r="AJ171" i="15"/>
  <c r="AU171" i="15" s="1"/>
  <c r="N171" i="15"/>
  <c r="L171" i="15"/>
  <c r="AT170" i="15"/>
  <c r="AS170" i="15"/>
  <c r="AR170" i="15"/>
  <c r="AQ170" i="15"/>
  <c r="AP170" i="15"/>
  <c r="AO170" i="15"/>
  <c r="AN170" i="15"/>
  <c r="AW170" i="15" s="1"/>
  <c r="AM170" i="15"/>
  <c r="AV170" i="15" s="1"/>
  <c r="AJ170" i="15"/>
  <c r="AU170" i="15" s="1"/>
  <c r="N170" i="15"/>
  <c r="L170" i="15"/>
  <c r="H170" i="15"/>
  <c r="AT169" i="15"/>
  <c r="AS169" i="15"/>
  <c r="AR169" i="15"/>
  <c r="AQ169" i="15"/>
  <c r="AP169" i="15"/>
  <c r="AO169" i="15"/>
  <c r="AN169" i="15"/>
  <c r="AM169" i="15"/>
  <c r="AJ169" i="15"/>
  <c r="AU169" i="15" s="1"/>
  <c r="N169" i="15"/>
  <c r="L169" i="15"/>
  <c r="AT168" i="15"/>
  <c r="AS168" i="15"/>
  <c r="AR168" i="15"/>
  <c r="AQ168" i="15"/>
  <c r="AP168" i="15"/>
  <c r="AO168" i="15"/>
  <c r="AN168" i="15"/>
  <c r="AM168" i="15"/>
  <c r="AJ168" i="15"/>
  <c r="N168" i="15"/>
  <c r="L168" i="15"/>
  <c r="AT167" i="15"/>
  <c r="AS167" i="15"/>
  <c r="AR167" i="15"/>
  <c r="AQ167" i="15"/>
  <c r="AP167" i="15"/>
  <c r="AO167" i="15"/>
  <c r="AN167" i="15"/>
  <c r="AM167" i="15"/>
  <c r="AJ167" i="15"/>
  <c r="N167" i="15"/>
  <c r="L167" i="15"/>
  <c r="I167" i="15"/>
  <c r="AT166" i="15"/>
  <c r="AS166" i="15"/>
  <c r="AR166" i="15"/>
  <c r="AQ166" i="15"/>
  <c r="AP166" i="15"/>
  <c r="AO166" i="15"/>
  <c r="AN166" i="15"/>
  <c r="AM166" i="15"/>
  <c r="AJ166" i="15"/>
  <c r="N166" i="15"/>
  <c r="L166" i="15"/>
  <c r="AT165" i="15"/>
  <c r="AS165" i="15"/>
  <c r="AR165" i="15"/>
  <c r="AQ165" i="15"/>
  <c r="AP165" i="15"/>
  <c r="AO165" i="15"/>
  <c r="AN165" i="15"/>
  <c r="AM165" i="15"/>
  <c r="AJ165" i="15"/>
  <c r="N165" i="15"/>
  <c r="L165" i="15"/>
  <c r="J165" i="15"/>
  <c r="AT164" i="15"/>
  <c r="AS164" i="15"/>
  <c r="AR164" i="15"/>
  <c r="AQ164" i="15"/>
  <c r="AP164" i="15"/>
  <c r="AO164" i="15"/>
  <c r="AN164" i="15"/>
  <c r="AM164" i="15"/>
  <c r="AJ164" i="15"/>
  <c r="N164" i="15"/>
  <c r="L164" i="15"/>
  <c r="C164" i="15"/>
  <c r="AT163" i="15"/>
  <c r="AS163" i="15"/>
  <c r="AR163" i="15"/>
  <c r="AQ163" i="15"/>
  <c r="AP163" i="15"/>
  <c r="AO163" i="15"/>
  <c r="AN163" i="15"/>
  <c r="AM163" i="15"/>
  <c r="AJ163" i="15"/>
  <c r="N163" i="15"/>
  <c r="L163" i="15"/>
  <c r="AT162" i="15"/>
  <c r="AS162" i="15"/>
  <c r="AR162" i="15"/>
  <c r="AQ162" i="15"/>
  <c r="AP162" i="15"/>
  <c r="AO162" i="15"/>
  <c r="AN162" i="15"/>
  <c r="AM162" i="15"/>
  <c r="AJ162" i="15"/>
  <c r="N162" i="15"/>
  <c r="L162" i="15"/>
  <c r="D162" i="15"/>
  <c r="AT161" i="15"/>
  <c r="AS161" i="15"/>
  <c r="AR161" i="15"/>
  <c r="AQ161" i="15"/>
  <c r="AP161" i="15"/>
  <c r="AO161" i="15"/>
  <c r="AN161" i="15"/>
  <c r="AM161" i="15"/>
  <c r="AJ161" i="15"/>
  <c r="N161" i="15"/>
  <c r="L161" i="15"/>
  <c r="E161" i="15"/>
  <c r="AT160" i="15"/>
  <c r="AS160" i="15"/>
  <c r="AR160" i="15"/>
  <c r="AQ160" i="15"/>
  <c r="AP160" i="15"/>
  <c r="AO160" i="15"/>
  <c r="AN160" i="15"/>
  <c r="AM160" i="15"/>
  <c r="AJ160" i="15"/>
  <c r="N160" i="15"/>
  <c r="L160" i="15"/>
  <c r="AT159" i="15"/>
  <c r="AS159" i="15"/>
  <c r="AR159" i="15"/>
  <c r="AQ159" i="15"/>
  <c r="AP159" i="15"/>
  <c r="AO159" i="15"/>
  <c r="AN159" i="15"/>
  <c r="AM159" i="15"/>
  <c r="AJ159" i="15"/>
  <c r="N159" i="15"/>
  <c r="L159" i="15"/>
  <c r="F159" i="15"/>
  <c r="AT158" i="15"/>
  <c r="AS158" i="15"/>
  <c r="AR158" i="15"/>
  <c r="AQ158" i="15"/>
  <c r="AP158" i="15"/>
  <c r="AO158" i="15"/>
  <c r="AN158" i="15"/>
  <c r="AM158" i="15"/>
  <c r="AJ158" i="15"/>
  <c r="N158" i="15"/>
  <c r="L158" i="15"/>
  <c r="K158" i="15"/>
  <c r="AT157" i="15"/>
  <c r="AS157" i="15"/>
  <c r="AR157" i="15"/>
  <c r="AQ157" i="15"/>
  <c r="AP157" i="15"/>
  <c r="AO157" i="15"/>
  <c r="AN157" i="15"/>
  <c r="AM157" i="15"/>
  <c r="AJ157" i="15"/>
  <c r="N157" i="15"/>
  <c r="L157" i="15"/>
  <c r="G157" i="15"/>
  <c r="AT156" i="15"/>
  <c r="AS156" i="15"/>
  <c r="AR156" i="15"/>
  <c r="AQ156" i="15"/>
  <c r="AP156" i="15"/>
  <c r="AO156" i="15"/>
  <c r="AN156" i="15"/>
  <c r="AM156" i="15"/>
  <c r="AJ156" i="15"/>
  <c r="N156" i="15"/>
  <c r="L156" i="15"/>
  <c r="AT155" i="15"/>
  <c r="AS155" i="15"/>
  <c r="AR155" i="15"/>
  <c r="AQ155" i="15"/>
  <c r="AP155" i="15"/>
  <c r="AO155" i="15"/>
  <c r="AN155" i="15"/>
  <c r="AM155" i="15"/>
  <c r="AJ155" i="15"/>
  <c r="N155" i="15"/>
  <c r="L155" i="15"/>
  <c r="H155" i="15"/>
  <c r="AT154" i="15"/>
  <c r="AS154" i="15"/>
  <c r="AR154" i="15"/>
  <c r="AQ154" i="15"/>
  <c r="AP154" i="15"/>
  <c r="AO154" i="15"/>
  <c r="AN154" i="15"/>
  <c r="AM154" i="15"/>
  <c r="AJ154" i="15"/>
  <c r="N154" i="15"/>
  <c r="L154" i="15"/>
  <c r="AT153" i="15"/>
  <c r="AS153" i="15"/>
  <c r="AR153" i="15"/>
  <c r="AQ153" i="15"/>
  <c r="AP153" i="15"/>
  <c r="AO153" i="15"/>
  <c r="AN153" i="15"/>
  <c r="AM153" i="15"/>
  <c r="AJ153" i="15"/>
  <c r="N153" i="15"/>
  <c r="L153" i="15"/>
  <c r="I153" i="15"/>
  <c r="AT152" i="15"/>
  <c r="AS152" i="15"/>
  <c r="AR152" i="15"/>
  <c r="AQ152" i="15"/>
  <c r="AP152" i="15"/>
  <c r="AO152" i="15"/>
  <c r="AN152" i="15"/>
  <c r="AM152" i="15"/>
  <c r="AJ152" i="15"/>
  <c r="N152" i="15"/>
  <c r="L152" i="15"/>
  <c r="C152" i="15"/>
  <c r="AT151" i="15"/>
  <c r="AS151" i="15"/>
  <c r="AR151" i="15"/>
  <c r="AQ151" i="15"/>
  <c r="AP151" i="15"/>
  <c r="AO151" i="15"/>
  <c r="AN151" i="15"/>
  <c r="AM151" i="15"/>
  <c r="AJ151" i="15"/>
  <c r="N151" i="15"/>
  <c r="L151" i="15"/>
  <c r="AT150" i="15"/>
  <c r="AS150" i="15"/>
  <c r="AR150" i="15"/>
  <c r="AQ150" i="15"/>
  <c r="AP150" i="15"/>
  <c r="AO150" i="15"/>
  <c r="AN150" i="15"/>
  <c r="AM150" i="15"/>
  <c r="AJ150" i="15"/>
  <c r="N150" i="15"/>
  <c r="L150" i="15"/>
  <c r="J150" i="15"/>
  <c r="AT149" i="15"/>
  <c r="AS149" i="15"/>
  <c r="AR149" i="15"/>
  <c r="AQ149" i="15"/>
  <c r="AP149" i="15"/>
  <c r="AO149" i="15"/>
  <c r="AN149" i="15"/>
  <c r="AM149" i="15"/>
  <c r="AJ149" i="15"/>
  <c r="N149" i="15"/>
  <c r="L149" i="15"/>
  <c r="D149" i="15"/>
  <c r="AT148" i="15"/>
  <c r="AS148" i="15"/>
  <c r="AR148" i="15"/>
  <c r="AQ148" i="15"/>
  <c r="AP148" i="15"/>
  <c r="AO148" i="15"/>
  <c r="AN148" i="15"/>
  <c r="AM148" i="15"/>
  <c r="AJ148" i="15"/>
  <c r="N148" i="15"/>
  <c r="L148" i="15"/>
  <c r="E148" i="15"/>
  <c r="AT147" i="15"/>
  <c r="AS147" i="15"/>
  <c r="AR147" i="15"/>
  <c r="AQ147" i="15"/>
  <c r="AP147" i="15"/>
  <c r="AO147" i="15"/>
  <c r="AN147" i="15"/>
  <c r="AM147" i="15"/>
  <c r="AJ147" i="15"/>
  <c r="N147" i="15"/>
  <c r="L147" i="15"/>
  <c r="F147" i="15"/>
  <c r="AT146" i="15"/>
  <c r="AS146" i="15"/>
  <c r="AR146" i="15"/>
  <c r="AQ146" i="15"/>
  <c r="AP146" i="15"/>
  <c r="AO146" i="15"/>
  <c r="AN146" i="15"/>
  <c r="AM146" i="15"/>
  <c r="AJ146" i="15"/>
  <c r="N146" i="15"/>
  <c r="L146" i="15"/>
  <c r="AT145" i="15"/>
  <c r="AS145" i="15"/>
  <c r="AR145" i="15"/>
  <c r="AQ145" i="15"/>
  <c r="AP145" i="15"/>
  <c r="AO145" i="15"/>
  <c r="AN145" i="15"/>
  <c r="AM145" i="15"/>
  <c r="AJ145" i="15"/>
  <c r="N145" i="15"/>
  <c r="L145" i="15"/>
  <c r="G145" i="15"/>
  <c r="AT144" i="15"/>
  <c r="AS144" i="15"/>
  <c r="AR144" i="15"/>
  <c r="AQ144" i="15"/>
  <c r="AP144" i="15"/>
  <c r="AO144" i="15"/>
  <c r="AN144" i="15"/>
  <c r="AM144" i="15"/>
  <c r="AJ144" i="15"/>
  <c r="N144" i="15"/>
  <c r="L144" i="15"/>
  <c r="K144" i="15"/>
  <c r="AT143" i="15"/>
  <c r="AS143" i="15"/>
  <c r="AR143" i="15"/>
  <c r="AQ143" i="15"/>
  <c r="AP143" i="15"/>
  <c r="AO143" i="15"/>
  <c r="AN143" i="15"/>
  <c r="AM143" i="15"/>
  <c r="AJ143" i="15"/>
  <c r="N143" i="15"/>
  <c r="L143" i="15"/>
  <c r="H143" i="15"/>
  <c r="AT142" i="15"/>
  <c r="AS142" i="15"/>
  <c r="AR142" i="15"/>
  <c r="AQ142" i="15"/>
  <c r="AP142" i="15"/>
  <c r="AO142" i="15"/>
  <c r="AN142" i="15"/>
  <c r="AM142" i="15"/>
  <c r="AJ142" i="15"/>
  <c r="N142" i="15"/>
  <c r="L142" i="15"/>
  <c r="AT141" i="15"/>
  <c r="AS141" i="15"/>
  <c r="AR141" i="15"/>
  <c r="AQ141" i="15"/>
  <c r="AP141" i="15"/>
  <c r="AO141" i="15"/>
  <c r="AN141" i="15"/>
  <c r="AM141" i="15"/>
  <c r="AJ141" i="15"/>
  <c r="N141" i="15"/>
  <c r="L141" i="15"/>
  <c r="I141" i="15"/>
  <c r="AT140" i="15"/>
  <c r="AS140" i="15"/>
  <c r="AR140" i="15"/>
  <c r="AQ140" i="15"/>
  <c r="AP140" i="15"/>
  <c r="AO140" i="15"/>
  <c r="AN140" i="15"/>
  <c r="AM140" i="15"/>
  <c r="AJ140" i="15"/>
  <c r="N140" i="15"/>
  <c r="L140" i="15"/>
  <c r="AT139" i="15"/>
  <c r="AS139" i="15"/>
  <c r="AR139" i="15"/>
  <c r="AQ139" i="15"/>
  <c r="AP139" i="15"/>
  <c r="AO139" i="15"/>
  <c r="AN139" i="15"/>
  <c r="AM139" i="15"/>
  <c r="AJ139" i="15"/>
  <c r="N139" i="15"/>
  <c r="L139" i="15"/>
  <c r="J139" i="15"/>
  <c r="AT138" i="15"/>
  <c r="AS138" i="15"/>
  <c r="AR138" i="15"/>
  <c r="AQ138" i="15"/>
  <c r="AP138" i="15"/>
  <c r="AO138" i="15"/>
  <c r="AN138" i="15"/>
  <c r="AM138" i="15"/>
  <c r="AJ138" i="15"/>
  <c r="N138" i="15"/>
  <c r="L138" i="15"/>
  <c r="AT137" i="15"/>
  <c r="AS137" i="15"/>
  <c r="AR137" i="15"/>
  <c r="AQ137" i="15"/>
  <c r="AP137" i="15"/>
  <c r="AO137" i="15"/>
  <c r="AN137" i="15"/>
  <c r="AM137" i="15"/>
  <c r="AJ137" i="15"/>
  <c r="N137" i="15"/>
  <c r="L137" i="15"/>
  <c r="K137" i="15"/>
  <c r="AS136" i="15"/>
  <c r="AR136" i="15"/>
  <c r="AQ136" i="15"/>
  <c r="AP136" i="15"/>
  <c r="AO136" i="15"/>
  <c r="AN136" i="15"/>
  <c r="AM136" i="15"/>
  <c r="AJ136" i="15"/>
  <c r="N136" i="15"/>
  <c r="L136" i="15"/>
  <c r="C136" i="15"/>
  <c r="AT135" i="15"/>
  <c r="AS135" i="15"/>
  <c r="AR135" i="15"/>
  <c r="AQ135" i="15"/>
  <c r="AP135" i="15"/>
  <c r="AO135" i="15"/>
  <c r="AN135" i="15"/>
  <c r="AM135" i="15"/>
  <c r="AJ135" i="15"/>
  <c r="N135" i="15"/>
  <c r="L135" i="15"/>
  <c r="D135" i="15"/>
  <c r="AT134" i="15"/>
  <c r="AS134" i="15"/>
  <c r="AR134" i="15"/>
  <c r="AQ134" i="15"/>
  <c r="AP134" i="15"/>
  <c r="AO134" i="15"/>
  <c r="AN134" i="15"/>
  <c r="AM134" i="15"/>
  <c r="AJ134" i="15"/>
  <c r="N134" i="15"/>
  <c r="L134" i="15"/>
  <c r="E134" i="15"/>
  <c r="AT133" i="15"/>
  <c r="AR133" i="15"/>
  <c r="AQ133" i="15"/>
  <c r="AP133" i="15"/>
  <c r="AO133" i="15"/>
  <c r="AN133" i="15"/>
  <c r="AM133" i="15"/>
  <c r="AJ133" i="15"/>
  <c r="N133" i="15"/>
  <c r="L133" i="15"/>
  <c r="F133" i="15"/>
  <c r="AT132" i="15"/>
  <c r="AS132" i="15"/>
  <c r="AR132" i="15"/>
  <c r="AQ132" i="15"/>
  <c r="AP132" i="15"/>
  <c r="AO132" i="15"/>
  <c r="AN132" i="15"/>
  <c r="AM132" i="15"/>
  <c r="AJ132" i="15"/>
  <c r="N132" i="15"/>
  <c r="L132" i="15"/>
  <c r="G132" i="15"/>
  <c r="AT131" i="15"/>
  <c r="AS131" i="15"/>
  <c r="AR131" i="15"/>
  <c r="AQ131" i="15"/>
  <c r="AP131" i="15"/>
  <c r="AO131" i="15"/>
  <c r="AN131" i="15"/>
  <c r="AM131" i="15"/>
  <c r="AJ131" i="15"/>
  <c r="N131" i="15"/>
  <c r="L131" i="15"/>
  <c r="H131" i="15"/>
  <c r="AT130" i="15"/>
  <c r="AS130" i="15"/>
  <c r="AQ130" i="15"/>
  <c r="AP130" i="15"/>
  <c r="AO130" i="15"/>
  <c r="AN130" i="15"/>
  <c r="AM130" i="15"/>
  <c r="AJ130" i="15"/>
  <c r="N130" i="15"/>
  <c r="L130" i="15"/>
  <c r="AT129" i="15"/>
  <c r="AS129" i="15"/>
  <c r="AR129" i="15"/>
  <c r="AQ129" i="15"/>
  <c r="AP129" i="15"/>
  <c r="AO129" i="15"/>
  <c r="AN129" i="15"/>
  <c r="AM129" i="15"/>
  <c r="AJ129" i="15"/>
  <c r="N129" i="15"/>
  <c r="L129" i="15"/>
  <c r="I129" i="15"/>
  <c r="AT128" i="15"/>
  <c r="AS128" i="15"/>
  <c r="AR128" i="15"/>
  <c r="AQ128" i="15"/>
  <c r="AP128" i="15"/>
  <c r="AO128" i="15"/>
  <c r="AN128" i="15"/>
  <c r="AM128" i="15"/>
  <c r="AJ128" i="15"/>
  <c r="N128" i="15"/>
  <c r="L128" i="15"/>
  <c r="J128" i="15"/>
  <c r="AT127" i="15"/>
  <c r="AS127" i="15"/>
  <c r="AR127" i="15"/>
  <c r="AQ127" i="15"/>
  <c r="AP127" i="15"/>
  <c r="AO127" i="15"/>
  <c r="AN127" i="15"/>
  <c r="AM127" i="15"/>
  <c r="AJ127" i="15"/>
  <c r="N127" i="15"/>
  <c r="L127" i="15"/>
  <c r="AT126" i="15"/>
  <c r="AS126" i="15"/>
  <c r="AR126" i="15"/>
  <c r="AP126" i="15"/>
  <c r="AO126" i="15"/>
  <c r="AN126" i="15"/>
  <c r="AM126" i="15"/>
  <c r="AJ126" i="15"/>
  <c r="N126" i="15"/>
  <c r="L126" i="15"/>
  <c r="C126" i="15"/>
  <c r="AT125" i="15"/>
  <c r="AS125" i="15"/>
  <c r="AR125" i="15"/>
  <c r="AQ125" i="15"/>
  <c r="AP125" i="15"/>
  <c r="AO125" i="15"/>
  <c r="AN125" i="15"/>
  <c r="AM125" i="15"/>
  <c r="AJ125" i="15"/>
  <c r="N125" i="15"/>
  <c r="L125" i="15"/>
  <c r="D125" i="15"/>
  <c r="AT124" i="15"/>
  <c r="AS124" i="15"/>
  <c r="AR124" i="15"/>
  <c r="AQ124" i="15"/>
  <c r="AO124" i="15"/>
  <c r="AN124" i="15"/>
  <c r="AM124" i="15"/>
  <c r="AJ124" i="15"/>
  <c r="N124" i="15"/>
  <c r="L124" i="15"/>
  <c r="E124" i="15"/>
  <c r="AT123" i="15"/>
  <c r="AS123" i="15"/>
  <c r="AR123" i="15"/>
  <c r="AQ123" i="15"/>
  <c r="AP123" i="15"/>
  <c r="AN123" i="15"/>
  <c r="AM123" i="15"/>
  <c r="AJ123" i="15"/>
  <c r="N123" i="15"/>
  <c r="L123" i="15"/>
  <c r="K123" i="15"/>
  <c r="AS122" i="15"/>
  <c r="AR122" i="15"/>
  <c r="AQ122" i="15"/>
  <c r="AP122" i="15"/>
  <c r="AO122" i="15"/>
  <c r="AN122" i="15"/>
  <c r="AM122" i="15"/>
  <c r="AJ122" i="15"/>
  <c r="N122" i="15"/>
  <c r="L122" i="15"/>
  <c r="F122" i="15"/>
  <c r="AT121" i="15"/>
  <c r="AS121" i="15"/>
  <c r="AR121" i="15"/>
  <c r="AQ121" i="15"/>
  <c r="AP121" i="15"/>
  <c r="AO121" i="15"/>
  <c r="AJ121" i="15"/>
  <c r="N121" i="15"/>
  <c r="L121" i="15"/>
  <c r="G121" i="15"/>
  <c r="AT120" i="15"/>
  <c r="AS120" i="15"/>
  <c r="AR120" i="15"/>
  <c r="AQ120" i="15"/>
  <c r="AP120" i="15"/>
  <c r="AO120" i="15"/>
  <c r="AN120" i="15"/>
  <c r="AM120" i="15"/>
  <c r="AJ120" i="15"/>
  <c r="N120" i="15"/>
  <c r="L120" i="15"/>
  <c r="H120" i="15"/>
  <c r="AT119" i="15"/>
  <c r="AS119" i="15"/>
  <c r="AR119" i="15"/>
  <c r="AQ119" i="15"/>
  <c r="AP119" i="15"/>
  <c r="AO119" i="15"/>
  <c r="AN119" i="15"/>
  <c r="AM119" i="15"/>
  <c r="N119" i="15"/>
  <c r="L119" i="15"/>
  <c r="I119" i="15"/>
  <c r="AT118" i="15"/>
  <c r="AS118" i="15"/>
  <c r="AR118" i="15"/>
  <c r="AQ118" i="15"/>
  <c r="AP118" i="15"/>
  <c r="AO118" i="15"/>
  <c r="AN118" i="15"/>
  <c r="AM118" i="15"/>
  <c r="AJ118" i="15"/>
  <c r="N118" i="15"/>
  <c r="L118" i="15"/>
  <c r="AT117" i="15"/>
  <c r="AR117" i="15"/>
  <c r="AQ117" i="15"/>
  <c r="AP117" i="15"/>
  <c r="AO117" i="15"/>
  <c r="AN117" i="15"/>
  <c r="AM117" i="15"/>
  <c r="AJ117" i="15"/>
  <c r="N117" i="15"/>
  <c r="L117" i="15"/>
  <c r="J117" i="15"/>
  <c r="AT116" i="15"/>
  <c r="AS116" i="15"/>
  <c r="AR116" i="15"/>
  <c r="AQ116" i="15"/>
  <c r="AP116" i="15"/>
  <c r="AO116" i="15"/>
  <c r="AN116" i="15"/>
  <c r="AM116" i="15"/>
  <c r="AJ116" i="15"/>
  <c r="N116" i="15"/>
  <c r="L116" i="15"/>
  <c r="C116" i="15"/>
  <c r="AT115" i="15"/>
  <c r="AS115" i="15"/>
  <c r="AR115" i="15"/>
  <c r="AQ115" i="15"/>
  <c r="AP115" i="15"/>
  <c r="AO115" i="15"/>
  <c r="AN115" i="15"/>
  <c r="AM115" i="15"/>
  <c r="AJ115" i="15"/>
  <c r="N115" i="15"/>
  <c r="L115" i="15"/>
  <c r="D115" i="15"/>
  <c r="AT114" i="15"/>
  <c r="AS114" i="15"/>
  <c r="AQ114" i="15"/>
  <c r="AP114" i="15"/>
  <c r="AO114" i="15"/>
  <c r="AN114" i="15"/>
  <c r="AM114" i="15"/>
  <c r="AJ114" i="15"/>
  <c r="N114" i="15"/>
  <c r="L114" i="15"/>
  <c r="E114" i="15"/>
  <c r="AS113" i="15"/>
  <c r="AR113" i="15"/>
  <c r="AQ113" i="15"/>
  <c r="AP113" i="15"/>
  <c r="AO113" i="15"/>
  <c r="AN113" i="15"/>
  <c r="AM113" i="15"/>
  <c r="AJ113" i="15"/>
  <c r="N113" i="15"/>
  <c r="L113" i="15"/>
  <c r="F113" i="15"/>
  <c r="AT112" i="15"/>
  <c r="AS112" i="15"/>
  <c r="AR112" i="15"/>
  <c r="AQ112" i="15"/>
  <c r="AP112" i="15"/>
  <c r="AO112" i="15"/>
  <c r="AN112" i="15"/>
  <c r="AM112" i="15"/>
  <c r="AJ112" i="15"/>
  <c r="N112" i="15"/>
  <c r="L112" i="15"/>
  <c r="G112" i="15"/>
  <c r="AT111" i="15"/>
  <c r="AS111" i="15"/>
  <c r="AR111" i="15"/>
  <c r="AQ111" i="15"/>
  <c r="AP111" i="15"/>
  <c r="AO111" i="15"/>
  <c r="AN111" i="15"/>
  <c r="AM111" i="15"/>
  <c r="AJ111" i="15"/>
  <c r="N111" i="15"/>
  <c r="L111" i="15"/>
  <c r="K111" i="15"/>
  <c r="AT110" i="15"/>
  <c r="AS110" i="15"/>
  <c r="AR110" i="15"/>
  <c r="AP110" i="15"/>
  <c r="AO110" i="15"/>
  <c r="AN110" i="15"/>
  <c r="AM110" i="15"/>
  <c r="AJ110" i="15"/>
  <c r="N110" i="15"/>
  <c r="L110" i="15"/>
  <c r="H110" i="15"/>
  <c r="AT109" i="15"/>
  <c r="AS109" i="15"/>
  <c r="AR109" i="15"/>
  <c r="AQ109" i="15"/>
  <c r="AP109" i="15"/>
  <c r="AO109" i="15"/>
  <c r="AN109" i="15"/>
  <c r="AM109" i="15"/>
  <c r="AJ109" i="15"/>
  <c r="N109" i="15"/>
  <c r="L109" i="15"/>
  <c r="I109" i="15"/>
  <c r="AT108" i="15"/>
  <c r="AR108" i="15"/>
  <c r="AQ108" i="15"/>
  <c r="AP108" i="15"/>
  <c r="AO108" i="15"/>
  <c r="AN108" i="15"/>
  <c r="AM108" i="15"/>
  <c r="AJ108" i="15"/>
  <c r="N108" i="15"/>
  <c r="L108" i="15"/>
  <c r="J108" i="15"/>
  <c r="AS107" i="15"/>
  <c r="AR107" i="15"/>
  <c r="AQ107" i="15"/>
  <c r="AO107" i="15"/>
  <c r="AN107" i="15"/>
  <c r="AM107" i="15"/>
  <c r="AJ107" i="15"/>
  <c r="N107" i="15"/>
  <c r="L107" i="15"/>
  <c r="C107" i="15"/>
  <c r="AT106" i="15"/>
  <c r="AS106" i="15"/>
  <c r="AR106" i="15"/>
  <c r="AQ106" i="15"/>
  <c r="AP106" i="15"/>
  <c r="AN106" i="15"/>
  <c r="AM106" i="15"/>
  <c r="AJ106" i="15"/>
  <c r="N106" i="15"/>
  <c r="L106" i="15"/>
  <c r="AT105" i="15"/>
  <c r="AS105" i="15"/>
  <c r="AQ105" i="15"/>
  <c r="AP105" i="15"/>
  <c r="AO105" i="15"/>
  <c r="AN105" i="15"/>
  <c r="AM105" i="15"/>
  <c r="AJ105" i="15"/>
  <c r="N105" i="15"/>
  <c r="L105" i="15"/>
  <c r="D105" i="15"/>
  <c r="AT104" i="15"/>
  <c r="AS104" i="15"/>
  <c r="AR104" i="15"/>
  <c r="AQ104" i="15"/>
  <c r="AP104" i="15"/>
  <c r="AO104" i="15"/>
  <c r="AN104" i="15"/>
  <c r="AM104" i="15"/>
  <c r="AJ104" i="15"/>
  <c r="N104" i="15"/>
  <c r="L104" i="15"/>
  <c r="E104" i="15"/>
  <c r="I19" i="15" s="1"/>
  <c r="B104" i="15" s="1"/>
  <c r="AT103" i="15"/>
  <c r="AS103" i="15"/>
  <c r="AR103" i="15"/>
  <c r="AQ103" i="15"/>
  <c r="AP103" i="15"/>
  <c r="AO103" i="15"/>
  <c r="AJ103" i="15"/>
  <c r="N103" i="15"/>
  <c r="L103" i="15"/>
  <c r="F103" i="15"/>
  <c r="AT102" i="15"/>
  <c r="AR102" i="15"/>
  <c r="AQ102" i="15"/>
  <c r="AP102" i="15"/>
  <c r="AO102" i="15"/>
  <c r="AN102" i="15"/>
  <c r="AM102" i="15"/>
  <c r="AJ102" i="15"/>
  <c r="N102" i="15"/>
  <c r="L102" i="15"/>
  <c r="G102" i="15"/>
  <c r="AT101" i="15"/>
  <c r="AS101" i="15"/>
  <c r="AR101" i="15"/>
  <c r="AP101" i="15"/>
  <c r="AO101" i="15"/>
  <c r="AN101" i="15"/>
  <c r="AM101" i="15"/>
  <c r="AJ101" i="15"/>
  <c r="N101" i="15"/>
  <c r="L101" i="15"/>
  <c r="H101" i="15"/>
  <c r="AT100" i="15"/>
  <c r="AS100" i="15"/>
  <c r="AR100" i="15"/>
  <c r="AQ100" i="15"/>
  <c r="AP100" i="15"/>
  <c r="AO100" i="15"/>
  <c r="AN100" i="15"/>
  <c r="AM100" i="15"/>
  <c r="N100" i="15"/>
  <c r="L100" i="15"/>
  <c r="K100" i="15"/>
  <c r="AT99" i="15"/>
  <c r="AS99" i="15"/>
  <c r="AR99" i="15"/>
  <c r="AQ99" i="15"/>
  <c r="AP99" i="15"/>
  <c r="AO99" i="15"/>
  <c r="AN99" i="15"/>
  <c r="AM99" i="15"/>
  <c r="AJ99" i="15"/>
  <c r="N99" i="15"/>
  <c r="L99" i="15"/>
  <c r="I99" i="15"/>
  <c r="AS98" i="15"/>
  <c r="AQ98" i="15"/>
  <c r="AO98" i="15"/>
  <c r="AN98" i="15"/>
  <c r="AM98" i="15"/>
  <c r="AJ98" i="15"/>
  <c r="N98" i="15"/>
  <c r="L98" i="15"/>
  <c r="AT97" i="15"/>
  <c r="AS97" i="15"/>
  <c r="AR97" i="15"/>
  <c r="AQ97" i="15"/>
  <c r="AP97" i="15"/>
  <c r="AN97" i="15"/>
  <c r="AM97" i="15"/>
  <c r="AJ97" i="15"/>
  <c r="N97" i="15"/>
  <c r="L97" i="15"/>
  <c r="J97" i="15"/>
  <c r="AT96" i="15"/>
  <c r="AS96" i="15"/>
  <c r="AR96" i="15"/>
  <c r="AQ96" i="15"/>
  <c r="AP96" i="15"/>
  <c r="AO96" i="15"/>
  <c r="AN96" i="15"/>
  <c r="AM96" i="15"/>
  <c r="AJ96" i="15"/>
  <c r="N96" i="15"/>
  <c r="L96" i="15"/>
  <c r="K96" i="15"/>
  <c r="AT95" i="15"/>
  <c r="AS95" i="15"/>
  <c r="AR95" i="15"/>
  <c r="AQ95" i="15"/>
  <c r="AP95" i="15"/>
  <c r="AO95" i="15"/>
  <c r="AM95" i="15"/>
  <c r="AJ95" i="15"/>
  <c r="N95" i="15"/>
  <c r="L95" i="15"/>
  <c r="AT94" i="15"/>
  <c r="AS94" i="15"/>
  <c r="AR94" i="15"/>
  <c r="AP94" i="15"/>
  <c r="AO94" i="15"/>
  <c r="AN94" i="15"/>
  <c r="AJ94" i="15"/>
  <c r="N94" i="15"/>
  <c r="L94" i="15"/>
  <c r="AT93" i="15"/>
  <c r="AS93" i="15"/>
  <c r="AR93" i="15"/>
  <c r="AQ93" i="15"/>
  <c r="AP93" i="15"/>
  <c r="AO93" i="15"/>
  <c r="AN93" i="15"/>
  <c r="AM93" i="15"/>
  <c r="AJ93" i="15"/>
  <c r="N93" i="15"/>
  <c r="L93" i="15"/>
  <c r="C93" i="15"/>
  <c r="AT92" i="15"/>
  <c r="AR92" i="15"/>
  <c r="AQ92" i="15"/>
  <c r="AP92" i="15"/>
  <c r="AO92" i="15"/>
  <c r="AN92" i="15"/>
  <c r="AM92" i="15"/>
  <c r="N92" i="15"/>
  <c r="L92" i="15"/>
  <c r="D92" i="15"/>
  <c r="AS91" i="15"/>
  <c r="AR91" i="15"/>
  <c r="AQ91" i="15"/>
  <c r="AO91" i="15"/>
  <c r="AN91" i="15"/>
  <c r="AM91" i="15"/>
  <c r="AJ91" i="15"/>
  <c r="N91" i="15"/>
  <c r="L91" i="15"/>
  <c r="E91" i="15"/>
  <c r="AT90" i="15"/>
  <c r="AS90" i="15"/>
  <c r="AR90" i="15"/>
  <c r="AQ90" i="15"/>
  <c r="AP90" i="15"/>
  <c r="AN90" i="15"/>
  <c r="AM90" i="15"/>
  <c r="AJ90" i="15"/>
  <c r="N90" i="15"/>
  <c r="L90" i="15"/>
  <c r="F90" i="15"/>
  <c r="AT89" i="15"/>
  <c r="AS89" i="15"/>
  <c r="AQ89" i="15"/>
  <c r="AP89" i="15"/>
  <c r="AO89" i="15"/>
  <c r="AN89" i="15"/>
  <c r="AM89" i="15"/>
  <c r="AJ89" i="15"/>
  <c r="N89" i="15"/>
  <c r="L89" i="15"/>
  <c r="G89" i="15"/>
  <c r="AT88" i="15"/>
  <c r="AS88" i="15"/>
  <c r="AR88" i="15"/>
  <c r="AQ88" i="15"/>
  <c r="AP88" i="15"/>
  <c r="AO88" i="15"/>
  <c r="AJ88" i="15"/>
  <c r="N88" i="15"/>
  <c r="L88" i="15"/>
  <c r="H88" i="15"/>
  <c r="AT87" i="15"/>
  <c r="AS87" i="15"/>
  <c r="AR87" i="15"/>
  <c r="AQ87" i="15"/>
  <c r="AP87" i="15"/>
  <c r="AO87" i="15"/>
  <c r="AN87" i="15"/>
  <c r="AM87" i="15"/>
  <c r="AJ87" i="15"/>
  <c r="N87" i="15"/>
  <c r="L87" i="15"/>
  <c r="I87" i="15"/>
  <c r="AS86" i="15"/>
  <c r="AR86" i="15"/>
  <c r="AQ86" i="15"/>
  <c r="AP86" i="15"/>
  <c r="AO86" i="15"/>
  <c r="AN86" i="15"/>
  <c r="AM86" i="15"/>
  <c r="N86" i="15"/>
  <c r="L86" i="15"/>
  <c r="J86" i="15"/>
  <c r="AT85" i="15"/>
  <c r="AS85" i="15"/>
  <c r="AR85" i="15"/>
  <c r="AQ85" i="15"/>
  <c r="AP85" i="15"/>
  <c r="AO85" i="15"/>
  <c r="AN85" i="15"/>
  <c r="AM85" i="15"/>
  <c r="AJ85" i="15"/>
  <c r="N85" i="15"/>
  <c r="L85" i="15"/>
  <c r="C85" i="15"/>
  <c r="AT84" i="15"/>
  <c r="AS84" i="15"/>
  <c r="AR84" i="15"/>
  <c r="AQ84" i="15"/>
  <c r="AP84" i="15"/>
  <c r="AO84" i="15"/>
  <c r="AN84" i="15"/>
  <c r="AM84" i="15"/>
  <c r="AJ84" i="15"/>
  <c r="N84" i="15"/>
  <c r="L84" i="15"/>
  <c r="E84" i="15"/>
  <c r="D84" i="15"/>
  <c r="AT83" i="15"/>
  <c r="AS83" i="15"/>
  <c r="AR83" i="15"/>
  <c r="AP83" i="15"/>
  <c r="AO83" i="15"/>
  <c r="AN83" i="15"/>
  <c r="AM83" i="15"/>
  <c r="AJ83" i="15"/>
  <c r="N83" i="15"/>
  <c r="L83" i="15"/>
  <c r="K83" i="15"/>
  <c r="AT82" i="15"/>
  <c r="AS82" i="15"/>
  <c r="AR82" i="15"/>
  <c r="AQ82" i="15"/>
  <c r="AO82" i="15"/>
  <c r="AN82" i="15"/>
  <c r="AM82" i="15"/>
  <c r="AJ82" i="15"/>
  <c r="N82" i="15"/>
  <c r="L82" i="15"/>
  <c r="F82" i="15"/>
  <c r="AT81" i="15"/>
  <c r="AS81" i="15"/>
  <c r="AQ81" i="15"/>
  <c r="AP81" i="15"/>
  <c r="AN81" i="15"/>
  <c r="AM81" i="15"/>
  <c r="AJ81" i="15"/>
  <c r="N81" i="15"/>
  <c r="L81" i="15"/>
  <c r="G81" i="15"/>
  <c r="AS80" i="15"/>
  <c r="AR80" i="15"/>
  <c r="AQ80" i="15"/>
  <c r="AP80" i="15"/>
  <c r="AO80" i="15"/>
  <c r="AN80" i="15"/>
  <c r="AM80" i="15"/>
  <c r="AJ80" i="15"/>
  <c r="N80" i="15"/>
  <c r="L80" i="15"/>
  <c r="H80" i="15"/>
  <c r="AT79" i="15"/>
  <c r="AS79" i="15"/>
  <c r="AR79" i="15"/>
  <c r="AQ79" i="15"/>
  <c r="AP79" i="15"/>
  <c r="AO79" i="15"/>
  <c r="AJ79" i="15"/>
  <c r="N79" i="15"/>
  <c r="L79" i="15"/>
  <c r="I79" i="15"/>
  <c r="AT78" i="15"/>
  <c r="AS78" i="15"/>
  <c r="AR78" i="15"/>
  <c r="AQ78" i="15"/>
  <c r="AP78" i="15"/>
  <c r="AO78" i="15"/>
  <c r="AN78" i="15"/>
  <c r="AM78" i="15"/>
  <c r="AJ78" i="15"/>
  <c r="N78" i="15"/>
  <c r="L78" i="15"/>
  <c r="J78" i="15"/>
  <c r="AT77" i="15"/>
  <c r="AS77" i="15"/>
  <c r="AR77" i="15"/>
  <c r="AP77" i="15"/>
  <c r="AO77" i="15"/>
  <c r="AN77" i="15"/>
  <c r="AM77" i="15"/>
  <c r="N77" i="15"/>
  <c r="L77" i="15"/>
  <c r="K77" i="15"/>
  <c r="AQ76" i="15"/>
  <c r="AP76" i="15"/>
  <c r="AO76" i="15"/>
  <c r="AN76" i="15"/>
  <c r="AM76" i="15"/>
  <c r="AJ76" i="15"/>
  <c r="N76" i="15"/>
  <c r="L76" i="15"/>
  <c r="AT75" i="15"/>
  <c r="AS75" i="15"/>
  <c r="AR75" i="15"/>
  <c r="AQ75" i="15"/>
  <c r="AO75" i="15"/>
  <c r="AN75" i="15"/>
  <c r="AM75" i="15"/>
  <c r="AJ75" i="15"/>
  <c r="N75" i="15"/>
  <c r="L75" i="15"/>
  <c r="C75" i="15"/>
  <c r="AS74" i="15"/>
  <c r="AR74" i="15"/>
  <c r="AQ74" i="15"/>
  <c r="AP74" i="15"/>
  <c r="AN74" i="15"/>
  <c r="AM74" i="15"/>
  <c r="AJ74" i="15"/>
  <c r="N74" i="15"/>
  <c r="L74" i="15"/>
  <c r="D74" i="15"/>
  <c r="AT73" i="15"/>
  <c r="AS73" i="15"/>
  <c r="AR73" i="15"/>
  <c r="AQ73" i="15"/>
  <c r="AP73" i="15"/>
  <c r="AO73" i="15"/>
  <c r="AM73" i="15"/>
  <c r="AJ73" i="15"/>
  <c r="N73" i="15"/>
  <c r="L73" i="15"/>
  <c r="E73" i="15"/>
  <c r="AT72" i="15"/>
  <c r="AS72" i="15"/>
  <c r="AR72" i="15"/>
  <c r="AP72" i="15"/>
  <c r="AO72" i="15"/>
  <c r="AN72" i="15"/>
  <c r="AJ72" i="15"/>
  <c r="N72" i="15"/>
  <c r="L72" i="15"/>
  <c r="F72" i="15"/>
  <c r="AT71" i="15"/>
  <c r="AQ71" i="15"/>
  <c r="AP71" i="15"/>
  <c r="AO71" i="15"/>
  <c r="AN71" i="15"/>
  <c r="AM71" i="15"/>
  <c r="N71" i="15"/>
  <c r="L71" i="15"/>
  <c r="G71" i="15"/>
  <c r="AS70" i="15"/>
  <c r="AR70" i="15"/>
  <c r="AQ70" i="15"/>
  <c r="AP70" i="15"/>
  <c r="AO70" i="15"/>
  <c r="AN70" i="15"/>
  <c r="AM70" i="15"/>
  <c r="AJ70" i="15"/>
  <c r="N70" i="15"/>
  <c r="L70" i="15"/>
  <c r="H70" i="15"/>
  <c r="AT69" i="15"/>
  <c r="AR69" i="15"/>
  <c r="AQ69" i="15"/>
  <c r="AO69" i="15"/>
  <c r="AN69" i="15"/>
  <c r="AM69" i="15"/>
  <c r="AJ69" i="15"/>
  <c r="N69" i="15"/>
  <c r="L69" i="15"/>
  <c r="I69" i="15"/>
  <c r="AT68" i="15"/>
  <c r="AS68" i="15"/>
  <c r="AR68" i="15"/>
  <c r="AQ68" i="15"/>
  <c r="AP68" i="15"/>
  <c r="AM68" i="15"/>
  <c r="AJ68" i="15"/>
  <c r="N68" i="15"/>
  <c r="L68" i="15"/>
  <c r="AS67" i="15"/>
  <c r="AR67" i="15"/>
  <c r="AP67" i="15"/>
  <c r="AO67" i="15"/>
  <c r="AN67" i="15"/>
  <c r="AJ67" i="15"/>
  <c r="N67" i="15"/>
  <c r="L67" i="15"/>
  <c r="J67" i="15"/>
  <c r="AT66" i="15"/>
  <c r="AS66" i="15"/>
  <c r="AQ66" i="15"/>
  <c r="AP66" i="15"/>
  <c r="AO66" i="15"/>
  <c r="AN66" i="15"/>
  <c r="AM66" i="15"/>
  <c r="N66" i="15"/>
  <c r="L66" i="15"/>
  <c r="C66" i="15"/>
  <c r="AT65" i="15"/>
  <c r="AQ65" i="15"/>
  <c r="AN65" i="15"/>
  <c r="AM65" i="15"/>
  <c r="AJ65" i="15"/>
  <c r="N65" i="15"/>
  <c r="L65" i="15"/>
  <c r="D65" i="15"/>
  <c r="AT64" i="15"/>
  <c r="AS64" i="15"/>
  <c r="AR64" i="15"/>
  <c r="AQ64" i="15"/>
  <c r="AP64" i="15"/>
  <c r="AO64" i="15"/>
  <c r="AM64" i="15"/>
  <c r="AJ64" i="15"/>
  <c r="N64" i="15"/>
  <c r="L64" i="15"/>
  <c r="E64" i="15"/>
  <c r="AS63" i="15"/>
  <c r="AR63" i="15"/>
  <c r="AP63" i="15"/>
  <c r="AO63" i="15"/>
  <c r="AN63" i="15"/>
  <c r="AJ63" i="15"/>
  <c r="N63" i="15"/>
  <c r="L63" i="15"/>
  <c r="F63" i="15"/>
  <c r="AT62" i="15"/>
  <c r="AR62" i="15"/>
  <c r="AQ62" i="15"/>
  <c r="AP62" i="15"/>
  <c r="AO62" i="15"/>
  <c r="AN62" i="15"/>
  <c r="AM62" i="15"/>
  <c r="N62" i="15"/>
  <c r="L62" i="15"/>
  <c r="G62" i="15"/>
  <c r="AT61" i="15"/>
  <c r="AS61" i="15"/>
  <c r="AR61" i="15"/>
  <c r="AP61" i="15"/>
  <c r="AO61" i="15"/>
  <c r="AN61" i="15"/>
  <c r="AM61" i="15"/>
  <c r="AJ61" i="15"/>
  <c r="N61" i="15"/>
  <c r="L61" i="15"/>
  <c r="H61" i="15"/>
  <c r="AT60" i="15"/>
  <c r="AS60" i="15"/>
  <c r="AQ60" i="15"/>
  <c r="AN60" i="15"/>
  <c r="AM60" i="15"/>
  <c r="AJ60" i="15"/>
  <c r="N60" i="15"/>
  <c r="L60" i="15"/>
  <c r="I60" i="15"/>
  <c r="AS59" i="15"/>
  <c r="AR59" i="15"/>
  <c r="AQ59" i="15"/>
  <c r="AO59" i="15"/>
  <c r="AM59" i="15"/>
  <c r="AJ59" i="15"/>
  <c r="N59" i="15"/>
  <c r="L59" i="15"/>
  <c r="K59" i="15"/>
  <c r="AT58" i="15"/>
  <c r="AS58" i="15"/>
  <c r="AR58" i="15"/>
  <c r="AQ58" i="15"/>
  <c r="AP58" i="15"/>
  <c r="AN58" i="15"/>
  <c r="AJ58" i="15"/>
  <c r="N58" i="15"/>
  <c r="L58" i="15"/>
  <c r="J58" i="15"/>
  <c r="AT57" i="15"/>
  <c r="AP57" i="15"/>
  <c r="AO57" i="15"/>
  <c r="AM57" i="15"/>
  <c r="AJ57" i="15"/>
  <c r="N57" i="15"/>
  <c r="L57" i="15"/>
  <c r="K57" i="15"/>
  <c r="AT56" i="15"/>
  <c r="AS56" i="15"/>
  <c r="AR56" i="15"/>
  <c r="AQ56" i="15"/>
  <c r="AP56" i="15"/>
  <c r="AO56" i="15"/>
  <c r="AN56" i="15"/>
  <c r="N56" i="15"/>
  <c r="L56" i="15"/>
  <c r="B56" i="15"/>
  <c r="AT55" i="15"/>
  <c r="AS55" i="15"/>
  <c r="AR55" i="15"/>
  <c r="AQ55" i="15"/>
  <c r="AP55" i="15"/>
  <c r="AO55" i="15"/>
  <c r="AN55" i="15"/>
  <c r="AM55" i="15"/>
  <c r="AJ55" i="15"/>
  <c r="N55" i="15"/>
  <c r="L55" i="15"/>
  <c r="C55" i="15"/>
  <c r="AT54" i="15"/>
  <c r="AR54" i="15"/>
  <c r="AO54" i="15"/>
  <c r="AN54" i="15"/>
  <c r="AM54" i="15"/>
  <c r="N54" i="15"/>
  <c r="L54" i="15"/>
  <c r="D54" i="15"/>
  <c r="AT53" i="15"/>
  <c r="AS53" i="15"/>
  <c r="AQ53" i="15"/>
  <c r="AP53" i="15"/>
  <c r="AM53" i="15"/>
  <c r="AJ53" i="15"/>
  <c r="N53" i="15"/>
  <c r="L53" i="15"/>
  <c r="E53" i="15"/>
  <c r="AT52" i="15"/>
  <c r="AS52" i="15"/>
  <c r="AR52" i="15"/>
  <c r="AQ52" i="15"/>
  <c r="AP52" i="15"/>
  <c r="AO52" i="15"/>
  <c r="AN52" i="15"/>
  <c r="AJ52" i="15"/>
  <c r="N52" i="15"/>
  <c r="L52" i="15"/>
  <c r="F52" i="15"/>
  <c r="AT51" i="15"/>
  <c r="AS51" i="15"/>
  <c r="AR51" i="15"/>
  <c r="AQ51" i="15"/>
  <c r="AO51" i="15"/>
  <c r="AN51" i="15"/>
  <c r="AM51" i="15"/>
  <c r="AJ51" i="15"/>
  <c r="N51" i="15"/>
  <c r="L51" i="15"/>
  <c r="G51" i="15"/>
  <c r="AT50" i="15"/>
  <c r="AS50" i="15"/>
  <c r="AR50" i="15"/>
  <c r="AP50" i="15"/>
  <c r="AN50" i="15"/>
  <c r="AM50" i="15"/>
  <c r="AJ50" i="15"/>
  <c r="N50" i="15"/>
  <c r="L50" i="15"/>
  <c r="H50" i="15"/>
  <c r="D22" i="15" s="1"/>
  <c r="B50" i="15" s="1"/>
  <c r="AF50" i="15" s="1"/>
  <c r="AQ50" i="15" s="1"/>
  <c r="AT49" i="15"/>
  <c r="AS49" i="15"/>
  <c r="AQ49" i="15"/>
  <c r="AP49" i="15"/>
  <c r="AO49" i="15"/>
  <c r="AM49" i="15"/>
  <c r="N49" i="15"/>
  <c r="L49" i="15"/>
  <c r="I49" i="15"/>
  <c r="AT48" i="15"/>
  <c r="AS48" i="15"/>
  <c r="AR48" i="15"/>
  <c r="AQ48" i="15"/>
  <c r="AP48" i="15"/>
  <c r="AO48" i="15"/>
  <c r="AN48" i="15"/>
  <c r="AJ48" i="15"/>
  <c r="N48" i="15"/>
  <c r="L48" i="15"/>
  <c r="J48" i="15"/>
  <c r="AT47" i="15"/>
  <c r="AS47" i="15"/>
  <c r="AR47" i="15"/>
  <c r="AQ47" i="15"/>
  <c r="AO47" i="15"/>
  <c r="AN47" i="15"/>
  <c r="AM47" i="15"/>
  <c r="N47" i="15"/>
  <c r="L47" i="15"/>
  <c r="K47" i="15"/>
  <c r="AT46" i="15"/>
  <c r="AS46" i="15"/>
  <c r="AR46" i="15"/>
  <c r="AP46" i="15"/>
  <c r="AN46" i="15"/>
  <c r="AM46" i="15"/>
  <c r="AJ46" i="15"/>
  <c r="N46" i="15"/>
  <c r="L46" i="15"/>
  <c r="C46" i="15"/>
  <c r="AT45" i="15"/>
  <c r="AS45" i="15"/>
  <c r="AR45" i="15"/>
  <c r="AQ45" i="15"/>
  <c r="AP45" i="15"/>
  <c r="AO45" i="15"/>
  <c r="AN45" i="15"/>
  <c r="AM45" i="15"/>
  <c r="AJ45" i="15"/>
  <c r="N45" i="15"/>
  <c r="L45" i="15"/>
  <c r="D45" i="15"/>
  <c r="AT44" i="15"/>
  <c r="AS44" i="15"/>
  <c r="AR44" i="15"/>
  <c r="AQ44" i="15"/>
  <c r="AP44" i="15"/>
  <c r="AO44" i="15"/>
  <c r="AM44" i="15"/>
  <c r="AJ44" i="15"/>
  <c r="N44" i="15"/>
  <c r="L44" i="15"/>
  <c r="E44" i="15"/>
  <c r="AT43" i="15"/>
  <c r="AS43" i="15"/>
  <c r="AR43" i="15"/>
  <c r="AQ43" i="15"/>
  <c r="AO43" i="15"/>
  <c r="AN43" i="15"/>
  <c r="AJ43" i="15"/>
  <c r="N43" i="15"/>
  <c r="L43" i="15"/>
  <c r="F43" i="15"/>
  <c r="AT42" i="15"/>
  <c r="AS42" i="15"/>
  <c r="AR42" i="15"/>
  <c r="AQ42" i="15"/>
  <c r="AP42" i="15"/>
  <c r="AN42" i="15"/>
  <c r="AM42" i="15"/>
  <c r="N42" i="15"/>
  <c r="L42" i="15"/>
  <c r="G42" i="15"/>
  <c r="AT41" i="15"/>
  <c r="AS41" i="15"/>
  <c r="AR41" i="15"/>
  <c r="AQ41" i="15"/>
  <c r="AP41" i="15"/>
  <c r="AO41" i="15"/>
  <c r="AN41" i="15"/>
  <c r="AM41" i="15"/>
  <c r="AJ41" i="15"/>
  <c r="N41" i="15"/>
  <c r="L41" i="15"/>
  <c r="H41" i="15"/>
  <c r="AT40" i="15"/>
  <c r="AS40" i="15"/>
  <c r="AR40" i="15"/>
  <c r="AQ40" i="15"/>
  <c r="AP40" i="15"/>
  <c r="AO40" i="15"/>
  <c r="AM40" i="15"/>
  <c r="AJ40" i="15"/>
  <c r="N40" i="15"/>
  <c r="L40" i="15"/>
  <c r="I40" i="15"/>
  <c r="AT39" i="15"/>
  <c r="AS39" i="15"/>
  <c r="AR39" i="15"/>
  <c r="AQ39" i="15"/>
  <c r="AP39" i="15"/>
  <c r="AO39" i="15"/>
  <c r="AN39" i="15"/>
  <c r="AJ39" i="15"/>
  <c r="N39" i="15"/>
  <c r="L39" i="15"/>
  <c r="J39" i="15"/>
  <c r="AT38" i="15"/>
  <c r="AS38" i="15"/>
  <c r="AR38" i="15"/>
  <c r="AQ38" i="15"/>
  <c r="AP38" i="15"/>
  <c r="AO38" i="15"/>
  <c r="AN38" i="15"/>
  <c r="AM38" i="15"/>
  <c r="N38" i="15"/>
  <c r="L38" i="15"/>
  <c r="K38" i="15"/>
  <c r="AT37" i="15"/>
  <c r="AS37" i="15"/>
  <c r="AR37" i="15"/>
  <c r="AQ37" i="15"/>
  <c r="AP37" i="15"/>
  <c r="AO37" i="15"/>
  <c r="AN37" i="15"/>
  <c r="AM37" i="15"/>
  <c r="AJ37" i="15"/>
  <c r="P37" i="15"/>
  <c r="Q37" i="15" s="1"/>
  <c r="N37" i="15"/>
  <c r="L37" i="15"/>
  <c r="AT36" i="15"/>
  <c r="AS36" i="15"/>
  <c r="AR36" i="15"/>
  <c r="AQ36" i="15"/>
  <c r="AP36" i="15"/>
  <c r="AO36" i="15"/>
  <c r="AN36" i="15"/>
  <c r="AM36" i="15"/>
  <c r="AJ36" i="15"/>
  <c r="Q36" i="15"/>
  <c r="N36" i="15"/>
  <c r="L36" i="15"/>
  <c r="K35" i="15"/>
  <c r="J35" i="15"/>
  <c r="I35" i="15"/>
  <c r="H35" i="15"/>
  <c r="G35" i="15"/>
  <c r="F35" i="15"/>
  <c r="E35" i="15"/>
  <c r="D35" i="15"/>
  <c r="C35" i="15"/>
  <c r="BC34" i="15"/>
  <c r="BB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J34" i="15"/>
  <c r="AI34" i="15"/>
  <c r="AH34" i="15"/>
  <c r="AG34" i="15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L33" i="15"/>
  <c r="G33" i="15"/>
  <c r="P32" i="15"/>
  <c r="G32" i="15"/>
  <c r="G30" i="15"/>
  <c r="I30" i="15" s="1"/>
  <c r="T32" i="15" s="1"/>
  <c r="I29" i="15"/>
  <c r="I28" i="15"/>
  <c r="C28" i="15"/>
  <c r="AK39" i="15" s="1"/>
  <c r="B25" i="15"/>
  <c r="B24" i="15"/>
  <c r="M23" i="15"/>
  <c r="B141" i="15" s="1"/>
  <c r="B23" i="15"/>
  <c r="B22" i="15"/>
  <c r="E21" i="15"/>
  <c r="B62" i="15" s="1"/>
  <c r="B21" i="15"/>
  <c r="B20" i="15"/>
  <c r="B19" i="15"/>
  <c r="B18" i="15"/>
  <c r="B17" i="15"/>
  <c r="P15" i="15"/>
  <c r="P22" i="15" s="1"/>
  <c r="B189" i="15" s="1"/>
  <c r="O15" i="15"/>
  <c r="O19" i="15" s="1"/>
  <c r="B175" i="15" s="1"/>
  <c r="N15" i="15"/>
  <c r="M15" i="15"/>
  <c r="M25" i="15" s="1"/>
  <c r="L15" i="15"/>
  <c r="L23" i="15" s="1"/>
  <c r="B129" i="15" s="1"/>
  <c r="K15" i="15"/>
  <c r="K23" i="15" s="1"/>
  <c r="B119" i="15" s="1"/>
  <c r="J15" i="15"/>
  <c r="I15" i="15"/>
  <c r="I24" i="15" s="1"/>
  <c r="B97" i="15" s="1"/>
  <c r="H15" i="15"/>
  <c r="H18" i="15" s="1"/>
  <c r="B92" i="15" s="1"/>
  <c r="G15" i="15"/>
  <c r="F15" i="15"/>
  <c r="E15" i="15"/>
  <c r="E23" i="15" s="1"/>
  <c r="B60" i="15" s="1"/>
  <c r="D15" i="15"/>
  <c r="D18" i="15" s="1"/>
  <c r="B54" i="15" s="1"/>
  <c r="C15" i="15"/>
  <c r="D222" i="14"/>
  <c r="C222" i="14"/>
  <c r="B222" i="14"/>
  <c r="D221" i="14"/>
  <c r="C221" i="14"/>
  <c r="E221" i="14" s="1"/>
  <c r="B221" i="14"/>
  <c r="D220" i="14"/>
  <c r="C220" i="14"/>
  <c r="B220" i="14"/>
  <c r="D219" i="14"/>
  <c r="C219" i="14"/>
  <c r="E219" i="14" s="1"/>
  <c r="B219" i="14"/>
  <c r="D218" i="14"/>
  <c r="C218" i="14"/>
  <c r="B218" i="14"/>
  <c r="D217" i="14"/>
  <c r="C217" i="14"/>
  <c r="B217" i="14"/>
  <c r="D216" i="14"/>
  <c r="C216" i="14"/>
  <c r="B216" i="14"/>
  <c r="E215" i="14"/>
  <c r="D215" i="14"/>
  <c r="C215" i="14"/>
  <c r="B215" i="14"/>
  <c r="D214" i="14"/>
  <c r="C214" i="14"/>
  <c r="E214" i="14" s="1"/>
  <c r="B214" i="14"/>
  <c r="D213" i="14"/>
  <c r="C213" i="14"/>
  <c r="E213" i="14" s="1"/>
  <c r="B213" i="14"/>
  <c r="D212" i="14"/>
  <c r="C212" i="14"/>
  <c r="E212" i="14" s="1"/>
  <c r="B212" i="14"/>
  <c r="D211" i="14"/>
  <c r="C211" i="14"/>
  <c r="B211" i="14"/>
  <c r="D210" i="14"/>
  <c r="C210" i="14"/>
  <c r="B210" i="14"/>
  <c r="D209" i="14"/>
  <c r="C209" i="14"/>
  <c r="E209" i="14" s="1"/>
  <c r="B209" i="14"/>
  <c r="D208" i="14"/>
  <c r="C208" i="14"/>
  <c r="B208" i="14"/>
  <c r="D207" i="14"/>
  <c r="C207" i="14"/>
  <c r="B207" i="14"/>
  <c r="E207" i="14" s="1"/>
  <c r="D206" i="14"/>
  <c r="C206" i="14"/>
  <c r="E206" i="14" s="1"/>
  <c r="B206" i="14"/>
  <c r="E205" i="14"/>
  <c r="D205" i="14"/>
  <c r="C205" i="14"/>
  <c r="B205" i="14"/>
  <c r="D204" i="14"/>
  <c r="C204" i="14"/>
  <c r="B204" i="14"/>
  <c r="D203" i="14"/>
  <c r="C203" i="14"/>
  <c r="E203" i="14" s="1"/>
  <c r="B203" i="14"/>
  <c r="D202" i="14"/>
  <c r="C202" i="14"/>
  <c r="B202" i="14"/>
  <c r="D201" i="14"/>
  <c r="C201" i="14"/>
  <c r="B201" i="14"/>
  <c r="D200" i="14"/>
  <c r="C200" i="14"/>
  <c r="B200" i="14"/>
  <c r="D199" i="14"/>
  <c r="C199" i="14"/>
  <c r="B199" i="14"/>
  <c r="D198" i="14"/>
  <c r="C198" i="14"/>
  <c r="B198" i="14"/>
  <c r="D197" i="14"/>
  <c r="C197" i="14"/>
  <c r="B197" i="14"/>
  <c r="E197" i="14" s="1"/>
  <c r="D196" i="14"/>
  <c r="C196" i="14"/>
  <c r="E196" i="14" s="1"/>
  <c r="B196" i="14"/>
  <c r="D195" i="14"/>
  <c r="C195" i="14"/>
  <c r="B195" i="14"/>
  <c r="D194" i="14"/>
  <c r="C194" i="14"/>
  <c r="E194" i="14" s="1"/>
  <c r="B194" i="14"/>
  <c r="D193" i="14"/>
  <c r="C193" i="14"/>
  <c r="B193" i="14"/>
  <c r="D192" i="14"/>
  <c r="C192" i="14"/>
  <c r="B192" i="14"/>
  <c r="E191" i="14"/>
  <c r="D191" i="14"/>
  <c r="C191" i="14"/>
  <c r="B191" i="14"/>
  <c r="D190" i="14"/>
  <c r="C190" i="14"/>
  <c r="B190" i="14"/>
  <c r="D189" i="14"/>
  <c r="C189" i="14"/>
  <c r="E189" i="14" s="1"/>
  <c r="B189" i="14"/>
  <c r="D188" i="14"/>
  <c r="C188" i="14"/>
  <c r="E188" i="14" s="1"/>
  <c r="B188" i="14"/>
  <c r="D187" i="14"/>
  <c r="C187" i="14"/>
  <c r="B187" i="14"/>
  <c r="D186" i="14"/>
  <c r="C186" i="14"/>
  <c r="B186" i="14"/>
  <c r="D185" i="14"/>
  <c r="C185" i="14"/>
  <c r="B185" i="14"/>
  <c r="D184" i="14"/>
  <c r="C184" i="14"/>
  <c r="B184" i="14"/>
  <c r="D183" i="14"/>
  <c r="C183" i="14"/>
  <c r="B183" i="14"/>
  <c r="E183" i="14" s="1"/>
  <c r="D182" i="14"/>
  <c r="C182" i="14"/>
  <c r="E182" i="14" s="1"/>
  <c r="B182" i="14"/>
  <c r="E181" i="14"/>
  <c r="D181" i="14"/>
  <c r="C181" i="14"/>
  <c r="B181" i="14"/>
  <c r="D180" i="14"/>
  <c r="C180" i="14"/>
  <c r="B180" i="14"/>
  <c r="D179" i="14"/>
  <c r="C179" i="14"/>
  <c r="E179" i="14" s="1"/>
  <c r="B179" i="14"/>
  <c r="D178" i="14"/>
  <c r="C178" i="14"/>
  <c r="B178" i="14"/>
  <c r="D177" i="14"/>
  <c r="C177" i="14"/>
  <c r="B177" i="14"/>
  <c r="D176" i="14"/>
  <c r="C176" i="14"/>
  <c r="B176" i="14"/>
  <c r="D175" i="14"/>
  <c r="C175" i="14"/>
  <c r="E175" i="14" s="1"/>
  <c r="B175" i="14"/>
  <c r="D174" i="14"/>
  <c r="C174" i="14"/>
  <c r="E174" i="14" s="1"/>
  <c r="B174" i="14"/>
  <c r="D173" i="14"/>
  <c r="C173" i="14"/>
  <c r="E173" i="14" s="1"/>
  <c r="B173" i="14"/>
  <c r="D172" i="14"/>
  <c r="C172" i="14"/>
  <c r="B172" i="14"/>
  <c r="D171" i="14"/>
  <c r="C171" i="14"/>
  <c r="E171" i="14" s="1"/>
  <c r="B171" i="14"/>
  <c r="D170" i="14"/>
  <c r="C170" i="14"/>
  <c r="B170" i="14"/>
  <c r="D169" i="14"/>
  <c r="C169" i="14"/>
  <c r="E169" i="14" s="1"/>
  <c r="B169" i="14"/>
  <c r="D168" i="14"/>
  <c r="C168" i="14"/>
  <c r="B168" i="14"/>
  <c r="D167" i="14"/>
  <c r="C167" i="14"/>
  <c r="B167" i="14"/>
  <c r="D166" i="14"/>
  <c r="C166" i="14"/>
  <c r="B166" i="14"/>
  <c r="D165" i="14"/>
  <c r="C165" i="14"/>
  <c r="B165" i="14"/>
  <c r="E165" i="14" s="1"/>
  <c r="D164" i="14"/>
  <c r="C164" i="14"/>
  <c r="E164" i="14" s="1"/>
  <c r="B164" i="14"/>
  <c r="D163" i="14"/>
  <c r="C163" i="14"/>
  <c r="B163" i="14"/>
  <c r="D162" i="14"/>
  <c r="C162" i="14"/>
  <c r="E162" i="14" s="1"/>
  <c r="B162" i="14"/>
  <c r="D161" i="14"/>
  <c r="C161" i="14"/>
  <c r="B161" i="14"/>
  <c r="D160" i="14"/>
  <c r="C160" i="14"/>
  <c r="B160" i="14"/>
  <c r="D159" i="14"/>
  <c r="C159" i="14"/>
  <c r="B159" i="14"/>
  <c r="E159" i="14" s="1"/>
  <c r="D158" i="14"/>
  <c r="C158" i="14"/>
  <c r="B158" i="14"/>
  <c r="CK157" i="14"/>
  <c r="BB157" i="14"/>
  <c r="BA157" i="14"/>
  <c r="AZ157" i="14"/>
  <c r="AY157" i="14"/>
  <c r="AX157" i="14"/>
  <c r="AW157" i="14"/>
  <c r="AV157" i="14"/>
  <c r="AU157" i="14"/>
  <c r="AT157" i="14"/>
  <c r="D157" i="14"/>
  <c r="C157" i="14"/>
  <c r="B157" i="14"/>
  <c r="CK156" i="14"/>
  <c r="BB156" i="14"/>
  <c r="BA156" i="14"/>
  <c r="AZ156" i="14"/>
  <c r="AY156" i="14"/>
  <c r="AX156" i="14"/>
  <c r="AW156" i="14"/>
  <c r="AV156" i="14"/>
  <c r="AU156" i="14"/>
  <c r="AT156" i="14"/>
  <c r="D156" i="14"/>
  <c r="C156" i="14"/>
  <c r="E156" i="14" s="1"/>
  <c r="B156" i="14"/>
  <c r="CK155" i="14"/>
  <c r="BB155" i="14"/>
  <c r="BA155" i="14"/>
  <c r="AZ155" i="14"/>
  <c r="AY155" i="14"/>
  <c r="AX155" i="14"/>
  <c r="AW155" i="14"/>
  <c r="AV155" i="14"/>
  <c r="AU155" i="14"/>
  <c r="AT155" i="14"/>
  <c r="E155" i="14"/>
  <c r="D155" i="14"/>
  <c r="C155" i="14"/>
  <c r="B155" i="14"/>
  <c r="CK154" i="14"/>
  <c r="BB154" i="14"/>
  <c r="BA154" i="14"/>
  <c r="AZ154" i="14"/>
  <c r="AY154" i="14"/>
  <c r="AX154" i="14"/>
  <c r="AW154" i="14"/>
  <c r="AV154" i="14"/>
  <c r="AU154" i="14"/>
  <c r="AT154" i="14"/>
  <c r="D154" i="14"/>
  <c r="C154" i="14"/>
  <c r="B154" i="14"/>
  <c r="E154" i="14" s="1"/>
  <c r="CK153" i="14"/>
  <c r="BB153" i="14"/>
  <c r="BA153" i="14"/>
  <c r="AZ153" i="14"/>
  <c r="AY153" i="14"/>
  <c r="AX153" i="14"/>
  <c r="AW153" i="14"/>
  <c r="AV153" i="14"/>
  <c r="AU153" i="14"/>
  <c r="AT153" i="14"/>
  <c r="D153" i="14"/>
  <c r="C153" i="14"/>
  <c r="E153" i="14" s="1"/>
  <c r="B153" i="14"/>
  <c r="CK152" i="14"/>
  <c r="BB152" i="14"/>
  <c r="BA152" i="14"/>
  <c r="AZ152" i="14"/>
  <c r="AY152" i="14"/>
  <c r="AX152" i="14"/>
  <c r="AW152" i="14"/>
  <c r="AV152" i="14"/>
  <c r="AU152" i="14"/>
  <c r="AT152" i="14"/>
  <c r="D152" i="14"/>
  <c r="C152" i="14"/>
  <c r="B152" i="14"/>
  <c r="CK151" i="14"/>
  <c r="BB151" i="14"/>
  <c r="BA151" i="14"/>
  <c r="AZ151" i="14"/>
  <c r="AY151" i="14"/>
  <c r="AX151" i="14"/>
  <c r="AW151" i="14"/>
  <c r="AV151" i="14"/>
  <c r="AU151" i="14"/>
  <c r="AT151" i="14"/>
  <c r="D151" i="14"/>
  <c r="C151" i="14"/>
  <c r="E151" i="14" s="1"/>
  <c r="B151" i="14"/>
  <c r="CK150" i="14"/>
  <c r="BB150" i="14"/>
  <c r="BA150" i="14"/>
  <c r="AZ150" i="14"/>
  <c r="AY150" i="14"/>
  <c r="AX150" i="14"/>
  <c r="AW150" i="14"/>
  <c r="AV150" i="14"/>
  <c r="AU150" i="14"/>
  <c r="AT150" i="14"/>
  <c r="D150" i="14"/>
  <c r="C150" i="14"/>
  <c r="B150" i="14"/>
  <c r="CK149" i="14"/>
  <c r="BB149" i="14"/>
  <c r="BA149" i="14"/>
  <c r="AZ149" i="14"/>
  <c r="AY149" i="14"/>
  <c r="AX149" i="14"/>
  <c r="AW149" i="14"/>
  <c r="AV149" i="14"/>
  <c r="AU149" i="14"/>
  <c r="AT149" i="14"/>
  <c r="D149" i="14"/>
  <c r="C149" i="14"/>
  <c r="E149" i="14" s="1"/>
  <c r="B149" i="14"/>
  <c r="CK148" i="14"/>
  <c r="BB148" i="14"/>
  <c r="BA148" i="14"/>
  <c r="AZ148" i="14"/>
  <c r="AY148" i="14"/>
  <c r="AX148" i="14"/>
  <c r="AW148" i="14"/>
  <c r="AV148" i="14"/>
  <c r="AU148" i="14"/>
  <c r="AT148" i="14"/>
  <c r="D148" i="14"/>
  <c r="C148" i="14"/>
  <c r="B148" i="14"/>
  <c r="CK147" i="14"/>
  <c r="BB147" i="14"/>
  <c r="BA147" i="14"/>
  <c r="AZ147" i="14"/>
  <c r="AY147" i="14"/>
  <c r="AX147" i="14"/>
  <c r="AW147" i="14"/>
  <c r="AV147" i="14"/>
  <c r="AU147" i="14"/>
  <c r="AT147" i="14"/>
  <c r="D147" i="14"/>
  <c r="C147" i="14"/>
  <c r="B147" i="14"/>
  <c r="CK146" i="14"/>
  <c r="BB146" i="14"/>
  <c r="BA146" i="14"/>
  <c r="AZ146" i="14"/>
  <c r="AY146" i="14"/>
  <c r="AX146" i="14"/>
  <c r="AW146" i="14"/>
  <c r="AV146" i="14"/>
  <c r="AU146" i="14"/>
  <c r="AT146" i="14"/>
  <c r="D146" i="14"/>
  <c r="C146" i="14"/>
  <c r="B146" i="14"/>
  <c r="CK145" i="14"/>
  <c r="BB145" i="14"/>
  <c r="BA145" i="14"/>
  <c r="AZ145" i="14"/>
  <c r="AY145" i="14"/>
  <c r="AX145" i="14"/>
  <c r="AW145" i="14"/>
  <c r="AV145" i="14"/>
  <c r="AU145" i="14"/>
  <c r="AT145" i="14"/>
  <c r="D145" i="14"/>
  <c r="C145" i="14"/>
  <c r="E145" i="14" s="1"/>
  <c r="B145" i="14"/>
  <c r="CK144" i="14"/>
  <c r="BB144" i="14"/>
  <c r="BA144" i="14"/>
  <c r="AZ144" i="14"/>
  <c r="AY144" i="14"/>
  <c r="AX144" i="14"/>
  <c r="AW144" i="14"/>
  <c r="AV144" i="14"/>
  <c r="AU144" i="14"/>
  <c r="AT144" i="14"/>
  <c r="D144" i="14"/>
  <c r="C144" i="14"/>
  <c r="B144" i="14"/>
  <c r="CK143" i="14"/>
  <c r="BB143" i="14"/>
  <c r="BA143" i="14"/>
  <c r="AZ143" i="14"/>
  <c r="AY143" i="14"/>
  <c r="AX143" i="14"/>
  <c r="AW143" i="14"/>
  <c r="AV143" i="14"/>
  <c r="AU143" i="14"/>
  <c r="AT143" i="14"/>
  <c r="D143" i="14"/>
  <c r="C143" i="14"/>
  <c r="E143" i="14" s="1"/>
  <c r="B143" i="14"/>
  <c r="CK142" i="14"/>
  <c r="BB142" i="14"/>
  <c r="BA142" i="14"/>
  <c r="AZ142" i="14"/>
  <c r="AY142" i="14"/>
  <c r="AX142" i="14"/>
  <c r="AW142" i="14"/>
  <c r="AV142" i="14"/>
  <c r="AU142" i="14"/>
  <c r="AT142" i="14"/>
  <c r="D142" i="14"/>
  <c r="C142" i="14"/>
  <c r="B142" i="14"/>
  <c r="CK141" i="14"/>
  <c r="BB141" i="14"/>
  <c r="BA141" i="14"/>
  <c r="AZ141" i="14"/>
  <c r="AY141" i="14"/>
  <c r="AX141" i="14"/>
  <c r="AW141" i="14"/>
  <c r="AV141" i="14"/>
  <c r="AU141" i="14"/>
  <c r="AT141" i="14"/>
  <c r="D141" i="14"/>
  <c r="C141" i="14"/>
  <c r="E141" i="14" s="1"/>
  <c r="B141" i="14"/>
  <c r="CK140" i="14"/>
  <c r="BB140" i="14"/>
  <c r="BA140" i="14"/>
  <c r="AZ140" i="14"/>
  <c r="AY140" i="14"/>
  <c r="AX140" i="14"/>
  <c r="AW140" i="14"/>
  <c r="AV140" i="14"/>
  <c r="AU140" i="14"/>
  <c r="AT140" i="14"/>
  <c r="D140" i="14"/>
  <c r="C140" i="14"/>
  <c r="B140" i="14"/>
  <c r="CK139" i="14"/>
  <c r="BB139" i="14"/>
  <c r="BA139" i="14"/>
  <c r="AZ139" i="14"/>
  <c r="AY139" i="14"/>
  <c r="AX139" i="14"/>
  <c r="AW139" i="14"/>
  <c r="AV139" i="14"/>
  <c r="AU139" i="14"/>
  <c r="AT139" i="14"/>
  <c r="D139" i="14"/>
  <c r="C139" i="14"/>
  <c r="E139" i="14" s="1"/>
  <c r="B139" i="14"/>
  <c r="CK138" i="14"/>
  <c r="BB138" i="14"/>
  <c r="BA138" i="14"/>
  <c r="AZ138" i="14"/>
  <c r="AY138" i="14"/>
  <c r="AX138" i="14"/>
  <c r="AW138" i="14"/>
  <c r="AV138" i="14"/>
  <c r="AU138" i="14"/>
  <c r="AT138" i="14"/>
  <c r="D138" i="14"/>
  <c r="C138" i="14"/>
  <c r="B138" i="14"/>
  <c r="CK137" i="14"/>
  <c r="BB137" i="14"/>
  <c r="BA137" i="14"/>
  <c r="AZ137" i="14"/>
  <c r="AY137" i="14"/>
  <c r="AX137" i="14"/>
  <c r="AW137" i="14"/>
  <c r="AV137" i="14"/>
  <c r="AU137" i="14"/>
  <c r="AT137" i="14"/>
  <c r="D137" i="14"/>
  <c r="C137" i="14"/>
  <c r="E137" i="14" s="1"/>
  <c r="B137" i="14"/>
  <c r="CK136" i="14"/>
  <c r="BB136" i="14"/>
  <c r="BA136" i="14"/>
  <c r="AZ136" i="14"/>
  <c r="AY136" i="14"/>
  <c r="AX136" i="14"/>
  <c r="AW136" i="14"/>
  <c r="AV136" i="14"/>
  <c r="AU136" i="14"/>
  <c r="AT136" i="14"/>
  <c r="D136" i="14"/>
  <c r="C136" i="14"/>
  <c r="B136" i="14"/>
  <c r="EQ135" i="14"/>
  <c r="EP135" i="14"/>
  <c r="EO135" i="14"/>
  <c r="CK135" i="14"/>
  <c r="BB135" i="14"/>
  <c r="BA135" i="14"/>
  <c r="AZ135" i="14"/>
  <c r="AY135" i="14"/>
  <c r="AX135" i="14"/>
  <c r="AW135" i="14"/>
  <c r="AV135" i="14"/>
  <c r="AU135" i="14"/>
  <c r="AT135" i="14"/>
  <c r="D135" i="14"/>
  <c r="C135" i="14"/>
  <c r="B135" i="14"/>
  <c r="CK134" i="14"/>
  <c r="BB134" i="14"/>
  <c r="BA134" i="14"/>
  <c r="AZ134" i="14"/>
  <c r="AY134" i="14"/>
  <c r="AX134" i="14"/>
  <c r="AW134" i="14"/>
  <c r="AV134" i="14"/>
  <c r="AU134" i="14"/>
  <c r="AT134" i="14"/>
  <c r="D134" i="14"/>
  <c r="C134" i="14"/>
  <c r="E134" i="14" s="1"/>
  <c r="B134" i="14"/>
  <c r="EQ133" i="14"/>
  <c r="EP133" i="14"/>
  <c r="EO133" i="14"/>
  <c r="EO136" i="14" s="1"/>
  <c r="EN129" i="14" s="1"/>
  <c r="CK133" i="14"/>
  <c r="BB133" i="14"/>
  <c r="BA133" i="14"/>
  <c r="AZ133" i="14"/>
  <c r="AY133" i="14"/>
  <c r="AX133" i="14"/>
  <c r="AW133" i="14"/>
  <c r="AV133" i="14"/>
  <c r="AU133" i="14"/>
  <c r="AT133" i="14"/>
  <c r="D133" i="14"/>
  <c r="C133" i="14"/>
  <c r="E133" i="14" s="1"/>
  <c r="B133" i="14"/>
  <c r="CK132" i="14"/>
  <c r="BB132" i="14"/>
  <c r="BA132" i="14"/>
  <c r="AZ132" i="14"/>
  <c r="AY132" i="14"/>
  <c r="AX132" i="14"/>
  <c r="AW132" i="14"/>
  <c r="AV132" i="14"/>
  <c r="AU132" i="14"/>
  <c r="AT132" i="14"/>
  <c r="D132" i="14"/>
  <c r="C132" i="14"/>
  <c r="E132" i="14" s="1"/>
  <c r="B132" i="14"/>
  <c r="CK131" i="14"/>
  <c r="BB131" i="14"/>
  <c r="BA131" i="14"/>
  <c r="AZ131" i="14"/>
  <c r="AY131" i="14"/>
  <c r="AX131" i="14"/>
  <c r="AW131" i="14"/>
  <c r="AV131" i="14"/>
  <c r="AU131" i="14"/>
  <c r="AT131" i="14"/>
  <c r="D131" i="14"/>
  <c r="C131" i="14"/>
  <c r="B131" i="14"/>
  <c r="CK130" i="14"/>
  <c r="BB130" i="14"/>
  <c r="BA130" i="14"/>
  <c r="AZ130" i="14"/>
  <c r="AY130" i="14"/>
  <c r="AX130" i="14"/>
  <c r="AW130" i="14"/>
  <c r="AV130" i="14"/>
  <c r="AU130" i="14"/>
  <c r="AT130" i="14"/>
  <c r="D130" i="14"/>
  <c r="C130" i="14"/>
  <c r="B130" i="14"/>
  <c r="FA129" i="14"/>
  <c r="CK129" i="14"/>
  <c r="BB129" i="14"/>
  <c r="BA129" i="14"/>
  <c r="AZ129" i="14"/>
  <c r="AY129" i="14"/>
  <c r="AX129" i="14"/>
  <c r="AW129" i="14"/>
  <c r="AV129" i="14"/>
  <c r="AU129" i="14"/>
  <c r="AT129" i="14"/>
  <c r="D129" i="14"/>
  <c r="C129" i="14"/>
  <c r="E129" i="14" s="1"/>
  <c r="B129" i="14"/>
  <c r="CK128" i="14"/>
  <c r="BB128" i="14"/>
  <c r="BA128" i="14"/>
  <c r="AZ128" i="14"/>
  <c r="AY128" i="14"/>
  <c r="AX128" i="14"/>
  <c r="AW128" i="14"/>
  <c r="AV128" i="14"/>
  <c r="AU128" i="14"/>
  <c r="AT128" i="14"/>
  <c r="D128" i="14"/>
  <c r="C128" i="14"/>
  <c r="B128" i="14"/>
  <c r="E128" i="14" s="1"/>
  <c r="EL127" i="14"/>
  <c r="EJ127" i="14"/>
  <c r="CK127" i="14"/>
  <c r="BB127" i="14"/>
  <c r="BA127" i="14"/>
  <c r="AZ127" i="14"/>
  <c r="AY127" i="14"/>
  <c r="AX127" i="14"/>
  <c r="AW127" i="14"/>
  <c r="AV127" i="14"/>
  <c r="AU127" i="14"/>
  <c r="AT127" i="14"/>
  <c r="D127" i="14"/>
  <c r="C127" i="14"/>
  <c r="B127" i="14"/>
  <c r="EL126" i="14"/>
  <c r="EJ126" i="14"/>
  <c r="CK126" i="14"/>
  <c r="BB126" i="14"/>
  <c r="BA126" i="14"/>
  <c r="AZ126" i="14"/>
  <c r="AY126" i="14"/>
  <c r="AX126" i="14"/>
  <c r="AW126" i="14"/>
  <c r="AV126" i="14"/>
  <c r="AU126" i="14"/>
  <c r="AT126" i="14"/>
  <c r="D126" i="14"/>
  <c r="C126" i="14"/>
  <c r="B126" i="14"/>
  <c r="EL125" i="14"/>
  <c r="EJ125" i="14"/>
  <c r="CK125" i="14"/>
  <c r="BB125" i="14"/>
  <c r="BA125" i="14"/>
  <c r="AZ125" i="14"/>
  <c r="AY125" i="14"/>
  <c r="AX125" i="14"/>
  <c r="AW125" i="14"/>
  <c r="AV125" i="14"/>
  <c r="AU125" i="14"/>
  <c r="AT125" i="14"/>
  <c r="D125" i="14"/>
  <c r="C125" i="14"/>
  <c r="B125" i="14"/>
  <c r="EL124" i="14"/>
  <c r="EJ124" i="14"/>
  <c r="CK124" i="14"/>
  <c r="BB124" i="14"/>
  <c r="BA124" i="14"/>
  <c r="AZ124" i="14"/>
  <c r="AY124" i="14"/>
  <c r="AX124" i="14"/>
  <c r="AW124" i="14"/>
  <c r="AV124" i="14"/>
  <c r="AU124" i="14"/>
  <c r="AT124" i="14"/>
  <c r="D124" i="14"/>
  <c r="C124" i="14"/>
  <c r="B124" i="14"/>
  <c r="E124" i="14" s="1"/>
  <c r="EL123" i="14"/>
  <c r="EJ123" i="14"/>
  <c r="CK123" i="14"/>
  <c r="BB123" i="14"/>
  <c r="BA123" i="14"/>
  <c r="AZ123" i="14"/>
  <c r="AY123" i="14"/>
  <c r="AX123" i="14"/>
  <c r="AW123" i="14"/>
  <c r="AV123" i="14"/>
  <c r="AU123" i="14"/>
  <c r="AT123" i="14"/>
  <c r="D123" i="14"/>
  <c r="C123" i="14"/>
  <c r="B123" i="14"/>
  <c r="EL122" i="14"/>
  <c r="EJ122" i="14"/>
  <c r="CK122" i="14"/>
  <c r="BB122" i="14"/>
  <c r="BA122" i="14"/>
  <c r="AZ122" i="14"/>
  <c r="AY122" i="14"/>
  <c r="AX122" i="14"/>
  <c r="AW122" i="14"/>
  <c r="AV122" i="14"/>
  <c r="AU122" i="14"/>
  <c r="AT122" i="14"/>
  <c r="D122" i="14"/>
  <c r="C122" i="14"/>
  <c r="B122" i="14"/>
  <c r="EL121" i="14"/>
  <c r="EJ121" i="14"/>
  <c r="CK121" i="14"/>
  <c r="BB121" i="14"/>
  <c r="BA121" i="14"/>
  <c r="AZ121" i="14"/>
  <c r="AY121" i="14"/>
  <c r="AX121" i="14"/>
  <c r="AW121" i="14"/>
  <c r="AV121" i="14"/>
  <c r="AU121" i="14"/>
  <c r="AT121" i="14"/>
  <c r="D121" i="14"/>
  <c r="C121" i="14"/>
  <c r="B121" i="14"/>
  <c r="EL120" i="14"/>
  <c r="EJ120" i="14"/>
  <c r="CK120" i="14"/>
  <c r="BB120" i="14"/>
  <c r="BA120" i="14"/>
  <c r="AZ120" i="14"/>
  <c r="AY120" i="14"/>
  <c r="AX120" i="14"/>
  <c r="AW120" i="14"/>
  <c r="AV120" i="14"/>
  <c r="AU120" i="14"/>
  <c r="AT120" i="14"/>
  <c r="D120" i="14"/>
  <c r="C120" i="14"/>
  <c r="B120" i="14"/>
  <c r="E120" i="14" s="1"/>
  <c r="EL119" i="14"/>
  <c r="EJ119" i="14"/>
  <c r="CK119" i="14"/>
  <c r="BB119" i="14"/>
  <c r="BA119" i="14"/>
  <c r="AZ119" i="14"/>
  <c r="AY119" i="14"/>
  <c r="AX119" i="14"/>
  <c r="AW119" i="14"/>
  <c r="AV119" i="14"/>
  <c r="AU119" i="14"/>
  <c r="AT119" i="14"/>
  <c r="D119" i="14"/>
  <c r="C119" i="14"/>
  <c r="B119" i="14"/>
  <c r="EL118" i="14"/>
  <c r="EJ118" i="14"/>
  <c r="CK118" i="14"/>
  <c r="BB118" i="14"/>
  <c r="BA118" i="14"/>
  <c r="AZ118" i="14"/>
  <c r="AY118" i="14"/>
  <c r="AX118" i="14"/>
  <c r="AW118" i="14"/>
  <c r="AV118" i="14"/>
  <c r="AU118" i="14"/>
  <c r="AT118" i="14"/>
  <c r="D118" i="14"/>
  <c r="C118" i="14"/>
  <c r="B118" i="14"/>
  <c r="EL117" i="14"/>
  <c r="EJ117" i="14"/>
  <c r="CK117" i="14"/>
  <c r="BB117" i="14"/>
  <c r="BA117" i="14"/>
  <c r="AZ117" i="14"/>
  <c r="AY117" i="14"/>
  <c r="AX117" i="14"/>
  <c r="AW117" i="14"/>
  <c r="AV117" i="14"/>
  <c r="AU117" i="14"/>
  <c r="AT117" i="14"/>
  <c r="D117" i="14"/>
  <c r="C117" i="14"/>
  <c r="E117" i="14" s="1"/>
  <c r="B117" i="14"/>
  <c r="EL116" i="14"/>
  <c r="EJ116" i="14"/>
  <c r="CK116" i="14"/>
  <c r="BB116" i="14"/>
  <c r="BA116" i="14"/>
  <c r="AZ116" i="14"/>
  <c r="AY116" i="14"/>
  <c r="AX116" i="14"/>
  <c r="AW116" i="14"/>
  <c r="AV116" i="14"/>
  <c r="AU116" i="14"/>
  <c r="AT116" i="14"/>
  <c r="D116" i="14"/>
  <c r="C116" i="14"/>
  <c r="B116" i="14"/>
  <c r="EL115" i="14"/>
  <c r="EJ115" i="14"/>
  <c r="CK115" i="14"/>
  <c r="BB115" i="14"/>
  <c r="BA115" i="14"/>
  <c r="AZ115" i="14"/>
  <c r="AY115" i="14"/>
  <c r="AX115" i="14"/>
  <c r="AW115" i="14"/>
  <c r="AV115" i="14"/>
  <c r="AU115" i="14"/>
  <c r="AT115" i="14"/>
  <c r="D115" i="14"/>
  <c r="C115" i="14"/>
  <c r="B115" i="14"/>
  <c r="EL114" i="14"/>
  <c r="EJ114" i="14"/>
  <c r="CK114" i="14"/>
  <c r="BB114" i="14"/>
  <c r="BA114" i="14"/>
  <c r="AZ114" i="14"/>
  <c r="AY114" i="14"/>
  <c r="AX114" i="14"/>
  <c r="AW114" i="14"/>
  <c r="AV114" i="14"/>
  <c r="AU114" i="14"/>
  <c r="AT114" i="14"/>
  <c r="D114" i="14"/>
  <c r="C114" i="14"/>
  <c r="B114" i="14"/>
  <c r="E114" i="14" s="1"/>
  <c r="EL113" i="14"/>
  <c r="EJ113" i="14"/>
  <c r="CK113" i="14"/>
  <c r="BB113" i="14"/>
  <c r="BA113" i="14"/>
  <c r="AZ113" i="14"/>
  <c r="AY113" i="14"/>
  <c r="AX113" i="14"/>
  <c r="AW113" i="14"/>
  <c r="AV113" i="14"/>
  <c r="AU113" i="14"/>
  <c r="AT113" i="14"/>
  <c r="D113" i="14"/>
  <c r="C113" i="14"/>
  <c r="E113" i="14" s="1"/>
  <c r="B113" i="14"/>
  <c r="EL112" i="14"/>
  <c r="EJ112" i="14"/>
  <c r="CK112" i="14"/>
  <c r="BB112" i="14"/>
  <c r="BA112" i="14"/>
  <c r="AZ112" i="14"/>
  <c r="AY112" i="14"/>
  <c r="AX112" i="14"/>
  <c r="AW112" i="14"/>
  <c r="AV112" i="14"/>
  <c r="AU112" i="14"/>
  <c r="AT112" i="14"/>
  <c r="D112" i="14"/>
  <c r="C112" i="14"/>
  <c r="B112" i="14"/>
  <c r="EL111" i="14"/>
  <c r="EJ111" i="14"/>
  <c r="CK111" i="14"/>
  <c r="BB111" i="14"/>
  <c r="BA111" i="14"/>
  <c r="AZ111" i="14"/>
  <c r="AY111" i="14"/>
  <c r="AX111" i="14"/>
  <c r="AW111" i="14"/>
  <c r="AV111" i="14"/>
  <c r="AU111" i="14"/>
  <c r="AT111" i="14"/>
  <c r="D111" i="14"/>
  <c r="C111" i="14"/>
  <c r="E111" i="14" s="1"/>
  <c r="B111" i="14"/>
  <c r="EL110" i="14"/>
  <c r="EJ110" i="14"/>
  <c r="CK110" i="14"/>
  <c r="BB110" i="14"/>
  <c r="BA110" i="14"/>
  <c r="AZ110" i="14"/>
  <c r="AY110" i="14"/>
  <c r="AX110" i="14"/>
  <c r="AW110" i="14"/>
  <c r="AV110" i="14"/>
  <c r="AU110" i="14"/>
  <c r="AT110" i="14"/>
  <c r="D110" i="14"/>
  <c r="C110" i="14"/>
  <c r="B110" i="14"/>
  <c r="E110" i="14" s="1"/>
  <c r="EL109" i="14"/>
  <c r="EJ109" i="14"/>
  <c r="CK109" i="14"/>
  <c r="BB109" i="14"/>
  <c r="BA109" i="14"/>
  <c r="AZ109" i="14"/>
  <c r="AY109" i="14"/>
  <c r="AX109" i="14"/>
  <c r="AW109" i="14"/>
  <c r="AV109" i="14"/>
  <c r="AU109" i="14"/>
  <c r="AT109" i="14"/>
  <c r="D109" i="14"/>
  <c r="C109" i="14"/>
  <c r="B109" i="14"/>
  <c r="EL108" i="14"/>
  <c r="EJ108" i="14"/>
  <c r="CK108" i="14"/>
  <c r="BB108" i="14"/>
  <c r="BA108" i="14"/>
  <c r="AZ108" i="14"/>
  <c r="AY108" i="14"/>
  <c r="AX108" i="14"/>
  <c r="AW108" i="14"/>
  <c r="AV108" i="14"/>
  <c r="AU108" i="14"/>
  <c r="AT108" i="14"/>
  <c r="D108" i="14"/>
  <c r="C108" i="14"/>
  <c r="B108" i="14"/>
  <c r="E108" i="14" s="1"/>
  <c r="EL107" i="14"/>
  <c r="EJ107" i="14"/>
  <c r="CK107" i="14"/>
  <c r="BB107" i="14"/>
  <c r="BA107" i="14"/>
  <c r="AZ107" i="14"/>
  <c r="AY107" i="14"/>
  <c r="AX107" i="14"/>
  <c r="AW107" i="14"/>
  <c r="AV107" i="14"/>
  <c r="AU107" i="14"/>
  <c r="AT107" i="14"/>
  <c r="D107" i="14"/>
  <c r="C107" i="14"/>
  <c r="E107" i="14" s="1"/>
  <c r="B107" i="14"/>
  <c r="EL106" i="14"/>
  <c r="EJ106" i="14"/>
  <c r="CK106" i="14"/>
  <c r="BB106" i="14"/>
  <c r="BA106" i="14"/>
  <c r="AZ106" i="14"/>
  <c r="AY106" i="14"/>
  <c r="AX106" i="14"/>
  <c r="AW106" i="14"/>
  <c r="AV106" i="14"/>
  <c r="AU106" i="14"/>
  <c r="AT106" i="14"/>
  <c r="D106" i="14"/>
  <c r="C106" i="14"/>
  <c r="B106" i="14"/>
  <c r="EL105" i="14"/>
  <c r="EJ105" i="14"/>
  <c r="CK105" i="14"/>
  <c r="BB105" i="14"/>
  <c r="BA105" i="14"/>
  <c r="AZ105" i="14"/>
  <c r="AY105" i="14"/>
  <c r="AX105" i="14"/>
  <c r="AW105" i="14"/>
  <c r="AV105" i="14"/>
  <c r="AU105" i="14"/>
  <c r="AT105" i="14"/>
  <c r="D105" i="14"/>
  <c r="C105" i="14"/>
  <c r="B105" i="14"/>
  <c r="EL104" i="14"/>
  <c r="EJ104" i="14"/>
  <c r="CK104" i="14"/>
  <c r="BB104" i="14"/>
  <c r="BA104" i="14"/>
  <c r="AZ104" i="14"/>
  <c r="AY104" i="14"/>
  <c r="AX104" i="14"/>
  <c r="AW104" i="14"/>
  <c r="AV104" i="14"/>
  <c r="AU104" i="14"/>
  <c r="AT104" i="14"/>
  <c r="D104" i="14"/>
  <c r="C104" i="14"/>
  <c r="B104" i="14"/>
  <c r="E104" i="14" s="1"/>
  <c r="EL103" i="14"/>
  <c r="EJ103" i="14"/>
  <c r="CK103" i="14"/>
  <c r="BB103" i="14"/>
  <c r="BA103" i="14"/>
  <c r="AZ103" i="14"/>
  <c r="AY103" i="14"/>
  <c r="AX103" i="14"/>
  <c r="AW103" i="14"/>
  <c r="AV103" i="14"/>
  <c r="AU103" i="14"/>
  <c r="AT103" i="14"/>
  <c r="D103" i="14"/>
  <c r="C103" i="14"/>
  <c r="E103" i="14" s="1"/>
  <c r="B103" i="14"/>
  <c r="EL102" i="14"/>
  <c r="EJ102" i="14"/>
  <c r="CK102" i="14"/>
  <c r="BB102" i="14"/>
  <c r="BA102" i="14"/>
  <c r="AZ102" i="14"/>
  <c r="AY102" i="14"/>
  <c r="AX102" i="14"/>
  <c r="AW102" i="14"/>
  <c r="AV102" i="14"/>
  <c r="AU102" i="14"/>
  <c r="AT102" i="14"/>
  <c r="D102" i="14"/>
  <c r="C102" i="14"/>
  <c r="B102" i="14"/>
  <c r="E102" i="14" s="1"/>
  <c r="EL101" i="14"/>
  <c r="EJ101" i="14"/>
  <c r="CK101" i="14"/>
  <c r="BB101" i="14"/>
  <c r="BA101" i="14"/>
  <c r="AZ101" i="14"/>
  <c r="AY101" i="14"/>
  <c r="AX101" i="14"/>
  <c r="AW101" i="14"/>
  <c r="AV101" i="14"/>
  <c r="AU101" i="14"/>
  <c r="AT101" i="14"/>
  <c r="D101" i="14"/>
  <c r="C101" i="14"/>
  <c r="B101" i="14"/>
  <c r="EL100" i="14"/>
  <c r="EJ100" i="14"/>
  <c r="CK100" i="14"/>
  <c r="BB100" i="14"/>
  <c r="BA100" i="14"/>
  <c r="AZ100" i="14"/>
  <c r="AY100" i="14"/>
  <c r="AX100" i="14"/>
  <c r="AW100" i="14"/>
  <c r="AV100" i="14"/>
  <c r="AU100" i="14"/>
  <c r="AT100" i="14"/>
  <c r="D100" i="14"/>
  <c r="C100" i="14"/>
  <c r="B100" i="14"/>
  <c r="EL99" i="14"/>
  <c r="EJ99" i="14"/>
  <c r="CK99" i="14"/>
  <c r="BB99" i="14"/>
  <c r="BA99" i="14"/>
  <c r="AZ99" i="14"/>
  <c r="AY99" i="14"/>
  <c r="AX99" i="14"/>
  <c r="AW99" i="14"/>
  <c r="AV99" i="14"/>
  <c r="AU99" i="14"/>
  <c r="AT99" i="14"/>
  <c r="D99" i="14"/>
  <c r="C99" i="14"/>
  <c r="E99" i="14" s="1"/>
  <c r="B99" i="14"/>
  <c r="EL98" i="14"/>
  <c r="EJ98" i="14"/>
  <c r="CK98" i="14"/>
  <c r="BB98" i="14"/>
  <c r="BA98" i="14"/>
  <c r="AZ98" i="14"/>
  <c r="AY98" i="14"/>
  <c r="AX98" i="14"/>
  <c r="AW98" i="14"/>
  <c r="AV98" i="14"/>
  <c r="AU98" i="14"/>
  <c r="AT98" i="14"/>
  <c r="D98" i="14"/>
  <c r="C98" i="14"/>
  <c r="B98" i="14"/>
  <c r="EL97" i="14"/>
  <c r="EJ97" i="14"/>
  <c r="CK97" i="14"/>
  <c r="BB97" i="14"/>
  <c r="BA97" i="14"/>
  <c r="AZ97" i="14"/>
  <c r="AY97" i="14"/>
  <c r="AX97" i="14"/>
  <c r="AW97" i="14"/>
  <c r="AV97" i="14"/>
  <c r="AU97" i="14"/>
  <c r="AT97" i="14"/>
  <c r="D97" i="14"/>
  <c r="C97" i="14"/>
  <c r="B97" i="14"/>
  <c r="EL96" i="14"/>
  <c r="EJ96" i="14"/>
  <c r="CK96" i="14"/>
  <c r="BB96" i="14"/>
  <c r="BA96" i="14"/>
  <c r="AZ96" i="14"/>
  <c r="AY96" i="14"/>
  <c r="AX96" i="14"/>
  <c r="AW96" i="14"/>
  <c r="AV96" i="14"/>
  <c r="AU96" i="14"/>
  <c r="AT96" i="14"/>
  <c r="D96" i="14"/>
  <c r="C96" i="14"/>
  <c r="B96" i="14"/>
  <c r="EL95" i="14"/>
  <c r="EJ95" i="14"/>
  <c r="CK95" i="14"/>
  <c r="BB95" i="14"/>
  <c r="BA95" i="14"/>
  <c r="AZ95" i="14"/>
  <c r="AY95" i="14"/>
  <c r="AX95" i="14"/>
  <c r="AW95" i="14"/>
  <c r="AV95" i="14"/>
  <c r="AU95" i="14"/>
  <c r="AT95" i="14"/>
  <c r="D95" i="14"/>
  <c r="C95" i="14"/>
  <c r="E95" i="14" s="1"/>
  <c r="BK34" i="14" s="1"/>
  <c r="B95" i="14"/>
  <c r="EL94" i="14"/>
  <c r="EJ94" i="14"/>
  <c r="CK94" i="14"/>
  <c r="BB94" i="14"/>
  <c r="BA94" i="14"/>
  <c r="AZ94" i="14"/>
  <c r="AY94" i="14"/>
  <c r="AX94" i="14"/>
  <c r="AW94" i="14"/>
  <c r="AV94" i="14"/>
  <c r="AU94" i="14"/>
  <c r="AT94" i="14"/>
  <c r="D94" i="14"/>
  <c r="C94" i="14"/>
  <c r="B94" i="14"/>
  <c r="E94" i="14" s="1"/>
  <c r="EL93" i="14"/>
  <c r="EJ93" i="14"/>
  <c r="CK93" i="14"/>
  <c r="BB93" i="14"/>
  <c r="BA93" i="14"/>
  <c r="AZ93" i="14"/>
  <c r="AY93" i="14"/>
  <c r="AX93" i="14"/>
  <c r="AW93" i="14"/>
  <c r="AV93" i="14"/>
  <c r="AU93" i="14"/>
  <c r="AT93" i="14"/>
  <c r="D93" i="14"/>
  <c r="C93" i="14"/>
  <c r="E93" i="14" s="1"/>
  <c r="B93" i="14"/>
  <c r="EL92" i="14"/>
  <c r="EJ92" i="14"/>
  <c r="CK92" i="14"/>
  <c r="BB92" i="14"/>
  <c r="BA92" i="14"/>
  <c r="AZ92" i="14"/>
  <c r="AY92" i="14"/>
  <c r="AX92" i="14"/>
  <c r="AW92" i="14"/>
  <c r="AV92" i="14"/>
  <c r="AU92" i="14"/>
  <c r="AT92" i="14"/>
  <c r="E92" i="14"/>
  <c r="D92" i="14"/>
  <c r="C92" i="14"/>
  <c r="B92" i="14"/>
  <c r="EL91" i="14"/>
  <c r="EJ91" i="14"/>
  <c r="CK91" i="14"/>
  <c r="BB91" i="14"/>
  <c r="BA91" i="14"/>
  <c r="AZ91" i="14"/>
  <c r="AY91" i="14"/>
  <c r="AX91" i="14"/>
  <c r="AW91" i="14"/>
  <c r="AV91" i="14"/>
  <c r="AU91" i="14"/>
  <c r="AT91" i="14"/>
  <c r="E91" i="14"/>
  <c r="D91" i="14"/>
  <c r="C91" i="14"/>
  <c r="B91" i="14"/>
  <c r="EL90" i="14"/>
  <c r="EJ90" i="14"/>
  <c r="CK90" i="14"/>
  <c r="BB90" i="14"/>
  <c r="BA90" i="14"/>
  <c r="AZ90" i="14"/>
  <c r="AY90" i="14"/>
  <c r="AX90" i="14"/>
  <c r="AW90" i="14"/>
  <c r="AV90" i="14"/>
  <c r="AU90" i="14"/>
  <c r="AT90" i="14"/>
  <c r="E90" i="14"/>
  <c r="D90" i="14"/>
  <c r="C90" i="14"/>
  <c r="B90" i="14"/>
  <c r="EL89" i="14"/>
  <c r="EJ89" i="14"/>
  <c r="CK89" i="14"/>
  <c r="BB89" i="14"/>
  <c r="BA89" i="14"/>
  <c r="AZ89" i="14"/>
  <c r="AY89" i="14"/>
  <c r="AX89" i="14"/>
  <c r="AW89" i="14"/>
  <c r="AV89" i="14"/>
  <c r="AU89" i="14"/>
  <c r="AT89" i="14"/>
  <c r="E89" i="14"/>
  <c r="D89" i="14"/>
  <c r="C89" i="14"/>
  <c r="B89" i="14"/>
  <c r="EL88" i="14"/>
  <c r="EJ88" i="14"/>
  <c r="CK88" i="14"/>
  <c r="BB88" i="14"/>
  <c r="BA88" i="14"/>
  <c r="AZ88" i="14"/>
  <c r="AY88" i="14"/>
  <c r="AX88" i="14"/>
  <c r="AW88" i="14"/>
  <c r="AV88" i="14"/>
  <c r="AU88" i="14"/>
  <c r="AT88" i="14"/>
  <c r="E88" i="14"/>
  <c r="D88" i="14"/>
  <c r="C88" i="14"/>
  <c r="B88" i="14"/>
  <c r="EL87" i="14"/>
  <c r="EJ87" i="14"/>
  <c r="CK87" i="14"/>
  <c r="BB87" i="14"/>
  <c r="BA87" i="14"/>
  <c r="AZ87" i="14"/>
  <c r="AY87" i="14"/>
  <c r="AX87" i="14"/>
  <c r="AW87" i="14"/>
  <c r="AV87" i="14"/>
  <c r="AU87" i="14"/>
  <c r="AT87" i="14"/>
  <c r="E87" i="14"/>
  <c r="D87" i="14"/>
  <c r="C87" i="14"/>
  <c r="B87" i="14"/>
  <c r="EL86" i="14"/>
  <c r="EJ86" i="14"/>
  <c r="CK86" i="14"/>
  <c r="BB86" i="14"/>
  <c r="BA86" i="14"/>
  <c r="AZ86" i="14"/>
  <c r="AY86" i="14"/>
  <c r="AX86" i="14"/>
  <c r="AW86" i="14"/>
  <c r="AV86" i="14"/>
  <c r="AU86" i="14"/>
  <c r="AT86" i="14"/>
  <c r="E86" i="14"/>
  <c r="D86" i="14"/>
  <c r="C86" i="14"/>
  <c r="B86" i="14"/>
  <c r="EL85" i="14"/>
  <c r="EJ85" i="14"/>
  <c r="CK85" i="14"/>
  <c r="BB85" i="14"/>
  <c r="BA85" i="14"/>
  <c r="AZ85" i="14"/>
  <c r="AY85" i="14"/>
  <c r="AX85" i="14"/>
  <c r="AW85" i="14"/>
  <c r="AV85" i="14"/>
  <c r="AU85" i="14"/>
  <c r="AT85" i="14"/>
  <c r="E85" i="14"/>
  <c r="D85" i="14"/>
  <c r="C85" i="14"/>
  <c r="B85" i="14"/>
  <c r="EL84" i="14"/>
  <c r="EJ84" i="14"/>
  <c r="CK84" i="14"/>
  <c r="BB84" i="14"/>
  <c r="BA84" i="14"/>
  <c r="AZ84" i="14"/>
  <c r="AY84" i="14"/>
  <c r="AX84" i="14"/>
  <c r="AW84" i="14"/>
  <c r="AV84" i="14"/>
  <c r="AU84" i="14"/>
  <c r="AT84" i="14"/>
  <c r="E84" i="14"/>
  <c r="D84" i="14"/>
  <c r="C84" i="14"/>
  <c r="B84" i="14"/>
  <c r="EL83" i="14"/>
  <c r="EJ83" i="14"/>
  <c r="CK83" i="14"/>
  <c r="BB83" i="14"/>
  <c r="BA83" i="14"/>
  <c r="AZ83" i="14"/>
  <c r="AY83" i="14"/>
  <c r="AX83" i="14"/>
  <c r="AW83" i="14"/>
  <c r="AV83" i="14"/>
  <c r="AU83" i="14"/>
  <c r="AT83" i="14"/>
  <c r="E83" i="14"/>
  <c r="D83" i="14"/>
  <c r="C83" i="14"/>
  <c r="B83" i="14"/>
  <c r="EL82" i="14"/>
  <c r="EJ82" i="14"/>
  <c r="CK82" i="14"/>
  <c r="BB82" i="14"/>
  <c r="BA82" i="14"/>
  <c r="AZ82" i="14"/>
  <c r="AY82" i="14"/>
  <c r="AX82" i="14"/>
  <c r="AW82" i="14"/>
  <c r="AV82" i="14"/>
  <c r="AU82" i="14"/>
  <c r="AT82" i="14"/>
  <c r="E82" i="14"/>
  <c r="D82" i="14"/>
  <c r="C82" i="14"/>
  <c r="B82" i="14"/>
  <c r="EL81" i="14"/>
  <c r="EJ81" i="14"/>
  <c r="CK81" i="14"/>
  <c r="BB81" i="14"/>
  <c r="BA81" i="14"/>
  <c r="AZ81" i="14"/>
  <c r="AY81" i="14"/>
  <c r="AX81" i="14"/>
  <c r="AW81" i="14"/>
  <c r="AV81" i="14"/>
  <c r="AU81" i="14"/>
  <c r="AT81" i="14"/>
  <c r="E81" i="14"/>
  <c r="D81" i="14"/>
  <c r="C81" i="14"/>
  <c r="B81" i="14"/>
  <c r="EL80" i="14"/>
  <c r="EJ80" i="14"/>
  <c r="CK80" i="14"/>
  <c r="BB80" i="14"/>
  <c r="BA80" i="14"/>
  <c r="AZ80" i="14"/>
  <c r="AY80" i="14"/>
  <c r="AX80" i="14"/>
  <c r="AW80" i="14"/>
  <c r="AV80" i="14"/>
  <c r="AU80" i="14"/>
  <c r="AT80" i="14"/>
  <c r="E80" i="14"/>
  <c r="D80" i="14"/>
  <c r="C80" i="14"/>
  <c r="B80" i="14"/>
  <c r="EL79" i="14"/>
  <c r="EJ79" i="14"/>
  <c r="CK79" i="14"/>
  <c r="BB79" i="14"/>
  <c r="BA79" i="14"/>
  <c r="AZ79" i="14"/>
  <c r="AY79" i="14"/>
  <c r="AX79" i="14"/>
  <c r="AW79" i="14"/>
  <c r="AV79" i="14"/>
  <c r="AU79" i="14"/>
  <c r="AT79" i="14"/>
  <c r="E79" i="14"/>
  <c r="D79" i="14"/>
  <c r="C79" i="14"/>
  <c r="B79" i="14"/>
  <c r="EL78" i="14"/>
  <c r="EJ78" i="14"/>
  <c r="CK78" i="14"/>
  <c r="BB78" i="14"/>
  <c r="BA78" i="14"/>
  <c r="AZ78" i="14"/>
  <c r="AY78" i="14"/>
  <c r="AX78" i="14"/>
  <c r="AW78" i="14"/>
  <c r="AV78" i="14"/>
  <c r="AU78" i="14"/>
  <c r="AT78" i="14"/>
  <c r="D78" i="14"/>
  <c r="C78" i="14"/>
  <c r="B78" i="14"/>
  <c r="EL77" i="14"/>
  <c r="EJ77" i="14"/>
  <c r="CK77" i="14"/>
  <c r="BB77" i="14"/>
  <c r="BA77" i="14"/>
  <c r="AZ77" i="14"/>
  <c r="AY77" i="14"/>
  <c r="AX77" i="14"/>
  <c r="AW77" i="14"/>
  <c r="AV77" i="14"/>
  <c r="AU77" i="14"/>
  <c r="AT77" i="14"/>
  <c r="D77" i="14"/>
  <c r="C77" i="14"/>
  <c r="B77" i="14"/>
  <c r="EL76" i="14"/>
  <c r="EJ76" i="14"/>
  <c r="CK76" i="14"/>
  <c r="BB76" i="14"/>
  <c r="BA76" i="14"/>
  <c r="AZ76" i="14"/>
  <c r="AY76" i="14"/>
  <c r="AX76" i="14"/>
  <c r="AW76" i="14"/>
  <c r="AV76" i="14"/>
  <c r="AU76" i="14"/>
  <c r="AT76" i="14"/>
  <c r="D76" i="14"/>
  <c r="C76" i="14"/>
  <c r="B76" i="14"/>
  <c r="EL75" i="14"/>
  <c r="EJ75" i="14"/>
  <c r="CK75" i="14"/>
  <c r="BB75" i="14"/>
  <c r="BA75" i="14"/>
  <c r="AZ75" i="14"/>
  <c r="AY75" i="14"/>
  <c r="AX75" i="14"/>
  <c r="AW75" i="14"/>
  <c r="AV75" i="14"/>
  <c r="AU75" i="14"/>
  <c r="AT75" i="14"/>
  <c r="D75" i="14"/>
  <c r="C75" i="14"/>
  <c r="E75" i="14" s="1"/>
  <c r="O34" i="14" s="1"/>
  <c r="B75" i="14"/>
  <c r="EL74" i="14"/>
  <c r="EJ74" i="14"/>
  <c r="CK74" i="14"/>
  <c r="BB74" i="14"/>
  <c r="BA74" i="14"/>
  <c r="AZ74" i="14"/>
  <c r="AY74" i="14"/>
  <c r="AX74" i="14"/>
  <c r="AW74" i="14"/>
  <c r="AV74" i="14"/>
  <c r="AU74" i="14"/>
  <c r="AT74" i="14"/>
  <c r="D74" i="14"/>
  <c r="C74" i="14"/>
  <c r="B74" i="14"/>
  <c r="EL73" i="14"/>
  <c r="EJ73" i="14"/>
  <c r="CK73" i="14"/>
  <c r="BB73" i="14"/>
  <c r="BA73" i="14"/>
  <c r="AZ73" i="14"/>
  <c r="AY73" i="14"/>
  <c r="AX73" i="14"/>
  <c r="AW73" i="14"/>
  <c r="AV73" i="14"/>
  <c r="AU73" i="14"/>
  <c r="AT73" i="14"/>
  <c r="D73" i="14"/>
  <c r="C73" i="14"/>
  <c r="B73" i="14"/>
  <c r="EL72" i="14"/>
  <c r="EJ72" i="14"/>
  <c r="CK72" i="14"/>
  <c r="BB72" i="14"/>
  <c r="BA72" i="14"/>
  <c r="AZ72" i="14"/>
  <c r="AY72" i="14"/>
  <c r="AX72" i="14"/>
  <c r="AW72" i="14"/>
  <c r="AV72" i="14"/>
  <c r="AU72" i="14"/>
  <c r="AT72" i="14"/>
  <c r="D72" i="14"/>
  <c r="C72" i="14"/>
  <c r="B72" i="14"/>
  <c r="EL71" i="14"/>
  <c r="EJ71" i="14"/>
  <c r="CK71" i="14"/>
  <c r="BB71" i="14"/>
  <c r="BA71" i="14"/>
  <c r="AZ71" i="14"/>
  <c r="AY71" i="14"/>
  <c r="AX71" i="14"/>
  <c r="AW71" i="14"/>
  <c r="AV71" i="14"/>
  <c r="AU71" i="14"/>
  <c r="AT71" i="14"/>
  <c r="D71" i="14"/>
  <c r="C71" i="14"/>
  <c r="E71" i="14" s="1"/>
  <c r="B71" i="14"/>
  <c r="EL70" i="14"/>
  <c r="EJ70" i="14"/>
  <c r="CK70" i="14"/>
  <c r="BB70" i="14"/>
  <c r="BA70" i="14"/>
  <c r="AZ70" i="14"/>
  <c r="AY70" i="14"/>
  <c r="AX70" i="14"/>
  <c r="AW70" i="14"/>
  <c r="AV70" i="14"/>
  <c r="AU70" i="14"/>
  <c r="AT70" i="14"/>
  <c r="D70" i="14"/>
  <c r="C70" i="14"/>
  <c r="B70" i="14"/>
  <c r="E70" i="14" s="1"/>
  <c r="EL69" i="14"/>
  <c r="EJ69" i="14"/>
  <c r="CK69" i="14"/>
  <c r="BB69" i="14"/>
  <c r="BA69" i="14"/>
  <c r="AZ69" i="14"/>
  <c r="AY69" i="14"/>
  <c r="AX69" i="14"/>
  <c r="AW69" i="14"/>
  <c r="AV69" i="14"/>
  <c r="AU69" i="14"/>
  <c r="AT69" i="14"/>
  <c r="D69" i="14"/>
  <c r="C69" i="14"/>
  <c r="B69" i="14"/>
  <c r="EL68" i="14"/>
  <c r="EJ68" i="14"/>
  <c r="CK68" i="14"/>
  <c r="BB68" i="14"/>
  <c r="BA68" i="14"/>
  <c r="AZ68" i="14"/>
  <c r="AY68" i="14"/>
  <c r="AX68" i="14"/>
  <c r="AW68" i="14"/>
  <c r="AV68" i="14"/>
  <c r="AU68" i="14"/>
  <c r="AT68" i="14"/>
  <c r="D68" i="14"/>
  <c r="C68" i="14"/>
  <c r="B68" i="14"/>
  <c r="EL67" i="14"/>
  <c r="EJ67" i="14"/>
  <c r="CK67" i="14"/>
  <c r="BB67" i="14"/>
  <c r="BA67" i="14"/>
  <c r="AZ67" i="14"/>
  <c r="AY67" i="14"/>
  <c r="AX67" i="14"/>
  <c r="AW67" i="14"/>
  <c r="AV67" i="14"/>
  <c r="AU67" i="14"/>
  <c r="AT67" i="14"/>
  <c r="D67" i="14"/>
  <c r="C67" i="14"/>
  <c r="E67" i="14" s="1"/>
  <c r="B67" i="14"/>
  <c r="EL66" i="14"/>
  <c r="EJ66" i="14"/>
  <c r="CK66" i="14"/>
  <c r="BB66" i="14"/>
  <c r="BA66" i="14"/>
  <c r="AZ66" i="14"/>
  <c r="AY66" i="14"/>
  <c r="AX66" i="14"/>
  <c r="AW66" i="14"/>
  <c r="AV66" i="14"/>
  <c r="AU66" i="14"/>
  <c r="AT66" i="14"/>
  <c r="D66" i="14"/>
  <c r="C66" i="14"/>
  <c r="B66" i="14"/>
  <c r="EL65" i="14"/>
  <c r="EJ65" i="14"/>
  <c r="CK65" i="14"/>
  <c r="BB65" i="14"/>
  <c r="BA65" i="14"/>
  <c r="AZ65" i="14"/>
  <c r="AY65" i="14"/>
  <c r="AX65" i="14"/>
  <c r="AW65" i="14"/>
  <c r="AV65" i="14"/>
  <c r="AU65" i="14"/>
  <c r="AT65" i="14"/>
  <c r="D65" i="14"/>
  <c r="C65" i="14"/>
  <c r="B65" i="14"/>
  <c r="EL64" i="14"/>
  <c r="EJ64" i="14"/>
  <c r="CK64" i="14"/>
  <c r="BB64" i="14"/>
  <c r="BA64" i="14"/>
  <c r="AZ64" i="14"/>
  <c r="AY64" i="14"/>
  <c r="AX64" i="14"/>
  <c r="AW64" i="14"/>
  <c r="AV64" i="14"/>
  <c r="AU64" i="14"/>
  <c r="AT64" i="14"/>
  <c r="D64" i="14"/>
  <c r="C64" i="14"/>
  <c r="E64" i="14" s="1"/>
  <c r="B64" i="14"/>
  <c r="EL63" i="14"/>
  <c r="EJ63" i="14"/>
  <c r="CK63" i="14"/>
  <c r="BB63" i="14"/>
  <c r="BA63" i="14"/>
  <c r="AZ63" i="14"/>
  <c r="AY63" i="14"/>
  <c r="AX63" i="14"/>
  <c r="AW63" i="14"/>
  <c r="AV63" i="14"/>
  <c r="AU63" i="14"/>
  <c r="AT63" i="14"/>
  <c r="D63" i="14"/>
  <c r="C63" i="14"/>
  <c r="B63" i="14"/>
  <c r="EL62" i="14"/>
  <c r="EJ62" i="14"/>
  <c r="CK62" i="14"/>
  <c r="BB62" i="14"/>
  <c r="BA62" i="14"/>
  <c r="AZ62" i="14"/>
  <c r="AY62" i="14"/>
  <c r="AX62" i="14"/>
  <c r="AW62" i="14"/>
  <c r="AV62" i="14"/>
  <c r="AU62" i="14"/>
  <c r="AT62" i="14"/>
  <c r="D62" i="14"/>
  <c r="C62" i="14"/>
  <c r="B62" i="14"/>
  <c r="EL61" i="14"/>
  <c r="EJ61" i="14"/>
  <c r="CK61" i="14"/>
  <c r="BB61" i="14"/>
  <c r="BA61" i="14"/>
  <c r="AZ61" i="14"/>
  <c r="AY61" i="14"/>
  <c r="AX61" i="14"/>
  <c r="AW61" i="14"/>
  <c r="AV61" i="14"/>
  <c r="AU61" i="14"/>
  <c r="AT61" i="14"/>
  <c r="D61" i="14"/>
  <c r="C61" i="14"/>
  <c r="B61" i="14"/>
  <c r="EL60" i="14"/>
  <c r="EJ60" i="14"/>
  <c r="CK60" i="14"/>
  <c r="BB60" i="14"/>
  <c r="BA60" i="14"/>
  <c r="AZ60" i="14"/>
  <c r="AY60" i="14"/>
  <c r="AX60" i="14"/>
  <c r="AW60" i="14"/>
  <c r="AV60" i="14"/>
  <c r="AU60" i="14"/>
  <c r="AT60" i="14"/>
  <c r="E60" i="14"/>
  <c r="D60" i="14"/>
  <c r="C60" i="14"/>
  <c r="B60" i="14"/>
  <c r="EL59" i="14"/>
  <c r="EJ59" i="14"/>
  <c r="CK59" i="14"/>
  <c r="BB59" i="14"/>
  <c r="BA59" i="14"/>
  <c r="AZ59" i="14"/>
  <c r="AY59" i="14"/>
  <c r="AX59" i="14"/>
  <c r="AW59" i="14"/>
  <c r="AV59" i="14"/>
  <c r="AU59" i="14"/>
  <c r="AT59" i="14"/>
  <c r="D59" i="14"/>
  <c r="C59" i="14"/>
  <c r="B59" i="14"/>
  <c r="FJ58" i="14"/>
  <c r="FI58" i="14"/>
  <c r="FI59" i="14" s="1"/>
  <c r="FH58" i="14"/>
  <c r="EL58" i="14"/>
  <c r="EJ58" i="14"/>
  <c r="CK58" i="14"/>
  <c r="BB58" i="14"/>
  <c r="BA58" i="14"/>
  <c r="AZ58" i="14"/>
  <c r="AY58" i="14"/>
  <c r="AX58" i="14"/>
  <c r="AW58" i="14"/>
  <c r="AV58" i="14"/>
  <c r="AU58" i="14"/>
  <c r="AT58" i="14"/>
  <c r="D58" i="14"/>
  <c r="C58" i="14"/>
  <c r="B58" i="14"/>
  <c r="EL57" i="14"/>
  <c r="EJ57" i="14"/>
  <c r="CK57" i="14"/>
  <c r="BB57" i="14"/>
  <c r="BA57" i="14"/>
  <c r="AZ57" i="14"/>
  <c r="AY57" i="14"/>
  <c r="AX57" i="14"/>
  <c r="AW57" i="14"/>
  <c r="AV57" i="14"/>
  <c r="AU57" i="14"/>
  <c r="AT57" i="14"/>
  <c r="D57" i="14"/>
  <c r="C57" i="14"/>
  <c r="B57" i="14"/>
  <c r="FY56" i="14"/>
  <c r="FX56" i="14"/>
  <c r="FW56" i="14"/>
  <c r="FU56" i="14"/>
  <c r="FT56" i="14"/>
  <c r="EL56" i="14"/>
  <c r="EJ56" i="14"/>
  <c r="CK56" i="14"/>
  <c r="BB56" i="14"/>
  <c r="BA56" i="14"/>
  <c r="AZ56" i="14"/>
  <c r="AY56" i="14"/>
  <c r="AX56" i="14"/>
  <c r="AW56" i="14"/>
  <c r="AV56" i="14"/>
  <c r="AU56" i="14"/>
  <c r="AT56" i="14"/>
  <c r="D56" i="14"/>
  <c r="C56" i="14"/>
  <c r="E56" i="14" s="1"/>
  <c r="B56" i="14"/>
  <c r="FY55" i="14"/>
  <c r="FX55" i="14"/>
  <c r="FW55" i="14"/>
  <c r="FV55" i="14"/>
  <c r="FT55" i="14"/>
  <c r="EL55" i="14"/>
  <c r="EJ55" i="14"/>
  <c r="CK55" i="14"/>
  <c r="BB55" i="14"/>
  <c r="BA55" i="14"/>
  <c r="AZ55" i="14"/>
  <c r="AY55" i="14"/>
  <c r="AX55" i="14"/>
  <c r="AW55" i="14"/>
  <c r="AV55" i="14"/>
  <c r="AU55" i="14"/>
  <c r="AT55" i="14"/>
  <c r="D55" i="14"/>
  <c r="C55" i="14"/>
  <c r="B55" i="14"/>
  <c r="FY54" i="14"/>
  <c r="FX54" i="14"/>
  <c r="FW54" i="14"/>
  <c r="FV54" i="14"/>
  <c r="FU54" i="14"/>
  <c r="EL54" i="14"/>
  <c r="EJ54" i="14"/>
  <c r="CK54" i="14"/>
  <c r="BB54" i="14"/>
  <c r="BA54" i="14"/>
  <c r="AZ54" i="14"/>
  <c r="AY54" i="14"/>
  <c r="AX54" i="14"/>
  <c r="AW54" i="14"/>
  <c r="AV54" i="14"/>
  <c r="AU54" i="14"/>
  <c r="AT54" i="14"/>
  <c r="D54" i="14"/>
  <c r="C54" i="14"/>
  <c r="B54" i="14"/>
  <c r="FY53" i="14"/>
  <c r="FX53" i="14"/>
  <c r="FW53" i="14"/>
  <c r="FU53" i="14"/>
  <c r="FT53" i="14"/>
  <c r="EL53" i="14"/>
  <c r="EJ53" i="14"/>
  <c r="CK53" i="14"/>
  <c r="BB53" i="14"/>
  <c r="BA53" i="14"/>
  <c r="AZ53" i="14"/>
  <c r="AY53" i="14"/>
  <c r="AX53" i="14"/>
  <c r="AW53" i="14"/>
  <c r="AV53" i="14"/>
  <c r="AU53" i="14"/>
  <c r="AT53" i="14"/>
  <c r="D53" i="14"/>
  <c r="C53" i="14"/>
  <c r="B53" i="14"/>
  <c r="E53" i="14" s="1"/>
  <c r="FY52" i="14"/>
  <c r="FX52" i="14"/>
  <c r="FW52" i="14"/>
  <c r="FV52" i="14"/>
  <c r="FT52" i="14"/>
  <c r="EL52" i="14"/>
  <c r="EJ52" i="14"/>
  <c r="CK52" i="14"/>
  <c r="BB52" i="14"/>
  <c r="BA52" i="14"/>
  <c r="AZ52" i="14"/>
  <c r="AY52" i="14"/>
  <c r="AX52" i="14"/>
  <c r="AW52" i="14"/>
  <c r="AV52" i="14"/>
  <c r="AU52" i="14"/>
  <c r="AT52" i="14"/>
  <c r="D52" i="14"/>
  <c r="C52" i="14"/>
  <c r="E52" i="14" s="1"/>
  <c r="B52" i="14"/>
  <c r="FY51" i="14"/>
  <c r="FX51" i="14"/>
  <c r="FW51" i="14"/>
  <c r="FV51" i="14"/>
  <c r="FU51" i="14"/>
  <c r="EL51" i="14"/>
  <c r="EJ51" i="14"/>
  <c r="CK51" i="14"/>
  <c r="BB51" i="14"/>
  <c r="BA51" i="14"/>
  <c r="AZ51" i="14"/>
  <c r="AY51" i="14"/>
  <c r="AX51" i="14"/>
  <c r="AW51" i="14"/>
  <c r="AV51" i="14"/>
  <c r="AU51" i="14"/>
  <c r="AT51" i="14"/>
  <c r="D51" i="14"/>
  <c r="C51" i="14"/>
  <c r="B51" i="14"/>
  <c r="FY50" i="14"/>
  <c r="FX50" i="14"/>
  <c r="FW50" i="14"/>
  <c r="FU50" i="14"/>
  <c r="FT50" i="14"/>
  <c r="EL50" i="14"/>
  <c r="EJ50" i="14"/>
  <c r="CK50" i="14"/>
  <c r="BB50" i="14"/>
  <c r="BA50" i="14"/>
  <c r="AZ50" i="14"/>
  <c r="AY50" i="14"/>
  <c r="AX50" i="14"/>
  <c r="AW50" i="14"/>
  <c r="AV50" i="14"/>
  <c r="AU50" i="14"/>
  <c r="AT50" i="14"/>
  <c r="D50" i="14"/>
  <c r="C50" i="14"/>
  <c r="E50" i="14" s="1"/>
  <c r="B50" i="14"/>
  <c r="FY49" i="14"/>
  <c r="FX49" i="14"/>
  <c r="FW49" i="14"/>
  <c r="FV49" i="14"/>
  <c r="FT49" i="14"/>
  <c r="EL49" i="14"/>
  <c r="EJ49" i="14"/>
  <c r="CK49" i="14"/>
  <c r="BB49" i="14"/>
  <c r="BA49" i="14"/>
  <c r="AZ49" i="14"/>
  <c r="AY49" i="14"/>
  <c r="AX49" i="14"/>
  <c r="AW49" i="14"/>
  <c r="AV49" i="14"/>
  <c r="AU49" i="14"/>
  <c r="AT49" i="14"/>
  <c r="D49" i="14"/>
  <c r="C49" i="14"/>
  <c r="E49" i="14" s="1"/>
  <c r="B49" i="14"/>
  <c r="FY48" i="14"/>
  <c r="FX48" i="14"/>
  <c r="FW48" i="14"/>
  <c r="FU48" i="14"/>
  <c r="FT48" i="14"/>
  <c r="EL48" i="14"/>
  <c r="EJ48" i="14"/>
  <c r="CK48" i="14"/>
  <c r="BB48" i="14"/>
  <c r="BA48" i="14"/>
  <c r="AZ48" i="14"/>
  <c r="AY48" i="14"/>
  <c r="AX48" i="14"/>
  <c r="AW48" i="14"/>
  <c r="AV48" i="14"/>
  <c r="AU48" i="14"/>
  <c r="AT48" i="14"/>
  <c r="D48" i="14"/>
  <c r="C48" i="14"/>
  <c r="B48" i="14"/>
  <c r="FY47" i="14"/>
  <c r="FX47" i="14"/>
  <c r="FW47" i="14"/>
  <c r="FV47" i="14"/>
  <c r="FU47" i="14"/>
  <c r="EL47" i="14"/>
  <c r="EJ47" i="14"/>
  <c r="CK47" i="14"/>
  <c r="BB47" i="14"/>
  <c r="BA47" i="14"/>
  <c r="AZ47" i="14"/>
  <c r="AY47" i="14"/>
  <c r="AX47" i="14"/>
  <c r="AW47" i="14"/>
  <c r="AV47" i="14"/>
  <c r="AU47" i="14"/>
  <c r="AT47" i="14"/>
  <c r="D47" i="14"/>
  <c r="C47" i="14"/>
  <c r="B47" i="14"/>
  <c r="FY46" i="14"/>
  <c r="FX46" i="14"/>
  <c r="FW46" i="14"/>
  <c r="FV46" i="14"/>
  <c r="FT46" i="14"/>
  <c r="EL46" i="14"/>
  <c r="EJ46" i="14"/>
  <c r="CK46" i="14"/>
  <c r="BB46" i="14"/>
  <c r="BA46" i="14"/>
  <c r="AZ46" i="14"/>
  <c r="AY46" i="14"/>
  <c r="AX46" i="14"/>
  <c r="AW46" i="14"/>
  <c r="AV46" i="14"/>
  <c r="AU46" i="14"/>
  <c r="AT46" i="14"/>
  <c r="D46" i="14"/>
  <c r="C46" i="14"/>
  <c r="B46" i="14"/>
  <c r="FY45" i="14"/>
  <c r="FX45" i="14"/>
  <c r="FW45" i="14"/>
  <c r="FU45" i="14"/>
  <c r="FT45" i="14"/>
  <c r="EL45" i="14"/>
  <c r="EJ45" i="14"/>
  <c r="CK45" i="14"/>
  <c r="BB45" i="14"/>
  <c r="BA45" i="14"/>
  <c r="AZ45" i="14"/>
  <c r="AY45" i="14"/>
  <c r="AX45" i="14"/>
  <c r="AW45" i="14"/>
  <c r="AV45" i="14"/>
  <c r="AU45" i="14"/>
  <c r="AT45" i="14"/>
  <c r="D45" i="14"/>
  <c r="C45" i="14"/>
  <c r="B45" i="14"/>
  <c r="FY44" i="14"/>
  <c r="FX44" i="14"/>
  <c r="FW44" i="14"/>
  <c r="FV44" i="14"/>
  <c r="FU44" i="14"/>
  <c r="EL44" i="14"/>
  <c r="EJ44" i="14"/>
  <c r="CK44" i="14"/>
  <c r="BB44" i="14"/>
  <c r="BA44" i="14"/>
  <c r="AZ44" i="14"/>
  <c r="AY44" i="14"/>
  <c r="AX44" i="14"/>
  <c r="AW44" i="14"/>
  <c r="AV44" i="14"/>
  <c r="AU44" i="14"/>
  <c r="AT44" i="14"/>
  <c r="D44" i="14"/>
  <c r="C44" i="14"/>
  <c r="B44" i="14"/>
  <c r="FY43" i="14"/>
  <c r="FX43" i="14"/>
  <c r="FW43" i="14"/>
  <c r="FV43" i="14"/>
  <c r="FT43" i="14"/>
  <c r="EL43" i="14"/>
  <c r="EJ43" i="14"/>
  <c r="CK43" i="14"/>
  <c r="BB43" i="14"/>
  <c r="BA43" i="14"/>
  <c r="AZ43" i="14"/>
  <c r="AY43" i="14"/>
  <c r="AX43" i="14"/>
  <c r="AW43" i="14"/>
  <c r="AV43" i="14"/>
  <c r="AU43" i="14"/>
  <c r="AT43" i="14"/>
  <c r="D43" i="14"/>
  <c r="C43" i="14"/>
  <c r="B43" i="14"/>
  <c r="FY42" i="14"/>
  <c r="FX42" i="14"/>
  <c r="FW42" i="14"/>
  <c r="FU42" i="14"/>
  <c r="FT42" i="14"/>
  <c r="EL42" i="14"/>
  <c r="EJ42" i="14"/>
  <c r="CK42" i="14"/>
  <c r="BB42" i="14"/>
  <c r="BA42" i="14"/>
  <c r="AZ42" i="14"/>
  <c r="AY42" i="14"/>
  <c r="AX42" i="14"/>
  <c r="AW42" i="14"/>
  <c r="AV42" i="14"/>
  <c r="AU42" i="14"/>
  <c r="AT42" i="14"/>
  <c r="D42" i="14"/>
  <c r="C42" i="14"/>
  <c r="B42" i="14"/>
  <c r="FY41" i="14"/>
  <c r="FX41" i="14"/>
  <c r="FW41" i="14"/>
  <c r="FV41" i="14"/>
  <c r="FT41" i="14"/>
  <c r="EL41" i="14"/>
  <c r="EJ41" i="14"/>
  <c r="CK41" i="14"/>
  <c r="BB41" i="14"/>
  <c r="BA41" i="14"/>
  <c r="AZ41" i="14"/>
  <c r="AY41" i="14"/>
  <c r="AX41" i="14"/>
  <c r="AW41" i="14"/>
  <c r="AV41" i="14"/>
  <c r="AU41" i="14"/>
  <c r="AT41" i="14"/>
  <c r="D41" i="14"/>
  <c r="C41" i="14"/>
  <c r="B41" i="14"/>
  <c r="FY40" i="14"/>
  <c r="FX40" i="14"/>
  <c r="FW40" i="14"/>
  <c r="FV40" i="14"/>
  <c r="FU40" i="14"/>
  <c r="EL40" i="14"/>
  <c r="EJ40" i="14"/>
  <c r="CK40" i="14"/>
  <c r="BB40" i="14"/>
  <c r="BA40" i="14"/>
  <c r="AZ40" i="14"/>
  <c r="AY40" i="14"/>
  <c r="AX40" i="14"/>
  <c r="AW40" i="14"/>
  <c r="AV40" i="14"/>
  <c r="AU40" i="14"/>
  <c r="AT40" i="14"/>
  <c r="D40" i="14"/>
  <c r="C40" i="14"/>
  <c r="E40" i="14" s="1"/>
  <c r="B40" i="14"/>
  <c r="FY39" i="14"/>
  <c r="FX39" i="14"/>
  <c r="FW39" i="14"/>
  <c r="FU39" i="14"/>
  <c r="FT39" i="14"/>
  <c r="EL39" i="14"/>
  <c r="EJ39" i="14"/>
  <c r="CK39" i="14"/>
  <c r="BB39" i="14"/>
  <c r="BA39" i="14"/>
  <c r="AZ39" i="14"/>
  <c r="AY39" i="14"/>
  <c r="AX39" i="14"/>
  <c r="AW39" i="14"/>
  <c r="AV39" i="14"/>
  <c r="AU39" i="14"/>
  <c r="AT39" i="14"/>
  <c r="D39" i="14"/>
  <c r="C39" i="14"/>
  <c r="E39" i="14" s="1"/>
  <c r="B39" i="14"/>
  <c r="FY38" i="14"/>
  <c r="FX38" i="14"/>
  <c r="FW38" i="14"/>
  <c r="FV38" i="14"/>
  <c r="FT38" i="14"/>
  <c r="EL38" i="14"/>
  <c r="EJ38" i="14"/>
  <c r="CK38" i="14"/>
  <c r="BB38" i="14"/>
  <c r="BA38" i="14"/>
  <c r="AZ38" i="14"/>
  <c r="AY38" i="14"/>
  <c r="AX38" i="14"/>
  <c r="AW38" i="14"/>
  <c r="AV38" i="14"/>
  <c r="AU38" i="14"/>
  <c r="AT38" i="14"/>
  <c r="J38" i="14"/>
  <c r="J39" i="14" s="1"/>
  <c r="D38" i="14"/>
  <c r="C38" i="14"/>
  <c r="B38" i="14"/>
  <c r="E38" i="14" s="1"/>
  <c r="FY37" i="14"/>
  <c r="FX37" i="14"/>
  <c r="FW37" i="14"/>
  <c r="FV37" i="14"/>
  <c r="FU37" i="14"/>
  <c r="EL37" i="14"/>
  <c r="EJ37" i="14"/>
  <c r="CQ37" i="14"/>
  <c r="CS37" i="14" s="1"/>
  <c r="CK37" i="14"/>
  <c r="BB37" i="14"/>
  <c r="BA37" i="14"/>
  <c r="AZ37" i="14"/>
  <c r="AY37" i="14"/>
  <c r="AX37" i="14"/>
  <c r="AW37" i="14"/>
  <c r="AV37" i="14"/>
  <c r="AU37" i="14"/>
  <c r="AT37" i="14"/>
  <c r="D37" i="14"/>
  <c r="C37" i="14"/>
  <c r="E37" i="14" s="1"/>
  <c r="B37" i="14"/>
  <c r="FY36" i="14"/>
  <c r="FX36" i="14"/>
  <c r="FW36" i="14"/>
  <c r="FU36" i="14"/>
  <c r="FT36" i="14"/>
  <c r="EL36" i="14"/>
  <c r="EJ36" i="14"/>
  <c r="CQ36" i="14"/>
  <c r="CS36" i="14" s="1"/>
  <c r="FN16" i="14" s="1"/>
  <c r="CK36" i="14"/>
  <c r="BO36" i="14"/>
  <c r="BN36" i="14"/>
  <c r="BM36" i="14"/>
  <c r="BL36" i="14"/>
  <c r="BK36" i="14"/>
  <c r="BJ36" i="14"/>
  <c r="BI36" i="14"/>
  <c r="BH36" i="14"/>
  <c r="BG36" i="14"/>
  <c r="BF36" i="14"/>
  <c r="BD36" i="14"/>
  <c r="BC36" i="14"/>
  <c r="BB36" i="14"/>
  <c r="BA36" i="14"/>
  <c r="AK32" i="14" s="1"/>
  <c r="AZ36" i="14"/>
  <c r="AL32" i="14" s="1"/>
  <c r="AY36" i="14"/>
  <c r="AM32" i="14" s="1"/>
  <c r="AX36" i="14"/>
  <c r="AW36" i="14"/>
  <c r="AV36" i="14"/>
  <c r="AP32" i="14" s="1"/>
  <c r="AU36" i="14"/>
  <c r="AQ32" i="14" s="1"/>
  <c r="AT36" i="14"/>
  <c r="U36" i="14"/>
  <c r="T36" i="14"/>
  <c r="S36" i="14"/>
  <c r="R36" i="14"/>
  <c r="Q36" i="14"/>
  <c r="P36" i="14"/>
  <c r="O36" i="14"/>
  <c r="N36" i="14"/>
  <c r="M36" i="14"/>
  <c r="L36" i="14"/>
  <c r="D36" i="14"/>
  <c r="C36" i="14"/>
  <c r="E36" i="14" s="1"/>
  <c r="B36" i="14"/>
  <c r="FY35" i="14"/>
  <c r="FX35" i="14"/>
  <c r="FW35" i="14"/>
  <c r="FV35" i="14"/>
  <c r="FT35" i="14"/>
  <c r="EL35" i="14"/>
  <c r="EJ35" i="14"/>
  <c r="FY34" i="14"/>
  <c r="FX34" i="14"/>
  <c r="FW34" i="14"/>
  <c r="FV34" i="14"/>
  <c r="FU34" i="14"/>
  <c r="EL34" i="14"/>
  <c r="EJ34" i="14"/>
  <c r="CS34" i="14"/>
  <c r="BI34" i="14"/>
  <c r="AC34" i="14"/>
  <c r="FY33" i="14"/>
  <c r="FX33" i="14"/>
  <c r="FW33" i="14"/>
  <c r="FU33" i="14"/>
  <c r="FT33" i="14"/>
  <c r="EL33" i="14"/>
  <c r="EJ33" i="14"/>
  <c r="FY32" i="14"/>
  <c r="FX32" i="14"/>
  <c r="FW32" i="14"/>
  <c r="FV32" i="14"/>
  <c r="FT32" i="14"/>
  <c r="EL32" i="14"/>
  <c r="EJ32" i="14"/>
  <c r="AO32" i="14"/>
  <c r="AN32" i="14"/>
  <c r="AJ32" i="14"/>
  <c r="FY31" i="14"/>
  <c r="FX31" i="14"/>
  <c r="FW31" i="14"/>
  <c r="FV31" i="14"/>
  <c r="FU31" i="14"/>
  <c r="EL31" i="14"/>
  <c r="EJ31" i="14"/>
  <c r="FY30" i="14"/>
  <c r="FX30" i="14"/>
  <c r="FW30" i="14"/>
  <c r="FU30" i="14"/>
  <c r="FT30" i="14"/>
  <c r="EL30" i="14"/>
  <c r="EJ30" i="14"/>
  <c r="CS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FY29" i="14"/>
  <c r="FX29" i="14"/>
  <c r="FW29" i="14"/>
  <c r="FV29" i="14"/>
  <c r="FT29" i="14"/>
  <c r="EL29" i="14"/>
  <c r="EJ29" i="14"/>
  <c r="CS29" i="14"/>
  <c r="EU25" i="14" s="1"/>
  <c r="X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FY28" i="14"/>
  <c r="FX28" i="14"/>
  <c r="FW28" i="14"/>
  <c r="FV28" i="14"/>
  <c r="FU28" i="14"/>
  <c r="EL28" i="14"/>
  <c r="EJ28" i="14"/>
  <c r="CS28" i="14"/>
  <c r="AB28" i="14"/>
  <c r="X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FY27" i="14"/>
  <c r="FX27" i="14"/>
  <c r="FW27" i="14"/>
  <c r="FV27" i="14"/>
  <c r="FU27" i="14"/>
  <c r="EL27" i="14"/>
  <c r="EJ27" i="14"/>
  <c r="AB27" i="14"/>
  <c r="CQ38" i="14" s="1"/>
  <c r="CS38" i="14" s="1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FY26" i="14"/>
  <c r="FX26" i="14"/>
  <c r="FW26" i="14"/>
  <c r="FU26" i="14"/>
  <c r="FT26" i="14"/>
  <c r="EL26" i="14"/>
  <c r="EJ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FY25" i="14"/>
  <c r="FX25" i="14"/>
  <c r="FW25" i="14"/>
  <c r="FV25" i="14"/>
  <c r="FT25" i="14"/>
  <c r="EL25" i="14"/>
  <c r="EJ25" i="14"/>
  <c r="AD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FY24" i="14"/>
  <c r="FX24" i="14"/>
  <c r="FW24" i="14"/>
  <c r="FV24" i="14"/>
  <c r="FU24" i="14"/>
  <c r="EL24" i="14"/>
  <c r="EJ24" i="14"/>
  <c r="AD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FY23" i="14"/>
  <c r="FX23" i="14"/>
  <c r="FW23" i="14"/>
  <c r="FU23" i="14"/>
  <c r="FT23" i="14"/>
  <c r="EL23" i="14"/>
  <c r="EJ23" i="14"/>
  <c r="CS23" i="14"/>
  <c r="X23" i="14"/>
  <c r="CS33" i="14" s="1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FY22" i="14"/>
  <c r="FX22" i="14"/>
  <c r="FW22" i="14"/>
  <c r="FV22" i="14"/>
  <c r="FT22" i="14"/>
  <c r="FC22" i="14"/>
  <c r="EL22" i="14"/>
  <c r="EJ22" i="14"/>
  <c r="CS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FY21" i="14"/>
  <c r="FX21" i="14"/>
  <c r="FW21" i="14"/>
  <c r="FV21" i="14"/>
  <c r="FU21" i="14"/>
  <c r="FC21" i="14"/>
  <c r="EL21" i="14"/>
  <c r="EJ21" i="14"/>
  <c r="CS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FY20" i="14"/>
  <c r="FX20" i="14"/>
  <c r="FW20" i="14"/>
  <c r="FU20" i="14"/>
  <c r="FT20" i="14"/>
  <c r="FC20" i="14"/>
  <c r="EL20" i="14"/>
  <c r="EJ20" i="14"/>
  <c r="CS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FY19" i="14"/>
  <c r="FX19" i="14"/>
  <c r="FW19" i="14"/>
  <c r="FV19" i="14"/>
  <c r="FT19" i="14"/>
  <c r="FC19" i="14"/>
  <c r="EL19" i="14"/>
  <c r="EJ19" i="14"/>
  <c r="FY18" i="14"/>
  <c r="FX18" i="14"/>
  <c r="FW18" i="14"/>
  <c r="FV18" i="14"/>
  <c r="FU18" i="14"/>
  <c r="FC18" i="14"/>
  <c r="EL18" i="14"/>
  <c r="EJ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FY17" i="14"/>
  <c r="FX17" i="14"/>
  <c r="FW17" i="14"/>
  <c r="FU17" i="14"/>
  <c r="FT17" i="14"/>
  <c r="FC17" i="14"/>
  <c r="EL17" i="14"/>
  <c r="EJ17" i="14"/>
  <c r="FY16" i="14"/>
  <c r="FX16" i="14"/>
  <c r="FW16" i="14"/>
  <c r="FV16" i="14"/>
  <c r="FT16" i="14"/>
  <c r="FC16" i="14"/>
  <c r="EL16" i="14"/>
  <c r="EJ16" i="14"/>
  <c r="FY15" i="14"/>
  <c r="FX15" i="14"/>
  <c r="FW15" i="14"/>
  <c r="FV15" i="14"/>
  <c r="FU15" i="14"/>
  <c r="FC15" i="14"/>
  <c r="EL15" i="14"/>
  <c r="EJ15" i="14"/>
  <c r="DO15" i="14"/>
  <c r="FY14" i="14"/>
  <c r="FX14" i="14"/>
  <c r="FW14" i="14"/>
  <c r="FU14" i="14"/>
  <c r="FT14" i="14"/>
  <c r="FC14" i="14"/>
  <c r="EL14" i="14"/>
  <c r="EJ14" i="14"/>
  <c r="FY13" i="14"/>
  <c r="FX13" i="14"/>
  <c r="FW13" i="14"/>
  <c r="FV13" i="14"/>
  <c r="FT13" i="14"/>
  <c r="FC13" i="14"/>
  <c r="EL13" i="14"/>
  <c r="EJ13" i="14"/>
  <c r="FY12" i="14"/>
  <c r="FX12" i="14"/>
  <c r="FW12" i="14"/>
  <c r="FV12" i="14"/>
  <c r="FU12" i="14"/>
  <c r="FC12" i="14"/>
  <c r="EL12" i="14"/>
  <c r="EJ12" i="14"/>
  <c r="FY11" i="14"/>
  <c r="FX11" i="14"/>
  <c r="FW11" i="14"/>
  <c r="FU11" i="14"/>
  <c r="FT11" i="14"/>
  <c r="FC11" i="14"/>
  <c r="EL11" i="14"/>
  <c r="EJ11" i="14"/>
  <c r="FY10" i="14"/>
  <c r="FX10" i="14"/>
  <c r="FW10" i="14"/>
  <c r="FV10" i="14"/>
  <c r="FT10" i="14"/>
  <c r="FC10" i="14"/>
  <c r="EL10" i="14"/>
  <c r="EK10" i="14"/>
  <c r="EJ10" i="14"/>
  <c r="FY9" i="14"/>
  <c r="FX9" i="14"/>
  <c r="FW9" i="14"/>
  <c r="FV9" i="14"/>
  <c r="FU9" i="14"/>
  <c r="FC9" i="14"/>
  <c r="EV9" i="14"/>
  <c r="EL9" i="14"/>
  <c r="EJ9" i="14"/>
  <c r="FY8" i="14"/>
  <c r="FX8" i="14"/>
  <c r="FW8" i="14"/>
  <c r="FU8" i="14"/>
  <c r="FT8" i="14"/>
  <c r="FC8" i="14"/>
  <c r="EL8" i="14"/>
  <c r="EJ8" i="14"/>
  <c r="CZ8" i="14"/>
  <c r="FY7" i="14"/>
  <c r="FX7" i="14"/>
  <c r="FW7" i="14"/>
  <c r="FV7" i="14"/>
  <c r="FT7" i="14"/>
  <c r="FC7" i="14"/>
  <c r="EL7" i="14"/>
  <c r="EK7" i="14"/>
  <c r="EJ7" i="14"/>
  <c r="FY6" i="14"/>
  <c r="FX6" i="14"/>
  <c r="FW6" i="14"/>
  <c r="FV6" i="14"/>
  <c r="FU6" i="14"/>
  <c r="FC6" i="14"/>
  <c r="EL6" i="14"/>
  <c r="EJ6" i="14"/>
  <c r="FS4" i="14"/>
  <c r="FR4" i="14"/>
  <c r="FQ4" i="14"/>
  <c r="FP4" i="14"/>
  <c r="FO4" i="14"/>
  <c r="FN4" i="14"/>
  <c r="FJ4" i="14"/>
  <c r="FI4" i="14"/>
  <c r="FH4" i="14"/>
  <c r="FG4" i="14"/>
  <c r="FF4" i="14"/>
  <c r="FE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B4" i="14"/>
  <c r="EA4" i="14"/>
  <c r="EG4" i="14" s="1"/>
  <c r="DF3" i="14"/>
  <c r="DE3" i="14"/>
  <c r="DH3" i="14" s="1"/>
  <c r="DD3" i="14"/>
  <c r="DG3" i="14" s="1"/>
  <c r="B231" i="13"/>
  <c r="E231" i="13" s="1"/>
  <c r="B230" i="13"/>
  <c r="E230" i="13" s="1"/>
  <c r="B229" i="13"/>
  <c r="E229" i="13" s="1"/>
  <c r="B228" i="13"/>
  <c r="E228" i="13" s="1"/>
  <c r="B227" i="13"/>
  <c r="E227" i="13" s="1"/>
  <c r="B226" i="13"/>
  <c r="E226" i="13" s="1"/>
  <c r="B225" i="13"/>
  <c r="E225" i="13" s="1"/>
  <c r="B224" i="13"/>
  <c r="E224" i="13" s="1"/>
  <c r="E223" i="13"/>
  <c r="B223" i="13"/>
  <c r="B222" i="13"/>
  <c r="E222" i="13" s="1"/>
  <c r="B221" i="13"/>
  <c r="E221" i="13" s="1"/>
  <c r="B220" i="13"/>
  <c r="E220" i="13" s="1"/>
  <c r="B219" i="13"/>
  <c r="E219" i="13" s="1"/>
  <c r="B218" i="13"/>
  <c r="E218" i="13" s="1"/>
  <c r="B217" i="13"/>
  <c r="E217" i="13" s="1"/>
  <c r="B216" i="13"/>
  <c r="E216" i="13" s="1"/>
  <c r="B215" i="13"/>
  <c r="E215" i="13" s="1"/>
  <c r="B214" i="13"/>
  <c r="E214" i="13" s="1"/>
  <c r="B213" i="13"/>
  <c r="E213" i="13" s="1"/>
  <c r="B212" i="13"/>
  <c r="E212" i="13" s="1"/>
  <c r="B211" i="13"/>
  <c r="E211" i="13" s="1"/>
  <c r="B210" i="13"/>
  <c r="E210" i="13" s="1"/>
  <c r="B209" i="13"/>
  <c r="E209" i="13" s="1"/>
  <c r="B208" i="13"/>
  <c r="E208" i="13" s="1"/>
  <c r="B207" i="13"/>
  <c r="E207" i="13" s="1"/>
  <c r="B206" i="13"/>
  <c r="E206" i="13" s="1"/>
  <c r="B205" i="13"/>
  <c r="E205" i="13" s="1"/>
  <c r="B204" i="13"/>
  <c r="E204" i="13" s="1"/>
  <c r="B203" i="13"/>
  <c r="E203" i="13" s="1"/>
  <c r="E202" i="13"/>
  <c r="B202" i="13"/>
  <c r="B201" i="13"/>
  <c r="E201" i="13" s="1"/>
  <c r="B200" i="13"/>
  <c r="E200" i="13" s="1"/>
  <c r="B199" i="13"/>
  <c r="E199" i="13" s="1"/>
  <c r="B198" i="13"/>
  <c r="E198" i="13" s="1"/>
  <c r="B197" i="13"/>
  <c r="E197" i="13" s="1"/>
  <c r="B196" i="13"/>
  <c r="E196" i="13" s="1"/>
  <c r="D195" i="13"/>
  <c r="B195" i="13"/>
  <c r="E195" i="13" s="1"/>
  <c r="B194" i="13"/>
  <c r="E194" i="13" s="1"/>
  <c r="D193" i="13"/>
  <c r="B193" i="13"/>
  <c r="E193" i="13" s="1"/>
  <c r="B192" i="13"/>
  <c r="E192" i="13" s="1"/>
  <c r="B191" i="13"/>
  <c r="E191" i="13" s="1"/>
  <c r="B190" i="13"/>
  <c r="E190" i="13" s="1"/>
  <c r="B189" i="13"/>
  <c r="E189" i="13" s="1"/>
  <c r="B188" i="13"/>
  <c r="E188" i="13" s="1"/>
  <c r="B187" i="13"/>
  <c r="E187" i="13" s="1"/>
  <c r="B186" i="13"/>
  <c r="E186" i="13" s="1"/>
  <c r="B185" i="13"/>
  <c r="E185" i="13" s="1"/>
  <c r="B184" i="13"/>
  <c r="E184" i="13" s="1"/>
  <c r="D183" i="13"/>
  <c r="B183" i="13"/>
  <c r="E183" i="13" s="1"/>
  <c r="E182" i="13"/>
  <c r="B182" i="13"/>
  <c r="B181" i="13"/>
  <c r="E181" i="13" s="1"/>
  <c r="B180" i="13"/>
  <c r="E180" i="13" s="1"/>
  <c r="B179" i="13"/>
  <c r="E179" i="13" s="1"/>
  <c r="B178" i="13"/>
  <c r="E178" i="13" s="1"/>
  <c r="B177" i="13"/>
  <c r="E177" i="13" s="1"/>
  <c r="E176" i="13"/>
  <c r="B176" i="13"/>
  <c r="C175" i="13"/>
  <c r="B175" i="13"/>
  <c r="E175" i="13" s="1"/>
  <c r="E174" i="13"/>
  <c r="B174" i="13"/>
  <c r="B173" i="13"/>
  <c r="E173" i="13" s="1"/>
  <c r="B172" i="13"/>
  <c r="E172" i="13" s="1"/>
  <c r="E171" i="13"/>
  <c r="B171" i="13"/>
  <c r="E170" i="13"/>
  <c r="B170" i="13"/>
  <c r="B169" i="13"/>
  <c r="E169" i="13" s="1"/>
  <c r="B168" i="13"/>
  <c r="E168" i="13" s="1"/>
  <c r="E167" i="13"/>
  <c r="B167" i="13"/>
  <c r="E166" i="13"/>
  <c r="B166" i="13"/>
  <c r="B165" i="13"/>
  <c r="E165" i="13" s="1"/>
  <c r="B164" i="13"/>
  <c r="E164" i="13" s="1"/>
  <c r="B163" i="13"/>
  <c r="E163" i="13" s="1"/>
  <c r="E162" i="13"/>
  <c r="B162" i="13"/>
  <c r="B161" i="13"/>
  <c r="E161" i="13" s="1"/>
  <c r="B160" i="13"/>
  <c r="E160" i="13" s="1"/>
  <c r="B159" i="13"/>
  <c r="E159" i="13" s="1"/>
  <c r="B158" i="13"/>
  <c r="E158" i="13" s="1"/>
  <c r="B157" i="13"/>
  <c r="E157" i="13" s="1"/>
  <c r="B156" i="13"/>
  <c r="E156" i="13" s="1"/>
  <c r="B155" i="13"/>
  <c r="E155" i="13" s="1"/>
  <c r="E154" i="13"/>
  <c r="B154" i="13"/>
  <c r="C153" i="13"/>
  <c r="B153" i="13"/>
  <c r="E153" i="13" s="1"/>
  <c r="B152" i="13"/>
  <c r="E152" i="13" s="1"/>
  <c r="B151" i="13"/>
  <c r="E151" i="13" s="1"/>
  <c r="B150" i="13"/>
  <c r="E150" i="13" s="1"/>
  <c r="B149" i="13"/>
  <c r="E149" i="13" s="1"/>
  <c r="B148" i="13"/>
  <c r="E148" i="13" s="1"/>
  <c r="E147" i="13"/>
  <c r="B147" i="13"/>
  <c r="D146" i="13"/>
  <c r="B146" i="13"/>
  <c r="E146" i="13" s="1"/>
  <c r="B145" i="13"/>
  <c r="E145" i="13" s="1"/>
  <c r="B144" i="13"/>
  <c r="E144" i="13" s="1"/>
  <c r="B143" i="13"/>
  <c r="E143" i="13" s="1"/>
  <c r="D142" i="13"/>
  <c r="B142" i="13"/>
  <c r="E142" i="13" s="1"/>
  <c r="B141" i="13"/>
  <c r="E141" i="13" s="1"/>
  <c r="B140" i="13"/>
  <c r="E140" i="13" s="1"/>
  <c r="E139" i="13"/>
  <c r="B139" i="13"/>
  <c r="B138" i="13"/>
  <c r="E138" i="13" s="1"/>
  <c r="B137" i="13"/>
  <c r="E137" i="13" s="1"/>
  <c r="B136" i="13"/>
  <c r="E136" i="13" s="1"/>
  <c r="B135" i="13"/>
  <c r="E135" i="13" s="1"/>
  <c r="B134" i="13"/>
  <c r="E134" i="13" s="1"/>
  <c r="B133" i="13"/>
  <c r="E133" i="13" s="1"/>
  <c r="B132" i="13"/>
  <c r="E132" i="13" s="1"/>
  <c r="B131" i="13"/>
  <c r="E131" i="13" s="1"/>
  <c r="B130" i="13"/>
  <c r="E130" i="13" s="1"/>
  <c r="B129" i="13"/>
  <c r="E129" i="13" s="1"/>
  <c r="B128" i="13"/>
  <c r="E128" i="13" s="1"/>
  <c r="B127" i="13"/>
  <c r="E127" i="13" s="1"/>
  <c r="B126" i="13"/>
  <c r="E126" i="13" s="1"/>
  <c r="B125" i="13"/>
  <c r="E125" i="13" s="1"/>
  <c r="B124" i="13"/>
  <c r="E124" i="13" s="1"/>
  <c r="B123" i="13"/>
  <c r="E123" i="13" s="1"/>
  <c r="B122" i="13"/>
  <c r="E122" i="13" s="1"/>
  <c r="C121" i="13"/>
  <c r="B121" i="13"/>
  <c r="E121" i="13" s="1"/>
  <c r="B120" i="13"/>
  <c r="E120" i="13" s="1"/>
  <c r="B119" i="13"/>
  <c r="E119" i="13" s="1"/>
  <c r="B118" i="13"/>
  <c r="E118" i="13" s="1"/>
  <c r="B117" i="13"/>
  <c r="E117" i="13" s="1"/>
  <c r="B116" i="13"/>
  <c r="E116" i="13" s="1"/>
  <c r="B115" i="13"/>
  <c r="E115" i="13" s="1"/>
  <c r="B114" i="13"/>
  <c r="E114" i="13" s="1"/>
  <c r="B113" i="13"/>
  <c r="E113" i="13" s="1"/>
  <c r="E112" i="13"/>
  <c r="B112" i="13"/>
  <c r="E111" i="13"/>
  <c r="B111" i="13"/>
  <c r="B110" i="13"/>
  <c r="E110" i="13" s="1"/>
  <c r="B109" i="13"/>
  <c r="E109" i="13" s="1"/>
  <c r="B108" i="13"/>
  <c r="E108" i="13" s="1"/>
  <c r="B107" i="13"/>
  <c r="E107" i="13" s="1"/>
  <c r="B106" i="13"/>
  <c r="E106" i="13" s="1"/>
  <c r="B105" i="13"/>
  <c r="E105" i="13" s="1"/>
  <c r="B104" i="13"/>
  <c r="E104" i="13" s="1"/>
  <c r="B103" i="13"/>
  <c r="E103" i="13" s="1"/>
  <c r="B102" i="13"/>
  <c r="E102" i="13" s="1"/>
  <c r="E101" i="13"/>
  <c r="B101" i="13"/>
  <c r="B100" i="13"/>
  <c r="E100" i="13" s="1"/>
  <c r="B99" i="13"/>
  <c r="E99" i="13" s="1"/>
  <c r="E98" i="13"/>
  <c r="B98" i="13"/>
  <c r="B97" i="13"/>
  <c r="E97" i="13" s="1"/>
  <c r="B96" i="13"/>
  <c r="E96" i="13" s="1"/>
  <c r="B95" i="13"/>
  <c r="E95" i="13" s="1"/>
  <c r="B94" i="13"/>
  <c r="E94" i="13" s="1"/>
  <c r="B93" i="13"/>
  <c r="E93" i="13" s="1"/>
  <c r="B92" i="13"/>
  <c r="E92" i="13" s="1"/>
  <c r="B91" i="13"/>
  <c r="E91" i="13" s="1"/>
  <c r="B90" i="13"/>
  <c r="E90" i="13" s="1"/>
  <c r="B89" i="13"/>
  <c r="E89" i="13" s="1"/>
  <c r="B88" i="13"/>
  <c r="E88" i="13" s="1"/>
  <c r="B87" i="13"/>
  <c r="E87" i="13" s="1"/>
  <c r="B86" i="13"/>
  <c r="E86" i="13" s="1"/>
  <c r="B85" i="13"/>
  <c r="E85" i="13" s="1"/>
  <c r="AM84" i="13"/>
  <c r="AL84" i="13"/>
  <c r="AK84" i="13"/>
  <c r="AJ84" i="13"/>
  <c r="X84" i="13"/>
  <c r="W84" i="13"/>
  <c r="V84" i="13"/>
  <c r="U84" i="13"/>
  <c r="B84" i="13"/>
  <c r="E84" i="13" s="1"/>
  <c r="AM83" i="13"/>
  <c r="AL83" i="13"/>
  <c r="AK83" i="13"/>
  <c r="AJ83" i="13"/>
  <c r="X83" i="13"/>
  <c r="W83" i="13"/>
  <c r="V83" i="13"/>
  <c r="U83" i="13"/>
  <c r="B83" i="13"/>
  <c r="E83" i="13" s="1"/>
  <c r="AM82" i="13"/>
  <c r="AL82" i="13"/>
  <c r="AK82" i="13"/>
  <c r="AJ82" i="13"/>
  <c r="X82" i="13"/>
  <c r="W82" i="13"/>
  <c r="V82" i="13"/>
  <c r="U82" i="13"/>
  <c r="B82" i="13"/>
  <c r="E82" i="13" s="1"/>
  <c r="AM81" i="13"/>
  <c r="AL81" i="13"/>
  <c r="AK81" i="13"/>
  <c r="AJ81" i="13"/>
  <c r="X81" i="13"/>
  <c r="W81" i="13"/>
  <c r="V81" i="13"/>
  <c r="U81" i="13"/>
  <c r="B81" i="13"/>
  <c r="E81" i="13" s="1"/>
  <c r="AM80" i="13"/>
  <c r="AL80" i="13"/>
  <c r="AK80" i="13"/>
  <c r="AJ80" i="13"/>
  <c r="X80" i="13"/>
  <c r="W80" i="13"/>
  <c r="V80" i="13"/>
  <c r="U80" i="13"/>
  <c r="B80" i="13"/>
  <c r="E80" i="13" s="1"/>
  <c r="AM79" i="13"/>
  <c r="AL79" i="13"/>
  <c r="AK79" i="13"/>
  <c r="AJ79" i="13"/>
  <c r="X79" i="13"/>
  <c r="W79" i="13"/>
  <c r="V79" i="13"/>
  <c r="U79" i="13"/>
  <c r="E79" i="13"/>
  <c r="B79" i="13"/>
  <c r="AM78" i="13"/>
  <c r="AL78" i="13"/>
  <c r="AK78" i="13"/>
  <c r="AJ78" i="13"/>
  <c r="X78" i="13"/>
  <c r="W78" i="13"/>
  <c r="V78" i="13"/>
  <c r="U78" i="13"/>
  <c r="B78" i="13"/>
  <c r="E78" i="13" s="1"/>
  <c r="AM77" i="13"/>
  <c r="AL77" i="13"/>
  <c r="AK77" i="13"/>
  <c r="AJ77" i="13"/>
  <c r="X77" i="13"/>
  <c r="W77" i="13"/>
  <c r="V77" i="13"/>
  <c r="U77" i="13"/>
  <c r="B77" i="13"/>
  <c r="E77" i="13" s="1"/>
  <c r="AM76" i="13"/>
  <c r="AL76" i="13"/>
  <c r="AK76" i="13"/>
  <c r="AJ76" i="13"/>
  <c r="X76" i="13"/>
  <c r="W76" i="13"/>
  <c r="V76" i="13"/>
  <c r="U76" i="13"/>
  <c r="B76" i="13"/>
  <c r="E76" i="13" s="1"/>
  <c r="AM75" i="13"/>
  <c r="AL75" i="13"/>
  <c r="AK75" i="13"/>
  <c r="AJ75" i="13"/>
  <c r="X75" i="13"/>
  <c r="W75" i="13"/>
  <c r="V75" i="13"/>
  <c r="U75" i="13"/>
  <c r="B75" i="13"/>
  <c r="E75" i="13" s="1"/>
  <c r="AM74" i="13"/>
  <c r="AL74" i="13"/>
  <c r="AK74" i="13"/>
  <c r="AJ74" i="13"/>
  <c r="X74" i="13"/>
  <c r="W74" i="13"/>
  <c r="V74" i="13"/>
  <c r="U74" i="13"/>
  <c r="B74" i="13"/>
  <c r="E74" i="13" s="1"/>
  <c r="AM73" i="13"/>
  <c r="AL73" i="13"/>
  <c r="AK73" i="13"/>
  <c r="AJ73" i="13"/>
  <c r="X73" i="13"/>
  <c r="W73" i="13"/>
  <c r="V73" i="13"/>
  <c r="U73" i="13"/>
  <c r="B73" i="13"/>
  <c r="E73" i="13" s="1"/>
  <c r="AM72" i="13"/>
  <c r="AL72" i="13"/>
  <c r="AK72" i="13"/>
  <c r="AJ72" i="13"/>
  <c r="X72" i="13"/>
  <c r="W72" i="13"/>
  <c r="V72" i="13"/>
  <c r="U72" i="13"/>
  <c r="B72" i="13"/>
  <c r="E72" i="13" s="1"/>
  <c r="AM71" i="13"/>
  <c r="AL71" i="13"/>
  <c r="AK71" i="13"/>
  <c r="AJ71" i="13"/>
  <c r="X71" i="13"/>
  <c r="W71" i="13"/>
  <c r="V71" i="13"/>
  <c r="U71" i="13"/>
  <c r="B71" i="13"/>
  <c r="E71" i="13" s="1"/>
  <c r="AM70" i="13"/>
  <c r="AL70" i="13"/>
  <c r="AK70" i="13"/>
  <c r="AJ70" i="13"/>
  <c r="X70" i="13"/>
  <c r="W70" i="13"/>
  <c r="V70" i="13"/>
  <c r="U70" i="13"/>
  <c r="B70" i="13"/>
  <c r="E70" i="13" s="1"/>
  <c r="AM69" i="13"/>
  <c r="AL69" i="13"/>
  <c r="AK69" i="13"/>
  <c r="AJ69" i="13"/>
  <c r="X69" i="13"/>
  <c r="W69" i="13"/>
  <c r="V69" i="13"/>
  <c r="U69" i="13"/>
  <c r="B69" i="13"/>
  <c r="E69" i="13" s="1"/>
  <c r="AM68" i="13"/>
  <c r="AL68" i="13"/>
  <c r="AK68" i="13"/>
  <c r="AJ68" i="13"/>
  <c r="X68" i="13"/>
  <c r="W68" i="13"/>
  <c r="V68" i="13"/>
  <c r="U68" i="13"/>
  <c r="D68" i="13"/>
  <c r="H68" i="13" s="1"/>
  <c r="B68" i="13"/>
  <c r="E68" i="13" s="1"/>
  <c r="AM67" i="13"/>
  <c r="AL67" i="13"/>
  <c r="AK67" i="13"/>
  <c r="AJ67" i="13"/>
  <c r="X67" i="13"/>
  <c r="W67" i="13"/>
  <c r="V67" i="13"/>
  <c r="U67" i="13"/>
  <c r="B67" i="13"/>
  <c r="E67" i="13" s="1"/>
  <c r="AM66" i="13"/>
  <c r="AL66" i="13"/>
  <c r="AK66" i="13"/>
  <c r="AJ66" i="13"/>
  <c r="X66" i="13"/>
  <c r="W66" i="13"/>
  <c r="V66" i="13"/>
  <c r="U66" i="13"/>
  <c r="D66" i="13"/>
  <c r="H66" i="13" s="1"/>
  <c r="B66" i="13"/>
  <c r="E66" i="13" s="1"/>
  <c r="AM65" i="13"/>
  <c r="AL65" i="13"/>
  <c r="AK65" i="13"/>
  <c r="AJ65" i="13"/>
  <c r="X65" i="13"/>
  <c r="W65" i="13"/>
  <c r="V65" i="13"/>
  <c r="U65" i="13"/>
  <c r="E65" i="13"/>
  <c r="B65" i="13"/>
  <c r="AM64" i="13"/>
  <c r="AL64" i="13"/>
  <c r="AK64" i="13"/>
  <c r="AJ64" i="13"/>
  <c r="X64" i="13"/>
  <c r="W64" i="13"/>
  <c r="V64" i="13"/>
  <c r="U64" i="13"/>
  <c r="E64" i="13"/>
  <c r="B64" i="13"/>
  <c r="AM63" i="13"/>
  <c r="AL63" i="13"/>
  <c r="AK63" i="13"/>
  <c r="AJ63" i="13"/>
  <c r="X63" i="13"/>
  <c r="W63" i="13"/>
  <c r="V63" i="13"/>
  <c r="U63" i="13"/>
  <c r="D63" i="13"/>
  <c r="H63" i="13" s="1"/>
  <c r="B63" i="13"/>
  <c r="E63" i="13" s="1"/>
  <c r="AM62" i="13"/>
  <c r="AL62" i="13"/>
  <c r="AK62" i="13"/>
  <c r="AJ62" i="13"/>
  <c r="X62" i="13"/>
  <c r="W62" i="13"/>
  <c r="V62" i="13"/>
  <c r="U62" i="13"/>
  <c r="B62" i="13"/>
  <c r="E62" i="13" s="1"/>
  <c r="AM61" i="13"/>
  <c r="AL61" i="13"/>
  <c r="AK61" i="13"/>
  <c r="AJ61" i="13"/>
  <c r="X61" i="13"/>
  <c r="W61" i="13"/>
  <c r="V61" i="13"/>
  <c r="U61" i="13"/>
  <c r="E61" i="13"/>
  <c r="B61" i="13"/>
  <c r="AM60" i="13"/>
  <c r="AL60" i="13"/>
  <c r="AK60" i="13"/>
  <c r="AJ60" i="13"/>
  <c r="X60" i="13"/>
  <c r="W60" i="13"/>
  <c r="V60" i="13"/>
  <c r="U60" i="13"/>
  <c r="B60" i="13"/>
  <c r="E60" i="13" s="1"/>
  <c r="AM59" i="13"/>
  <c r="AL59" i="13"/>
  <c r="AK59" i="13"/>
  <c r="AJ59" i="13"/>
  <c r="X59" i="13"/>
  <c r="W59" i="13"/>
  <c r="V59" i="13"/>
  <c r="U59" i="13"/>
  <c r="B59" i="13"/>
  <c r="E59" i="13" s="1"/>
  <c r="AM58" i="13"/>
  <c r="AL58" i="13"/>
  <c r="AK58" i="13"/>
  <c r="AJ58" i="13"/>
  <c r="X58" i="13"/>
  <c r="W58" i="13"/>
  <c r="V58" i="13"/>
  <c r="U58" i="13"/>
  <c r="B58" i="13"/>
  <c r="E58" i="13" s="1"/>
  <c r="AM57" i="13"/>
  <c r="AL57" i="13"/>
  <c r="AK57" i="13"/>
  <c r="AJ57" i="13"/>
  <c r="X57" i="13"/>
  <c r="W57" i="13"/>
  <c r="V57" i="13"/>
  <c r="U57" i="13"/>
  <c r="B57" i="13"/>
  <c r="E57" i="13" s="1"/>
  <c r="AM56" i="13"/>
  <c r="AL56" i="13"/>
  <c r="AK56" i="13"/>
  <c r="AJ56" i="13"/>
  <c r="X56" i="13"/>
  <c r="W56" i="13"/>
  <c r="V56" i="13"/>
  <c r="U56" i="13"/>
  <c r="D56" i="13"/>
  <c r="H56" i="13" s="1"/>
  <c r="B56" i="13"/>
  <c r="E56" i="13" s="1"/>
  <c r="AM55" i="13"/>
  <c r="AL55" i="13"/>
  <c r="AK55" i="13"/>
  <c r="AJ55" i="13"/>
  <c r="X55" i="13"/>
  <c r="W55" i="13"/>
  <c r="V55" i="13"/>
  <c r="U55" i="13"/>
  <c r="B55" i="13"/>
  <c r="E55" i="13" s="1"/>
  <c r="AM54" i="13"/>
  <c r="AL54" i="13"/>
  <c r="AK54" i="13"/>
  <c r="AJ54" i="13"/>
  <c r="X54" i="13"/>
  <c r="W54" i="13"/>
  <c r="V54" i="13"/>
  <c r="U54" i="13"/>
  <c r="B54" i="13"/>
  <c r="E54" i="13" s="1"/>
  <c r="AM53" i="13"/>
  <c r="AL53" i="13"/>
  <c r="AK53" i="13"/>
  <c r="AJ53" i="13"/>
  <c r="X53" i="13"/>
  <c r="W53" i="13"/>
  <c r="V53" i="13"/>
  <c r="U53" i="13"/>
  <c r="B53" i="13"/>
  <c r="E53" i="13" s="1"/>
  <c r="AM52" i="13"/>
  <c r="AL52" i="13"/>
  <c r="AK52" i="13"/>
  <c r="AJ52" i="13"/>
  <c r="X52" i="13"/>
  <c r="W52" i="13"/>
  <c r="V52" i="13"/>
  <c r="U52" i="13"/>
  <c r="B52" i="13"/>
  <c r="E52" i="13" s="1"/>
  <c r="AM51" i="13"/>
  <c r="AL51" i="13"/>
  <c r="AK51" i="13"/>
  <c r="AJ51" i="13"/>
  <c r="X51" i="13"/>
  <c r="W51" i="13"/>
  <c r="V51" i="13"/>
  <c r="U51" i="13"/>
  <c r="B51" i="13"/>
  <c r="E51" i="13" s="1"/>
  <c r="A51" i="13"/>
  <c r="C195" i="13" s="1"/>
  <c r="AM50" i="13"/>
  <c r="AL50" i="13"/>
  <c r="AK50" i="13"/>
  <c r="AJ50" i="13"/>
  <c r="X50" i="13"/>
  <c r="W50" i="13"/>
  <c r="V50" i="13"/>
  <c r="U50" i="13"/>
  <c r="B50" i="13"/>
  <c r="E50" i="13" s="1"/>
  <c r="A50" i="13"/>
  <c r="AM49" i="13"/>
  <c r="AL49" i="13"/>
  <c r="AK49" i="13"/>
  <c r="AJ49" i="13"/>
  <c r="X49" i="13"/>
  <c r="W49" i="13"/>
  <c r="V49" i="13"/>
  <c r="U49" i="13"/>
  <c r="C49" i="13"/>
  <c r="B49" i="13"/>
  <c r="E49" i="13" s="1"/>
  <c r="A49" i="13"/>
  <c r="C193" i="13" s="1"/>
  <c r="AM48" i="13"/>
  <c r="AL48" i="13"/>
  <c r="AK48" i="13"/>
  <c r="AJ48" i="13"/>
  <c r="X48" i="13"/>
  <c r="W48" i="13"/>
  <c r="V48" i="13"/>
  <c r="U48" i="13"/>
  <c r="B48" i="13"/>
  <c r="E48" i="13" s="1"/>
  <c r="A48" i="13"/>
  <c r="AM47" i="13"/>
  <c r="AL47" i="13"/>
  <c r="AK47" i="13"/>
  <c r="AJ47" i="13"/>
  <c r="X47" i="13"/>
  <c r="W47" i="13"/>
  <c r="V47" i="13"/>
  <c r="U47" i="13"/>
  <c r="B47" i="13"/>
  <c r="E47" i="13" s="1"/>
  <c r="A47" i="13"/>
  <c r="C155" i="13" s="1"/>
  <c r="AM46" i="13"/>
  <c r="AL46" i="13"/>
  <c r="AK46" i="13"/>
  <c r="AJ46" i="13"/>
  <c r="X46" i="13"/>
  <c r="W46" i="13"/>
  <c r="V46" i="13"/>
  <c r="U46" i="13"/>
  <c r="B46" i="13"/>
  <c r="E46" i="13" s="1"/>
  <c r="A46" i="13"/>
  <c r="C226" i="13" s="1"/>
  <c r="AM45" i="13"/>
  <c r="AL45" i="13"/>
  <c r="AK45" i="13"/>
  <c r="AJ45" i="13"/>
  <c r="X45" i="13"/>
  <c r="W45" i="13"/>
  <c r="V45" i="13"/>
  <c r="U45" i="13"/>
  <c r="B45" i="13"/>
  <c r="E45" i="13" s="1"/>
  <c r="A45" i="13"/>
  <c r="C171" i="13" s="1"/>
  <c r="AM44" i="13"/>
  <c r="AL44" i="13"/>
  <c r="AK44" i="13"/>
  <c r="AJ44" i="13"/>
  <c r="X44" i="13"/>
  <c r="W44" i="13"/>
  <c r="V44" i="13"/>
  <c r="U44" i="13"/>
  <c r="B44" i="13"/>
  <c r="E44" i="13" s="1"/>
  <c r="A44" i="13"/>
  <c r="C224" i="13" s="1"/>
  <c r="AM43" i="13"/>
  <c r="AL43" i="13"/>
  <c r="AK43" i="13"/>
  <c r="AJ43" i="13"/>
  <c r="X43" i="13"/>
  <c r="W43" i="13"/>
  <c r="V43" i="13"/>
  <c r="U43" i="13"/>
  <c r="B43" i="13"/>
  <c r="E43" i="13" s="1"/>
  <c r="A43" i="13"/>
  <c r="AM42" i="13"/>
  <c r="AL42" i="13"/>
  <c r="AK42" i="13"/>
  <c r="AJ42" i="13"/>
  <c r="X42" i="13"/>
  <c r="W42" i="13"/>
  <c r="V42" i="13"/>
  <c r="U42" i="13"/>
  <c r="B42" i="13"/>
  <c r="E42" i="13" s="1"/>
  <c r="A42" i="13"/>
  <c r="C222" i="13" s="1"/>
  <c r="AM41" i="13"/>
  <c r="AL41" i="13"/>
  <c r="AK41" i="13"/>
  <c r="AJ41" i="13"/>
  <c r="X41" i="13"/>
  <c r="W41" i="13"/>
  <c r="V41" i="13"/>
  <c r="U41" i="13"/>
  <c r="B41" i="13"/>
  <c r="E41" i="13" s="1"/>
  <c r="A41" i="13"/>
  <c r="C95" i="13" s="1"/>
  <c r="AM40" i="13"/>
  <c r="AL40" i="13"/>
  <c r="AK40" i="13"/>
  <c r="AJ40" i="13"/>
  <c r="X40" i="13"/>
  <c r="W40" i="13"/>
  <c r="V40" i="13"/>
  <c r="U40" i="13"/>
  <c r="B40" i="13"/>
  <c r="E40" i="13" s="1"/>
  <c r="A40" i="13"/>
  <c r="C220" i="13" s="1"/>
  <c r="AM39" i="13"/>
  <c r="AL39" i="13"/>
  <c r="AK39" i="13"/>
  <c r="AJ39" i="13"/>
  <c r="X39" i="13"/>
  <c r="W39" i="13"/>
  <c r="V39" i="13"/>
  <c r="U39" i="13"/>
  <c r="C39" i="13"/>
  <c r="B39" i="13"/>
  <c r="E39" i="13" s="1"/>
  <c r="A39" i="13"/>
  <c r="C147" i="13" s="1"/>
  <c r="AM38" i="13"/>
  <c r="AL38" i="13"/>
  <c r="AK38" i="13"/>
  <c r="AJ38" i="13"/>
  <c r="X38" i="13"/>
  <c r="W38" i="13"/>
  <c r="V38" i="13"/>
  <c r="U38" i="13"/>
  <c r="B38" i="13"/>
  <c r="E38" i="13" s="1"/>
  <c r="A38" i="13"/>
  <c r="C218" i="13" s="1"/>
  <c r="AM37" i="13"/>
  <c r="AL37" i="13"/>
  <c r="AK37" i="13"/>
  <c r="AJ37" i="13"/>
  <c r="X37" i="13"/>
  <c r="W37" i="13"/>
  <c r="V37" i="13"/>
  <c r="U37" i="13"/>
  <c r="B37" i="13"/>
  <c r="E37" i="13" s="1"/>
  <c r="A37" i="13"/>
  <c r="C109" i="13" s="1"/>
  <c r="AM36" i="13"/>
  <c r="AL36" i="13"/>
  <c r="AK36" i="13"/>
  <c r="AJ36" i="13"/>
  <c r="X36" i="13"/>
  <c r="W36" i="13"/>
  <c r="V36" i="13"/>
  <c r="U36" i="13"/>
  <c r="B36" i="13"/>
  <c r="E36" i="13" s="1"/>
  <c r="A36" i="13"/>
  <c r="AM35" i="13"/>
  <c r="AL35" i="13"/>
  <c r="AK35" i="13"/>
  <c r="AJ35" i="13"/>
  <c r="X35" i="13"/>
  <c r="W35" i="13"/>
  <c r="V35" i="13"/>
  <c r="U35" i="13"/>
  <c r="K35" i="13"/>
  <c r="K36" i="13" s="1"/>
  <c r="K37" i="13" s="1"/>
  <c r="K38" i="13" s="1"/>
  <c r="K39" i="13" s="1"/>
  <c r="K40" i="13" s="1"/>
  <c r="K41" i="13" s="1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B35" i="13"/>
  <c r="E35" i="13" s="1"/>
  <c r="A35" i="13"/>
  <c r="C179" i="13" s="1"/>
  <c r="AM34" i="13"/>
  <c r="AL34" i="13"/>
  <c r="AK34" i="13"/>
  <c r="AJ34" i="13"/>
  <c r="X34" i="13"/>
  <c r="W34" i="13"/>
  <c r="V34" i="13"/>
  <c r="U34" i="13"/>
  <c r="B34" i="13"/>
  <c r="E34" i="13" s="1"/>
  <c r="A34" i="13"/>
  <c r="T33" i="13"/>
  <c r="S33" i="13"/>
  <c r="R33" i="13"/>
  <c r="Q33" i="13"/>
  <c r="P33" i="13"/>
  <c r="O33" i="13"/>
  <c r="N33" i="13"/>
  <c r="M33" i="13"/>
  <c r="AN31" i="13"/>
  <c r="AM31" i="13"/>
  <c r="AL31" i="13"/>
  <c r="AK31" i="13"/>
  <c r="AJ31" i="13"/>
  <c r="T31" i="13"/>
  <c r="AI31" i="13" s="1"/>
  <c r="S31" i="13"/>
  <c r="AH31" i="13" s="1"/>
  <c r="R31" i="13"/>
  <c r="AG31" i="13" s="1"/>
  <c r="Q31" i="13"/>
  <c r="AF31" i="13" s="1"/>
  <c r="P31" i="13"/>
  <c r="AE31" i="13" s="1"/>
  <c r="O31" i="13"/>
  <c r="AD31" i="13" s="1"/>
  <c r="N31" i="13"/>
  <c r="AC31" i="13" s="1"/>
  <c r="M31" i="13"/>
  <c r="AB31" i="13" s="1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A29" i="13"/>
  <c r="D228" i="13" s="1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B28" i="13"/>
  <c r="A28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B27" i="13"/>
  <c r="A27" i="13"/>
  <c r="D192" i="13" s="1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B26" i="13"/>
  <c r="A26" i="13"/>
  <c r="D177" i="13" s="1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B25" i="13"/>
  <c r="A25" i="13"/>
  <c r="D157" i="13" s="1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B24" i="13"/>
  <c r="A24" i="13"/>
  <c r="D141" i="13" s="1"/>
  <c r="AA23" i="13"/>
  <c r="Y33" i="13" s="1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B23" i="13"/>
  <c r="A23" i="13"/>
  <c r="D122" i="13" s="1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B22" i="13"/>
  <c r="A22" i="13"/>
  <c r="D105" i="13" s="1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B21" i="13"/>
  <c r="A21" i="13"/>
  <c r="D83" i="13" s="1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B20" i="13"/>
  <c r="A20" i="13"/>
  <c r="D52" i="13" s="1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A19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I39" i="18" l="1"/>
  <c r="H36" i="18"/>
  <c r="G193" i="13"/>
  <c r="G195" i="13"/>
  <c r="G104" i="14"/>
  <c r="Z36" i="14"/>
  <c r="AL36" i="14" s="1"/>
  <c r="G53" i="14"/>
  <c r="H22" i="15"/>
  <c r="B88" i="15" s="1"/>
  <c r="AK63" i="15"/>
  <c r="DS3" i="17"/>
  <c r="C185" i="13"/>
  <c r="AN33" i="13"/>
  <c r="C230" i="13"/>
  <c r="D55" i="13"/>
  <c r="H55" i="13" s="1"/>
  <c r="D58" i="13"/>
  <c r="H58" i="13" s="1"/>
  <c r="D60" i="13"/>
  <c r="H60" i="13" s="1"/>
  <c r="C93" i="13"/>
  <c r="C105" i="13"/>
  <c r="C131" i="13"/>
  <c r="C137" i="13"/>
  <c r="C145" i="13"/>
  <c r="D149" i="13"/>
  <c r="D151" i="13"/>
  <c r="D153" i="13"/>
  <c r="D156" i="13"/>
  <c r="D158" i="13"/>
  <c r="FK19" i="14"/>
  <c r="AD27" i="14"/>
  <c r="FP21" i="14"/>
  <c r="AD36" i="14"/>
  <c r="E54" i="14"/>
  <c r="E57" i="14"/>
  <c r="E62" i="14"/>
  <c r="E72" i="14"/>
  <c r="E76" i="14"/>
  <c r="E125" i="14"/>
  <c r="E126" i="14"/>
  <c r="E130" i="14"/>
  <c r="E146" i="14"/>
  <c r="E163" i="14"/>
  <c r="E167" i="14"/>
  <c r="E172" i="14"/>
  <c r="E178" i="14"/>
  <c r="E187" i="14"/>
  <c r="E198" i="14"/>
  <c r="E211" i="14"/>
  <c r="E222" i="14"/>
  <c r="M19" i="15"/>
  <c r="B148" i="15" s="1"/>
  <c r="M21" i="15"/>
  <c r="B145" i="15" s="1"/>
  <c r="AK36" i="15"/>
  <c r="CO3" i="17"/>
  <c r="DI6" i="17"/>
  <c r="DI14" i="17"/>
  <c r="DI22" i="17"/>
  <c r="M30" i="17"/>
  <c r="AB138" i="17"/>
  <c r="AE143" i="17"/>
  <c r="AJ143" i="17" s="1"/>
  <c r="C41" i="13"/>
  <c r="C151" i="13"/>
  <c r="C51" i="13"/>
  <c r="D62" i="13"/>
  <c r="H62" i="13" s="1"/>
  <c r="D67" i="13"/>
  <c r="H67" i="13" s="1"/>
  <c r="C91" i="13"/>
  <c r="C113" i="13"/>
  <c r="C129" i="13"/>
  <c r="D143" i="13"/>
  <c r="D145" i="13"/>
  <c r="G145" i="13" s="1"/>
  <c r="D148" i="13"/>
  <c r="D155" i="13"/>
  <c r="C161" i="13"/>
  <c r="C163" i="13"/>
  <c r="EU22" i="14"/>
  <c r="Q34" i="14"/>
  <c r="AO34" i="14"/>
  <c r="CF34" i="14"/>
  <c r="G38" i="14"/>
  <c r="H38" i="14" s="1"/>
  <c r="E210" i="14"/>
  <c r="E220" i="14"/>
  <c r="E17" i="15"/>
  <c r="B66" i="15" s="1"/>
  <c r="D21" i="15"/>
  <c r="B51" i="15" s="1"/>
  <c r="AE47" i="15" s="1"/>
  <c r="AP47" i="15" s="1"/>
  <c r="AT5" i="17"/>
  <c r="AD5" i="17" s="1"/>
  <c r="DI7" i="17"/>
  <c r="DI8" i="17"/>
  <c r="DI9" i="17"/>
  <c r="DI10" i="17"/>
  <c r="DI26" i="17"/>
  <c r="AZ140" i="17"/>
  <c r="AZ148" i="17"/>
  <c r="C28" i="18"/>
  <c r="G18" i="18" s="1"/>
  <c r="R21" i="19"/>
  <c r="C216" i="13"/>
  <c r="D54" i="13"/>
  <c r="H54" i="13" s="1"/>
  <c r="D59" i="13"/>
  <c r="H59" i="13" s="1"/>
  <c r="D64" i="13"/>
  <c r="H64" i="13" s="1"/>
  <c r="C85" i="13"/>
  <c r="D147" i="13"/>
  <c r="D150" i="13"/>
  <c r="D154" i="13"/>
  <c r="C157" i="13"/>
  <c r="D159" i="13"/>
  <c r="D180" i="13"/>
  <c r="E41" i="14"/>
  <c r="E44" i="14"/>
  <c r="E45" i="14"/>
  <c r="X34" i="14" s="1"/>
  <c r="E123" i="14"/>
  <c r="G123" i="14" s="1"/>
  <c r="H123" i="14" s="1"/>
  <c r="E131" i="14"/>
  <c r="E152" i="14"/>
  <c r="E161" i="14"/>
  <c r="E166" i="14"/>
  <c r="E180" i="14"/>
  <c r="E185" i="14"/>
  <c r="E190" i="14"/>
  <c r="E195" i="14"/>
  <c r="E199" i="14"/>
  <c r="E204" i="14"/>
  <c r="M17" i="15"/>
  <c r="B152" i="15" s="1"/>
  <c r="L18" i="15"/>
  <c r="B135" i="15" s="1"/>
  <c r="I25" i="15"/>
  <c r="B96" i="15" s="1"/>
  <c r="E25" i="15"/>
  <c r="B57" i="15" s="1"/>
  <c r="AI67" i="15" s="1"/>
  <c r="AT67" i="15" s="1"/>
  <c r="I21" i="15"/>
  <c r="B102" i="15" s="1"/>
  <c r="L22" i="15"/>
  <c r="B131" i="15" s="1"/>
  <c r="L202" i="16"/>
  <c r="DI12" i="17"/>
  <c r="DI13" i="17"/>
  <c r="DI18" i="17"/>
  <c r="AB136" i="17"/>
  <c r="AN139" i="17"/>
  <c r="AS139" i="17" s="1"/>
  <c r="AB143" i="17"/>
  <c r="AB146" i="17"/>
  <c r="D51" i="13"/>
  <c r="D44" i="13"/>
  <c r="H44" i="13" s="1"/>
  <c r="D36" i="13"/>
  <c r="H36" i="13" s="1"/>
  <c r="D48" i="13"/>
  <c r="H48" i="13" s="1"/>
  <c r="D212" i="13"/>
  <c r="D210" i="13"/>
  <c r="D208" i="13"/>
  <c r="D205" i="13"/>
  <c r="D202" i="13"/>
  <c r="D197" i="13"/>
  <c r="D206" i="13"/>
  <c r="D203" i="13"/>
  <c r="D200" i="13"/>
  <c r="C214" i="13"/>
  <c r="C196" i="13"/>
  <c r="C34" i="13"/>
  <c r="C88" i="13"/>
  <c r="D204" i="13"/>
  <c r="D211" i="13"/>
  <c r="EK115" i="14"/>
  <c r="EK122" i="14"/>
  <c r="EK109" i="14"/>
  <c r="EK111" i="14"/>
  <c r="EK101" i="14"/>
  <c r="EK95" i="14"/>
  <c r="EK69" i="14"/>
  <c r="EK68" i="14"/>
  <c r="EK63" i="14"/>
  <c r="EK48" i="14"/>
  <c r="EK45" i="14"/>
  <c r="EK41" i="14"/>
  <c r="EK29" i="14"/>
  <c r="EK27" i="14"/>
  <c r="EK25" i="14"/>
  <c r="EK24" i="14"/>
  <c r="EK21" i="14"/>
  <c r="EK15" i="14"/>
  <c r="EK14" i="14"/>
  <c r="EK12" i="14"/>
  <c r="EK8" i="14"/>
  <c r="EK117" i="14"/>
  <c r="EK103" i="14"/>
  <c r="EK73" i="14"/>
  <c r="EK72" i="14"/>
  <c r="EK62" i="14"/>
  <c r="EK58" i="14"/>
  <c r="EK57" i="14"/>
  <c r="EK53" i="14"/>
  <c r="EK50" i="14"/>
  <c r="EK44" i="14"/>
  <c r="EK40" i="14"/>
  <c r="EK35" i="14"/>
  <c r="EK34" i="14"/>
  <c r="EK31" i="14"/>
  <c r="EK28" i="14"/>
  <c r="EK22" i="14"/>
  <c r="CX17" i="14"/>
  <c r="EK9" i="14"/>
  <c r="EU55" i="14"/>
  <c r="FK47" i="14"/>
  <c r="FK30" i="14"/>
  <c r="EU26" i="14"/>
  <c r="EU23" i="14"/>
  <c r="FK21" i="14"/>
  <c r="EU18" i="14"/>
  <c r="FK16" i="14"/>
  <c r="FK14" i="14"/>
  <c r="FK13" i="14"/>
  <c r="FK12" i="14"/>
  <c r="FK11" i="14"/>
  <c r="EU10" i="14"/>
  <c r="FK8" i="14"/>
  <c r="FK7" i="14"/>
  <c r="FK54" i="14"/>
  <c r="EU52" i="14"/>
  <c r="EU47" i="14"/>
  <c r="FK37" i="14"/>
  <c r="EU30" i="14"/>
  <c r="FK29" i="14"/>
  <c r="FK22" i="14"/>
  <c r="EU17" i="14"/>
  <c r="FK9" i="14"/>
  <c r="EU6" i="14"/>
  <c r="EK42" i="14"/>
  <c r="EK61" i="14"/>
  <c r="C22" i="15"/>
  <c r="B41" i="15" s="1"/>
  <c r="C21" i="15"/>
  <c r="B42" i="15" s="1"/>
  <c r="C217" i="13"/>
  <c r="C199" i="13"/>
  <c r="C127" i="13"/>
  <c r="C37" i="13"/>
  <c r="D38" i="13"/>
  <c r="H38" i="13" s="1"/>
  <c r="C47" i="13"/>
  <c r="C231" i="13"/>
  <c r="C177" i="13"/>
  <c r="C159" i="13"/>
  <c r="G159" i="13" s="1"/>
  <c r="C141" i="13"/>
  <c r="C123" i="13"/>
  <c r="C87" i="13"/>
  <c r="C117" i="13"/>
  <c r="C119" i="13"/>
  <c r="C135" i="13"/>
  <c r="G151" i="13"/>
  <c r="G153" i="13"/>
  <c r="C173" i="13"/>
  <c r="D182" i="13"/>
  <c r="D188" i="13"/>
  <c r="D198" i="13"/>
  <c r="D209" i="13"/>
  <c r="FK6" i="14"/>
  <c r="FX58" i="14"/>
  <c r="FO11" i="14"/>
  <c r="EU12" i="14"/>
  <c r="EV14" i="14"/>
  <c r="FK15" i="14"/>
  <c r="EK16" i="14"/>
  <c r="EK19" i="14"/>
  <c r="FK23" i="14"/>
  <c r="EU24" i="14"/>
  <c r="EK30" i="14"/>
  <c r="AM34" i="14"/>
  <c r="FK35" i="14"/>
  <c r="EK43" i="14"/>
  <c r="EK52" i="14"/>
  <c r="FK55" i="14"/>
  <c r="EU62" i="14"/>
  <c r="E97" i="14"/>
  <c r="E105" i="14"/>
  <c r="E193" i="14"/>
  <c r="K21" i="15"/>
  <c r="C25" i="15"/>
  <c r="B38" i="15" s="1"/>
  <c r="C223" i="13"/>
  <c r="C187" i="13"/>
  <c r="C169" i="13"/>
  <c r="C97" i="13"/>
  <c r="C178" i="13"/>
  <c r="FO22" i="14"/>
  <c r="EV19" i="14"/>
  <c r="EV6" i="14"/>
  <c r="EV27" i="14"/>
  <c r="FO18" i="14"/>
  <c r="EV15" i="14"/>
  <c r="DO13" i="14"/>
  <c r="EK65" i="14"/>
  <c r="EK119" i="14"/>
  <c r="G22" i="15"/>
  <c r="B80" i="15" s="1"/>
  <c r="G23" i="15"/>
  <c r="B79" i="15" s="1"/>
  <c r="G19" i="15"/>
  <c r="K22" i="15"/>
  <c r="B120" i="15" s="1"/>
  <c r="K25" i="15"/>
  <c r="O22" i="15"/>
  <c r="B170" i="15" s="1"/>
  <c r="O25" i="15"/>
  <c r="B158" i="15" s="1"/>
  <c r="O17" i="15"/>
  <c r="B179" i="15" s="1"/>
  <c r="D191" i="13"/>
  <c r="D190" i="13"/>
  <c r="D187" i="13"/>
  <c r="D184" i="13"/>
  <c r="D194" i="13"/>
  <c r="D185" i="13"/>
  <c r="G185" i="13" s="1"/>
  <c r="D179" i="13"/>
  <c r="G179" i="13" s="1"/>
  <c r="D178" i="13"/>
  <c r="G178" i="13" s="1"/>
  <c r="D34" i="13"/>
  <c r="C219" i="13"/>
  <c r="C183" i="13"/>
  <c r="C165" i="13"/>
  <c r="D42" i="13"/>
  <c r="H42" i="13" s="1"/>
  <c r="C43" i="13"/>
  <c r="C225" i="13"/>
  <c r="C189" i="13"/>
  <c r="C99" i="13"/>
  <c r="C45" i="13"/>
  <c r="D46" i="13"/>
  <c r="H46" i="13" s="1"/>
  <c r="C81" i="13"/>
  <c r="C106" i="13"/>
  <c r="C111" i="13"/>
  <c r="C115" i="13"/>
  <c r="C133" i="13"/>
  <c r="G147" i="13"/>
  <c r="C160" i="13"/>
  <c r="C181" i="13"/>
  <c r="D186" i="13"/>
  <c r="D196" i="13"/>
  <c r="G196" i="13" s="1"/>
  <c r="C201" i="13"/>
  <c r="D207" i="13"/>
  <c r="EK6" i="14"/>
  <c r="EK11" i="14"/>
  <c r="EK13" i="14"/>
  <c r="CQ14" i="14"/>
  <c r="FL15" i="14"/>
  <c r="FK17" i="14"/>
  <c r="FK18" i="14"/>
  <c r="FN23" i="14"/>
  <c r="FK26" i="14"/>
  <c r="DC4" i="14"/>
  <c r="EU27" i="14"/>
  <c r="AS32" i="14"/>
  <c r="AR32" i="14"/>
  <c r="EU37" i="14"/>
  <c r="EK46" i="14"/>
  <c r="EK56" i="14"/>
  <c r="EK126" i="14"/>
  <c r="E177" i="14"/>
  <c r="O21" i="15"/>
  <c r="EB3" i="17"/>
  <c r="EJ3" i="17"/>
  <c r="AZ138" i="17"/>
  <c r="C124" i="13"/>
  <c r="C142" i="13"/>
  <c r="G142" i="13" s="1"/>
  <c r="G183" i="13"/>
  <c r="EK60" i="14"/>
  <c r="EK64" i="14"/>
  <c r="C23" i="15"/>
  <c r="B40" i="15" s="1"/>
  <c r="M40" i="15" s="1"/>
  <c r="G157" i="13"/>
  <c r="C215" i="13"/>
  <c r="C197" i="13"/>
  <c r="C125" i="13"/>
  <c r="C107" i="13"/>
  <c r="C89" i="13"/>
  <c r="C35" i="13"/>
  <c r="D40" i="13"/>
  <c r="H40" i="13" s="1"/>
  <c r="C227" i="13"/>
  <c r="C191" i="13"/>
  <c r="C101" i="13"/>
  <c r="D50" i="13"/>
  <c r="H50" i="13" s="1"/>
  <c r="C143" i="13"/>
  <c r="G143" i="13" s="1"/>
  <c r="G155" i="13"/>
  <c r="D181" i="13"/>
  <c r="G181" i="13" s="1"/>
  <c r="D189" i="13"/>
  <c r="D199" i="13"/>
  <c r="G199" i="13" s="1"/>
  <c r="D201" i="13"/>
  <c r="D213" i="13"/>
  <c r="EU8" i="14"/>
  <c r="FK10" i="14"/>
  <c r="FP12" i="14"/>
  <c r="EU15" i="14"/>
  <c r="EK17" i="14"/>
  <c r="FO17" i="14"/>
  <c r="EK18" i="14"/>
  <c r="EU20" i="14"/>
  <c r="EU21" i="14"/>
  <c r="FK28" i="14"/>
  <c r="EU29" i="14"/>
  <c r="EK32" i="14"/>
  <c r="EK33" i="14"/>
  <c r="EK36" i="14"/>
  <c r="EK38" i="14"/>
  <c r="EK49" i="14"/>
  <c r="EU53" i="14"/>
  <c r="EK54" i="14"/>
  <c r="G70" i="14"/>
  <c r="H70" i="14" s="1"/>
  <c r="E74" i="14"/>
  <c r="G74" i="14" s="1"/>
  <c r="H74" i="14" s="1"/>
  <c r="CD34" i="14"/>
  <c r="AA34" i="14"/>
  <c r="EK76" i="14"/>
  <c r="EK77" i="14"/>
  <c r="AB34" i="14"/>
  <c r="BJ34" i="14"/>
  <c r="E98" i="14"/>
  <c r="EU125" i="14"/>
  <c r="C17" i="15"/>
  <c r="B46" i="15" s="1"/>
  <c r="C19" i="15"/>
  <c r="B44" i="15" s="1"/>
  <c r="AK82" i="15"/>
  <c r="AK73" i="15"/>
  <c r="AK46" i="15"/>
  <c r="M37" i="15"/>
  <c r="AK78" i="15"/>
  <c r="AK58" i="15"/>
  <c r="V37" i="15"/>
  <c r="AY37" i="15" s="1"/>
  <c r="AK50" i="15"/>
  <c r="AE134" i="17"/>
  <c r="AJ134" i="17" s="1"/>
  <c r="AN134" i="17"/>
  <c r="AS134" i="17" s="1"/>
  <c r="AB134" i="17"/>
  <c r="C221" i="13"/>
  <c r="C228" i="13"/>
  <c r="C229" i="13"/>
  <c r="D53" i="13"/>
  <c r="H53" i="13" s="1"/>
  <c r="D57" i="13"/>
  <c r="H57" i="13" s="1"/>
  <c r="D61" i="13"/>
  <c r="H61" i="13" s="1"/>
  <c r="D65" i="13"/>
  <c r="H65" i="13" s="1"/>
  <c r="D69" i="13"/>
  <c r="H69" i="13" s="1"/>
  <c r="C77" i="13"/>
  <c r="C103" i="13"/>
  <c r="C139" i="13"/>
  <c r="D144" i="13"/>
  <c r="C149" i="13"/>
  <c r="G149" i="13" s="1"/>
  <c r="D152" i="13"/>
  <c r="C167" i="13"/>
  <c r="FY58" i="14"/>
  <c r="AF36" i="14"/>
  <c r="AR36" i="14" s="1"/>
  <c r="E42" i="14"/>
  <c r="E46" i="14"/>
  <c r="E51" i="14"/>
  <c r="E63" i="14"/>
  <c r="E66" i="14"/>
  <c r="G66" i="14" s="1"/>
  <c r="H66" i="14" s="1"/>
  <c r="E68" i="14"/>
  <c r="E100" i="14"/>
  <c r="E101" i="14"/>
  <c r="E116" i="14"/>
  <c r="G120" i="14"/>
  <c r="E170" i="14"/>
  <c r="E186" i="14"/>
  <c r="E202" i="14"/>
  <c r="E218" i="14"/>
  <c r="M102" i="15"/>
  <c r="K17" i="15"/>
  <c r="B126" i="15" s="1"/>
  <c r="O23" i="15"/>
  <c r="B167" i="15" s="1"/>
  <c r="CZ32" i="17"/>
  <c r="EE22" i="17"/>
  <c r="CZ21" i="17"/>
  <c r="CZ19" i="17"/>
  <c r="EE17" i="17"/>
  <c r="CZ16" i="17"/>
  <c r="EE15" i="17"/>
  <c r="EE11" i="17"/>
  <c r="CZ8" i="17"/>
  <c r="CZ6" i="17"/>
  <c r="CZ26" i="17"/>
  <c r="CZ25" i="17"/>
  <c r="CZ24" i="17"/>
  <c r="CZ23" i="17"/>
  <c r="EE19" i="17"/>
  <c r="EE16" i="17"/>
  <c r="CZ10" i="17"/>
  <c r="EE8" i="17"/>
  <c r="CZ7" i="17"/>
  <c r="EE6" i="17"/>
  <c r="ED31" i="17"/>
  <c r="ED25" i="17"/>
  <c r="ED24" i="17"/>
  <c r="ED23" i="17"/>
  <c r="ED20" i="17"/>
  <c r="ED18" i="17"/>
  <c r="ED14" i="17"/>
  <c r="ED13" i="17"/>
  <c r="ED9" i="17"/>
  <c r="ED30" i="17"/>
  <c r="ED22" i="17"/>
  <c r="ED17" i="17"/>
  <c r="ED15" i="17"/>
  <c r="ED11" i="17"/>
  <c r="CD31" i="17"/>
  <c r="CS1" i="17"/>
  <c r="EE32" i="17"/>
  <c r="Y36" i="14"/>
  <c r="E43" i="14"/>
  <c r="E47" i="14"/>
  <c r="E78" i="14"/>
  <c r="G78" i="14" s="1"/>
  <c r="H78" i="14" s="1"/>
  <c r="E106" i="14"/>
  <c r="E201" i="14"/>
  <c r="E217" i="14"/>
  <c r="M51" i="15"/>
  <c r="G25" i="15"/>
  <c r="B77" i="15" s="1"/>
  <c r="M77" i="15" s="1"/>
  <c r="G21" i="15"/>
  <c r="B81" i="15" s="1"/>
  <c r="M81" i="15" s="1"/>
  <c r="K19" i="15"/>
  <c r="B124" i="15" s="1"/>
  <c r="M124" i="15" s="1"/>
  <c r="CN3" i="17"/>
  <c r="ED29" i="17"/>
  <c r="AE139" i="17"/>
  <c r="AJ139" i="17" s="1"/>
  <c r="E109" i="14"/>
  <c r="E115" i="14"/>
  <c r="E122" i="14"/>
  <c r="E147" i="14"/>
  <c r="E150" i="14"/>
  <c r="E157" i="14"/>
  <c r="E160" i="14"/>
  <c r="E168" i="14"/>
  <c r="E176" i="14"/>
  <c r="E184" i="14"/>
  <c r="E192" i="14"/>
  <c r="E200" i="14"/>
  <c r="E208" i="14"/>
  <c r="E216" i="14"/>
  <c r="D23" i="15"/>
  <c r="B49" i="15" s="1"/>
  <c r="H23" i="15"/>
  <c r="B87" i="15" s="1"/>
  <c r="P23" i="15"/>
  <c r="I17" i="15"/>
  <c r="B107" i="15" s="1"/>
  <c r="M107" i="15" s="1"/>
  <c r="P18" i="15"/>
  <c r="D25" i="15"/>
  <c r="B47" i="15" s="1"/>
  <c r="E19" i="15"/>
  <c r="B64" i="15" s="1"/>
  <c r="G17" i="15"/>
  <c r="B85" i="15" s="1"/>
  <c r="AV5" i="17"/>
  <c r="AF5" i="17" s="1"/>
  <c r="AE136" i="17"/>
  <c r="AJ136" i="17" s="1"/>
  <c r="AZ143" i="17"/>
  <c r="AE147" i="17"/>
  <c r="AJ147" i="17" s="1"/>
  <c r="E119" i="14"/>
  <c r="E121" i="14"/>
  <c r="E158" i="14"/>
  <c r="E24" i="15"/>
  <c r="B58" i="15" s="1"/>
  <c r="M24" i="15"/>
  <c r="B139" i="15" s="1"/>
  <c r="I23" i="15"/>
  <c r="B99" i="15" s="1"/>
  <c r="C18" i="15"/>
  <c r="B45" i="15" s="1"/>
  <c r="AB39" i="15" s="1"/>
  <c r="AM39" i="15" s="1"/>
  <c r="CU2" i="17"/>
  <c r="AW5" i="17"/>
  <c r="AG5" i="17" s="1"/>
  <c r="AZ135" i="17"/>
  <c r="AZ144" i="17"/>
  <c r="AZ147" i="17"/>
  <c r="F51" i="13"/>
  <c r="I51" i="13"/>
  <c r="G51" i="13"/>
  <c r="H51" i="13"/>
  <c r="H122" i="13"/>
  <c r="G141" i="13"/>
  <c r="F141" i="13"/>
  <c r="I141" i="13"/>
  <c r="H141" i="13"/>
  <c r="H83" i="13"/>
  <c r="G177" i="13"/>
  <c r="F177" i="13"/>
  <c r="I177" i="13"/>
  <c r="H177" i="13"/>
  <c r="E31" i="13"/>
  <c r="AA84" i="13"/>
  <c r="AN84" i="13" s="1"/>
  <c r="AA80" i="13"/>
  <c r="AN80" i="13" s="1"/>
  <c r="AA76" i="13"/>
  <c r="AN76" i="13" s="1"/>
  <c r="AA52" i="13"/>
  <c r="AN52" i="13" s="1"/>
  <c r="AA81" i="13"/>
  <c r="AN81" i="13" s="1"/>
  <c r="AA77" i="13"/>
  <c r="AN77" i="13" s="1"/>
  <c r="AA51" i="13"/>
  <c r="AN51" i="13" s="1"/>
  <c r="AA49" i="13"/>
  <c r="AN49" i="13" s="1"/>
  <c r="AA47" i="13"/>
  <c r="AN47" i="13" s="1"/>
  <c r="AA45" i="13"/>
  <c r="AN45" i="13" s="1"/>
  <c r="AA43" i="13"/>
  <c r="AN43" i="13" s="1"/>
  <c r="AA41" i="13"/>
  <c r="AN41" i="13" s="1"/>
  <c r="AA39" i="13"/>
  <c r="AN39" i="13" s="1"/>
  <c r="AA37" i="13"/>
  <c r="AN37" i="13" s="1"/>
  <c r="AA35" i="13"/>
  <c r="AN35" i="13" s="1"/>
  <c r="AA79" i="13"/>
  <c r="AN79" i="13" s="1"/>
  <c r="AA75" i="13"/>
  <c r="AN75" i="13" s="1"/>
  <c r="AA73" i="13"/>
  <c r="AN73" i="13" s="1"/>
  <c r="AA70" i="13"/>
  <c r="AN70" i="13" s="1"/>
  <c r="AA69" i="13"/>
  <c r="AN69" i="13" s="1"/>
  <c r="AA68" i="13"/>
  <c r="AN68" i="13" s="1"/>
  <c r="AA64" i="13"/>
  <c r="AN64" i="13" s="1"/>
  <c r="AA63" i="13"/>
  <c r="AN63" i="13" s="1"/>
  <c r="AA59" i="13"/>
  <c r="AN59" i="13" s="1"/>
  <c r="AA58" i="13"/>
  <c r="AN58" i="13" s="1"/>
  <c r="AA55" i="13"/>
  <c r="AN55" i="13" s="1"/>
  <c r="AA53" i="13"/>
  <c r="AN53" i="13" s="1"/>
  <c r="AA50" i="13"/>
  <c r="AN50" i="13" s="1"/>
  <c r="AA48" i="13"/>
  <c r="AN48" i="13" s="1"/>
  <c r="AA46" i="13"/>
  <c r="AN46" i="13" s="1"/>
  <c r="AA40" i="13"/>
  <c r="AN40" i="13" s="1"/>
  <c r="AA82" i="13"/>
  <c r="AN82" i="13" s="1"/>
  <c r="AA78" i="13"/>
  <c r="AN78" i="13" s="1"/>
  <c r="AA83" i="13"/>
  <c r="AN83" i="13" s="1"/>
  <c r="AA74" i="13"/>
  <c r="AN74" i="13" s="1"/>
  <c r="AA72" i="13"/>
  <c r="AN72" i="13" s="1"/>
  <c r="AA71" i="13"/>
  <c r="AN71" i="13" s="1"/>
  <c r="AA67" i="13"/>
  <c r="AN67" i="13" s="1"/>
  <c r="AA66" i="13"/>
  <c r="AN66" i="13" s="1"/>
  <c r="AA65" i="13"/>
  <c r="AN65" i="13" s="1"/>
  <c r="AA62" i="13"/>
  <c r="AN62" i="13" s="1"/>
  <c r="AA61" i="13"/>
  <c r="AN61" i="13" s="1"/>
  <c r="AA60" i="13"/>
  <c r="AN60" i="13" s="1"/>
  <c r="AA57" i="13"/>
  <c r="AN57" i="13" s="1"/>
  <c r="AA56" i="13"/>
  <c r="AN56" i="13" s="1"/>
  <c r="AA54" i="13"/>
  <c r="AN54" i="13" s="1"/>
  <c r="AA44" i="13"/>
  <c r="AN44" i="13" s="1"/>
  <c r="AA42" i="13"/>
  <c r="AN42" i="13" s="1"/>
  <c r="AA38" i="13"/>
  <c r="AN38" i="13" s="1"/>
  <c r="AA36" i="13"/>
  <c r="AN36" i="13" s="1"/>
  <c r="AA34" i="13"/>
  <c r="AN34" i="13" s="1"/>
  <c r="DX125" i="14"/>
  <c r="DX121" i="14"/>
  <c r="DX94" i="14"/>
  <c r="DX124" i="14"/>
  <c r="DX120" i="14"/>
  <c r="DX118" i="14"/>
  <c r="DX116" i="14"/>
  <c r="DX114" i="14"/>
  <c r="DX112" i="14"/>
  <c r="DX110" i="14"/>
  <c r="DX108" i="14"/>
  <c r="DX106" i="14"/>
  <c r="DX104" i="14"/>
  <c r="DX102" i="14"/>
  <c r="DX100" i="14"/>
  <c r="DX98" i="14"/>
  <c r="DX127" i="14"/>
  <c r="DX123" i="14"/>
  <c r="DX96" i="14"/>
  <c r="DX92" i="14"/>
  <c r="DX91" i="14"/>
  <c r="DX113" i="14"/>
  <c r="DX105" i="14"/>
  <c r="DX97" i="14"/>
  <c r="DX75" i="14"/>
  <c r="DX71" i="14"/>
  <c r="DX67" i="14"/>
  <c r="DX59" i="14"/>
  <c r="DX55" i="14"/>
  <c r="FM54" i="14"/>
  <c r="DX51" i="14"/>
  <c r="FM50" i="14"/>
  <c r="FM48" i="14"/>
  <c r="DX47" i="14"/>
  <c r="DX39" i="14"/>
  <c r="FM38" i="14"/>
  <c r="DX37" i="14"/>
  <c r="FM35" i="14"/>
  <c r="FM28" i="14"/>
  <c r="DX26" i="14"/>
  <c r="DX23" i="14"/>
  <c r="FM22" i="14"/>
  <c r="DX20" i="14"/>
  <c r="FM17" i="14"/>
  <c r="DX115" i="14"/>
  <c r="DX107" i="14"/>
  <c r="DX99" i="14"/>
  <c r="DX95" i="14"/>
  <c r="DX90" i="14"/>
  <c r="DX89" i="14"/>
  <c r="DX88" i="14"/>
  <c r="DX87" i="14"/>
  <c r="DX86" i="14"/>
  <c r="DX85" i="14"/>
  <c r="DX84" i="14"/>
  <c r="DX83" i="14"/>
  <c r="DX82" i="14"/>
  <c r="DX81" i="14"/>
  <c r="DX80" i="14"/>
  <c r="DX79" i="14"/>
  <c r="DX78" i="14"/>
  <c r="DX74" i="14"/>
  <c r="DX70" i="14"/>
  <c r="DX66" i="14"/>
  <c r="DX63" i="14"/>
  <c r="DX61" i="14"/>
  <c r="DX122" i="14"/>
  <c r="DX119" i="14"/>
  <c r="DX103" i="14"/>
  <c r="DX93" i="14"/>
  <c r="DX57" i="14"/>
  <c r="DX52" i="14"/>
  <c r="FM51" i="14"/>
  <c r="DX38" i="14"/>
  <c r="DX109" i="14"/>
  <c r="DX76" i="14"/>
  <c r="DX72" i="14"/>
  <c r="DX68" i="14"/>
  <c r="DX64" i="14"/>
  <c r="DX60" i="14"/>
  <c r="DX56" i="14"/>
  <c r="DX50" i="14"/>
  <c r="FM49" i="14"/>
  <c r="DX48" i="14"/>
  <c r="DX46" i="14"/>
  <c r="DX45" i="14"/>
  <c r="DX44" i="14"/>
  <c r="DX43" i="14"/>
  <c r="DX42" i="14"/>
  <c r="DX41" i="14"/>
  <c r="DX40" i="14"/>
  <c r="FM39" i="14"/>
  <c r="DX36" i="14"/>
  <c r="DX34" i="14"/>
  <c r="DX33" i="14"/>
  <c r="DX27" i="14"/>
  <c r="FM25" i="14"/>
  <c r="DX126" i="14"/>
  <c r="DX111" i="14"/>
  <c r="DX77" i="14"/>
  <c r="DX73" i="14"/>
  <c r="DX69" i="14"/>
  <c r="DX65" i="14"/>
  <c r="DX58" i="14"/>
  <c r="FM55" i="14"/>
  <c r="FM53" i="14"/>
  <c r="FM52" i="14"/>
  <c r="FM47" i="14"/>
  <c r="FM37" i="14"/>
  <c r="DX32" i="14"/>
  <c r="DX31" i="14"/>
  <c r="FM30" i="14"/>
  <c r="FM29" i="14"/>
  <c r="DX28" i="14"/>
  <c r="FM26" i="14"/>
  <c r="FM24" i="14"/>
  <c r="FM45" i="14"/>
  <c r="FM43" i="14"/>
  <c r="FM41" i="14"/>
  <c r="FM33" i="14"/>
  <c r="FM31" i="14"/>
  <c r="DX29" i="14"/>
  <c r="FM23" i="14"/>
  <c r="DX21" i="14"/>
  <c r="DX19" i="14"/>
  <c r="FM18" i="14"/>
  <c r="FM16" i="14"/>
  <c r="DX14" i="14"/>
  <c r="DX12" i="14"/>
  <c r="DX9" i="14"/>
  <c r="DX101" i="14"/>
  <c r="DX62" i="14"/>
  <c r="DX54" i="14"/>
  <c r="FM36" i="14"/>
  <c r="DX30" i="14"/>
  <c r="FM21" i="14"/>
  <c r="DX15" i="14"/>
  <c r="DX13" i="14"/>
  <c r="FM12" i="14"/>
  <c r="FM11" i="14"/>
  <c r="DX7" i="14"/>
  <c r="DX6" i="14"/>
  <c r="FM34" i="14"/>
  <c r="FM32" i="14"/>
  <c r="DX24" i="14"/>
  <c r="FM20" i="14"/>
  <c r="DX11" i="14"/>
  <c r="FM6" i="14"/>
  <c r="DX117" i="14"/>
  <c r="FM56" i="14"/>
  <c r="DX53" i="14"/>
  <c r="DX49" i="14"/>
  <c r="FM46" i="14"/>
  <c r="FM44" i="14"/>
  <c r="FM42" i="14"/>
  <c r="FM40" i="14"/>
  <c r="DX35" i="14"/>
  <c r="DX25" i="14"/>
  <c r="DX22" i="14"/>
  <c r="FM19" i="14"/>
  <c r="DX17" i="14"/>
  <c r="DX16" i="14"/>
  <c r="FM15" i="14"/>
  <c r="FM14" i="14"/>
  <c r="DX10" i="14"/>
  <c r="FM9" i="14"/>
  <c r="DX8" i="14"/>
  <c r="FM27" i="14"/>
  <c r="DX18" i="14"/>
  <c r="FM13" i="14"/>
  <c r="FM10" i="14"/>
  <c r="FM8" i="14"/>
  <c r="FM7" i="14"/>
  <c r="EC4" i="14"/>
  <c r="G105" i="13"/>
  <c r="F105" i="13"/>
  <c r="I105" i="13"/>
  <c r="H105" i="13"/>
  <c r="H52" i="13"/>
  <c r="G228" i="13"/>
  <c r="F228" i="13"/>
  <c r="I228" i="13"/>
  <c r="H228" i="13"/>
  <c r="D78" i="13"/>
  <c r="D89" i="13"/>
  <c r="D90" i="13"/>
  <c r="D91" i="13"/>
  <c r="D92" i="13"/>
  <c r="D93" i="13"/>
  <c r="D94" i="13"/>
  <c r="D95" i="13"/>
  <c r="D96" i="13"/>
  <c r="D97" i="13"/>
  <c r="D101" i="13"/>
  <c r="D110" i="13"/>
  <c r="D114" i="13"/>
  <c r="D115" i="13"/>
  <c r="D116" i="13"/>
  <c r="D123" i="13"/>
  <c r="D124" i="13"/>
  <c r="D125" i="13"/>
  <c r="D128" i="13"/>
  <c r="D129" i="13"/>
  <c r="D130" i="13"/>
  <c r="D135" i="13"/>
  <c r="D136" i="13"/>
  <c r="D137" i="13"/>
  <c r="D138" i="13"/>
  <c r="D139" i="13"/>
  <c r="D140" i="13"/>
  <c r="H142" i="13"/>
  <c r="H143" i="13"/>
  <c r="H144" i="13"/>
  <c r="H145" i="13"/>
  <c r="H146" i="13"/>
  <c r="H147" i="13"/>
  <c r="H148" i="13"/>
  <c r="H149" i="13"/>
  <c r="H155" i="13"/>
  <c r="H156" i="13"/>
  <c r="H157" i="13"/>
  <c r="H158" i="13"/>
  <c r="H159" i="13"/>
  <c r="D162" i="13"/>
  <c r="D168" i="13"/>
  <c r="D169" i="13"/>
  <c r="D171" i="13"/>
  <c r="D172" i="13"/>
  <c r="D173" i="13"/>
  <c r="D174" i="13"/>
  <c r="D175" i="13"/>
  <c r="D176" i="13"/>
  <c r="H178" i="13"/>
  <c r="H188" i="13"/>
  <c r="H189" i="13"/>
  <c r="H190" i="13"/>
  <c r="H194" i="13"/>
  <c r="H196" i="13"/>
  <c r="H203" i="13"/>
  <c r="H205" i="13"/>
  <c r="H206" i="13"/>
  <c r="H207" i="13"/>
  <c r="H211" i="13"/>
  <c r="D214" i="13"/>
  <c r="D224" i="13"/>
  <c r="D225" i="13"/>
  <c r="D229" i="13"/>
  <c r="D230" i="13"/>
  <c r="D231" i="13"/>
  <c r="FN31" i="14"/>
  <c r="FO33" i="14"/>
  <c r="FP35" i="14"/>
  <c r="J40" i="14"/>
  <c r="FO39" i="14"/>
  <c r="CA34" i="14"/>
  <c r="AJ34" i="14"/>
  <c r="L34" i="14"/>
  <c r="FN50" i="14"/>
  <c r="I34" i="13"/>
  <c r="D35" i="13"/>
  <c r="D37" i="13"/>
  <c r="D39" i="13"/>
  <c r="D41" i="13"/>
  <c r="D43" i="13"/>
  <c r="D45" i="13"/>
  <c r="D47" i="13"/>
  <c r="D49" i="13"/>
  <c r="C52" i="13"/>
  <c r="I52" i="13" s="1"/>
  <c r="C76" i="13"/>
  <c r="D77" i="13"/>
  <c r="C80" i="13"/>
  <c r="D81" i="13"/>
  <c r="C84" i="13"/>
  <c r="I142" i="13"/>
  <c r="I143" i="13"/>
  <c r="I145" i="13"/>
  <c r="I147" i="13"/>
  <c r="I149" i="13"/>
  <c r="I151" i="13"/>
  <c r="I153" i="13"/>
  <c r="I155" i="13"/>
  <c r="I157" i="13"/>
  <c r="I159" i="13"/>
  <c r="I178" i="13"/>
  <c r="I179" i="13"/>
  <c r="I181" i="13"/>
  <c r="I183" i="13"/>
  <c r="I185" i="13"/>
  <c r="I187" i="13"/>
  <c r="I189" i="13"/>
  <c r="I191" i="13"/>
  <c r="I193" i="13"/>
  <c r="I195" i="13"/>
  <c r="I196" i="13"/>
  <c r="I197" i="13"/>
  <c r="I199" i="13"/>
  <c r="I201" i="13"/>
  <c r="DD4" i="14"/>
  <c r="ED4" i="14"/>
  <c r="EH4" i="14"/>
  <c r="DO6" i="14"/>
  <c r="FN6" i="14"/>
  <c r="FN7" i="14"/>
  <c r="FO8" i="14"/>
  <c r="DO9" i="14"/>
  <c r="FO10" i="14"/>
  <c r="EV11" i="14"/>
  <c r="DO12" i="14"/>
  <c r="EV12" i="14"/>
  <c r="FL12" i="14"/>
  <c r="FN13" i="14"/>
  <c r="DO14" i="14"/>
  <c r="FO16" i="14"/>
  <c r="FP17" i="14"/>
  <c r="FP18" i="14"/>
  <c r="DO19" i="14"/>
  <c r="FN20" i="14"/>
  <c r="DO21" i="14"/>
  <c r="EV21" i="14"/>
  <c r="FL21" i="14"/>
  <c r="FP22" i="14"/>
  <c r="FO23" i="14"/>
  <c r="FL24" i="14"/>
  <c r="FN25" i="14"/>
  <c r="FN28" i="14"/>
  <c r="FL29" i="14"/>
  <c r="FP30" i="14"/>
  <c r="FN32" i="14"/>
  <c r="BF34" i="14"/>
  <c r="FO34" i="14"/>
  <c r="AP36" i="14"/>
  <c r="FO37" i="14"/>
  <c r="DO41" i="14"/>
  <c r="EV41" i="14"/>
  <c r="DO43" i="14"/>
  <c r="EV43" i="14"/>
  <c r="DO45" i="14"/>
  <c r="EV45" i="14"/>
  <c r="FL53" i="14"/>
  <c r="E58" i="14"/>
  <c r="G58" i="14" s="1"/>
  <c r="H58" i="14" s="1"/>
  <c r="DO62" i="14"/>
  <c r="EV63" i="14"/>
  <c r="EV79" i="14"/>
  <c r="EV81" i="14"/>
  <c r="EV83" i="14"/>
  <c r="EV85" i="14"/>
  <c r="EV87" i="14"/>
  <c r="EV89" i="14"/>
  <c r="H34" i="13"/>
  <c r="D82" i="13"/>
  <c r="D85" i="13"/>
  <c r="D86" i="13"/>
  <c r="D87" i="13"/>
  <c r="D88" i="13"/>
  <c r="D98" i="13"/>
  <c r="D99" i="13"/>
  <c r="D100" i="13"/>
  <c r="D102" i="13"/>
  <c r="D103" i="13"/>
  <c r="D104" i="13"/>
  <c r="D106" i="13"/>
  <c r="D107" i="13"/>
  <c r="D108" i="13"/>
  <c r="D109" i="13"/>
  <c r="D111" i="13"/>
  <c r="D112" i="13"/>
  <c r="D113" i="13"/>
  <c r="D117" i="13"/>
  <c r="D118" i="13"/>
  <c r="D119" i="13"/>
  <c r="D120" i="13"/>
  <c r="D121" i="13"/>
  <c r="D126" i="13"/>
  <c r="D127" i="13"/>
  <c r="D131" i="13"/>
  <c r="D132" i="13"/>
  <c r="D133" i="13"/>
  <c r="D134" i="13"/>
  <c r="H150" i="13"/>
  <c r="H151" i="13"/>
  <c r="H152" i="13"/>
  <c r="H153" i="13"/>
  <c r="H154" i="13"/>
  <c r="D160" i="13"/>
  <c r="D161" i="13"/>
  <c r="D163" i="13"/>
  <c r="D164" i="13"/>
  <c r="D165" i="13"/>
  <c r="D166" i="13"/>
  <c r="D167" i="13"/>
  <c r="D170" i="13"/>
  <c r="H179" i="13"/>
  <c r="H180" i="13"/>
  <c r="H181" i="13"/>
  <c r="H182" i="13"/>
  <c r="H183" i="13"/>
  <c r="H184" i="13"/>
  <c r="H185" i="13"/>
  <c r="H186" i="13"/>
  <c r="H187" i="13"/>
  <c r="H191" i="13"/>
  <c r="H192" i="13"/>
  <c r="H193" i="13"/>
  <c r="H195" i="13"/>
  <c r="H197" i="13"/>
  <c r="H198" i="13"/>
  <c r="H199" i="13"/>
  <c r="H200" i="13"/>
  <c r="H201" i="13"/>
  <c r="H202" i="13"/>
  <c r="H204" i="13"/>
  <c r="H208" i="13"/>
  <c r="H209" i="13"/>
  <c r="H210" i="13"/>
  <c r="H212" i="13"/>
  <c r="H213" i="13"/>
  <c r="D215" i="13"/>
  <c r="D216" i="13"/>
  <c r="D217" i="13"/>
  <c r="D218" i="13"/>
  <c r="D219" i="13"/>
  <c r="D220" i="13"/>
  <c r="D221" i="13"/>
  <c r="D222" i="13"/>
  <c r="D223" i="13"/>
  <c r="D226" i="13"/>
  <c r="D227" i="13"/>
  <c r="CZ9" i="14"/>
  <c r="EV127" i="14"/>
  <c r="DO125" i="14"/>
  <c r="EV123" i="14"/>
  <c r="DO121" i="14"/>
  <c r="EV96" i="14"/>
  <c r="DO94" i="14"/>
  <c r="EV92" i="14"/>
  <c r="EV126" i="14"/>
  <c r="DO124" i="14"/>
  <c r="EV122" i="14"/>
  <c r="DO120" i="14"/>
  <c r="EV119" i="14"/>
  <c r="DO118" i="14"/>
  <c r="EV117" i="14"/>
  <c r="DO116" i="14"/>
  <c r="EV115" i="14"/>
  <c r="DO114" i="14"/>
  <c r="EV113" i="14"/>
  <c r="DO112" i="14"/>
  <c r="EV111" i="14"/>
  <c r="DO110" i="14"/>
  <c r="EV109" i="14"/>
  <c r="DO108" i="14"/>
  <c r="EV107" i="14"/>
  <c r="DO106" i="14"/>
  <c r="EV105" i="14"/>
  <c r="DO104" i="14"/>
  <c r="EV103" i="14"/>
  <c r="DO102" i="14"/>
  <c r="EV101" i="14"/>
  <c r="DO100" i="14"/>
  <c r="EV99" i="14"/>
  <c r="DO98" i="14"/>
  <c r="EV97" i="14"/>
  <c r="EO129" i="14"/>
  <c r="DO127" i="14"/>
  <c r="EV125" i="14"/>
  <c r="DO123" i="14"/>
  <c r="EV121" i="14"/>
  <c r="DO96" i="14"/>
  <c r="EV94" i="14"/>
  <c r="DO92" i="14"/>
  <c r="DO91" i="14"/>
  <c r="DO122" i="14"/>
  <c r="EV120" i="14"/>
  <c r="DO117" i="14"/>
  <c r="EV112" i="14"/>
  <c r="DO109" i="14"/>
  <c r="EV104" i="14"/>
  <c r="DO101" i="14"/>
  <c r="EV95" i="14"/>
  <c r="EV77" i="14"/>
  <c r="DO75" i="14"/>
  <c r="EV73" i="14"/>
  <c r="DO71" i="14"/>
  <c r="EV69" i="14"/>
  <c r="DO67" i="14"/>
  <c r="EV65" i="14"/>
  <c r="DO59" i="14"/>
  <c r="EV57" i="14"/>
  <c r="FO56" i="14"/>
  <c r="FP55" i="14"/>
  <c r="FL55" i="14"/>
  <c r="DO55" i="14"/>
  <c r="FN53" i="14"/>
  <c r="EV53" i="14"/>
  <c r="FO52" i="14"/>
  <c r="FP51" i="14"/>
  <c r="FL51" i="14"/>
  <c r="DO51" i="14"/>
  <c r="FO49" i="14"/>
  <c r="FP47" i="14"/>
  <c r="FL47" i="14"/>
  <c r="DO47" i="14"/>
  <c r="FO46" i="14"/>
  <c r="FO45" i="14"/>
  <c r="FO44" i="14"/>
  <c r="FO43" i="14"/>
  <c r="FO42" i="14"/>
  <c r="FO41" i="14"/>
  <c r="FO40" i="14"/>
  <c r="FP39" i="14"/>
  <c r="FL39" i="14"/>
  <c r="DO39" i="14"/>
  <c r="FP37" i="14"/>
  <c r="FL37" i="14"/>
  <c r="DO37" i="14"/>
  <c r="FN36" i="14"/>
  <c r="EV36" i="14"/>
  <c r="FN34" i="14"/>
  <c r="EV34" i="14"/>
  <c r="FN33" i="14"/>
  <c r="EV33" i="14"/>
  <c r="FO32" i="14"/>
  <c r="FO31" i="14"/>
  <c r="FN30" i="14"/>
  <c r="EV30" i="14"/>
  <c r="FN29" i="14"/>
  <c r="EV29" i="14"/>
  <c r="FO27" i="14"/>
  <c r="FP26" i="14"/>
  <c r="FL26" i="14"/>
  <c r="DO26" i="14"/>
  <c r="FO25" i="14"/>
  <c r="FO24" i="14"/>
  <c r="FP23" i="14"/>
  <c r="FL23" i="14"/>
  <c r="DO23" i="14"/>
  <c r="EV22" i="14"/>
  <c r="FN21" i="14"/>
  <c r="FO20" i="14"/>
  <c r="DO20" i="14"/>
  <c r="FP19" i="14"/>
  <c r="FL19" i="14"/>
  <c r="FN18" i="14"/>
  <c r="EV17" i="14"/>
  <c r="FP16" i="14"/>
  <c r="FL16" i="14"/>
  <c r="FN15" i="14"/>
  <c r="FP14" i="14"/>
  <c r="FL14" i="14"/>
  <c r="FP13" i="14"/>
  <c r="FL13" i="14"/>
  <c r="FN12" i="14"/>
  <c r="FP11" i="14"/>
  <c r="FL11" i="14"/>
  <c r="FN10" i="14"/>
  <c r="FP9" i="14"/>
  <c r="FL9" i="14"/>
  <c r="FN8" i="14"/>
  <c r="FP7" i="14"/>
  <c r="FL7" i="14"/>
  <c r="DO126" i="14"/>
  <c r="DO119" i="14"/>
  <c r="EV114" i="14"/>
  <c r="DO111" i="14"/>
  <c r="EV106" i="14"/>
  <c r="DO103" i="14"/>
  <c r="EV98" i="14"/>
  <c r="DO95" i="14"/>
  <c r="DO90" i="14"/>
  <c r="DO89" i="14"/>
  <c r="DO88" i="14"/>
  <c r="DO87" i="14"/>
  <c r="DO86" i="14"/>
  <c r="DO85" i="14"/>
  <c r="DO84" i="14"/>
  <c r="DO83" i="14"/>
  <c r="DO82" i="14"/>
  <c r="DO81" i="14"/>
  <c r="DO80" i="14"/>
  <c r="DO79" i="14"/>
  <c r="DO78" i="14"/>
  <c r="EV76" i="14"/>
  <c r="DO74" i="14"/>
  <c r="EV72" i="14"/>
  <c r="DO70" i="14"/>
  <c r="EV68" i="14"/>
  <c r="DO66" i="14"/>
  <c r="EV64" i="14"/>
  <c r="DO63" i="14"/>
  <c r="EV62" i="14"/>
  <c r="DO61" i="14"/>
  <c r="EV60" i="14"/>
  <c r="EV124" i="14"/>
  <c r="EV116" i="14"/>
  <c r="DO115" i="14"/>
  <c r="EV100" i="14"/>
  <c r="DO99" i="14"/>
  <c r="EV93" i="14"/>
  <c r="EV91" i="14"/>
  <c r="EV59" i="14"/>
  <c r="EV58" i="14"/>
  <c r="DO58" i="14"/>
  <c r="FL56" i="14"/>
  <c r="FO55" i="14"/>
  <c r="FO54" i="14"/>
  <c r="FP53" i="14"/>
  <c r="FP52" i="14"/>
  <c r="EV51" i="14"/>
  <c r="FL50" i="14"/>
  <c r="EV50" i="14"/>
  <c r="FN49" i="14"/>
  <c r="FL48" i="14"/>
  <c r="EV48" i="14"/>
  <c r="FO47" i="14"/>
  <c r="FL46" i="14"/>
  <c r="FL45" i="14"/>
  <c r="FL44" i="14"/>
  <c r="FL43" i="14"/>
  <c r="FL42" i="14"/>
  <c r="FL41" i="14"/>
  <c r="FL40" i="14"/>
  <c r="FN39" i="14"/>
  <c r="FP38" i="14"/>
  <c r="EV118" i="14"/>
  <c r="DO113" i="14"/>
  <c r="EV102" i="14"/>
  <c r="DO97" i="14"/>
  <c r="DO76" i="14"/>
  <c r="EV75" i="14"/>
  <c r="DO72" i="14"/>
  <c r="EV71" i="14"/>
  <c r="DO68" i="14"/>
  <c r="EV67" i="14"/>
  <c r="DO64" i="14"/>
  <c r="EV61" i="14"/>
  <c r="DO60" i="14"/>
  <c r="FP56" i="14"/>
  <c r="FN55" i="14"/>
  <c r="FN54" i="14"/>
  <c r="DO54" i="14"/>
  <c r="FO53" i="14"/>
  <c r="DO53" i="14"/>
  <c r="FN52" i="14"/>
  <c r="FP50" i="14"/>
  <c r="EV49" i="14"/>
  <c r="DO49" i="14"/>
  <c r="FP48" i="14"/>
  <c r="FN47" i="14"/>
  <c r="FP46" i="14"/>
  <c r="FP45" i="14"/>
  <c r="FP44" i="14"/>
  <c r="FP43" i="14"/>
  <c r="FP42" i="14"/>
  <c r="FP41" i="14"/>
  <c r="FP40" i="14"/>
  <c r="EV39" i="14"/>
  <c r="FO38" i="14"/>
  <c r="FN37" i="14"/>
  <c r="FL36" i="14"/>
  <c r="FO35" i="14"/>
  <c r="FL34" i="14"/>
  <c r="FL33" i="14"/>
  <c r="FL32" i="14"/>
  <c r="FL31" i="14"/>
  <c r="FO30" i="14"/>
  <c r="DO30" i="14"/>
  <c r="FO29" i="14"/>
  <c r="DO29" i="14"/>
  <c r="CX29" i="14"/>
  <c r="FL28" i="14"/>
  <c r="EV28" i="14"/>
  <c r="FP27" i="14"/>
  <c r="FN26" i="14"/>
  <c r="EV25" i="14"/>
  <c r="DO25" i="14"/>
  <c r="FN24" i="14"/>
  <c r="EV108" i="14"/>
  <c r="DO107" i="14"/>
  <c r="DO93" i="14"/>
  <c r="DO77" i="14"/>
  <c r="DO73" i="14"/>
  <c r="DO69" i="14"/>
  <c r="DO65" i="14"/>
  <c r="DO57" i="14"/>
  <c r="FN56" i="14"/>
  <c r="EV55" i="14"/>
  <c r="FL54" i="14"/>
  <c r="EV54" i="14"/>
  <c r="EV52" i="14"/>
  <c r="DO52" i="14"/>
  <c r="FO51" i="14"/>
  <c r="FO50" i="14"/>
  <c r="FL49" i="14"/>
  <c r="FO48" i="14"/>
  <c r="EV47" i="14"/>
  <c r="FN46" i="14"/>
  <c r="FN45" i="14"/>
  <c r="FN44" i="14"/>
  <c r="FN43" i="14"/>
  <c r="FN42" i="14"/>
  <c r="FN41" i="14"/>
  <c r="FN40" i="14"/>
  <c r="FN38" i="14"/>
  <c r="DO38" i="14"/>
  <c r="EV37" i="14"/>
  <c r="FP36" i="14"/>
  <c r="FN35" i="14"/>
  <c r="DO35" i="14"/>
  <c r="FP34" i="14"/>
  <c r="FP33" i="14"/>
  <c r="FP32" i="14"/>
  <c r="FP31" i="14"/>
  <c r="FP28" i="14"/>
  <c r="FN27" i="14"/>
  <c r="EV26" i="14"/>
  <c r="FL25" i="14"/>
  <c r="EV24" i="14"/>
  <c r="FL30" i="14"/>
  <c r="EV32" i="14"/>
  <c r="DO34" i="14"/>
  <c r="D33" i="14"/>
  <c r="EV38" i="14"/>
  <c r="FN48" i="14"/>
  <c r="FL52" i="14"/>
  <c r="F34" i="13"/>
  <c r="C36" i="13"/>
  <c r="I36" i="13" s="1"/>
  <c r="C38" i="13"/>
  <c r="I38" i="13" s="1"/>
  <c r="C40" i="13"/>
  <c r="I40" i="13" s="1"/>
  <c r="C42" i="13"/>
  <c r="I42" i="13" s="1"/>
  <c r="C44" i="13"/>
  <c r="I44" i="13" s="1"/>
  <c r="C46" i="13"/>
  <c r="I46" i="13" s="1"/>
  <c r="C48" i="13"/>
  <c r="I48" i="13" s="1"/>
  <c r="C50" i="13"/>
  <c r="I50" i="13" s="1"/>
  <c r="C53" i="13"/>
  <c r="I53" i="13" s="1"/>
  <c r="C54" i="13"/>
  <c r="I54" i="13" s="1"/>
  <c r="C55" i="13"/>
  <c r="I55" i="13" s="1"/>
  <c r="C56" i="13"/>
  <c r="I56" i="13" s="1"/>
  <c r="C57" i="13"/>
  <c r="I57" i="13" s="1"/>
  <c r="C58" i="13"/>
  <c r="I58" i="13" s="1"/>
  <c r="C59" i="13"/>
  <c r="I59" i="13" s="1"/>
  <c r="C60" i="13"/>
  <c r="I60" i="13" s="1"/>
  <c r="C61" i="13"/>
  <c r="I61" i="13" s="1"/>
  <c r="C62" i="13"/>
  <c r="I62" i="13" s="1"/>
  <c r="C63" i="13"/>
  <c r="I63" i="13" s="1"/>
  <c r="C64" i="13"/>
  <c r="I64" i="13" s="1"/>
  <c r="C65" i="13"/>
  <c r="I65" i="13" s="1"/>
  <c r="C66" i="13"/>
  <c r="I66" i="13" s="1"/>
  <c r="C67" i="13"/>
  <c r="I67" i="13" s="1"/>
  <c r="C68" i="13"/>
  <c r="I68" i="13" s="1"/>
  <c r="C69" i="13"/>
  <c r="I69" i="13" s="1"/>
  <c r="C70" i="13"/>
  <c r="C71" i="13"/>
  <c r="C72" i="13"/>
  <c r="C73" i="13"/>
  <c r="C74" i="13"/>
  <c r="C75" i="13"/>
  <c r="D76" i="13"/>
  <c r="C79" i="13"/>
  <c r="D80" i="13"/>
  <c r="C83" i="13"/>
  <c r="F83" i="13" s="1"/>
  <c r="D84" i="13"/>
  <c r="F142" i="13"/>
  <c r="F143" i="13"/>
  <c r="F145" i="13"/>
  <c r="F147" i="13"/>
  <c r="F149" i="13"/>
  <c r="F151" i="13"/>
  <c r="F153" i="13"/>
  <c r="F155" i="13"/>
  <c r="F157" i="13"/>
  <c r="F159" i="13"/>
  <c r="F178" i="13"/>
  <c r="F179" i="13"/>
  <c r="F181" i="13"/>
  <c r="F183" i="13"/>
  <c r="F185" i="13"/>
  <c r="F187" i="13"/>
  <c r="F189" i="13"/>
  <c r="F191" i="13"/>
  <c r="F193" i="13"/>
  <c r="F195" i="13"/>
  <c r="F196" i="13"/>
  <c r="F197" i="13"/>
  <c r="F199" i="13"/>
  <c r="F201" i="13"/>
  <c r="DE4" i="14"/>
  <c r="EE4" i="14"/>
  <c r="FO6" i="14"/>
  <c r="FW58" i="14"/>
  <c r="DO7" i="14"/>
  <c r="FO7" i="14"/>
  <c r="FP8" i="14"/>
  <c r="FN9" i="14"/>
  <c r="FP10" i="14"/>
  <c r="DO11" i="14"/>
  <c r="FO13" i="14"/>
  <c r="FN14" i="14"/>
  <c r="FO15" i="14"/>
  <c r="EV16" i="14"/>
  <c r="FL17" i="14"/>
  <c r="DO18" i="14"/>
  <c r="EV18" i="14"/>
  <c r="FL18" i="14"/>
  <c r="FN19" i="14"/>
  <c r="EV20" i="14"/>
  <c r="FP20" i="14"/>
  <c r="FL22" i="14"/>
  <c r="CS24" i="14"/>
  <c r="DO24" i="14"/>
  <c r="FP24" i="14"/>
  <c r="FP25" i="14"/>
  <c r="DO28" i="14"/>
  <c r="FO28" i="14"/>
  <c r="FP29" i="14"/>
  <c r="DO31" i="14"/>
  <c r="DO36" i="14"/>
  <c r="FL38" i="14"/>
  <c r="E48" i="14"/>
  <c r="G48" i="14" s="1"/>
  <c r="H48" i="14" s="1"/>
  <c r="DO48" i="14"/>
  <c r="DO50" i="14"/>
  <c r="EV110" i="14"/>
  <c r="M104" i="15"/>
  <c r="AC64" i="15"/>
  <c r="AN64" i="15" s="1"/>
  <c r="D70" i="13"/>
  <c r="D71" i="13"/>
  <c r="D72" i="13"/>
  <c r="D73" i="13"/>
  <c r="D74" i="13"/>
  <c r="D75" i="13"/>
  <c r="C78" i="13"/>
  <c r="D79" i="13"/>
  <c r="C82" i="13"/>
  <c r="C86" i="13"/>
  <c r="C90" i="13"/>
  <c r="C92" i="13"/>
  <c r="C94" i="13"/>
  <c r="C96" i="13"/>
  <c r="C98" i="13"/>
  <c r="C100" i="13"/>
  <c r="C102" i="13"/>
  <c r="C104" i="13"/>
  <c r="C108" i="13"/>
  <c r="C110" i="13"/>
  <c r="C112" i="13"/>
  <c r="C114" i="13"/>
  <c r="C116" i="13"/>
  <c r="C118" i="13"/>
  <c r="C120" i="13"/>
  <c r="C122" i="13"/>
  <c r="F122" i="13" s="1"/>
  <c r="C126" i="13"/>
  <c r="C128" i="13"/>
  <c r="C130" i="13"/>
  <c r="C132" i="13"/>
  <c r="C134" i="13"/>
  <c r="C136" i="13"/>
  <c r="C138" i="13"/>
  <c r="C140" i="13"/>
  <c r="C144" i="13"/>
  <c r="G144" i="13" s="1"/>
  <c r="C146" i="13"/>
  <c r="G146" i="13" s="1"/>
  <c r="C148" i="13"/>
  <c r="G148" i="13" s="1"/>
  <c r="C150" i="13"/>
  <c r="F150" i="13" s="1"/>
  <c r="C152" i="13"/>
  <c r="F152" i="13" s="1"/>
  <c r="C154" i="13"/>
  <c r="G154" i="13" s="1"/>
  <c r="C156" i="13"/>
  <c r="G156" i="13" s="1"/>
  <c r="C158" i="13"/>
  <c r="G158" i="13" s="1"/>
  <c r="C162" i="13"/>
  <c r="C164" i="13"/>
  <c r="C166" i="13"/>
  <c r="C168" i="13"/>
  <c r="C170" i="13"/>
  <c r="C172" i="13"/>
  <c r="C174" i="13"/>
  <c r="C176" i="13"/>
  <c r="C180" i="13"/>
  <c r="G180" i="13" s="1"/>
  <c r="C182" i="13"/>
  <c r="F182" i="13" s="1"/>
  <c r="C184" i="13"/>
  <c r="G184" i="13" s="1"/>
  <c r="C186" i="13"/>
  <c r="G186" i="13" s="1"/>
  <c r="C188" i="13"/>
  <c r="G188" i="13" s="1"/>
  <c r="C190" i="13"/>
  <c r="F190" i="13" s="1"/>
  <c r="C192" i="13"/>
  <c r="G192" i="13" s="1"/>
  <c r="C194" i="13"/>
  <c r="F194" i="13" s="1"/>
  <c r="C198" i="13"/>
  <c r="F198" i="13" s="1"/>
  <c r="C200" i="13"/>
  <c r="F200" i="13" s="1"/>
  <c r="C202" i="13"/>
  <c r="F202" i="13" s="1"/>
  <c r="C203" i="13"/>
  <c r="G203" i="13" s="1"/>
  <c r="C204" i="13"/>
  <c r="F204" i="13" s="1"/>
  <c r="C205" i="13"/>
  <c r="I205" i="13" s="1"/>
  <c r="C206" i="13"/>
  <c r="F206" i="13" s="1"/>
  <c r="C207" i="13"/>
  <c r="G207" i="13" s="1"/>
  <c r="C208" i="13"/>
  <c r="G208" i="13" s="1"/>
  <c r="C209" i="13"/>
  <c r="I209" i="13" s="1"/>
  <c r="C210" i="13"/>
  <c r="G210" i="13" s="1"/>
  <c r="C211" i="13"/>
  <c r="F211" i="13" s="1"/>
  <c r="C212" i="13"/>
  <c r="G212" i="13" s="1"/>
  <c r="C213" i="13"/>
  <c r="I213" i="13" s="1"/>
  <c r="FL6" i="14"/>
  <c r="FP6" i="14"/>
  <c r="EV7" i="14"/>
  <c r="DO8" i="14"/>
  <c r="EV8" i="14"/>
  <c r="FL8" i="14"/>
  <c r="FO9" i="14"/>
  <c r="DO10" i="14"/>
  <c r="EV10" i="14"/>
  <c r="FL10" i="14"/>
  <c r="FN11" i="14"/>
  <c r="FO12" i="14"/>
  <c r="EV13" i="14"/>
  <c r="FO14" i="14"/>
  <c r="FP15" i="14"/>
  <c r="DO16" i="14"/>
  <c r="DO17" i="14"/>
  <c r="FN17" i="14"/>
  <c r="FO19" i="14"/>
  <c r="FL20" i="14"/>
  <c r="FO21" i="14"/>
  <c r="DO22" i="14"/>
  <c r="FN22" i="14"/>
  <c r="EV23" i="14"/>
  <c r="FO26" i="14"/>
  <c r="DO27" i="14"/>
  <c r="FL27" i="14"/>
  <c r="EV31" i="14"/>
  <c r="DO32" i="14"/>
  <c r="DO33" i="14"/>
  <c r="EV35" i="14"/>
  <c r="FL35" i="14"/>
  <c r="FO36" i="14"/>
  <c r="DO40" i="14"/>
  <c r="EV40" i="14"/>
  <c r="DO42" i="14"/>
  <c r="EV42" i="14"/>
  <c r="DO44" i="14"/>
  <c r="EV44" i="14"/>
  <c r="DO46" i="14"/>
  <c r="EV46" i="14"/>
  <c r="FP49" i="14"/>
  <c r="FN51" i="14"/>
  <c r="FP54" i="14"/>
  <c r="DO56" i="14"/>
  <c r="EV56" i="14"/>
  <c r="EV66" i="14"/>
  <c r="EV70" i="14"/>
  <c r="EV74" i="14"/>
  <c r="EV78" i="14"/>
  <c r="EV80" i="14"/>
  <c r="EV82" i="14"/>
  <c r="EV84" i="14"/>
  <c r="EV86" i="14"/>
  <c r="EV88" i="14"/>
  <c r="EV90" i="14"/>
  <c r="DO105" i="14"/>
  <c r="EU124" i="14"/>
  <c r="EU120" i="14"/>
  <c r="EU118" i="14"/>
  <c r="EU116" i="14"/>
  <c r="EU114" i="14"/>
  <c r="EU112" i="14"/>
  <c r="EU110" i="14"/>
  <c r="EU108" i="14"/>
  <c r="EU106" i="14"/>
  <c r="EU104" i="14"/>
  <c r="EU102" i="14"/>
  <c r="EU100" i="14"/>
  <c r="EU98" i="14"/>
  <c r="EU95" i="14"/>
  <c r="EU127" i="14"/>
  <c r="EU123" i="14"/>
  <c r="EU96" i="14"/>
  <c r="EU126" i="14"/>
  <c r="EU122" i="14"/>
  <c r="EU119" i="14"/>
  <c r="EU117" i="14"/>
  <c r="EU115" i="14"/>
  <c r="EU113" i="14"/>
  <c r="EU111" i="14"/>
  <c r="EU109" i="14"/>
  <c r="EU107" i="14"/>
  <c r="EU105" i="14"/>
  <c r="EU103" i="14"/>
  <c r="EU101" i="14"/>
  <c r="EU99" i="14"/>
  <c r="EU97" i="14"/>
  <c r="EU93" i="14"/>
  <c r="EU92" i="14"/>
  <c r="EU90" i="14"/>
  <c r="EU89" i="14"/>
  <c r="EU88" i="14"/>
  <c r="EU87" i="14"/>
  <c r="EU86" i="14"/>
  <c r="EU85" i="14"/>
  <c r="EU84" i="14"/>
  <c r="EU83" i="14"/>
  <c r="EU82" i="14"/>
  <c r="EU81" i="14"/>
  <c r="EU80" i="14"/>
  <c r="EU79" i="14"/>
  <c r="EU78" i="14"/>
  <c r="EU74" i="14"/>
  <c r="EU70" i="14"/>
  <c r="EU66" i="14"/>
  <c r="EU63" i="14"/>
  <c r="EU61" i="14"/>
  <c r="FK56" i="14"/>
  <c r="EU54" i="14"/>
  <c r="FK52" i="14"/>
  <c r="EU50" i="14"/>
  <c r="FK49" i="14"/>
  <c r="EU48" i="14"/>
  <c r="FK46" i="14"/>
  <c r="FK45" i="14"/>
  <c r="FK44" i="14"/>
  <c r="FK43" i="14"/>
  <c r="FK42" i="14"/>
  <c r="FK41" i="14"/>
  <c r="FK40" i="14"/>
  <c r="EU38" i="14"/>
  <c r="EU35" i="14"/>
  <c r="FK32" i="14"/>
  <c r="FK31" i="14"/>
  <c r="EU28" i="14"/>
  <c r="FK27" i="14"/>
  <c r="FK25" i="14"/>
  <c r="FK24" i="14"/>
  <c r="FK20" i="14"/>
  <c r="EU19" i="14"/>
  <c r="EU16" i="14"/>
  <c r="EU14" i="14"/>
  <c r="EU13" i="14"/>
  <c r="EU11" i="14"/>
  <c r="EU9" i="14"/>
  <c r="EU7" i="14"/>
  <c r="EU77" i="14"/>
  <c r="EU73" i="14"/>
  <c r="EU69" i="14"/>
  <c r="EU65" i="14"/>
  <c r="FK33" i="14"/>
  <c r="FK34" i="14"/>
  <c r="AK36" i="14"/>
  <c r="AB36" i="14"/>
  <c r="AN36" i="14" s="1"/>
  <c r="AG36" i="14"/>
  <c r="AS36" i="14" s="1"/>
  <c r="FK36" i="14"/>
  <c r="EU39" i="14"/>
  <c r="FK39" i="14"/>
  <c r="EU49" i="14"/>
  <c r="G50" i="14"/>
  <c r="G56" i="14"/>
  <c r="H56" i="14" s="1"/>
  <c r="EU67" i="14"/>
  <c r="EU71" i="14"/>
  <c r="EU75" i="14"/>
  <c r="G102" i="14"/>
  <c r="H102" i="14" s="1"/>
  <c r="E135" i="14"/>
  <c r="M126" i="15"/>
  <c r="AA71" i="15"/>
  <c r="AJ71" i="15" s="1"/>
  <c r="M54" i="15"/>
  <c r="AB43" i="15"/>
  <c r="AM43" i="15" s="1"/>
  <c r="M189" i="15"/>
  <c r="AF126" i="15"/>
  <c r="AQ126" i="15" s="1"/>
  <c r="M99" i="15"/>
  <c r="AG71" i="15"/>
  <c r="AR71" i="15" s="1"/>
  <c r="AI74" i="15"/>
  <c r="AT74" i="15" s="1"/>
  <c r="M85" i="15"/>
  <c r="AA54" i="15"/>
  <c r="AJ54" i="15" s="1"/>
  <c r="G222" i="14"/>
  <c r="H222" i="14" s="1"/>
  <c r="G220" i="14"/>
  <c r="H220" i="14" s="1"/>
  <c r="G218" i="14"/>
  <c r="H218" i="14" s="1"/>
  <c r="G216" i="14"/>
  <c r="H216" i="14" s="1"/>
  <c r="G214" i="14"/>
  <c r="H214" i="14" s="1"/>
  <c r="G212" i="14"/>
  <c r="H212" i="14" s="1"/>
  <c r="G210" i="14"/>
  <c r="H210" i="14" s="1"/>
  <c r="G208" i="14"/>
  <c r="H208" i="14" s="1"/>
  <c r="G206" i="14"/>
  <c r="H206" i="14" s="1"/>
  <c r="G204" i="14"/>
  <c r="H204" i="14" s="1"/>
  <c r="G202" i="14"/>
  <c r="H202" i="14" s="1"/>
  <c r="G200" i="14"/>
  <c r="H200" i="14" s="1"/>
  <c r="G198" i="14"/>
  <c r="H198" i="14" s="1"/>
  <c r="G196" i="14"/>
  <c r="H196" i="14" s="1"/>
  <c r="G194" i="14"/>
  <c r="H194" i="14" s="1"/>
  <c r="G192" i="14"/>
  <c r="H192" i="14" s="1"/>
  <c r="G190" i="14"/>
  <c r="H190" i="14" s="1"/>
  <c r="G188" i="14"/>
  <c r="H188" i="14" s="1"/>
  <c r="G186" i="14"/>
  <c r="H186" i="14" s="1"/>
  <c r="G184" i="14"/>
  <c r="H184" i="14" s="1"/>
  <c r="G182" i="14"/>
  <c r="H182" i="14" s="1"/>
  <c r="G180" i="14"/>
  <c r="H180" i="14" s="1"/>
  <c r="G178" i="14"/>
  <c r="H178" i="14" s="1"/>
  <c r="G176" i="14"/>
  <c r="H176" i="14" s="1"/>
  <c r="G174" i="14"/>
  <c r="H174" i="14" s="1"/>
  <c r="G172" i="14"/>
  <c r="H172" i="14" s="1"/>
  <c r="G170" i="14"/>
  <c r="H170" i="14" s="1"/>
  <c r="G168" i="14"/>
  <c r="H168" i="14" s="1"/>
  <c r="G166" i="14"/>
  <c r="H166" i="14" s="1"/>
  <c r="G164" i="14"/>
  <c r="H164" i="14" s="1"/>
  <c r="G162" i="14"/>
  <c r="H162" i="14" s="1"/>
  <c r="G160" i="14"/>
  <c r="H160" i="14" s="1"/>
  <c r="G158" i="14"/>
  <c r="H158" i="14" s="1"/>
  <c r="G157" i="14"/>
  <c r="H157" i="14" s="1"/>
  <c r="G156" i="14"/>
  <c r="H156" i="14" s="1"/>
  <c r="G153" i="14"/>
  <c r="H153" i="14" s="1"/>
  <c r="G152" i="14"/>
  <c r="H152" i="14" s="1"/>
  <c r="G151" i="14"/>
  <c r="H151" i="14" s="1"/>
  <c r="G147" i="14"/>
  <c r="H147" i="14" s="1"/>
  <c r="G145" i="14"/>
  <c r="H145" i="14" s="1"/>
  <c r="G141" i="14"/>
  <c r="H141" i="14" s="1"/>
  <c r="G137" i="14"/>
  <c r="H137" i="14" s="1"/>
  <c r="G154" i="14"/>
  <c r="G221" i="14"/>
  <c r="H221" i="14" s="1"/>
  <c r="G219" i="14"/>
  <c r="H219" i="14" s="1"/>
  <c r="G217" i="14"/>
  <c r="H217" i="14" s="1"/>
  <c r="G215" i="14"/>
  <c r="H215" i="14" s="1"/>
  <c r="G213" i="14"/>
  <c r="H213" i="14" s="1"/>
  <c r="G211" i="14"/>
  <c r="H211" i="14" s="1"/>
  <c r="G209" i="14"/>
  <c r="H209" i="14" s="1"/>
  <c r="G207" i="14"/>
  <c r="H207" i="14" s="1"/>
  <c r="G205" i="14"/>
  <c r="H205" i="14" s="1"/>
  <c r="G203" i="14"/>
  <c r="H203" i="14" s="1"/>
  <c r="G201" i="14"/>
  <c r="H201" i="14" s="1"/>
  <c r="G199" i="14"/>
  <c r="H199" i="14" s="1"/>
  <c r="G197" i="14"/>
  <c r="H197" i="14" s="1"/>
  <c r="G195" i="14"/>
  <c r="H195" i="14" s="1"/>
  <c r="G193" i="14"/>
  <c r="H193" i="14" s="1"/>
  <c r="G191" i="14"/>
  <c r="H191" i="14" s="1"/>
  <c r="G189" i="14"/>
  <c r="H189" i="14" s="1"/>
  <c r="G187" i="14"/>
  <c r="H187" i="14" s="1"/>
  <c r="G185" i="14"/>
  <c r="H185" i="14" s="1"/>
  <c r="G183" i="14"/>
  <c r="H183" i="14" s="1"/>
  <c r="G181" i="14"/>
  <c r="H181" i="14" s="1"/>
  <c r="G179" i="14"/>
  <c r="H179" i="14" s="1"/>
  <c r="G177" i="14"/>
  <c r="H177" i="14" s="1"/>
  <c r="G175" i="14"/>
  <c r="H175" i="14" s="1"/>
  <c r="G173" i="14"/>
  <c r="H173" i="14" s="1"/>
  <c r="G171" i="14"/>
  <c r="H171" i="14" s="1"/>
  <c r="G169" i="14"/>
  <c r="H169" i="14" s="1"/>
  <c r="G167" i="14"/>
  <c r="H167" i="14" s="1"/>
  <c r="G165" i="14"/>
  <c r="H165" i="14" s="1"/>
  <c r="G163" i="14"/>
  <c r="H163" i="14" s="1"/>
  <c r="G161" i="14"/>
  <c r="H161" i="14" s="1"/>
  <c r="G159" i="14"/>
  <c r="H159" i="14" s="1"/>
  <c r="G155" i="14"/>
  <c r="H155" i="14" s="1"/>
  <c r="G149" i="14"/>
  <c r="H149" i="14" s="1"/>
  <c r="G146" i="14"/>
  <c r="H146" i="14" s="1"/>
  <c r="G143" i="14"/>
  <c r="H143" i="14" s="1"/>
  <c r="G139" i="14"/>
  <c r="H139" i="14" s="1"/>
  <c r="G131" i="14"/>
  <c r="H131" i="14" s="1"/>
  <c r="G129" i="14"/>
  <c r="H129" i="14" s="1"/>
  <c r="G126" i="14"/>
  <c r="H126" i="14" s="1"/>
  <c r="G122" i="14"/>
  <c r="H122" i="14" s="1"/>
  <c r="G95" i="14"/>
  <c r="H95" i="14" s="1"/>
  <c r="G150" i="14"/>
  <c r="G133" i="14"/>
  <c r="G125" i="14"/>
  <c r="G121" i="14"/>
  <c r="G119" i="14"/>
  <c r="G117" i="14"/>
  <c r="H117" i="14" s="1"/>
  <c r="G115" i="14"/>
  <c r="G113" i="14"/>
  <c r="G111" i="14"/>
  <c r="H111" i="14" s="1"/>
  <c r="G109" i="14"/>
  <c r="H109" i="14" s="1"/>
  <c r="G107" i="14"/>
  <c r="G105" i="14"/>
  <c r="G103" i="14"/>
  <c r="H103" i="14" s="1"/>
  <c r="G101" i="14"/>
  <c r="H101" i="14" s="1"/>
  <c r="G99" i="14"/>
  <c r="G134" i="14"/>
  <c r="H134" i="14" s="1"/>
  <c r="G132" i="14"/>
  <c r="H132" i="14" s="1"/>
  <c r="G130" i="14"/>
  <c r="H130" i="14" s="1"/>
  <c r="G128" i="14"/>
  <c r="H128" i="14" s="1"/>
  <c r="G124" i="14"/>
  <c r="G97" i="14"/>
  <c r="H97" i="14" s="1"/>
  <c r="G93" i="14"/>
  <c r="H93" i="14" s="1"/>
  <c r="G92" i="14"/>
  <c r="H92" i="14" s="1"/>
  <c r="G135" i="14"/>
  <c r="H135" i="14" s="1"/>
  <c r="G114" i="14"/>
  <c r="G106" i="14"/>
  <c r="H106" i="14" s="1"/>
  <c r="G98" i="14"/>
  <c r="G94" i="14"/>
  <c r="G76" i="14"/>
  <c r="H76" i="14" s="1"/>
  <c r="G72" i="14"/>
  <c r="H72" i="14" s="1"/>
  <c r="G68" i="14"/>
  <c r="H68" i="14" s="1"/>
  <c r="G54" i="14"/>
  <c r="H54" i="14" s="1"/>
  <c r="G37" i="14"/>
  <c r="H37" i="14" s="1"/>
  <c r="AE36" i="14"/>
  <c r="AQ36" i="14" s="1"/>
  <c r="AA36" i="14"/>
  <c r="AM36" i="14" s="1"/>
  <c r="AB29" i="14"/>
  <c r="CS31" i="14" s="1"/>
  <c r="G116" i="14"/>
  <c r="H116" i="14" s="1"/>
  <c r="G108" i="14"/>
  <c r="H108" i="14" s="1"/>
  <c r="G100" i="14"/>
  <c r="H100" i="14" s="1"/>
  <c r="G91" i="14"/>
  <c r="G90" i="14"/>
  <c r="H90" i="14" s="1"/>
  <c r="G89" i="14"/>
  <c r="H89" i="14" s="1"/>
  <c r="G88" i="14"/>
  <c r="G87" i="14"/>
  <c r="G86" i="14"/>
  <c r="H86" i="14" s="1"/>
  <c r="G85" i="14"/>
  <c r="H85" i="14" s="1"/>
  <c r="G84" i="14"/>
  <c r="G83" i="14"/>
  <c r="G82" i="14"/>
  <c r="H82" i="14" s="1"/>
  <c r="G81" i="14"/>
  <c r="H81" i="14" s="1"/>
  <c r="G80" i="14"/>
  <c r="G79" i="14"/>
  <c r="G75" i="14"/>
  <c r="H75" i="14" s="1"/>
  <c r="G71" i="14"/>
  <c r="H71" i="14" s="1"/>
  <c r="G67" i="14"/>
  <c r="H67" i="14" s="1"/>
  <c r="G64" i="14"/>
  <c r="H64" i="14" s="1"/>
  <c r="G62" i="14"/>
  <c r="H62" i="14" s="1"/>
  <c r="G60" i="14"/>
  <c r="H60" i="14" s="1"/>
  <c r="EU31" i="14"/>
  <c r="EU32" i="14"/>
  <c r="EU33" i="14"/>
  <c r="EU34" i="14"/>
  <c r="G36" i="14"/>
  <c r="H36" i="14" s="1"/>
  <c r="X36" i="14"/>
  <c r="AJ36" i="14" s="1"/>
  <c r="AC36" i="14"/>
  <c r="AO36" i="14" s="1"/>
  <c r="EU36" i="14"/>
  <c r="G39" i="14"/>
  <c r="H39" i="14" s="1"/>
  <c r="G40" i="14"/>
  <c r="H40" i="14" s="1"/>
  <c r="FK48" i="14"/>
  <c r="G49" i="14"/>
  <c r="H49" i="14" s="1"/>
  <c r="FK50" i="14"/>
  <c r="G51" i="14"/>
  <c r="H51" i="14" s="1"/>
  <c r="EU51" i="14"/>
  <c r="FK51" i="14"/>
  <c r="G52" i="14"/>
  <c r="H52" i="14" s="1"/>
  <c r="H53" i="14"/>
  <c r="E55" i="14"/>
  <c r="EU58" i="14"/>
  <c r="E59" i="14"/>
  <c r="G59" i="14" s="1"/>
  <c r="H59" i="14" s="1"/>
  <c r="EU59" i="14"/>
  <c r="EU60" i="14"/>
  <c r="E61" i="14"/>
  <c r="G61" i="14" s="1"/>
  <c r="H61" i="14" s="1"/>
  <c r="G63" i="14"/>
  <c r="H63" i="14" s="1"/>
  <c r="EU64" i="14"/>
  <c r="E65" i="14"/>
  <c r="EU68" i="14"/>
  <c r="E69" i="14"/>
  <c r="G69" i="14" s="1"/>
  <c r="H69" i="14" s="1"/>
  <c r="EU72" i="14"/>
  <c r="E73" i="14"/>
  <c r="G73" i="14" s="1"/>
  <c r="H73" i="14" s="1"/>
  <c r="EU76" i="14"/>
  <c r="E77" i="14"/>
  <c r="G77" i="14" s="1"/>
  <c r="H77" i="14" s="1"/>
  <c r="H79" i="14"/>
  <c r="H80" i="14"/>
  <c r="H83" i="14"/>
  <c r="H84" i="14"/>
  <c r="H87" i="14"/>
  <c r="H88" i="14"/>
  <c r="H91" i="14"/>
  <c r="EU91" i="14"/>
  <c r="H119" i="14"/>
  <c r="EU121" i="14"/>
  <c r="H125" i="14"/>
  <c r="FK38" i="14"/>
  <c r="EU40" i="14"/>
  <c r="G41" i="14"/>
  <c r="H41" i="14" s="1"/>
  <c r="EU41" i="14"/>
  <c r="G42" i="14"/>
  <c r="H42" i="14" s="1"/>
  <c r="EU42" i="14"/>
  <c r="G43" i="14"/>
  <c r="H43" i="14" s="1"/>
  <c r="EU43" i="14"/>
  <c r="G44" i="14"/>
  <c r="H44" i="14" s="1"/>
  <c r="EU44" i="14"/>
  <c r="G45" i="14"/>
  <c r="H45" i="14" s="1"/>
  <c r="EU45" i="14"/>
  <c r="G46" i="14"/>
  <c r="H46" i="14" s="1"/>
  <c r="EU46" i="14"/>
  <c r="G47" i="14"/>
  <c r="H47" i="14" s="1"/>
  <c r="H50" i="14"/>
  <c r="FK53" i="14"/>
  <c r="EU56" i="14"/>
  <c r="G57" i="14"/>
  <c r="H57" i="14" s="1"/>
  <c r="EU57" i="14"/>
  <c r="CE34" i="14"/>
  <c r="AN34" i="14"/>
  <c r="P34" i="14"/>
  <c r="EU94" i="14"/>
  <c r="G110" i="14"/>
  <c r="H110" i="14" s="1"/>
  <c r="M66" i="15"/>
  <c r="AA47" i="15"/>
  <c r="AJ47" i="15" s="1"/>
  <c r="EK66" i="14"/>
  <c r="EK70" i="14"/>
  <c r="EK74" i="14"/>
  <c r="EK78" i="14"/>
  <c r="EK79" i="14"/>
  <c r="EK80" i="14"/>
  <c r="EK81" i="14"/>
  <c r="EK82" i="14"/>
  <c r="EK83" i="14"/>
  <c r="EK84" i="14"/>
  <c r="EK85" i="14"/>
  <c r="EK86" i="14"/>
  <c r="EK87" i="14"/>
  <c r="EK88" i="14"/>
  <c r="EK89" i="14"/>
  <c r="EK90" i="14"/>
  <c r="H94" i="14"/>
  <c r="H98" i="14"/>
  <c r="H99" i="14"/>
  <c r="EK99" i="14"/>
  <c r="H107" i="14"/>
  <c r="EK107" i="14"/>
  <c r="E112" i="14"/>
  <c r="G112" i="14" s="1"/>
  <c r="H112" i="14" s="1"/>
  <c r="H114" i="14"/>
  <c r="H115" i="14"/>
  <c r="H124" i="14"/>
  <c r="E127" i="14"/>
  <c r="G127" i="14" s="1"/>
  <c r="H127" i="14" s="1"/>
  <c r="H133" i="14"/>
  <c r="EQ136" i="14"/>
  <c r="EN131" i="14" s="1"/>
  <c r="F21" i="15"/>
  <c r="B71" i="15" s="1"/>
  <c r="F17" i="15"/>
  <c r="B75" i="15" s="1"/>
  <c r="F22" i="15"/>
  <c r="B70" i="15" s="1"/>
  <c r="F23" i="15"/>
  <c r="B69" i="15" s="1"/>
  <c r="F19" i="15"/>
  <c r="B73" i="15" s="1"/>
  <c r="F24" i="15"/>
  <c r="B67" i="15" s="1"/>
  <c r="F20" i="15"/>
  <c r="B72" i="15" s="1"/>
  <c r="J25" i="15"/>
  <c r="B100" i="15" s="1"/>
  <c r="J21" i="15"/>
  <c r="B112" i="15" s="1"/>
  <c r="J17" i="15"/>
  <c r="B116" i="15" s="1"/>
  <c r="J22" i="15"/>
  <c r="B110" i="15" s="1"/>
  <c r="J18" i="15"/>
  <c r="B115" i="15" s="1"/>
  <c r="J23" i="15"/>
  <c r="B109" i="15" s="1"/>
  <c r="J19" i="15"/>
  <c r="B114" i="15" s="1"/>
  <c r="J24" i="15"/>
  <c r="B108" i="15" s="1"/>
  <c r="M108" i="15" s="1"/>
  <c r="J20" i="15"/>
  <c r="B113" i="15" s="1"/>
  <c r="N25" i="15"/>
  <c r="B144" i="15" s="1"/>
  <c r="N21" i="15"/>
  <c r="B157" i="15" s="1"/>
  <c r="N17" i="15"/>
  <c r="B164" i="15" s="1"/>
  <c r="N22" i="15"/>
  <c r="B155" i="15" s="1"/>
  <c r="N18" i="15"/>
  <c r="B162" i="15" s="1"/>
  <c r="N23" i="15"/>
  <c r="N19" i="15"/>
  <c r="B161" i="15" s="1"/>
  <c r="N24" i="15"/>
  <c r="B150" i="15" s="1"/>
  <c r="N20" i="15"/>
  <c r="B159" i="15" s="1"/>
  <c r="AA38" i="15"/>
  <c r="M46" i="15"/>
  <c r="AE43" i="15"/>
  <c r="M42" i="15"/>
  <c r="Z36" i="15"/>
  <c r="BC36" i="15" s="1"/>
  <c r="V36" i="15"/>
  <c r="AY36" i="15" s="1"/>
  <c r="R36" i="15"/>
  <c r="AU36" i="15" s="1"/>
  <c r="X36" i="15"/>
  <c r="BA36" i="15" s="1"/>
  <c r="Z37" i="15"/>
  <c r="BC37" i="15" s="1"/>
  <c r="T36" i="15"/>
  <c r="AW36" i="15" s="1"/>
  <c r="W36" i="15"/>
  <c r="AC49" i="15"/>
  <c r="AN49" i="15" s="1"/>
  <c r="M64" i="15"/>
  <c r="EK125" i="14"/>
  <c r="EK121" i="14"/>
  <c r="EK94" i="14"/>
  <c r="EK124" i="14"/>
  <c r="EK120" i="14"/>
  <c r="EK118" i="14"/>
  <c r="EK116" i="14"/>
  <c r="EK114" i="14"/>
  <c r="EK112" i="14"/>
  <c r="EK110" i="14"/>
  <c r="EK108" i="14"/>
  <c r="EK106" i="14"/>
  <c r="EK104" i="14"/>
  <c r="EK102" i="14"/>
  <c r="EK100" i="14"/>
  <c r="EK98" i="14"/>
  <c r="EK127" i="14"/>
  <c r="EK123" i="14"/>
  <c r="EK96" i="14"/>
  <c r="EK92" i="14"/>
  <c r="EK91" i="14"/>
  <c r="EK20" i="14"/>
  <c r="EK23" i="14"/>
  <c r="EK26" i="14"/>
  <c r="EK37" i="14"/>
  <c r="EK39" i="14"/>
  <c r="EK47" i="14"/>
  <c r="EK51" i="14"/>
  <c r="EK55" i="14"/>
  <c r="EK59" i="14"/>
  <c r="EK67" i="14"/>
  <c r="EK71" i="14"/>
  <c r="EK75" i="14"/>
  <c r="EK93" i="14"/>
  <c r="E96" i="14"/>
  <c r="G96" i="14" s="1"/>
  <c r="H96" i="14" s="1"/>
  <c r="EK97" i="14"/>
  <c r="H104" i="14"/>
  <c r="H105" i="14"/>
  <c r="EK105" i="14"/>
  <c r="H113" i="14"/>
  <c r="EK113" i="14"/>
  <c r="E118" i="14"/>
  <c r="G118" i="14" s="1"/>
  <c r="H118" i="14" s="1"/>
  <c r="H120" i="14"/>
  <c r="H121" i="14"/>
  <c r="M41" i="15"/>
  <c r="AF46" i="15"/>
  <c r="F25" i="15"/>
  <c r="B59" i="15" s="1"/>
  <c r="E136" i="14"/>
  <c r="G136" i="14" s="1"/>
  <c r="H136" i="14" s="1"/>
  <c r="H150" i="14"/>
  <c r="M80" i="15"/>
  <c r="AF61" i="15"/>
  <c r="AQ61" i="15" s="1"/>
  <c r="M120" i="15"/>
  <c r="AF77" i="15"/>
  <c r="AQ77" i="15" s="1"/>
  <c r="M170" i="15"/>
  <c r="AF110" i="15"/>
  <c r="AQ110" i="15" s="1"/>
  <c r="M92" i="15"/>
  <c r="AB58" i="15"/>
  <c r="AM58" i="15" s="1"/>
  <c r="AZ36" i="15"/>
  <c r="E148" i="14"/>
  <c r="G148" i="14" s="1"/>
  <c r="H148" i="14" s="1"/>
  <c r="H154" i="14"/>
  <c r="AG53" i="15"/>
  <c r="AR53" i="15" s="1"/>
  <c r="M49" i="15"/>
  <c r="M87" i="15"/>
  <c r="AG66" i="15"/>
  <c r="AR66" i="15" s="1"/>
  <c r="AG89" i="15"/>
  <c r="AR89" i="15" s="1"/>
  <c r="M129" i="15"/>
  <c r="AA100" i="15"/>
  <c r="AJ100" i="15" s="1"/>
  <c r="M179" i="15"/>
  <c r="M135" i="15"/>
  <c r="AB79" i="15"/>
  <c r="AM79" i="15" s="1"/>
  <c r="M148" i="15"/>
  <c r="AC88" i="15"/>
  <c r="AN88" i="15" s="1"/>
  <c r="AE51" i="15"/>
  <c r="AP51" i="15" s="1"/>
  <c r="M62" i="15"/>
  <c r="AF63" i="15"/>
  <c r="AQ63" i="15" s="1"/>
  <c r="M88" i="15"/>
  <c r="AG57" i="15"/>
  <c r="AR57" i="15" s="1"/>
  <c r="M60" i="15"/>
  <c r="AG98" i="15"/>
  <c r="AR98" i="15" s="1"/>
  <c r="M141" i="15"/>
  <c r="AL37" i="15"/>
  <c r="Y37" i="15"/>
  <c r="BB37" i="15" s="1"/>
  <c r="U37" i="15"/>
  <c r="AX37" i="15" s="1"/>
  <c r="X37" i="15"/>
  <c r="BA37" i="15" s="1"/>
  <c r="T37" i="15"/>
  <c r="AW37" i="15" s="1"/>
  <c r="W37" i="15"/>
  <c r="AZ37" i="15" s="1"/>
  <c r="S37" i="15"/>
  <c r="AV37" i="15" s="1"/>
  <c r="AI63" i="15"/>
  <c r="AT63" i="15" s="1"/>
  <c r="M47" i="15"/>
  <c r="AE59" i="15"/>
  <c r="AP59" i="15" s="1"/>
  <c r="F18" i="15"/>
  <c r="B74" i="15" s="1"/>
  <c r="EP136" i="14"/>
  <c r="EN130" i="14" s="1"/>
  <c r="E138" i="14"/>
  <c r="G138" i="14" s="1"/>
  <c r="H138" i="14" s="1"/>
  <c r="E140" i="14"/>
  <c r="G140" i="14" s="1"/>
  <c r="H140" i="14" s="1"/>
  <c r="E142" i="14"/>
  <c r="G142" i="14" s="1"/>
  <c r="H142" i="14" s="1"/>
  <c r="E144" i="14"/>
  <c r="G144" i="14" s="1"/>
  <c r="H144" i="14" s="1"/>
  <c r="M97" i="15"/>
  <c r="AH76" i="15"/>
  <c r="AS76" i="15" s="1"/>
  <c r="M139" i="15"/>
  <c r="AH102" i="15"/>
  <c r="AS102" i="15" s="1"/>
  <c r="M131" i="15"/>
  <c r="AF83" i="15"/>
  <c r="AQ83" i="15" s="1"/>
  <c r="M158" i="15"/>
  <c r="AI122" i="15"/>
  <c r="AT122" i="15" s="1"/>
  <c r="R37" i="15"/>
  <c r="AU37" i="15" s="1"/>
  <c r="M44" i="15"/>
  <c r="AC40" i="15"/>
  <c r="M45" i="15"/>
  <c r="AG49" i="15"/>
  <c r="M50" i="15"/>
  <c r="M56" i="15"/>
  <c r="B68" i="15"/>
  <c r="M57" i="15"/>
  <c r="AK86" i="15"/>
  <c r="AK87" i="15"/>
  <c r="AK91" i="15"/>
  <c r="AK92" i="15"/>
  <c r="D17" i="15"/>
  <c r="B55" i="15" s="1"/>
  <c r="H17" i="15"/>
  <c r="B93" i="15" s="1"/>
  <c r="L17" i="15"/>
  <c r="B136" i="15" s="1"/>
  <c r="P17" i="15"/>
  <c r="E18" i="15"/>
  <c r="B65" i="15" s="1"/>
  <c r="I18" i="15"/>
  <c r="B105" i="15" s="1"/>
  <c r="M18" i="15"/>
  <c r="B149" i="15" s="1"/>
  <c r="C20" i="15"/>
  <c r="B43" i="15" s="1"/>
  <c r="G20" i="15"/>
  <c r="B82" i="15" s="1"/>
  <c r="K20" i="15"/>
  <c r="B122" i="15" s="1"/>
  <c r="O20" i="15"/>
  <c r="B173" i="15" s="1"/>
  <c r="H21" i="15"/>
  <c r="B89" i="15" s="1"/>
  <c r="L21" i="15"/>
  <c r="B132" i="15" s="1"/>
  <c r="P21" i="15"/>
  <c r="E22" i="15"/>
  <c r="B61" i="15" s="1"/>
  <c r="I22" i="15"/>
  <c r="B101" i="15" s="1"/>
  <c r="M22" i="15"/>
  <c r="B143" i="15" s="1"/>
  <c r="C24" i="15"/>
  <c r="B39" i="15" s="1"/>
  <c r="G24" i="15"/>
  <c r="B78" i="15" s="1"/>
  <c r="K24" i="15"/>
  <c r="B117" i="15" s="1"/>
  <c r="M117" i="15" s="1"/>
  <c r="O24" i="15"/>
  <c r="H25" i="15"/>
  <c r="B83" i="15" s="1"/>
  <c r="L25" i="15"/>
  <c r="B123" i="15" s="1"/>
  <c r="P25" i="15"/>
  <c r="B177" i="15" s="1"/>
  <c r="U36" i="15"/>
  <c r="AX36" i="15" s="1"/>
  <c r="Y36" i="15"/>
  <c r="BB36" i="15" s="1"/>
  <c r="AL36" i="15"/>
  <c r="AK40" i="15"/>
  <c r="AK41" i="15"/>
  <c r="AK43" i="15"/>
  <c r="AK51" i="15"/>
  <c r="AK53" i="15"/>
  <c r="AK54" i="15"/>
  <c r="AK55" i="15"/>
  <c r="AK62" i="15"/>
  <c r="AK64" i="15"/>
  <c r="AE65" i="15"/>
  <c r="AP65" i="15" s="1"/>
  <c r="AK65" i="15"/>
  <c r="AK69" i="15"/>
  <c r="AK71" i="15"/>
  <c r="AK76" i="15"/>
  <c r="M152" i="15"/>
  <c r="AA86" i="15"/>
  <c r="AJ86" i="15" s="1"/>
  <c r="M175" i="15"/>
  <c r="AC103" i="15"/>
  <c r="AN103" i="15" s="1"/>
  <c r="D20" i="15"/>
  <c r="B52" i="15" s="1"/>
  <c r="H20" i="15"/>
  <c r="B90" i="15" s="1"/>
  <c r="L20" i="15"/>
  <c r="P20" i="15"/>
  <c r="M145" i="15"/>
  <c r="AE91" i="15"/>
  <c r="AP91" i="15" s="1"/>
  <c r="AG81" i="15"/>
  <c r="AR81" i="15" s="1"/>
  <c r="M119" i="15"/>
  <c r="M167" i="15"/>
  <c r="AG114" i="15"/>
  <c r="AR114" i="15" s="1"/>
  <c r="D24" i="15"/>
  <c r="B48" i="15" s="1"/>
  <c r="H24" i="15"/>
  <c r="L24" i="15"/>
  <c r="B128" i="15" s="1"/>
  <c r="P24" i="15"/>
  <c r="M96" i="15"/>
  <c r="AI80" i="15"/>
  <c r="AT80" i="15" s="1"/>
  <c r="AK168" i="15"/>
  <c r="AK159" i="15"/>
  <c r="AK158" i="15"/>
  <c r="AK157" i="15"/>
  <c r="AK156" i="15"/>
  <c r="AK145" i="15"/>
  <c r="AK144" i="15"/>
  <c r="AK143" i="15"/>
  <c r="AK142" i="15"/>
  <c r="AK123" i="15"/>
  <c r="AK120" i="15"/>
  <c r="AK119" i="15"/>
  <c r="AK117" i="15"/>
  <c r="AK109" i="15"/>
  <c r="AK108" i="15"/>
  <c r="AK104" i="15"/>
  <c r="AK103" i="15"/>
  <c r="AK100" i="15"/>
  <c r="AK96" i="15"/>
  <c r="AK95" i="15"/>
  <c r="AK94" i="15"/>
  <c r="AK83" i="15"/>
  <c r="AK80" i="15"/>
  <c r="AK170" i="15"/>
  <c r="AK162" i="15"/>
  <c r="AK161" i="15"/>
  <c r="AK160" i="15"/>
  <c r="AK150" i="15"/>
  <c r="AK149" i="15"/>
  <c r="AK148" i="15"/>
  <c r="AK147" i="15"/>
  <c r="AK146" i="15"/>
  <c r="AK137" i="15"/>
  <c r="AK136" i="15"/>
  <c r="AK122" i="15"/>
  <c r="AK118" i="15"/>
  <c r="AK116" i="15"/>
  <c r="AK115" i="15"/>
  <c r="AK114" i="15"/>
  <c r="AK107" i="15"/>
  <c r="AK99" i="15"/>
  <c r="AK98" i="15"/>
  <c r="AK93" i="15"/>
  <c r="AK171" i="15"/>
  <c r="AK169" i="15"/>
  <c r="AK165" i="15"/>
  <c r="AK164" i="15"/>
  <c r="AK163" i="15"/>
  <c r="AK153" i="15"/>
  <c r="AK152" i="15"/>
  <c r="AK151" i="15"/>
  <c r="AK139" i="15"/>
  <c r="AK138" i="15"/>
  <c r="AK135" i="15"/>
  <c r="AK134" i="15"/>
  <c r="AK133" i="15"/>
  <c r="AK126" i="15"/>
  <c r="AK121" i="15"/>
  <c r="AK113" i="15"/>
  <c r="AK102" i="15"/>
  <c r="AK89" i="15"/>
  <c r="AK81" i="15"/>
  <c r="AK167" i="15"/>
  <c r="AK166" i="15"/>
  <c r="AK155" i="15"/>
  <c r="AK154" i="15"/>
  <c r="AK141" i="15"/>
  <c r="AK140" i="15"/>
  <c r="AK132" i="15"/>
  <c r="AK131" i="15"/>
  <c r="AK130" i="15"/>
  <c r="AK129" i="15"/>
  <c r="AK128" i="15"/>
  <c r="AK127" i="15"/>
  <c r="AK125" i="15"/>
  <c r="AK124" i="15"/>
  <c r="AK112" i="15"/>
  <c r="AK111" i="15"/>
  <c r="AK110" i="15"/>
  <c r="AK106" i="15"/>
  <c r="AK105" i="15"/>
  <c r="AK101" i="15"/>
  <c r="AK97" i="15"/>
  <c r="AK37" i="15"/>
  <c r="P38" i="15"/>
  <c r="AK44" i="15"/>
  <c r="AK45" i="15"/>
  <c r="AK47" i="15"/>
  <c r="AK49" i="15"/>
  <c r="AK52" i="15"/>
  <c r="AK56" i="15"/>
  <c r="AK57" i="15"/>
  <c r="AK60" i="15"/>
  <c r="AA62" i="15"/>
  <c r="AJ62" i="15" s="1"/>
  <c r="AK67" i="15"/>
  <c r="AK70" i="15"/>
  <c r="AC73" i="15"/>
  <c r="AN73" i="15" s="1"/>
  <c r="AK74" i="15"/>
  <c r="AK79" i="15"/>
  <c r="AK84" i="15"/>
  <c r="AK88" i="15"/>
  <c r="AK90" i="15"/>
  <c r="G18" i="15"/>
  <c r="B84" i="15" s="1"/>
  <c r="K18" i="15"/>
  <c r="B125" i="15" s="1"/>
  <c r="O18" i="15"/>
  <c r="D19" i="15"/>
  <c r="B53" i="15" s="1"/>
  <c r="H19" i="15"/>
  <c r="B91" i="15" s="1"/>
  <c r="L19" i="15"/>
  <c r="B134" i="15" s="1"/>
  <c r="P19" i="15"/>
  <c r="B195" i="15" s="1"/>
  <c r="E20" i="15"/>
  <c r="B63" i="15" s="1"/>
  <c r="I20" i="15"/>
  <c r="B103" i="15" s="1"/>
  <c r="M20" i="15"/>
  <c r="B147" i="15" s="1"/>
  <c r="M36" i="15"/>
  <c r="S36" i="15"/>
  <c r="AV36" i="15" s="1"/>
  <c r="AK38" i="15"/>
  <c r="AK42" i="15"/>
  <c r="AK48" i="15"/>
  <c r="AK59" i="15"/>
  <c r="AK61" i="15"/>
  <c r="AK66" i="15"/>
  <c r="AK68" i="15"/>
  <c r="AK72" i="15"/>
  <c r="AK75" i="15"/>
  <c r="AK77" i="15"/>
  <c r="AK85" i="15"/>
  <c r="CQ1" i="17"/>
  <c r="CR2" i="17"/>
  <c r="DG2" i="17"/>
  <c r="DT3" i="17"/>
  <c r="CK8" i="17"/>
  <c r="CB13" i="17"/>
  <c r="CI16" i="17"/>
  <c r="DD2" i="17"/>
  <c r="DQ3" i="17"/>
  <c r="DU125" i="17"/>
  <c r="DU126" i="17"/>
  <c r="DU123" i="17"/>
  <c r="DU120" i="17"/>
  <c r="DU122" i="17"/>
  <c r="DU124" i="17"/>
  <c r="DU121" i="17"/>
  <c r="DU119" i="17"/>
  <c r="DU118" i="17"/>
  <c r="DU117" i="17"/>
  <c r="DU116" i="17"/>
  <c r="DU112" i="17"/>
  <c r="DU115" i="17"/>
  <c r="DU111" i="17"/>
  <c r="DU109" i="17"/>
  <c r="DU114" i="17"/>
  <c r="DU113" i="17"/>
  <c r="DU110" i="17"/>
  <c r="DU107" i="17"/>
  <c r="DU105" i="17"/>
  <c r="DU103" i="17"/>
  <c r="DU101" i="17"/>
  <c r="DU108" i="17"/>
  <c r="DU106" i="17"/>
  <c r="DU100" i="17"/>
  <c r="DU98" i="17"/>
  <c r="DU96" i="17"/>
  <c r="DU94" i="17"/>
  <c r="DU92" i="17"/>
  <c r="DU90" i="17"/>
  <c r="DU88" i="17"/>
  <c r="DU86" i="17"/>
  <c r="DU104" i="17"/>
  <c r="DU102" i="17"/>
  <c r="DU91" i="17"/>
  <c r="DU93" i="17"/>
  <c r="DU84" i="17"/>
  <c r="DU99" i="17"/>
  <c r="DU97" i="17"/>
  <c r="DU95" i="17"/>
  <c r="DU87" i="17"/>
  <c r="DU89" i="17"/>
  <c r="DU85" i="17"/>
  <c r="DU82" i="17"/>
  <c r="DU80" i="17"/>
  <c r="DU78" i="17"/>
  <c r="DU76" i="17"/>
  <c r="DU74" i="17"/>
  <c r="DU72" i="17"/>
  <c r="DU70" i="17"/>
  <c r="DU68" i="17"/>
  <c r="DU83" i="17"/>
  <c r="DU81" i="17"/>
  <c r="DU79" i="17"/>
  <c r="DU77" i="17"/>
  <c r="DU75" i="17"/>
  <c r="DU73" i="17"/>
  <c r="DU71" i="17"/>
  <c r="DU67" i="17"/>
  <c r="DU66" i="17"/>
  <c r="DU64" i="17"/>
  <c r="DU62" i="17"/>
  <c r="DU60" i="17"/>
  <c r="DU58" i="17"/>
  <c r="DU56" i="17"/>
  <c r="DU54" i="17"/>
  <c r="DU69" i="17"/>
  <c r="DU65" i="17"/>
  <c r="DU63" i="17"/>
  <c r="DU61" i="17"/>
  <c r="DU59" i="17"/>
  <c r="DU57" i="17"/>
  <c r="DU55" i="17"/>
  <c r="DU53" i="17"/>
  <c r="DU51" i="17"/>
  <c r="DU49" i="17"/>
  <c r="DU46" i="17"/>
  <c r="DU42" i="17"/>
  <c r="DU38" i="17"/>
  <c r="DU47" i="17"/>
  <c r="DU43" i="17"/>
  <c r="DU39" i="17"/>
  <c r="DU52" i="17"/>
  <c r="DU50" i="17"/>
  <c r="DU48" i="17"/>
  <c r="DU44" i="17"/>
  <c r="DU40" i="17"/>
  <c r="DU45" i="17"/>
  <c r="DU41" i="17"/>
  <c r="DU37" i="17"/>
  <c r="DU32" i="17"/>
  <c r="DU26" i="17"/>
  <c r="DU22" i="17"/>
  <c r="DU18" i="17"/>
  <c r="DU17" i="17"/>
  <c r="DU16" i="17"/>
  <c r="DU15" i="17"/>
  <c r="DU11" i="17"/>
  <c r="DU8" i="17"/>
  <c r="DU36" i="17"/>
  <c r="DU31" i="17"/>
  <c r="DU27" i="17"/>
  <c r="DU25" i="17"/>
  <c r="DU21" i="17"/>
  <c r="DU7" i="17"/>
  <c r="DU35" i="17"/>
  <c r="DU33" i="17"/>
  <c r="DU28" i="17"/>
  <c r="DU24" i="17"/>
  <c r="DU20" i="17"/>
  <c r="DU13" i="17"/>
  <c r="DU10" i="17"/>
  <c r="DU6" i="17"/>
  <c r="DU34" i="17"/>
  <c r="DU30" i="17"/>
  <c r="DU29" i="17"/>
  <c r="DU23" i="17"/>
  <c r="DU19" i="17"/>
  <c r="U8" i="17"/>
  <c r="AH154" i="17"/>
  <c r="AG154" i="17"/>
  <c r="AF154" i="17"/>
  <c r="AG147" i="17"/>
  <c r="AG143" i="17"/>
  <c r="AI154" i="17"/>
  <c r="AG146" i="17"/>
  <c r="AI139" i="17"/>
  <c r="AG133" i="17"/>
  <c r="AH150" i="17"/>
  <c r="AI147" i="17"/>
  <c r="AI143" i="17"/>
  <c r="AH139" i="17"/>
  <c r="AF150" i="17"/>
  <c r="AH147" i="17"/>
  <c r="AH143" i="17"/>
  <c r="AG139" i="17"/>
  <c r="AH136" i="17"/>
  <c r="AI133" i="17"/>
  <c r="AG145" i="17"/>
  <c r="AI136" i="17"/>
  <c r="AG134" i="17"/>
  <c r="AF133" i="17"/>
  <c r="AG136" i="17"/>
  <c r="AH142" i="17"/>
  <c r="AH138" i="17"/>
  <c r="AI137" i="17"/>
  <c r="AH146" i="17"/>
  <c r="AI134" i="17"/>
  <c r="AH133" i="17"/>
  <c r="BV30" i="17"/>
  <c r="DW128" i="17"/>
  <c r="EH128" i="17" s="1"/>
  <c r="DI124" i="17"/>
  <c r="DI126" i="17"/>
  <c r="DI125" i="17"/>
  <c r="DI122" i="17"/>
  <c r="DI121" i="17"/>
  <c r="DI119" i="17"/>
  <c r="DI118" i="17"/>
  <c r="DI117" i="17"/>
  <c r="DI116" i="17"/>
  <c r="DI123" i="17"/>
  <c r="DI120" i="17"/>
  <c r="DI115" i="17"/>
  <c r="DI111" i="17"/>
  <c r="DI109" i="17"/>
  <c r="DI114" i="17"/>
  <c r="DI113" i="17"/>
  <c r="DI110" i="17"/>
  <c r="DI112" i="17"/>
  <c r="DI107" i="17"/>
  <c r="DI105" i="17"/>
  <c r="DI103" i="17"/>
  <c r="DI101" i="17"/>
  <c r="DI108" i="17"/>
  <c r="DI106" i="17"/>
  <c r="DI104" i="17"/>
  <c r="DI102" i="17"/>
  <c r="DI100" i="17"/>
  <c r="DI98" i="17"/>
  <c r="DI96" i="17"/>
  <c r="DI99" i="17"/>
  <c r="DI97" i="17"/>
  <c r="DI95" i="17"/>
  <c r="DI93" i="17"/>
  <c r="DI91" i="17"/>
  <c r="DI89" i="17"/>
  <c r="DI87" i="17"/>
  <c r="DI88" i="17"/>
  <c r="DI84" i="17"/>
  <c r="DI90" i="17"/>
  <c r="DI92" i="17"/>
  <c r="DI85" i="17"/>
  <c r="DI94" i="17"/>
  <c r="DI86" i="17"/>
  <c r="DI82" i="17"/>
  <c r="DI80" i="17"/>
  <c r="DI78" i="17"/>
  <c r="DI76" i="17"/>
  <c r="DI74" i="17"/>
  <c r="DI72" i="17"/>
  <c r="DI70" i="17"/>
  <c r="DI68" i="17"/>
  <c r="DI83" i="17"/>
  <c r="DI81" i="17"/>
  <c r="DI79" i="17"/>
  <c r="DI77" i="17"/>
  <c r="DI75" i="17"/>
  <c r="DI73" i="17"/>
  <c r="DI71" i="17"/>
  <c r="DI69" i="17"/>
  <c r="DI67" i="17"/>
  <c r="DI65" i="17"/>
  <c r="DI63" i="17"/>
  <c r="DI61" i="17"/>
  <c r="DI59" i="17"/>
  <c r="DI57" i="17"/>
  <c r="DI55" i="17"/>
  <c r="DI53" i="17"/>
  <c r="DI66" i="17"/>
  <c r="DI64" i="17"/>
  <c r="DI62" i="17"/>
  <c r="DI60" i="17"/>
  <c r="DI58" i="17"/>
  <c r="DI56" i="17"/>
  <c r="DI54" i="17"/>
  <c r="DI47" i="17"/>
  <c r="DI43" i="17"/>
  <c r="DI39" i="17"/>
  <c r="DI52" i="17"/>
  <c r="DI50" i="17"/>
  <c r="DI48" i="17"/>
  <c r="DI44" i="17"/>
  <c r="DI40" i="17"/>
  <c r="DI45" i="17"/>
  <c r="DI41" i="17"/>
  <c r="DI51" i="17"/>
  <c r="DI49" i="17"/>
  <c r="DI46" i="17"/>
  <c r="DI42" i="17"/>
  <c r="DI38" i="17"/>
  <c r="DI32" i="17"/>
  <c r="CZ37" i="17"/>
  <c r="DI37" i="17"/>
  <c r="DI23" i="17"/>
  <c r="X150" i="17"/>
  <c r="AO150" i="17" s="1"/>
  <c r="X149" i="17"/>
  <c r="Y150" i="17"/>
  <c r="AA149" i="17"/>
  <c r="Y148" i="17"/>
  <c r="X147" i="17"/>
  <c r="AA146" i="17"/>
  <c r="Z145" i="17"/>
  <c r="Y144" i="17"/>
  <c r="X143" i="17"/>
  <c r="Z149" i="17"/>
  <c r="X148" i="17"/>
  <c r="AA147" i="17"/>
  <c r="Z146" i="17"/>
  <c r="AQ146" i="17" s="1"/>
  <c r="BD146" i="17" s="1"/>
  <c r="Y145" i="17"/>
  <c r="AP145" i="17" s="1"/>
  <c r="BC145" i="17" s="1"/>
  <c r="X144" i="17"/>
  <c r="AA143" i="17"/>
  <c r="Z142" i="17"/>
  <c r="AQ142" i="17" s="1"/>
  <c r="BD142" i="17" s="1"/>
  <c r="Y141" i="17"/>
  <c r="X140" i="17"/>
  <c r="AA139" i="17"/>
  <c r="Z138" i="17"/>
  <c r="AQ138" i="17" s="1"/>
  <c r="BD138" i="17" s="1"/>
  <c r="Y149" i="17"/>
  <c r="X146" i="17"/>
  <c r="X145" i="17"/>
  <c r="Y142" i="17"/>
  <c r="AA141" i="17"/>
  <c r="AA140" i="17"/>
  <c r="X139" i="17"/>
  <c r="AA138" i="17"/>
  <c r="X137" i="17"/>
  <c r="AA136" i="17"/>
  <c r="AR136" i="17" s="1"/>
  <c r="BE136" i="17" s="1"/>
  <c r="Z135" i="17"/>
  <c r="Y134" i="17"/>
  <c r="AP134" i="17" s="1"/>
  <c r="BC134" i="17" s="1"/>
  <c r="X133" i="17"/>
  <c r="AA150" i="17"/>
  <c r="AA148" i="17"/>
  <c r="AA144" i="17"/>
  <c r="X142" i="17"/>
  <c r="Z141" i="17"/>
  <c r="Z140" i="17"/>
  <c r="Z150" i="17"/>
  <c r="AQ150" i="17" s="1"/>
  <c r="BD150" i="17" s="1"/>
  <c r="Z148" i="17"/>
  <c r="Z147" i="17"/>
  <c r="Z144" i="17"/>
  <c r="Z143" i="17"/>
  <c r="AQ143" i="17" s="1"/>
  <c r="BD143" i="17" s="1"/>
  <c r="X141" i="17"/>
  <c r="Y140" i="17"/>
  <c r="Z139" i="17"/>
  <c r="AQ139" i="17" s="1"/>
  <c r="X138" i="17"/>
  <c r="Z137" i="17"/>
  <c r="Y136" i="17"/>
  <c r="X135" i="17"/>
  <c r="AA134" i="17"/>
  <c r="AR134" i="17" s="1"/>
  <c r="BE134" i="17" s="1"/>
  <c r="Z133" i="17"/>
  <c r="AQ133" i="17" s="1"/>
  <c r="AX133" i="17" s="1"/>
  <c r="BD133" i="17" s="1"/>
  <c r="Y147" i="17"/>
  <c r="AP147" i="17" s="1"/>
  <c r="Y143" i="17"/>
  <c r="AP143" i="17" s="1"/>
  <c r="AA142" i="17"/>
  <c r="AA135" i="17"/>
  <c r="Z134" i="17"/>
  <c r="AA133" i="17"/>
  <c r="X128" i="17"/>
  <c r="Y139" i="17"/>
  <c r="AP139" i="17" s="1"/>
  <c r="AA137" i="17"/>
  <c r="Z136" i="17"/>
  <c r="AQ136" i="17" s="1"/>
  <c r="Y135" i="17"/>
  <c r="X134" i="17"/>
  <c r="Y133" i="17"/>
  <c r="AP133" i="17" s="1"/>
  <c r="AW133" i="17" s="1"/>
  <c r="BC133" i="17" s="1"/>
  <c r="AA128" i="17"/>
  <c r="Y146" i="17"/>
  <c r="AP146" i="17" s="1"/>
  <c r="BC146" i="17" s="1"/>
  <c r="Y138" i="17"/>
  <c r="Y137" i="17"/>
  <c r="X136" i="17"/>
  <c r="Z128" i="17"/>
  <c r="AA145" i="17"/>
  <c r="Y128" i="17"/>
  <c r="ED125" i="17"/>
  <c r="ED124" i="17"/>
  <c r="ED126" i="17"/>
  <c r="ED123" i="17"/>
  <c r="ED120" i="17"/>
  <c r="ED122" i="17"/>
  <c r="ED121" i="17"/>
  <c r="ED119" i="17"/>
  <c r="ED118" i="17"/>
  <c r="ED117" i="17"/>
  <c r="ED116" i="17"/>
  <c r="ED112" i="17"/>
  <c r="ED111" i="17"/>
  <c r="ED109" i="17"/>
  <c r="ED115" i="17"/>
  <c r="ED114" i="17"/>
  <c r="ED113" i="17"/>
  <c r="ED110" i="17"/>
  <c r="ED107" i="17"/>
  <c r="ED105" i="17"/>
  <c r="ED103" i="17"/>
  <c r="ED101" i="17"/>
  <c r="ED108" i="17"/>
  <c r="ED106" i="17"/>
  <c r="ED104" i="17"/>
  <c r="ED102" i="17"/>
  <c r="ED100" i="17"/>
  <c r="ED98" i="17"/>
  <c r="ED96" i="17"/>
  <c r="ED94" i="17"/>
  <c r="ED92" i="17"/>
  <c r="ED90" i="17"/>
  <c r="ED88" i="17"/>
  <c r="ED86" i="17"/>
  <c r="ED99" i="17"/>
  <c r="ED97" i="17"/>
  <c r="ED95" i="17"/>
  <c r="ED91" i="17"/>
  <c r="ED93" i="17"/>
  <c r="ED84" i="17"/>
  <c r="ED87" i="17"/>
  <c r="ED89" i="17"/>
  <c r="ED85" i="17"/>
  <c r="ED82" i="17"/>
  <c r="ED80" i="17"/>
  <c r="ED78" i="17"/>
  <c r="ED76" i="17"/>
  <c r="ED74" i="17"/>
  <c r="ED72" i="17"/>
  <c r="ED70" i="17"/>
  <c r="ED68" i="17"/>
  <c r="ED83" i="17"/>
  <c r="ED81" i="17"/>
  <c r="ED79" i="17"/>
  <c r="ED77" i="17"/>
  <c r="ED75" i="17"/>
  <c r="ED73" i="17"/>
  <c r="ED71" i="17"/>
  <c r="ED66" i="17"/>
  <c r="ED64" i="17"/>
  <c r="ED62" i="17"/>
  <c r="ED60" i="17"/>
  <c r="ED58" i="17"/>
  <c r="ED56" i="17"/>
  <c r="ED54" i="17"/>
  <c r="ED67" i="17"/>
  <c r="ED65" i="17"/>
  <c r="ED63" i="17"/>
  <c r="ED61" i="17"/>
  <c r="ED59" i="17"/>
  <c r="ED57" i="17"/>
  <c r="ED55" i="17"/>
  <c r="ED53" i="17"/>
  <c r="ED69" i="17"/>
  <c r="ED51" i="17"/>
  <c r="ED49" i="17"/>
  <c r="ED46" i="17"/>
  <c r="ED42" i="17"/>
  <c r="ED38" i="17"/>
  <c r="ED47" i="17"/>
  <c r="ED43" i="17"/>
  <c r="ED39" i="17"/>
  <c r="ED52" i="17"/>
  <c r="ED50" i="17"/>
  <c r="ED48" i="17"/>
  <c r="ED44" i="17"/>
  <c r="ED40" i="17"/>
  <c r="ED45" i="17"/>
  <c r="ED41" i="17"/>
  <c r="ED37" i="17"/>
  <c r="ED28" i="17"/>
  <c r="CZ29" i="17"/>
  <c r="DI29" i="17"/>
  <c r="EE29" i="17"/>
  <c r="CZ30" i="17"/>
  <c r="DI30" i="17"/>
  <c r="EE30" i="17"/>
  <c r="ED33" i="17"/>
  <c r="CZ34" i="17"/>
  <c r="DI34" i="17"/>
  <c r="EE34" i="17"/>
  <c r="ED35" i="17"/>
  <c r="DI24" i="17"/>
  <c r="CI28" i="17"/>
  <c r="CZ28" i="17"/>
  <c r="DI28" i="17"/>
  <c r="EE28" i="17"/>
  <c r="CZ33" i="17"/>
  <c r="DI33" i="17"/>
  <c r="EE33" i="17"/>
  <c r="CZ35" i="17"/>
  <c r="DI35" i="17"/>
  <c r="EE35" i="17"/>
  <c r="ED36" i="17"/>
  <c r="DI21" i="17"/>
  <c r="DI25" i="17"/>
  <c r="EE124" i="17"/>
  <c r="CZ124" i="17"/>
  <c r="EE126" i="17"/>
  <c r="CZ126" i="17"/>
  <c r="EE125" i="17"/>
  <c r="CZ125" i="17"/>
  <c r="EE122" i="17"/>
  <c r="CZ122" i="17"/>
  <c r="EE121" i="17"/>
  <c r="CZ121" i="17"/>
  <c r="EE119" i="17"/>
  <c r="CZ119" i="17"/>
  <c r="EE118" i="17"/>
  <c r="CZ118" i="17"/>
  <c r="EE117" i="17"/>
  <c r="CZ117" i="17"/>
  <c r="EE116" i="17"/>
  <c r="CZ116" i="17"/>
  <c r="EE115" i="17"/>
  <c r="EE123" i="17"/>
  <c r="CZ123" i="17"/>
  <c r="CZ115" i="17"/>
  <c r="EE111" i="17"/>
  <c r="CZ111" i="17"/>
  <c r="EE109" i="17"/>
  <c r="CZ109" i="17"/>
  <c r="EE114" i="17"/>
  <c r="CZ114" i="17"/>
  <c r="CZ120" i="17"/>
  <c r="EE113" i="17"/>
  <c r="CZ113" i="17"/>
  <c r="EE110" i="17"/>
  <c r="CZ110" i="17"/>
  <c r="EE120" i="17"/>
  <c r="EE112" i="17"/>
  <c r="CZ112" i="17"/>
  <c r="EE107" i="17"/>
  <c r="CZ107" i="17"/>
  <c r="EE105" i="17"/>
  <c r="CZ105" i="17"/>
  <c r="EE103" i="17"/>
  <c r="CZ103" i="17"/>
  <c r="EE101" i="17"/>
  <c r="CZ101" i="17"/>
  <c r="EE108" i="17"/>
  <c r="CZ108" i="17"/>
  <c r="EE106" i="17"/>
  <c r="CZ106" i="17"/>
  <c r="EE104" i="17"/>
  <c r="CZ104" i="17"/>
  <c r="EE102" i="17"/>
  <c r="CZ102" i="17"/>
  <c r="EE100" i="17"/>
  <c r="CZ100" i="17"/>
  <c r="EE98" i="17"/>
  <c r="CZ98" i="17"/>
  <c r="EE96" i="17"/>
  <c r="CZ96" i="17"/>
  <c r="EE99" i="17"/>
  <c r="CZ99" i="17"/>
  <c r="EE97" i="17"/>
  <c r="CZ97" i="17"/>
  <c r="EE95" i="17"/>
  <c r="CZ95" i="17"/>
  <c r="EE93" i="17"/>
  <c r="CZ93" i="17"/>
  <c r="EE91" i="17"/>
  <c r="CZ91" i="17"/>
  <c r="EE89" i="17"/>
  <c r="CZ89" i="17"/>
  <c r="EE87" i="17"/>
  <c r="CZ87" i="17"/>
  <c r="EE92" i="17"/>
  <c r="CZ88" i="17"/>
  <c r="EE84" i="17"/>
  <c r="CZ84" i="17"/>
  <c r="EE94" i="17"/>
  <c r="CZ90" i="17"/>
  <c r="EE86" i="17"/>
  <c r="CZ92" i="17"/>
  <c r="EE88" i="17"/>
  <c r="EE85" i="17"/>
  <c r="CZ85" i="17"/>
  <c r="CZ94" i="17"/>
  <c r="EE90" i="17"/>
  <c r="CZ86" i="17"/>
  <c r="EE82" i="17"/>
  <c r="CZ82" i="17"/>
  <c r="EE80" i="17"/>
  <c r="CZ80" i="17"/>
  <c r="EE78" i="17"/>
  <c r="CZ78" i="17"/>
  <c r="EE76" i="17"/>
  <c r="CZ76" i="17"/>
  <c r="EE74" i="17"/>
  <c r="CZ74" i="17"/>
  <c r="EE72" i="17"/>
  <c r="CZ72" i="17"/>
  <c r="EE70" i="17"/>
  <c r="CZ70" i="17"/>
  <c r="EE68" i="17"/>
  <c r="CZ68" i="17"/>
  <c r="EE83" i="17"/>
  <c r="CZ83" i="17"/>
  <c r="EE81" i="17"/>
  <c r="CZ81" i="17"/>
  <c r="EE79" i="17"/>
  <c r="CZ79" i="17"/>
  <c r="EE77" i="17"/>
  <c r="CZ77" i="17"/>
  <c r="EE75" i="17"/>
  <c r="CZ75" i="17"/>
  <c r="EE73" i="17"/>
  <c r="CZ73" i="17"/>
  <c r="EE71" i="17"/>
  <c r="CZ71" i="17"/>
  <c r="EE69" i="17"/>
  <c r="CZ69" i="17"/>
  <c r="EE67" i="17"/>
  <c r="CZ67" i="17"/>
  <c r="EE65" i="17"/>
  <c r="CZ65" i="17"/>
  <c r="EE63" i="17"/>
  <c r="CZ63" i="17"/>
  <c r="EE61" i="17"/>
  <c r="CZ61" i="17"/>
  <c r="EE59" i="17"/>
  <c r="CZ59" i="17"/>
  <c r="EE57" i="17"/>
  <c r="CZ57" i="17"/>
  <c r="EE55" i="17"/>
  <c r="CZ55" i="17"/>
  <c r="EE53" i="17"/>
  <c r="CZ53" i="17"/>
  <c r="EE66" i="17"/>
  <c r="CZ66" i="17"/>
  <c r="EE64" i="17"/>
  <c r="CZ64" i="17"/>
  <c r="EE62" i="17"/>
  <c r="CZ62" i="17"/>
  <c r="EE60" i="17"/>
  <c r="CZ60" i="17"/>
  <c r="EE58" i="17"/>
  <c r="CZ58" i="17"/>
  <c r="EE56" i="17"/>
  <c r="CZ56" i="17"/>
  <c r="EE54" i="17"/>
  <c r="CZ54" i="17"/>
  <c r="EE47" i="17"/>
  <c r="CZ47" i="17"/>
  <c r="EE43" i="17"/>
  <c r="CZ43" i="17"/>
  <c r="EE39" i="17"/>
  <c r="CZ39" i="17"/>
  <c r="EE52" i="17"/>
  <c r="CZ52" i="17"/>
  <c r="EE50" i="17"/>
  <c r="CZ50" i="17"/>
  <c r="EE48" i="17"/>
  <c r="CZ48" i="17"/>
  <c r="EE44" i="17"/>
  <c r="CZ44" i="17"/>
  <c r="EE40" i="17"/>
  <c r="CZ40" i="17"/>
  <c r="EE45" i="17"/>
  <c r="CZ45" i="17"/>
  <c r="EE41" i="17"/>
  <c r="CZ41" i="17"/>
  <c r="EE37" i="17"/>
  <c r="EE51" i="17"/>
  <c r="CZ51" i="17"/>
  <c r="EE49" i="17"/>
  <c r="CZ49" i="17"/>
  <c r="EE46" i="17"/>
  <c r="CZ46" i="17"/>
  <c r="EE42" i="17"/>
  <c r="CZ42" i="17"/>
  <c r="EE38" i="17"/>
  <c r="CZ38" i="17"/>
  <c r="CZ27" i="17"/>
  <c r="DI27" i="17"/>
  <c r="EE27" i="17"/>
  <c r="K30" i="17"/>
  <c r="CB36" i="17" s="1"/>
  <c r="CD36" i="17" s="1"/>
  <c r="DZ128" i="17" s="1"/>
  <c r="AK128" i="17"/>
  <c r="CZ31" i="17"/>
  <c r="DI31" i="17"/>
  <c r="EE31" i="17"/>
  <c r="CZ36" i="17"/>
  <c r="DI36" i="17"/>
  <c r="EE36" i="17"/>
  <c r="AI140" i="17"/>
  <c r="AG141" i="17"/>
  <c r="AF136" i="17"/>
  <c r="AH137" i="17"/>
  <c r="AG137" i="17"/>
  <c r="AB137" i="17"/>
  <c r="AE137" i="17"/>
  <c r="AJ137" i="17" s="1"/>
  <c r="AF137" i="17"/>
  <c r="AI138" i="17"/>
  <c r="AE138" i="17"/>
  <c r="AJ138" i="17" s="1"/>
  <c r="AG138" i="17"/>
  <c r="AF138" i="17"/>
  <c r="AH144" i="17"/>
  <c r="AN144" i="17"/>
  <c r="AS144" i="17" s="1"/>
  <c r="AG144" i="17"/>
  <c r="AB144" i="17"/>
  <c r="AI144" i="17"/>
  <c r="AF144" i="17"/>
  <c r="AH148" i="17"/>
  <c r="AN148" i="17"/>
  <c r="AS148" i="17" s="1"/>
  <c r="AG148" i="17"/>
  <c r="AB148" i="17"/>
  <c r="AI148" i="17"/>
  <c r="AF148" i="17"/>
  <c r="AH134" i="17"/>
  <c r="AI135" i="17"/>
  <c r="AE135" i="17"/>
  <c r="AJ135" i="17" s="1"/>
  <c r="AN135" i="17"/>
  <c r="AS135" i="17" s="1"/>
  <c r="AG135" i="17"/>
  <c r="AB135" i="17"/>
  <c r="AF135" i="17"/>
  <c r="AZ136" i="17"/>
  <c r="AF139" i="17"/>
  <c r="AZ142" i="17"/>
  <c r="BC143" i="17"/>
  <c r="AZ146" i="17"/>
  <c r="BC147" i="17"/>
  <c r="AZ134" i="17"/>
  <c r="AH135" i="17"/>
  <c r="AZ137" i="17"/>
  <c r="AZ139" i="17"/>
  <c r="AH141" i="17"/>
  <c r="AN141" i="17"/>
  <c r="AS141" i="17" s="1"/>
  <c r="AF141" i="17"/>
  <c r="AE141" i="17"/>
  <c r="AJ141" i="17" s="1"/>
  <c r="AI141" i="17"/>
  <c r="BB150" i="17"/>
  <c r="BD136" i="17"/>
  <c r="BC139" i="17"/>
  <c r="AN140" i="17"/>
  <c r="AS140" i="17" s="1"/>
  <c r="AG140" i="17"/>
  <c r="AB140" i="17"/>
  <c r="AH140" i="17"/>
  <c r="AF140" i="17"/>
  <c r="AE140" i="17"/>
  <c r="AJ140" i="17" s="1"/>
  <c r="H38" i="18"/>
  <c r="H34" i="18"/>
  <c r="AF134" i="17"/>
  <c r="BD139" i="17"/>
  <c r="AZ141" i="17"/>
  <c r="AF142" i="17"/>
  <c r="AI142" i="17"/>
  <c r="AE142" i="17"/>
  <c r="AJ142" i="17" s="1"/>
  <c r="AB142" i="17"/>
  <c r="AN142" i="17"/>
  <c r="AS142" i="17" s="1"/>
  <c r="B36" i="18"/>
  <c r="AI145" i="17"/>
  <c r="AE145" i="17"/>
  <c r="AJ145" i="17" s="1"/>
  <c r="AH145" i="17"/>
  <c r="AN145" i="17"/>
  <c r="AS145" i="17" s="1"/>
  <c r="AF146" i="17"/>
  <c r="AN149" i="17"/>
  <c r="AS149" i="17" s="1"/>
  <c r="AG149" i="17"/>
  <c r="AB149" i="17"/>
  <c r="AH149" i="17"/>
  <c r="AF149" i="17"/>
  <c r="AI149" i="17"/>
  <c r="AZ150" i="17"/>
  <c r="K20" i="18"/>
  <c r="K19" i="18"/>
  <c r="AG142" i="17"/>
  <c r="AF143" i="17"/>
  <c r="AF145" i="17"/>
  <c r="AZ145" i="17"/>
  <c r="AF147" i="17"/>
  <c r="H35" i="18"/>
  <c r="H37" i="18" s="1"/>
  <c r="I38" i="18"/>
  <c r="AE146" i="17"/>
  <c r="AJ146" i="17" s="1"/>
  <c r="AI146" i="17"/>
  <c r="AZ149" i="17"/>
  <c r="AN150" i="17"/>
  <c r="AS150" i="17" s="1"/>
  <c r="AG150" i="17"/>
  <c r="AB150" i="17"/>
  <c r="AI150" i="17"/>
  <c r="O21" i="19"/>
  <c r="Q9" i="19"/>
  <c r="B60" i="18"/>
  <c r="F8" i="8"/>
  <c r="F9" i="8" s="1"/>
  <c r="F10" i="8" s="1"/>
  <c r="F11" i="8" s="1"/>
  <c r="W39" i="8"/>
  <c r="V39" i="8"/>
  <c r="U39" i="8"/>
  <c r="M7" i="8"/>
  <c r="L7" i="8" s="1"/>
  <c r="M10" i="8"/>
  <c r="L10" i="8" s="1"/>
  <c r="P5" i="8"/>
  <c r="O5" i="8"/>
  <c r="N5" i="8"/>
  <c r="AZ7" i="6"/>
  <c r="BB109" i="6"/>
  <c r="BB108" i="6"/>
  <c r="BB107" i="6"/>
  <c r="BB106" i="6"/>
  <c r="BB105" i="6"/>
  <c r="BB104" i="6"/>
  <c r="BB103" i="6"/>
  <c r="BB102" i="6"/>
  <c r="BB101" i="6"/>
  <c r="BB100" i="6"/>
  <c r="BB99" i="6"/>
  <c r="BB98" i="6"/>
  <c r="BB97" i="6"/>
  <c r="BB96" i="6"/>
  <c r="BB95" i="6"/>
  <c r="BB94" i="6"/>
  <c r="BB93" i="6"/>
  <c r="BB92" i="6"/>
  <c r="BB91" i="6"/>
  <c r="BB90" i="6"/>
  <c r="BB89" i="6"/>
  <c r="BB88" i="6"/>
  <c r="BB87" i="6"/>
  <c r="BB86" i="6"/>
  <c r="BB85" i="6"/>
  <c r="BB84" i="6"/>
  <c r="BB83" i="6"/>
  <c r="BB82" i="6"/>
  <c r="BB81" i="6"/>
  <c r="BB80" i="6"/>
  <c r="BB79" i="6"/>
  <c r="BB78" i="6"/>
  <c r="BB77" i="6"/>
  <c r="BB76" i="6"/>
  <c r="BB75" i="6"/>
  <c r="BB74" i="6"/>
  <c r="BB73" i="6"/>
  <c r="BB72" i="6"/>
  <c r="BB71" i="6"/>
  <c r="BB70" i="6"/>
  <c r="BB69" i="6"/>
  <c r="BB68" i="6"/>
  <c r="BB67" i="6"/>
  <c r="BB66" i="6"/>
  <c r="BB65" i="6"/>
  <c r="BB64" i="6"/>
  <c r="BB63" i="6"/>
  <c r="BB62" i="6"/>
  <c r="BB61" i="6"/>
  <c r="BB60" i="6"/>
  <c r="BB59" i="6"/>
  <c r="BB58" i="6"/>
  <c r="BB57" i="6"/>
  <c r="BB56" i="6"/>
  <c r="BB55" i="6"/>
  <c r="BB54" i="6"/>
  <c r="BB53" i="6"/>
  <c r="BB52" i="6"/>
  <c r="BB51" i="6"/>
  <c r="BB50" i="6"/>
  <c r="BB49" i="6"/>
  <c r="BB48" i="6"/>
  <c r="BB47" i="6"/>
  <c r="BB46" i="6"/>
  <c r="BB45" i="6"/>
  <c r="BB44" i="6"/>
  <c r="BB43" i="6"/>
  <c r="BB42" i="6"/>
  <c r="BB41" i="6"/>
  <c r="BB40" i="6"/>
  <c r="BB39" i="6"/>
  <c r="BB38" i="6"/>
  <c r="BB37" i="6"/>
  <c r="BB36" i="6"/>
  <c r="BB35" i="6"/>
  <c r="BB34" i="6"/>
  <c r="BB33" i="6"/>
  <c r="BB32" i="6"/>
  <c r="BB31" i="6"/>
  <c r="BB30" i="6"/>
  <c r="BB29" i="6"/>
  <c r="BB28" i="6"/>
  <c r="BB27" i="6"/>
  <c r="BB26" i="6"/>
  <c r="BB25" i="6"/>
  <c r="BB24" i="6"/>
  <c r="BB23" i="6"/>
  <c r="BB22" i="6"/>
  <c r="BB21" i="6"/>
  <c r="BB20" i="6"/>
  <c r="BB19" i="6"/>
  <c r="BB18" i="6"/>
  <c r="BB17" i="6"/>
  <c r="BB16" i="6"/>
  <c r="BB15" i="6"/>
  <c r="BB14" i="6"/>
  <c r="BB13" i="6"/>
  <c r="BB12" i="6"/>
  <c r="BB11" i="6"/>
  <c r="BB10" i="6"/>
  <c r="BB9" i="6"/>
  <c r="AR108" i="5"/>
  <c r="AR107" i="5"/>
  <c r="AR106" i="5"/>
  <c r="AR105" i="5"/>
  <c r="AR104" i="5"/>
  <c r="AR103" i="5"/>
  <c r="AR102" i="5"/>
  <c r="AR101" i="5"/>
  <c r="AR100" i="5"/>
  <c r="AR99" i="5"/>
  <c r="AR98" i="5"/>
  <c r="AR97" i="5"/>
  <c r="AR96" i="5"/>
  <c r="AR95" i="5"/>
  <c r="AR94" i="5"/>
  <c r="AR93" i="5"/>
  <c r="AR92" i="5"/>
  <c r="AR91" i="5"/>
  <c r="AR90" i="5"/>
  <c r="AR89" i="5"/>
  <c r="AR88" i="5"/>
  <c r="AR87" i="5"/>
  <c r="AR86" i="5"/>
  <c r="AR85" i="5"/>
  <c r="AR84" i="5"/>
  <c r="AR83" i="5"/>
  <c r="AR82" i="5"/>
  <c r="AR81" i="5"/>
  <c r="AR80" i="5"/>
  <c r="AR79" i="5"/>
  <c r="AR78" i="5"/>
  <c r="AR77" i="5"/>
  <c r="AR76" i="5"/>
  <c r="AR75" i="5"/>
  <c r="AR74" i="5"/>
  <c r="AR73" i="5"/>
  <c r="AR72" i="5"/>
  <c r="AR71" i="5"/>
  <c r="AR70" i="5"/>
  <c r="AR69" i="5"/>
  <c r="AR68" i="5"/>
  <c r="AR67" i="5"/>
  <c r="AR66" i="5"/>
  <c r="AR65" i="5"/>
  <c r="AR64" i="5"/>
  <c r="AR63" i="5"/>
  <c r="AR62" i="5"/>
  <c r="AR61" i="5"/>
  <c r="AR60" i="5"/>
  <c r="AR59" i="5"/>
  <c r="AR58" i="5"/>
  <c r="AR57" i="5"/>
  <c r="AR56" i="5"/>
  <c r="AR55" i="5"/>
  <c r="AR54" i="5"/>
  <c r="AR53" i="5"/>
  <c r="AR52" i="5"/>
  <c r="AR51" i="5"/>
  <c r="AR50" i="5"/>
  <c r="AR49" i="5"/>
  <c r="AR48" i="5"/>
  <c r="AR47" i="5"/>
  <c r="AR46" i="5"/>
  <c r="AR45" i="5"/>
  <c r="AR44" i="5"/>
  <c r="AR43" i="5"/>
  <c r="AR42" i="5"/>
  <c r="AR41" i="5"/>
  <c r="AR40" i="5"/>
  <c r="AR39" i="5"/>
  <c r="AR38" i="5"/>
  <c r="AR37" i="5"/>
  <c r="AR36" i="5"/>
  <c r="AR35" i="5"/>
  <c r="AR34" i="5"/>
  <c r="AR33" i="5"/>
  <c r="AR32" i="5"/>
  <c r="AR31" i="5"/>
  <c r="AR30" i="5"/>
  <c r="AR29" i="5"/>
  <c r="AR28" i="5"/>
  <c r="AR27" i="5"/>
  <c r="AR26" i="5"/>
  <c r="AR25" i="5"/>
  <c r="AR24" i="5"/>
  <c r="AR23" i="5"/>
  <c r="AR22" i="5"/>
  <c r="AR21" i="5"/>
  <c r="AR20" i="5"/>
  <c r="AR19" i="5"/>
  <c r="AR18" i="5"/>
  <c r="AR17" i="5"/>
  <c r="AR16" i="5"/>
  <c r="AR15" i="5"/>
  <c r="AR14" i="5"/>
  <c r="AR13" i="5"/>
  <c r="AR12" i="5"/>
  <c r="AR11" i="5"/>
  <c r="AR10" i="5"/>
  <c r="AR9" i="5"/>
  <c r="AR8" i="5"/>
  <c r="AY7" i="6"/>
  <c r="E16" i="5"/>
  <c r="C11" i="6"/>
  <c r="AP6" i="6"/>
  <c r="AN6" i="6"/>
  <c r="C10" i="6"/>
  <c r="AM6" i="6"/>
  <c r="AK6" i="6"/>
  <c r="C12" i="6"/>
  <c r="C13" i="6"/>
  <c r="AH6" i="6"/>
  <c r="AF6" i="6"/>
  <c r="C14" i="5"/>
  <c r="AE5" i="5"/>
  <c r="AC5" i="5"/>
  <c r="E18" i="6"/>
  <c r="E16" i="6"/>
  <c r="Y7" i="6" s="1"/>
  <c r="AH7" i="6" s="1"/>
  <c r="C16" i="6"/>
  <c r="C17" i="6" s="1"/>
  <c r="E17" i="6" s="1"/>
  <c r="W7" i="6"/>
  <c r="AF7" i="6" s="1"/>
  <c r="AJ109" i="6"/>
  <c r="AI109" i="6"/>
  <c r="AJ108" i="6"/>
  <c r="AI108" i="6"/>
  <c r="AJ107" i="6"/>
  <c r="AI107" i="6"/>
  <c r="AJ106" i="6"/>
  <c r="AI106" i="6"/>
  <c r="AJ105" i="6"/>
  <c r="AI105" i="6"/>
  <c r="AJ104" i="6"/>
  <c r="AI104" i="6"/>
  <c r="AJ103" i="6"/>
  <c r="AI103" i="6"/>
  <c r="AJ102" i="6"/>
  <c r="AI102" i="6"/>
  <c r="AJ101" i="6"/>
  <c r="AI101" i="6"/>
  <c r="AJ100" i="6"/>
  <c r="AI100" i="6"/>
  <c r="AJ99" i="6"/>
  <c r="AI99" i="6"/>
  <c r="AJ98" i="6"/>
  <c r="AI98" i="6"/>
  <c r="AJ97" i="6"/>
  <c r="AI97" i="6"/>
  <c r="AJ96" i="6"/>
  <c r="AI96" i="6"/>
  <c r="AJ95" i="6"/>
  <c r="AI95" i="6"/>
  <c r="AJ94" i="6"/>
  <c r="AI94" i="6"/>
  <c r="AJ93" i="6"/>
  <c r="AI93" i="6"/>
  <c r="AJ92" i="6"/>
  <c r="AI92" i="6"/>
  <c r="AJ91" i="6"/>
  <c r="AI91" i="6"/>
  <c r="AJ90" i="6"/>
  <c r="AI90" i="6"/>
  <c r="AJ89" i="6"/>
  <c r="AI89" i="6"/>
  <c r="AJ88" i="6"/>
  <c r="AI88" i="6"/>
  <c r="AJ87" i="6"/>
  <c r="AI87" i="6"/>
  <c r="AJ86" i="6"/>
  <c r="AI86" i="6"/>
  <c r="AJ85" i="6"/>
  <c r="AI85" i="6"/>
  <c r="AJ84" i="6"/>
  <c r="AI84" i="6"/>
  <c r="AJ83" i="6"/>
  <c r="AI83" i="6"/>
  <c r="AJ82" i="6"/>
  <c r="AI82" i="6"/>
  <c r="AJ81" i="6"/>
  <c r="AI81" i="6"/>
  <c r="AJ80" i="6"/>
  <c r="AI80" i="6"/>
  <c r="AJ79" i="6"/>
  <c r="AI79" i="6"/>
  <c r="AJ78" i="6"/>
  <c r="AI78" i="6"/>
  <c r="AJ77" i="6"/>
  <c r="AI77" i="6"/>
  <c r="AJ76" i="6"/>
  <c r="AI76" i="6"/>
  <c r="AJ75" i="6"/>
  <c r="AI75" i="6"/>
  <c r="AJ74" i="6"/>
  <c r="AI74" i="6"/>
  <c r="AJ73" i="6"/>
  <c r="AI73" i="6"/>
  <c r="AJ72" i="6"/>
  <c r="AI72" i="6"/>
  <c r="AJ71" i="6"/>
  <c r="AI71" i="6"/>
  <c r="AJ70" i="6"/>
  <c r="AI70" i="6"/>
  <c r="AJ69" i="6"/>
  <c r="AI69" i="6"/>
  <c r="AJ68" i="6"/>
  <c r="AI68" i="6"/>
  <c r="AJ67" i="6"/>
  <c r="AI67" i="6"/>
  <c r="AJ66" i="6"/>
  <c r="AI66" i="6"/>
  <c r="AJ65" i="6"/>
  <c r="AI65" i="6"/>
  <c r="AJ64" i="6"/>
  <c r="AI64" i="6"/>
  <c r="AJ63" i="6"/>
  <c r="AI63" i="6"/>
  <c r="AJ62" i="6"/>
  <c r="AI62" i="6"/>
  <c r="AJ61" i="6"/>
  <c r="AI61" i="6"/>
  <c r="AJ60" i="6"/>
  <c r="AI60" i="6"/>
  <c r="AJ59" i="6"/>
  <c r="AI59" i="6"/>
  <c r="AJ58" i="6"/>
  <c r="AI58" i="6"/>
  <c r="AJ57" i="6"/>
  <c r="AI57" i="6"/>
  <c r="AJ56" i="6"/>
  <c r="AI56" i="6"/>
  <c r="AJ55" i="6"/>
  <c r="AI55" i="6"/>
  <c r="AJ54" i="6"/>
  <c r="AI54" i="6"/>
  <c r="AJ53" i="6"/>
  <c r="AI53" i="6"/>
  <c r="AJ52" i="6"/>
  <c r="AI52" i="6"/>
  <c r="AJ51" i="6"/>
  <c r="AI51" i="6"/>
  <c r="AJ50" i="6"/>
  <c r="AI50" i="6"/>
  <c r="AJ49" i="6"/>
  <c r="AI49" i="6"/>
  <c r="AJ48" i="6"/>
  <c r="AI48" i="6"/>
  <c r="AJ47" i="6"/>
  <c r="AI47" i="6"/>
  <c r="AJ46" i="6"/>
  <c r="AI46" i="6"/>
  <c r="AJ45" i="6"/>
  <c r="AI45" i="6"/>
  <c r="AJ44" i="6"/>
  <c r="AI44" i="6"/>
  <c r="AJ43" i="6"/>
  <c r="AI43" i="6"/>
  <c r="AJ42" i="6"/>
  <c r="AI42" i="6"/>
  <c r="AJ41" i="6"/>
  <c r="AI41" i="6"/>
  <c r="AJ40" i="6"/>
  <c r="AI40" i="6"/>
  <c r="AJ39" i="6"/>
  <c r="AI39" i="6"/>
  <c r="AJ38" i="6"/>
  <c r="AI38" i="6"/>
  <c r="AJ37" i="6"/>
  <c r="AI37" i="6"/>
  <c r="AJ36" i="6"/>
  <c r="AI36" i="6"/>
  <c r="AJ35" i="6"/>
  <c r="AI35" i="6"/>
  <c r="AJ34" i="6"/>
  <c r="AI34" i="6"/>
  <c r="AJ33" i="6"/>
  <c r="AI33" i="6"/>
  <c r="AJ32" i="6"/>
  <c r="AI32" i="6"/>
  <c r="AJ31" i="6"/>
  <c r="AI31" i="6"/>
  <c r="AJ30" i="6"/>
  <c r="AI30" i="6"/>
  <c r="AJ29" i="6"/>
  <c r="AI29" i="6"/>
  <c r="AJ28" i="6"/>
  <c r="AI28" i="6"/>
  <c r="AJ27" i="6"/>
  <c r="AI27" i="6"/>
  <c r="AJ26" i="6"/>
  <c r="AI26" i="6"/>
  <c r="AJ25" i="6"/>
  <c r="AI25" i="6"/>
  <c r="AJ24" i="6"/>
  <c r="AI24" i="6"/>
  <c r="AJ23" i="6"/>
  <c r="AI23" i="6"/>
  <c r="AJ22" i="6"/>
  <c r="AI22" i="6"/>
  <c r="AJ21" i="6"/>
  <c r="AI21" i="6"/>
  <c r="AJ20" i="6"/>
  <c r="AI20" i="6"/>
  <c r="AJ19" i="6"/>
  <c r="AI19" i="6"/>
  <c r="AJ18" i="6"/>
  <c r="AI18" i="6"/>
  <c r="AJ17" i="6"/>
  <c r="AI17" i="6"/>
  <c r="AJ16" i="6"/>
  <c r="AI16" i="6"/>
  <c r="AJ15" i="6"/>
  <c r="AI15" i="6"/>
  <c r="AJ14" i="6"/>
  <c r="AI14" i="6"/>
  <c r="C15" i="6"/>
  <c r="AJ13" i="6"/>
  <c r="AI13" i="6"/>
  <c r="Z13" i="6"/>
  <c r="AJ12" i="6"/>
  <c r="AI12" i="6"/>
  <c r="Z12" i="6"/>
  <c r="AJ11" i="6"/>
  <c r="AI11" i="6"/>
  <c r="Z11" i="6"/>
  <c r="AJ10" i="6"/>
  <c r="AI10" i="6"/>
  <c r="Z10" i="6"/>
  <c r="T10" i="6"/>
  <c r="T11" i="6" s="1"/>
  <c r="AJ9" i="6"/>
  <c r="AI9" i="6"/>
  <c r="X6" i="6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F108" i="5"/>
  <c r="AF107" i="5"/>
  <c r="AF106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X5" i="5"/>
  <c r="AD5" i="5" s="1"/>
  <c r="E7" i="5"/>
  <c r="Y6" i="5" s="1"/>
  <c r="AE6" i="5" s="1"/>
  <c r="C11" i="5"/>
  <c r="T9" i="5"/>
  <c r="AL6" i="6"/>
  <c r="AO6" i="6"/>
  <c r="AG6" i="6"/>
  <c r="Z9" i="6"/>
  <c r="BA8" i="6"/>
  <c r="AZ8" i="6"/>
  <c r="AY8" i="6"/>
  <c r="Z107" i="5"/>
  <c r="AQ7" i="5"/>
  <c r="Z10" i="5"/>
  <c r="Z13" i="5"/>
  <c r="Z16" i="5"/>
  <c r="Z19" i="5"/>
  <c r="Z22" i="5"/>
  <c r="Z25" i="5"/>
  <c r="Z28" i="5"/>
  <c r="Z31" i="5"/>
  <c r="Z34" i="5"/>
  <c r="Z37" i="5"/>
  <c r="Z40" i="5"/>
  <c r="Z43" i="5"/>
  <c r="Z46" i="5"/>
  <c r="Z49" i="5"/>
  <c r="Z52" i="5"/>
  <c r="Z55" i="5"/>
  <c r="Z58" i="5"/>
  <c r="Z61" i="5"/>
  <c r="Z64" i="5"/>
  <c r="Z67" i="5"/>
  <c r="Z70" i="5"/>
  <c r="Z73" i="5"/>
  <c r="Z76" i="5"/>
  <c r="Z79" i="5"/>
  <c r="Z82" i="5"/>
  <c r="Z85" i="5"/>
  <c r="Z88" i="5"/>
  <c r="Z91" i="5"/>
  <c r="Z94" i="5"/>
  <c r="Z97" i="5"/>
  <c r="Z100" i="5"/>
  <c r="Z103" i="5"/>
  <c r="Z106" i="5"/>
  <c r="T10" i="5"/>
  <c r="Z9" i="5"/>
  <c r="Z12" i="5"/>
  <c r="Z15" i="5"/>
  <c r="Z18" i="5"/>
  <c r="Z21" i="5"/>
  <c r="Z24" i="5"/>
  <c r="Z27" i="5"/>
  <c r="Z30" i="5"/>
  <c r="Z33" i="5"/>
  <c r="Z36" i="5"/>
  <c r="Z39" i="5"/>
  <c r="Z42" i="5"/>
  <c r="Z45" i="5"/>
  <c r="Z48" i="5"/>
  <c r="Z51" i="5"/>
  <c r="Z54" i="5"/>
  <c r="Z57" i="5"/>
  <c r="Z60" i="5"/>
  <c r="Z63" i="5"/>
  <c r="Z66" i="5"/>
  <c r="Z69" i="5"/>
  <c r="Z72" i="5"/>
  <c r="Z75" i="5"/>
  <c r="Z78" i="5"/>
  <c r="Z81" i="5"/>
  <c r="Z84" i="5"/>
  <c r="Z87" i="5"/>
  <c r="Z90" i="5"/>
  <c r="Z93" i="5"/>
  <c r="Z96" i="5"/>
  <c r="Z99" i="5"/>
  <c r="Z102" i="5"/>
  <c r="Z105" i="5"/>
  <c r="Z108" i="5"/>
  <c r="Z8" i="5"/>
  <c r="Z11" i="5"/>
  <c r="Z14" i="5"/>
  <c r="Z17" i="5"/>
  <c r="Z20" i="5"/>
  <c r="Z23" i="5"/>
  <c r="Z26" i="5"/>
  <c r="Z29" i="5"/>
  <c r="Z32" i="5"/>
  <c r="Z35" i="5"/>
  <c r="Z38" i="5"/>
  <c r="Z41" i="5"/>
  <c r="Z44" i="5"/>
  <c r="Z47" i="5"/>
  <c r="Z50" i="5"/>
  <c r="Z53" i="5"/>
  <c r="Z56" i="5"/>
  <c r="Z59" i="5"/>
  <c r="Z62" i="5"/>
  <c r="Z65" i="5"/>
  <c r="Z68" i="5"/>
  <c r="Z71" i="5"/>
  <c r="Z74" i="5"/>
  <c r="Z77" i="5"/>
  <c r="Z80" i="5"/>
  <c r="Z83" i="5"/>
  <c r="Z86" i="5"/>
  <c r="Z89" i="5"/>
  <c r="Z92" i="5"/>
  <c r="Z95" i="5"/>
  <c r="Z98" i="5"/>
  <c r="Z101" i="5"/>
  <c r="Z104" i="5"/>
  <c r="X7" i="6"/>
  <c r="AG7" i="6" s="1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26" i="6"/>
  <c r="Z25" i="6"/>
  <c r="Z14" i="6"/>
  <c r="Z15" i="6"/>
  <c r="Z16" i="6"/>
  <c r="Z17" i="6"/>
  <c r="Z18" i="6"/>
  <c r="Z19" i="6"/>
  <c r="Z20" i="6"/>
  <c r="Z21" i="6"/>
  <c r="Z22" i="6"/>
  <c r="Z23" i="6"/>
  <c r="Z24" i="6"/>
  <c r="R19" i="2"/>
  <c r="R18" i="2"/>
  <c r="P19" i="2"/>
  <c r="K19" i="2"/>
  <c r="P18" i="2"/>
  <c r="K18" i="2"/>
  <c r="D2" i="2"/>
  <c r="D1" i="2"/>
  <c r="D3" i="2" s="1"/>
  <c r="V6" i="1"/>
  <c r="X6" i="1" s="1"/>
  <c r="Y6" i="1" s="1"/>
  <c r="Z6" i="1" s="1"/>
  <c r="AB6" i="1" s="1"/>
  <c r="AD6" i="1" s="1"/>
  <c r="AF6" i="1" s="1"/>
  <c r="AH6" i="1" s="1"/>
  <c r="B9" i="1"/>
  <c r="B10" i="1" s="1"/>
  <c r="T8" i="1"/>
  <c r="C5" i="1"/>
  <c r="K6" i="1" s="1"/>
  <c r="J8" i="1"/>
  <c r="Q8" i="1" s="1"/>
  <c r="H19" i="1"/>
  <c r="D27" i="1" s="1"/>
  <c r="G19" i="1"/>
  <c r="D26" i="1"/>
  <c r="F19" i="1"/>
  <c r="D25" i="1" s="1"/>
  <c r="E19" i="1"/>
  <c r="D24" i="1" s="1"/>
  <c r="E24" i="1" s="1"/>
  <c r="D19" i="1"/>
  <c r="D23" i="1" s="1"/>
  <c r="C19" i="1"/>
  <c r="D22" i="1"/>
  <c r="H5" i="1"/>
  <c r="P6" i="1"/>
  <c r="AG6" i="1" s="1"/>
  <c r="G5" i="1"/>
  <c r="O6" i="1" s="1"/>
  <c r="AE6" i="1" s="1"/>
  <c r="F5" i="1"/>
  <c r="N6" i="1" s="1"/>
  <c r="AC6" i="1" s="1"/>
  <c r="E5" i="1"/>
  <c r="AA6" i="1" s="1"/>
  <c r="D5" i="1"/>
  <c r="L6" i="1" s="1"/>
  <c r="W6" i="1"/>
  <c r="AO7" i="5"/>
  <c r="AP7" i="5"/>
  <c r="T11" i="5"/>
  <c r="T12" i="5" s="1"/>
  <c r="T13" i="5" s="1"/>
  <c r="T14" i="5" s="1"/>
  <c r="T15" i="5" s="1"/>
  <c r="T16" i="5" s="1"/>
  <c r="T17" i="5" s="1"/>
  <c r="T18" i="5" s="1"/>
  <c r="T19" i="5" s="1"/>
  <c r="T20" i="5" s="1"/>
  <c r="T21" i="5" s="1"/>
  <c r="T22" i="5" s="1"/>
  <c r="T23" i="5" s="1"/>
  <c r="T24" i="5" s="1"/>
  <c r="T25" i="5" s="1"/>
  <c r="T26" i="5" s="1"/>
  <c r="T27" i="5" s="1"/>
  <c r="T28" i="5" s="1"/>
  <c r="T29" i="5" s="1"/>
  <c r="T30" i="5" s="1"/>
  <c r="T31" i="5" s="1"/>
  <c r="T32" i="5" s="1"/>
  <c r="T33" i="5" s="1"/>
  <c r="T34" i="5" s="1"/>
  <c r="T35" i="5" s="1"/>
  <c r="T36" i="5" s="1"/>
  <c r="B22" i="1"/>
  <c r="B23" i="1"/>
  <c r="C23" i="1" s="1"/>
  <c r="B24" i="1"/>
  <c r="C24" i="1" s="1"/>
  <c r="B26" i="1"/>
  <c r="C26" i="1" s="1"/>
  <c r="B27" i="1"/>
  <c r="C27" i="1" s="1"/>
  <c r="R17" i="2"/>
  <c r="N17" i="2"/>
  <c r="C22" i="1"/>
  <c r="E26" i="1"/>
  <c r="T37" i="5"/>
  <c r="T38" i="5" s="1"/>
  <c r="T39" i="5" s="1"/>
  <c r="T40" i="5" s="1"/>
  <c r="T41" i="5" s="1"/>
  <c r="T42" i="5" s="1"/>
  <c r="T43" i="5" s="1"/>
  <c r="T44" i="5" s="1"/>
  <c r="T45" i="5" s="1"/>
  <c r="T46" i="5" s="1"/>
  <c r="T47" i="5" s="1"/>
  <c r="T48" i="5" s="1"/>
  <c r="T49" i="5" s="1"/>
  <c r="T50" i="5" s="1"/>
  <c r="T51" i="5" s="1"/>
  <c r="T52" i="5" s="1"/>
  <c r="T53" i="5" s="1"/>
  <c r="T54" i="5" s="1"/>
  <c r="T55" i="5" s="1"/>
  <c r="T56" i="5" s="1"/>
  <c r="T57" i="5" s="1"/>
  <c r="T58" i="5" s="1"/>
  <c r="T59" i="5" s="1"/>
  <c r="T60" i="5" s="1"/>
  <c r="T61" i="5" s="1"/>
  <c r="T62" i="5" s="1"/>
  <c r="T63" i="5" s="1"/>
  <c r="T64" i="5" s="1"/>
  <c r="T65" i="5" s="1"/>
  <c r="T66" i="5" s="1"/>
  <c r="T67" i="5" s="1"/>
  <c r="T68" i="5" s="1"/>
  <c r="T69" i="5" s="1"/>
  <c r="T70" i="5" s="1"/>
  <c r="T71" i="5" s="1"/>
  <c r="T72" i="5" s="1"/>
  <c r="T73" i="5" s="1"/>
  <c r="T74" i="5" s="1"/>
  <c r="T75" i="5" s="1"/>
  <c r="T76" i="5" s="1"/>
  <c r="T77" i="5" s="1"/>
  <c r="T78" i="5" s="1"/>
  <c r="T79" i="5" s="1"/>
  <c r="T80" i="5" s="1"/>
  <c r="T81" i="5" s="1"/>
  <c r="T82" i="5" s="1"/>
  <c r="T83" i="5" s="1"/>
  <c r="T84" i="5" s="1"/>
  <c r="T85" i="5" s="1"/>
  <c r="T86" i="5" s="1"/>
  <c r="T87" i="5" s="1"/>
  <c r="T88" i="5" s="1"/>
  <c r="T89" i="5" s="1"/>
  <c r="T90" i="5" s="1"/>
  <c r="T91" i="5" s="1"/>
  <c r="T92" i="5" s="1"/>
  <c r="T93" i="5" s="1"/>
  <c r="T94" i="5" s="1"/>
  <c r="T95" i="5" s="1"/>
  <c r="T96" i="5" s="1"/>
  <c r="T97" i="5" s="1"/>
  <c r="T98" i="5" s="1"/>
  <c r="T99" i="5" s="1"/>
  <c r="T100" i="5" s="1"/>
  <c r="T101" i="5" s="1"/>
  <c r="T102" i="5" s="1"/>
  <c r="T103" i="5" s="1"/>
  <c r="T104" i="5" s="1"/>
  <c r="T105" i="5" s="1"/>
  <c r="T106" i="5" s="1"/>
  <c r="T107" i="5" s="1"/>
  <c r="T108" i="5" s="1"/>
  <c r="V9" i="5" s="1"/>
  <c r="AI108" i="5"/>
  <c r="V10" i="5"/>
  <c r="AN10" i="5" s="1"/>
  <c r="V108" i="5"/>
  <c r="V11" i="5"/>
  <c r="AI13" i="5"/>
  <c r="AJ13" i="5" s="1"/>
  <c r="V14" i="5"/>
  <c r="AI15" i="5"/>
  <c r="AK15" i="5" s="1"/>
  <c r="AI17" i="5"/>
  <c r="V18" i="5"/>
  <c r="AB18" i="5" s="1"/>
  <c r="AI19" i="5"/>
  <c r="AJ19" i="5" s="1"/>
  <c r="AI21" i="5"/>
  <c r="AJ21" i="5" s="1"/>
  <c r="V22" i="5"/>
  <c r="AI23" i="5"/>
  <c r="AI25" i="5"/>
  <c r="AK25" i="5" s="1"/>
  <c r="V26" i="5"/>
  <c r="AB26" i="5" s="1"/>
  <c r="AI27" i="5"/>
  <c r="AK27" i="5" s="1"/>
  <c r="AI29" i="5"/>
  <c r="V30" i="5"/>
  <c r="AB30" i="5" s="1"/>
  <c r="AI31" i="5"/>
  <c r="AJ31" i="5" s="1"/>
  <c r="AI33" i="5"/>
  <c r="AK33" i="5" s="1"/>
  <c r="V34" i="5"/>
  <c r="AI35" i="5"/>
  <c r="AI37" i="5"/>
  <c r="AJ37" i="5" s="1"/>
  <c r="V38" i="5"/>
  <c r="AI39" i="5"/>
  <c r="AJ39" i="5" s="1"/>
  <c r="AI41" i="5"/>
  <c r="V42" i="5"/>
  <c r="AB42" i="5" s="1"/>
  <c r="AI43" i="5"/>
  <c r="AK43" i="5" s="1"/>
  <c r="AI45" i="5"/>
  <c r="AK45" i="5" s="1"/>
  <c r="V46" i="5"/>
  <c r="AI47" i="5"/>
  <c r="AI49" i="5"/>
  <c r="AJ49" i="5" s="1"/>
  <c r="V50" i="5"/>
  <c r="AN50" i="5" s="1"/>
  <c r="AO50" i="5" s="1"/>
  <c r="AI51" i="5"/>
  <c r="AK51" i="5" s="1"/>
  <c r="AI53" i="5"/>
  <c r="V54" i="5"/>
  <c r="AI55" i="5"/>
  <c r="AJ55" i="5" s="1"/>
  <c r="AI57" i="5"/>
  <c r="AJ57" i="5" s="1"/>
  <c r="V58" i="5"/>
  <c r="AI59" i="5"/>
  <c r="AI61" i="5"/>
  <c r="AK61" i="5" s="1"/>
  <c r="V62" i="5"/>
  <c r="AB62" i="5" s="1"/>
  <c r="AI63" i="5"/>
  <c r="AK63" i="5" s="1"/>
  <c r="AI65" i="5"/>
  <c r="V66" i="5"/>
  <c r="Y66" i="5" s="1"/>
  <c r="AI67" i="5"/>
  <c r="AJ67" i="5" s="1"/>
  <c r="AI69" i="5"/>
  <c r="AK69" i="5" s="1"/>
  <c r="V70" i="5"/>
  <c r="AI71" i="5"/>
  <c r="AI73" i="5"/>
  <c r="AJ73" i="5" s="1"/>
  <c r="V74" i="5"/>
  <c r="AI75" i="5"/>
  <c r="AJ75" i="5" s="1"/>
  <c r="V76" i="5"/>
  <c r="Y76" i="5" s="1"/>
  <c r="AI77" i="5"/>
  <c r="V78" i="5"/>
  <c r="Y78" i="5" s="1"/>
  <c r="AI79" i="5"/>
  <c r="AK79" i="5" s="1"/>
  <c r="V80" i="5"/>
  <c r="AB80" i="5" s="1"/>
  <c r="AE80" i="5" s="1"/>
  <c r="AI81" i="5"/>
  <c r="AK81" i="5" s="1"/>
  <c r="V82" i="5"/>
  <c r="AI83" i="5"/>
  <c r="V84" i="5"/>
  <c r="AB84" i="5" s="1"/>
  <c r="AE84" i="5" s="1"/>
  <c r="AI85" i="5"/>
  <c r="AJ85" i="5" s="1"/>
  <c r="V86" i="5"/>
  <c r="AB86" i="5" s="1"/>
  <c r="AI87" i="5"/>
  <c r="AK87" i="5" s="1"/>
  <c r="V88" i="5"/>
  <c r="AI89" i="5"/>
  <c r="V90" i="5"/>
  <c r="AI91" i="5"/>
  <c r="AJ91" i="5" s="1"/>
  <c r="V92" i="5"/>
  <c r="AI93" i="5"/>
  <c r="AJ93" i="5" s="1"/>
  <c r="V94" i="5"/>
  <c r="AI95" i="5"/>
  <c r="V96" i="5"/>
  <c r="Y96" i="5" s="1"/>
  <c r="AI97" i="5"/>
  <c r="AK97" i="5" s="1"/>
  <c r="V98" i="5"/>
  <c r="AB98" i="5" s="1"/>
  <c r="AI99" i="5"/>
  <c r="AK99" i="5" s="1"/>
  <c r="V100" i="5"/>
  <c r="AI101" i="5"/>
  <c r="V102" i="5"/>
  <c r="Y102" i="5" s="1"/>
  <c r="AI103" i="5"/>
  <c r="AJ103" i="5" s="1"/>
  <c r="V104" i="5"/>
  <c r="AI105" i="5"/>
  <c r="AK105" i="5" s="1"/>
  <c r="V106" i="5"/>
  <c r="V107" i="5"/>
  <c r="AN107" i="5"/>
  <c r="AB107" i="5"/>
  <c r="AN46" i="5"/>
  <c r="AO46" i="5" s="1"/>
  <c r="AB108" i="5"/>
  <c r="AN108" i="5"/>
  <c r="AB102" i="5"/>
  <c r="AN102" i="5"/>
  <c r="AB90" i="5"/>
  <c r="AN90" i="5"/>
  <c r="AB78" i="5"/>
  <c r="AN78" i="5"/>
  <c r="AB66" i="5"/>
  <c r="AN66" i="5"/>
  <c r="AB54" i="5"/>
  <c r="AN54" i="5"/>
  <c r="AN42" i="5"/>
  <c r="AN30" i="5"/>
  <c r="AN18" i="5"/>
  <c r="AN104" i="5"/>
  <c r="AN98" i="5"/>
  <c r="AN92" i="5"/>
  <c r="AN86" i="5"/>
  <c r="AN80" i="5"/>
  <c r="AN74" i="5"/>
  <c r="AN62" i="5"/>
  <c r="AB50" i="5"/>
  <c r="AN38" i="5"/>
  <c r="AP38" i="5" s="1"/>
  <c r="AN26" i="5"/>
  <c r="AQ26" i="5" s="1"/>
  <c r="AN14" i="5"/>
  <c r="AP14" i="5" s="1"/>
  <c r="AB10" i="5"/>
  <c r="Y107" i="5"/>
  <c r="Y106" i="5"/>
  <c r="AL101" i="5"/>
  <c r="AL95" i="5"/>
  <c r="AL89" i="5"/>
  <c r="AL83" i="5"/>
  <c r="AL77" i="5"/>
  <c r="AL71" i="5"/>
  <c r="AL65" i="5"/>
  <c r="AL59" i="5"/>
  <c r="Y58" i="5"/>
  <c r="AL53" i="5"/>
  <c r="AL47" i="5"/>
  <c r="AL41" i="5"/>
  <c r="AL35" i="5"/>
  <c r="AL29" i="5"/>
  <c r="AL23" i="5"/>
  <c r="Y22" i="5"/>
  <c r="AL17" i="5"/>
  <c r="Y108" i="5"/>
  <c r="Y9" i="5"/>
  <c r="AL103" i="5"/>
  <c r="AK103" i="5"/>
  <c r="AL97" i="5"/>
  <c r="AJ97" i="5"/>
  <c r="AL91" i="5"/>
  <c r="AK91" i="5"/>
  <c r="Y90" i="5"/>
  <c r="AL85" i="5"/>
  <c r="AK85" i="5"/>
  <c r="AL79" i="5"/>
  <c r="AJ79" i="5"/>
  <c r="AL73" i="5"/>
  <c r="AK73" i="5"/>
  <c r="AL67" i="5"/>
  <c r="AK67" i="5"/>
  <c r="AL61" i="5"/>
  <c r="AJ61" i="5"/>
  <c r="AL55" i="5"/>
  <c r="AK55" i="5"/>
  <c r="Y54" i="5"/>
  <c r="AL49" i="5"/>
  <c r="AK49" i="5"/>
  <c r="AL43" i="5"/>
  <c r="AJ43" i="5"/>
  <c r="Y42" i="5"/>
  <c r="AL37" i="5"/>
  <c r="AK37" i="5"/>
  <c r="AL31" i="5"/>
  <c r="AK31" i="5"/>
  <c r="Y30" i="5"/>
  <c r="AL25" i="5"/>
  <c r="AJ25" i="5"/>
  <c r="AL19" i="5"/>
  <c r="AK19" i="5"/>
  <c r="Y18" i="5"/>
  <c r="AL13" i="5"/>
  <c r="AK13" i="5"/>
  <c r="AL108" i="5"/>
  <c r="AK108" i="5"/>
  <c r="AL105" i="5"/>
  <c r="AJ105" i="5"/>
  <c r="AL99" i="5"/>
  <c r="AJ99" i="5"/>
  <c r="Y98" i="5"/>
  <c r="AL93" i="5"/>
  <c r="AK93" i="5"/>
  <c r="AL87" i="5"/>
  <c r="AJ87" i="5"/>
  <c r="Y86" i="5"/>
  <c r="AL81" i="5"/>
  <c r="AJ81" i="5"/>
  <c r="Y80" i="5"/>
  <c r="AL75" i="5"/>
  <c r="AK75" i="5"/>
  <c r="AL69" i="5"/>
  <c r="AJ69" i="5"/>
  <c r="AL63" i="5"/>
  <c r="AJ63" i="5"/>
  <c r="Y62" i="5"/>
  <c r="AL57" i="5"/>
  <c r="AK57" i="5"/>
  <c r="AL51" i="5"/>
  <c r="AJ51" i="5"/>
  <c r="Y50" i="5"/>
  <c r="AL45" i="5"/>
  <c r="AJ45" i="5"/>
  <c r="AL39" i="5"/>
  <c r="AK39" i="5"/>
  <c r="AL33" i="5"/>
  <c r="AJ33" i="5"/>
  <c r="AL27" i="5"/>
  <c r="AJ27" i="5"/>
  <c r="Y26" i="5"/>
  <c r="AL21" i="5"/>
  <c r="AK21" i="5"/>
  <c r="AL15" i="5"/>
  <c r="AJ15" i="5"/>
  <c r="Y10" i="5"/>
  <c r="AQ10" i="5"/>
  <c r="AP10" i="5"/>
  <c r="AO10" i="5"/>
  <c r="AO38" i="5"/>
  <c r="AQ30" i="5"/>
  <c r="AO30" i="5"/>
  <c r="AP30" i="5"/>
  <c r="AQ18" i="5"/>
  <c r="AO18" i="5"/>
  <c r="AP18" i="5"/>
  <c r="AO14" i="5"/>
  <c r="AP42" i="5"/>
  <c r="AO42" i="5"/>
  <c r="AE26" i="5"/>
  <c r="AE50" i="5"/>
  <c r="AE86" i="5"/>
  <c r="AE30" i="5"/>
  <c r="AE66" i="5"/>
  <c r="AE102" i="5"/>
  <c r="AE107" i="5"/>
  <c r="AE10" i="5"/>
  <c r="AE18" i="5"/>
  <c r="AE54" i="5"/>
  <c r="AE90" i="5"/>
  <c r="AE108" i="5"/>
  <c r="AE62" i="5"/>
  <c r="AE98" i="5"/>
  <c r="AE42" i="5"/>
  <c r="AE78" i="5"/>
  <c r="T12" i="6" l="1"/>
  <c r="V72" i="5"/>
  <c r="Y72" i="5" s="1"/>
  <c r="V68" i="5"/>
  <c r="V64" i="5"/>
  <c r="V60" i="5"/>
  <c r="AB60" i="5" s="1"/>
  <c r="AE60" i="5" s="1"/>
  <c r="V56" i="5"/>
  <c r="AN56" i="5" s="1"/>
  <c r="V52" i="5"/>
  <c r="AN52" i="5" s="1"/>
  <c r="AO52" i="5" s="1"/>
  <c r="V48" i="5"/>
  <c r="AN48" i="5" s="1"/>
  <c r="AO48" i="5" s="1"/>
  <c r="V44" i="5"/>
  <c r="AB44" i="5" s="1"/>
  <c r="AE44" i="5" s="1"/>
  <c r="V40" i="5"/>
  <c r="V36" i="5"/>
  <c r="V32" i="5"/>
  <c r="AB32" i="5" s="1"/>
  <c r="AE32" i="5" s="1"/>
  <c r="V28" i="5"/>
  <c r="AN28" i="5" s="1"/>
  <c r="V24" i="5"/>
  <c r="V20" i="5"/>
  <c r="AB20" i="5" s="1"/>
  <c r="AE20" i="5" s="1"/>
  <c r="V16" i="5"/>
  <c r="V12" i="5"/>
  <c r="AN12" i="5" s="1"/>
  <c r="AI8" i="5"/>
  <c r="M6" i="1"/>
  <c r="K20" i="2"/>
  <c r="K21" i="2" s="1"/>
  <c r="M9" i="8"/>
  <c r="L9" i="8" s="1"/>
  <c r="G201" i="13"/>
  <c r="E22" i="1"/>
  <c r="E27" i="1"/>
  <c r="M8" i="8"/>
  <c r="L8" i="8" s="1"/>
  <c r="E23" i="1"/>
  <c r="CJ34" i="14"/>
  <c r="AS34" i="14"/>
  <c r="U34" i="14"/>
  <c r="BO34" i="14"/>
  <c r="AG34" i="14"/>
  <c r="AN40" i="5"/>
  <c r="Y40" i="5"/>
  <c r="AB40" i="5"/>
  <c r="AE40" i="5" s="1"/>
  <c r="AN16" i="5"/>
  <c r="AB16" i="5"/>
  <c r="AE16" i="5" s="1"/>
  <c r="AB104" i="5"/>
  <c r="AE104" i="5" s="1"/>
  <c r="Y104" i="5"/>
  <c r="AN88" i="5"/>
  <c r="Y88" i="5"/>
  <c r="AB88" i="5"/>
  <c r="AE88" i="5" s="1"/>
  <c r="AQ14" i="5"/>
  <c r="AO26" i="5"/>
  <c r="Y32" i="5"/>
  <c r="Y84" i="5"/>
  <c r="AB12" i="5"/>
  <c r="AE12" i="5" s="1"/>
  <c r="AN24" i="5"/>
  <c r="AN36" i="5"/>
  <c r="AB52" i="5"/>
  <c r="AE52" i="5" s="1"/>
  <c r="AK95" i="5"/>
  <c r="AJ95" i="5"/>
  <c r="AJ83" i="5"/>
  <c r="AK83" i="5"/>
  <c r="AK71" i="5"/>
  <c r="AJ71" i="5"/>
  <c r="AK59" i="5"/>
  <c r="AJ59" i="5"/>
  <c r="AJ47" i="5"/>
  <c r="AK47" i="5"/>
  <c r="AK35" i="5"/>
  <c r="AJ35" i="5"/>
  <c r="AK23" i="5"/>
  <c r="AJ23" i="5"/>
  <c r="AN11" i="5"/>
  <c r="AB11" i="5"/>
  <c r="AE11" i="5" s="1"/>
  <c r="Y11" i="5"/>
  <c r="AN100" i="5"/>
  <c r="Y100" i="5"/>
  <c r="AB100" i="5"/>
  <c r="AE100" i="5" s="1"/>
  <c r="AN64" i="5"/>
  <c r="Y64" i="5"/>
  <c r="AB64" i="5"/>
  <c r="AE64" i="5" s="1"/>
  <c r="AB56" i="5"/>
  <c r="AE56" i="5" s="1"/>
  <c r="Y56" i="5"/>
  <c r="AB28" i="5"/>
  <c r="AE28" i="5" s="1"/>
  <c r="AP26" i="5"/>
  <c r="Y20" i="5"/>
  <c r="Y16" i="5"/>
  <c r="Y52" i="5"/>
  <c r="AN20" i="5"/>
  <c r="AN32" i="5"/>
  <c r="AB48" i="5"/>
  <c r="AE48" i="5" s="1"/>
  <c r="AN72" i="5"/>
  <c r="AN84" i="5"/>
  <c r="AN96" i="5"/>
  <c r="AN106" i="5"/>
  <c r="AB106" i="5"/>
  <c r="AE106" i="5" s="1"/>
  <c r="AN94" i="5"/>
  <c r="Y94" i="5"/>
  <c r="AB94" i="5"/>
  <c r="AE94" i="5" s="1"/>
  <c r="AN82" i="5"/>
  <c r="Y82" i="5"/>
  <c r="AB82" i="5"/>
  <c r="AE82" i="5" s="1"/>
  <c r="AB74" i="5"/>
  <c r="AE74" i="5" s="1"/>
  <c r="Y74" i="5"/>
  <c r="AN70" i="5"/>
  <c r="Y70" i="5"/>
  <c r="AB70" i="5"/>
  <c r="AE70" i="5" s="1"/>
  <c r="AN58" i="5"/>
  <c r="AB58" i="5"/>
  <c r="AE58" i="5" s="1"/>
  <c r="AB46" i="5"/>
  <c r="AE46" i="5" s="1"/>
  <c r="Y46" i="5"/>
  <c r="AB38" i="5"/>
  <c r="AE38" i="5" s="1"/>
  <c r="Y38" i="5"/>
  <c r="AN34" i="5"/>
  <c r="Y34" i="5"/>
  <c r="AB34" i="5"/>
  <c r="AE34" i="5" s="1"/>
  <c r="AN22" i="5"/>
  <c r="AB22" i="5"/>
  <c r="AE22" i="5" s="1"/>
  <c r="AB14" i="5"/>
  <c r="AE14" i="5" s="1"/>
  <c r="Y14" i="5"/>
  <c r="AB92" i="5"/>
  <c r="AE92" i="5" s="1"/>
  <c r="Y92" i="5"/>
  <c r="AN76" i="5"/>
  <c r="AB76" i="5"/>
  <c r="AE76" i="5" s="1"/>
  <c r="Y44" i="5"/>
  <c r="Y68" i="5"/>
  <c r="Y48" i="5"/>
  <c r="AN44" i="5"/>
  <c r="AO44" i="5" s="1"/>
  <c r="AB72" i="5"/>
  <c r="AE72" i="5" s="1"/>
  <c r="AB96" i="5"/>
  <c r="AE96" i="5" s="1"/>
  <c r="AJ101" i="5"/>
  <c r="AK101" i="5"/>
  <c r="AK89" i="5"/>
  <c r="AJ89" i="5"/>
  <c r="AK77" i="5"/>
  <c r="AJ77" i="5"/>
  <c r="AJ65" i="5"/>
  <c r="AK65" i="5"/>
  <c r="AK53" i="5"/>
  <c r="AJ53" i="5"/>
  <c r="AK41" i="5"/>
  <c r="AJ41" i="5"/>
  <c r="AJ29" i="5"/>
  <c r="AK29" i="5"/>
  <c r="AK17" i="5"/>
  <c r="AJ17" i="5"/>
  <c r="AN9" i="5"/>
  <c r="AB9" i="5"/>
  <c r="AE9" i="5" s="1"/>
  <c r="AI107" i="5"/>
  <c r="V105" i="5"/>
  <c r="V103" i="5"/>
  <c r="V101" i="5"/>
  <c r="V99" i="5"/>
  <c r="V97" i="5"/>
  <c r="V95" i="5"/>
  <c r="V93" i="5"/>
  <c r="V91" i="5"/>
  <c r="V89" i="5"/>
  <c r="V87" i="5"/>
  <c r="V85" i="5"/>
  <c r="V83" i="5"/>
  <c r="V81" i="5"/>
  <c r="V79" i="5"/>
  <c r="V77" i="5"/>
  <c r="V75" i="5"/>
  <c r="V73" i="5"/>
  <c r="V71" i="5"/>
  <c r="V69" i="5"/>
  <c r="V67" i="5"/>
  <c r="V65" i="5"/>
  <c r="V63" i="5"/>
  <c r="V61" i="5"/>
  <c r="V59" i="5"/>
  <c r="V57" i="5"/>
  <c r="V55" i="5"/>
  <c r="V53" i="5"/>
  <c r="V51" i="5"/>
  <c r="V49" i="5"/>
  <c r="V47" i="5"/>
  <c r="V45" i="5"/>
  <c r="V43" i="5"/>
  <c r="V41" i="5"/>
  <c r="V39" i="5"/>
  <c r="V37" i="5"/>
  <c r="V35" i="5"/>
  <c r="V33" i="5"/>
  <c r="V31" i="5"/>
  <c r="V29" i="5"/>
  <c r="V27" i="5"/>
  <c r="V25" i="5"/>
  <c r="V23" i="5"/>
  <c r="V21" i="5"/>
  <c r="V19" i="5"/>
  <c r="V17" i="5"/>
  <c r="V15" i="5"/>
  <c r="V13" i="5"/>
  <c r="AI11" i="5"/>
  <c r="AI9" i="5"/>
  <c r="V8" i="5"/>
  <c r="AI106" i="5"/>
  <c r="AI104" i="5"/>
  <c r="AI102" i="5"/>
  <c r="AI100" i="5"/>
  <c r="AI98" i="5"/>
  <c r="AI96" i="5"/>
  <c r="AI94" i="5"/>
  <c r="AI92" i="5"/>
  <c r="AI90" i="5"/>
  <c r="AI88" i="5"/>
  <c r="AI86" i="5"/>
  <c r="AI84" i="5"/>
  <c r="AI82" i="5"/>
  <c r="AI80" i="5"/>
  <c r="AI78" i="5"/>
  <c r="AI76" i="5"/>
  <c r="AI74" i="5"/>
  <c r="AI72" i="5"/>
  <c r="AI70" i="5"/>
  <c r="AI68" i="5"/>
  <c r="AI66" i="5"/>
  <c r="AI64" i="5"/>
  <c r="AI62" i="5"/>
  <c r="AI60" i="5"/>
  <c r="AI58" i="5"/>
  <c r="AI56" i="5"/>
  <c r="AI54" i="5"/>
  <c r="AI52" i="5"/>
  <c r="AI50" i="5"/>
  <c r="AI48" i="5"/>
  <c r="AI46" i="5"/>
  <c r="AI44" i="5"/>
  <c r="AI42" i="5"/>
  <c r="AI40" i="5"/>
  <c r="AI38" i="5"/>
  <c r="AI36" i="5"/>
  <c r="AI34" i="5"/>
  <c r="AI32" i="5"/>
  <c r="AI30" i="5"/>
  <c r="AI28" i="5"/>
  <c r="AI26" i="5"/>
  <c r="AI24" i="5"/>
  <c r="AI22" i="5"/>
  <c r="AI20" i="5"/>
  <c r="AI18" i="5"/>
  <c r="AI16" i="5"/>
  <c r="AI14" i="5"/>
  <c r="AI12" i="5"/>
  <c r="AI10" i="5"/>
  <c r="K23" i="2"/>
  <c r="K24" i="2" s="1"/>
  <c r="K22" i="2"/>
  <c r="S16" i="2"/>
  <c r="M17" i="2"/>
  <c r="K16" i="2"/>
  <c r="P25" i="2"/>
  <c r="M16" i="2"/>
  <c r="R16" i="2"/>
  <c r="P16" i="2"/>
  <c r="K25" i="2"/>
  <c r="R25" i="2"/>
  <c r="S17" i="2"/>
  <c r="O17" i="2"/>
  <c r="K17" i="2"/>
  <c r="N16" i="2"/>
  <c r="P17" i="2"/>
  <c r="O16" i="2"/>
  <c r="B11" i="1"/>
  <c r="T10" i="1"/>
  <c r="J10" i="1"/>
  <c r="F12" i="8"/>
  <c r="M11" i="8"/>
  <c r="D28" i="1"/>
  <c r="B25" i="1"/>
  <c r="P20" i="2"/>
  <c r="P21" i="2" s="1"/>
  <c r="R20" i="2"/>
  <c r="R21" i="2" s="1"/>
  <c r="T9" i="1"/>
  <c r="X6" i="5"/>
  <c r="W6" i="5"/>
  <c r="J9" i="1"/>
  <c r="AR133" i="17"/>
  <c r="AY133" i="17" s="1"/>
  <c r="BE133" i="17" s="1"/>
  <c r="AR139" i="17"/>
  <c r="BE139" i="17" s="1"/>
  <c r="AR143" i="17"/>
  <c r="BE143" i="17" s="1"/>
  <c r="AR147" i="17"/>
  <c r="BE147" i="17" s="1"/>
  <c r="AQ34" i="14"/>
  <c r="S34" i="14"/>
  <c r="CH34" i="14"/>
  <c r="AE34" i="14"/>
  <c r="BM34" i="14"/>
  <c r="AR137" i="17"/>
  <c r="BE137" i="17" s="1"/>
  <c r="AP136" i="17"/>
  <c r="BC136" i="17" s="1"/>
  <c r="AQ147" i="17"/>
  <c r="BD147" i="17" s="1"/>
  <c r="G187" i="13"/>
  <c r="AP34" i="14"/>
  <c r="R34" i="14"/>
  <c r="AD34" i="14"/>
  <c r="CG34" i="14"/>
  <c r="BL34" i="14"/>
  <c r="AO133" i="17"/>
  <c r="AV133" i="17" s="1"/>
  <c r="AG65" i="15"/>
  <c r="AR65" i="15" s="1"/>
  <c r="M79" i="15"/>
  <c r="AI59" i="15"/>
  <c r="AT59" i="15" s="1"/>
  <c r="M38" i="15"/>
  <c r="G197" i="13"/>
  <c r="AH62" i="15"/>
  <c r="AS62" i="15" s="1"/>
  <c r="M58" i="15"/>
  <c r="G189" i="13"/>
  <c r="G34" i="13"/>
  <c r="G191" i="13"/>
  <c r="EK1" i="17"/>
  <c r="R20" i="19"/>
  <c r="O20" i="19"/>
  <c r="J37" i="18"/>
  <c r="K10" i="18"/>
  <c r="F60" i="18" s="1"/>
  <c r="H40" i="18"/>
  <c r="J40" i="18" s="1"/>
  <c r="K11" i="18" s="1"/>
  <c r="AO128" i="17"/>
  <c r="AN128" i="17"/>
  <c r="AM128" i="17"/>
  <c r="AL128" i="17"/>
  <c r="AT128" i="17" s="1"/>
  <c r="AD128" i="17" s="1"/>
  <c r="DY128" i="17"/>
  <c r="DX128" i="17"/>
  <c r="B37" i="18"/>
  <c r="F36" i="18"/>
  <c r="CI13" i="17"/>
  <c r="BV28" i="17"/>
  <c r="BV29" i="17" s="1"/>
  <c r="CR3" i="17"/>
  <c r="CQ3" i="17"/>
  <c r="CS3" i="17"/>
  <c r="AV128" i="17"/>
  <c r="AF128" i="17" s="1"/>
  <c r="P27" i="17" s="1"/>
  <c r="AO134" i="17"/>
  <c r="BB134" i="17" s="1"/>
  <c r="AR135" i="17"/>
  <c r="BE135" i="17" s="1"/>
  <c r="AQ137" i="17"/>
  <c r="BD137" i="17" s="1"/>
  <c r="AO141" i="17"/>
  <c r="BB141" i="17" s="1"/>
  <c r="AQ148" i="17"/>
  <c r="BD148" i="17" s="1"/>
  <c r="AO142" i="17"/>
  <c r="BB142" i="17" s="1"/>
  <c r="AO137" i="17"/>
  <c r="BB137" i="17" s="1"/>
  <c r="AR141" i="17"/>
  <c r="BE141" i="17" s="1"/>
  <c r="AP149" i="17"/>
  <c r="BC149" i="17" s="1"/>
  <c r="AP141" i="17"/>
  <c r="BC141" i="17" s="1"/>
  <c r="AQ149" i="17"/>
  <c r="BD149" i="17" s="1"/>
  <c r="AR146" i="17"/>
  <c r="BE146" i="17" s="1"/>
  <c r="AP150" i="17"/>
  <c r="BC150" i="17" s="1"/>
  <c r="BF150" i="17" s="1"/>
  <c r="U9" i="17"/>
  <c r="AC121" i="15"/>
  <c r="AN121" i="15" s="1"/>
  <c r="M195" i="15"/>
  <c r="M177" i="15"/>
  <c r="AI136" i="15"/>
  <c r="AT136" i="15" s="1"/>
  <c r="M101" i="15"/>
  <c r="AF67" i="15"/>
  <c r="AQ67" i="15" s="1"/>
  <c r="AE60" i="15"/>
  <c r="AP60" i="15" s="1"/>
  <c r="M89" i="15"/>
  <c r="M43" i="15"/>
  <c r="AD42" i="15"/>
  <c r="FA130" i="14"/>
  <c r="EP130" i="14"/>
  <c r="AC95" i="15"/>
  <c r="AN95" i="15" s="1"/>
  <c r="M161" i="15"/>
  <c r="M164" i="15"/>
  <c r="AA92" i="15"/>
  <c r="AJ92" i="15" s="1"/>
  <c r="M110" i="15"/>
  <c r="AF72" i="15"/>
  <c r="AQ72" i="15" s="1"/>
  <c r="M72" i="15"/>
  <c r="AD53" i="15"/>
  <c r="AO53" i="15" s="1"/>
  <c r="M70" i="15"/>
  <c r="AF57" i="15"/>
  <c r="AQ57" i="15" s="1"/>
  <c r="AO136" i="17"/>
  <c r="BB136" i="17" s="1"/>
  <c r="AP135" i="17"/>
  <c r="BC135" i="17" s="1"/>
  <c r="AR142" i="17"/>
  <c r="BE142" i="17" s="1"/>
  <c r="AO138" i="17"/>
  <c r="BB138" i="17" s="1"/>
  <c r="AR144" i="17"/>
  <c r="BE144" i="17" s="1"/>
  <c r="AR138" i="17"/>
  <c r="BE138" i="17" s="1"/>
  <c r="AP142" i="17"/>
  <c r="BC142" i="17" s="1"/>
  <c r="AO143" i="17"/>
  <c r="BB143" i="17" s="1"/>
  <c r="AO147" i="17"/>
  <c r="BB147" i="17" s="1"/>
  <c r="BF147" i="17" s="1"/>
  <c r="AO149" i="17"/>
  <c r="BB149" i="17" s="1"/>
  <c r="CK9" i="17"/>
  <c r="M147" i="15"/>
  <c r="AD90" i="15"/>
  <c r="AO90" i="15" s="1"/>
  <c r="M134" i="15"/>
  <c r="AC79" i="15"/>
  <c r="AN79" i="15" s="1"/>
  <c r="M125" i="15"/>
  <c r="AB72" i="15"/>
  <c r="AM72" i="15" s="1"/>
  <c r="M48" i="15"/>
  <c r="AH57" i="15"/>
  <c r="AS57" i="15" s="1"/>
  <c r="M123" i="15"/>
  <c r="AI98" i="15"/>
  <c r="AT98" i="15" s="1"/>
  <c r="M78" i="15"/>
  <c r="AH69" i="15"/>
  <c r="AS69" i="15" s="1"/>
  <c r="AF54" i="15"/>
  <c r="AQ54" i="15" s="1"/>
  <c r="M61" i="15"/>
  <c r="AD106" i="15"/>
  <c r="AO106" i="15" s="1"/>
  <c r="M173" i="15"/>
  <c r="AB88" i="15"/>
  <c r="AM88" i="15" s="1"/>
  <c r="M149" i="15"/>
  <c r="M136" i="15"/>
  <c r="AA77" i="15"/>
  <c r="AJ77" i="15" s="1"/>
  <c r="M68" i="15"/>
  <c r="B76" i="15"/>
  <c r="AR49" i="15"/>
  <c r="M59" i="15"/>
  <c r="AI70" i="15"/>
  <c r="AT70" i="15" s="1"/>
  <c r="AQ46" i="15"/>
  <c r="AJ38" i="15"/>
  <c r="AE98" i="15"/>
  <c r="AP98" i="15" s="1"/>
  <c r="M157" i="15"/>
  <c r="M114" i="15"/>
  <c r="AC68" i="15"/>
  <c r="AN68" i="15" s="1"/>
  <c r="M116" i="15"/>
  <c r="AA66" i="15"/>
  <c r="AJ66" i="15" s="1"/>
  <c r="AH65" i="15"/>
  <c r="AS65" i="15" s="1"/>
  <c r="M67" i="15"/>
  <c r="AA49" i="15"/>
  <c r="AJ49" i="15" s="1"/>
  <c r="M75" i="15"/>
  <c r="BH34" i="14"/>
  <c r="Z34" i="14"/>
  <c r="CC34" i="14"/>
  <c r="AL34" i="14"/>
  <c r="N34" i="14"/>
  <c r="G65" i="14"/>
  <c r="H65" i="14" s="1"/>
  <c r="AU128" i="17"/>
  <c r="AE128" i="17" s="1"/>
  <c r="AP137" i="17"/>
  <c r="BC137" i="17" s="1"/>
  <c r="AW128" i="17"/>
  <c r="AG128" i="17" s="1"/>
  <c r="AO135" i="17"/>
  <c r="BB135" i="17" s="1"/>
  <c r="AQ144" i="17"/>
  <c r="BD144" i="17" s="1"/>
  <c r="AQ140" i="17"/>
  <c r="BD140" i="17" s="1"/>
  <c r="AR148" i="17"/>
  <c r="BE148" i="17" s="1"/>
  <c r="AQ135" i="17"/>
  <c r="BD135" i="17" s="1"/>
  <c r="AO139" i="17"/>
  <c r="BB139" i="17" s="1"/>
  <c r="BF139" i="17" s="1"/>
  <c r="AO145" i="17"/>
  <c r="BB145" i="17" s="1"/>
  <c r="AP144" i="17"/>
  <c r="BC144" i="17" s="1"/>
  <c r="AP148" i="17"/>
  <c r="BC148" i="17" s="1"/>
  <c r="M103" i="15"/>
  <c r="AD65" i="15"/>
  <c r="AO65" i="15" s="1"/>
  <c r="AC59" i="15"/>
  <c r="AN59" i="15" s="1"/>
  <c r="M91" i="15"/>
  <c r="M84" i="15"/>
  <c r="AC57" i="15"/>
  <c r="AN57" i="15" s="1"/>
  <c r="AB56" i="15"/>
  <c r="AM56" i="15" s="1"/>
  <c r="M90" i="15"/>
  <c r="AD60" i="15"/>
  <c r="AO60" i="15" s="1"/>
  <c r="AI76" i="15"/>
  <c r="AT76" i="15" s="1"/>
  <c r="M83" i="15"/>
  <c r="AH54" i="15"/>
  <c r="M39" i="15"/>
  <c r="M122" i="15"/>
  <c r="AD74" i="15"/>
  <c r="AO74" i="15" s="1"/>
  <c r="M105" i="15"/>
  <c r="AB63" i="15"/>
  <c r="AM63" i="15" s="1"/>
  <c r="M93" i="15"/>
  <c r="AA56" i="15"/>
  <c r="AJ56" i="15" s="1"/>
  <c r="AD97" i="15"/>
  <c r="AO97" i="15" s="1"/>
  <c r="M159" i="15"/>
  <c r="M162" i="15"/>
  <c r="AB94" i="15"/>
  <c r="AM94" i="15" s="1"/>
  <c r="AI113" i="15"/>
  <c r="AT113" i="15" s="1"/>
  <c r="M144" i="15"/>
  <c r="M109" i="15"/>
  <c r="AG76" i="15"/>
  <c r="AR76" i="15" s="1"/>
  <c r="M112" i="15"/>
  <c r="AE69" i="15"/>
  <c r="AP69" i="15" s="1"/>
  <c r="M73" i="15"/>
  <c r="AC53" i="15"/>
  <c r="AN53" i="15" s="1"/>
  <c r="AE54" i="15"/>
  <c r="AP54" i="15" s="1"/>
  <c r="M71" i="15"/>
  <c r="FA131" i="14"/>
  <c r="EQ131" i="14"/>
  <c r="AR145" i="17"/>
  <c r="BE145" i="17" s="1"/>
  <c r="AP138" i="17"/>
  <c r="BC138" i="17" s="1"/>
  <c r="AQ134" i="17"/>
  <c r="BD134" i="17" s="1"/>
  <c r="AP140" i="17"/>
  <c r="BC140" i="17" s="1"/>
  <c r="AQ141" i="17"/>
  <c r="BD141" i="17" s="1"/>
  <c r="AR140" i="17"/>
  <c r="BE140" i="17" s="1"/>
  <c r="AO146" i="17"/>
  <c r="BB146" i="17" s="1"/>
  <c r="AO140" i="17"/>
  <c r="BB140" i="17" s="1"/>
  <c r="AO144" i="17"/>
  <c r="BB144" i="17" s="1"/>
  <c r="AO148" i="17"/>
  <c r="BB148" i="17" s="1"/>
  <c r="BF148" i="17" s="1"/>
  <c r="AQ145" i="17"/>
  <c r="BD145" i="17" s="1"/>
  <c r="CR1" i="17"/>
  <c r="M63" i="15"/>
  <c r="AD50" i="15"/>
  <c r="AO50" i="15" s="1"/>
  <c r="AC44" i="15"/>
  <c r="AN44" i="15" s="1"/>
  <c r="M53" i="15"/>
  <c r="P39" i="15"/>
  <c r="Q38" i="15"/>
  <c r="M128" i="15"/>
  <c r="AH92" i="15"/>
  <c r="AS92" i="15" s="1"/>
  <c r="M52" i="15"/>
  <c r="AD46" i="15"/>
  <c r="AO46" i="15" s="1"/>
  <c r="M143" i="15"/>
  <c r="AF94" i="15"/>
  <c r="AQ94" i="15" s="1"/>
  <c r="M132" i="15"/>
  <c r="AE82" i="15"/>
  <c r="AP82" i="15" s="1"/>
  <c r="M82" i="15"/>
  <c r="AD58" i="15"/>
  <c r="AO58" i="15" s="1"/>
  <c r="M65" i="15"/>
  <c r="AB48" i="15"/>
  <c r="M55" i="15"/>
  <c r="AA42" i="15"/>
  <c r="AJ42" i="15" s="1"/>
  <c r="AN40" i="15"/>
  <c r="M74" i="15"/>
  <c r="AB52" i="15"/>
  <c r="AM52" i="15" s="1"/>
  <c r="AP43" i="15"/>
  <c r="AH108" i="15"/>
  <c r="AS108" i="15" s="1"/>
  <c r="M150" i="15"/>
  <c r="M155" i="15"/>
  <c r="AF101" i="15"/>
  <c r="AQ101" i="15" s="1"/>
  <c r="M113" i="15"/>
  <c r="AD68" i="15"/>
  <c r="AO68" i="15" s="1"/>
  <c r="M115" i="15"/>
  <c r="AB67" i="15"/>
  <c r="AM67" i="15" s="1"/>
  <c r="M100" i="15"/>
  <c r="AI86" i="15"/>
  <c r="AT86" i="15" s="1"/>
  <c r="M69" i="15"/>
  <c r="AG60" i="15"/>
  <c r="AR60" i="15" s="1"/>
  <c r="CB34" i="14"/>
  <c r="BG34" i="14"/>
  <c r="AK34" i="14"/>
  <c r="Y34" i="14"/>
  <c r="M34" i="14"/>
  <c r="G55" i="14"/>
  <c r="H55" i="14" s="1"/>
  <c r="H33" i="14" s="1"/>
  <c r="F33" i="14" s="1"/>
  <c r="AA31" i="14" s="1"/>
  <c r="DF4" i="14"/>
  <c r="DG2" i="14"/>
  <c r="DF2" i="14"/>
  <c r="DG4" i="14"/>
  <c r="CS32" i="14"/>
  <c r="CX14" i="14"/>
  <c r="DH4" i="14"/>
  <c r="DH2" i="14"/>
  <c r="H72" i="13"/>
  <c r="G72" i="13"/>
  <c r="F72" i="13"/>
  <c r="I72" i="13"/>
  <c r="F213" i="13"/>
  <c r="F209" i="13"/>
  <c r="F205" i="13"/>
  <c r="I80" i="13"/>
  <c r="H80" i="13"/>
  <c r="G80" i="13"/>
  <c r="F80" i="13"/>
  <c r="EO134" i="14"/>
  <c r="G222" i="13"/>
  <c r="F222" i="13"/>
  <c r="I222" i="13"/>
  <c r="H222" i="13"/>
  <c r="G218" i="13"/>
  <c r="F218" i="13"/>
  <c r="I218" i="13"/>
  <c r="H218" i="13"/>
  <c r="G165" i="13"/>
  <c r="F165" i="13"/>
  <c r="I165" i="13"/>
  <c r="H165" i="13"/>
  <c r="G160" i="13"/>
  <c r="F160" i="13"/>
  <c r="I160" i="13"/>
  <c r="H160" i="13"/>
  <c r="G132" i="13"/>
  <c r="F132" i="13"/>
  <c r="I132" i="13"/>
  <c r="H132" i="13"/>
  <c r="G121" i="13"/>
  <c r="F121" i="13"/>
  <c r="H121" i="13"/>
  <c r="I121" i="13"/>
  <c r="G117" i="13"/>
  <c r="F117" i="13"/>
  <c r="H117" i="13"/>
  <c r="I117" i="13"/>
  <c r="G109" i="13"/>
  <c r="F109" i="13"/>
  <c r="I109" i="13"/>
  <c r="H109" i="13"/>
  <c r="G104" i="13"/>
  <c r="F104" i="13"/>
  <c r="I104" i="13"/>
  <c r="H104" i="13"/>
  <c r="G99" i="13"/>
  <c r="F99" i="13"/>
  <c r="I99" i="13"/>
  <c r="H99" i="13"/>
  <c r="G86" i="13"/>
  <c r="F86" i="13"/>
  <c r="I86" i="13"/>
  <c r="H86" i="13"/>
  <c r="I212" i="13"/>
  <c r="I208" i="13"/>
  <c r="I204" i="13"/>
  <c r="I200" i="13"/>
  <c r="I192" i="13"/>
  <c r="I188" i="13"/>
  <c r="I184" i="13"/>
  <c r="I180" i="13"/>
  <c r="I158" i="13"/>
  <c r="I154" i="13"/>
  <c r="I150" i="13"/>
  <c r="I146" i="13"/>
  <c r="F77" i="13"/>
  <c r="I77" i="13"/>
  <c r="H77" i="13"/>
  <c r="G77" i="13"/>
  <c r="F67" i="13"/>
  <c r="F63" i="13"/>
  <c r="F59" i="13"/>
  <c r="F55" i="13"/>
  <c r="F50" i="13"/>
  <c r="F46" i="13"/>
  <c r="F42" i="13"/>
  <c r="F38" i="13"/>
  <c r="J41" i="14"/>
  <c r="G229" i="13"/>
  <c r="F229" i="13"/>
  <c r="H229" i="13"/>
  <c r="I229" i="13"/>
  <c r="G175" i="13"/>
  <c r="F175" i="13"/>
  <c r="H175" i="13"/>
  <c r="I175" i="13"/>
  <c r="G171" i="13"/>
  <c r="F171" i="13"/>
  <c r="H171" i="13"/>
  <c r="I171" i="13"/>
  <c r="G137" i="13"/>
  <c r="F137" i="13"/>
  <c r="H137" i="13"/>
  <c r="I137" i="13"/>
  <c r="G129" i="13"/>
  <c r="F129" i="13"/>
  <c r="H129" i="13"/>
  <c r="I129" i="13"/>
  <c r="G123" i="13"/>
  <c r="F123" i="13"/>
  <c r="H123" i="13"/>
  <c r="I123" i="13"/>
  <c r="G110" i="13"/>
  <c r="F110" i="13"/>
  <c r="H110" i="13"/>
  <c r="I110" i="13"/>
  <c r="G95" i="13"/>
  <c r="F95" i="13"/>
  <c r="I95" i="13"/>
  <c r="H95" i="13"/>
  <c r="G91" i="13"/>
  <c r="F91" i="13"/>
  <c r="I91" i="13"/>
  <c r="H91" i="13"/>
  <c r="G200" i="13"/>
  <c r="F52" i="13"/>
  <c r="G182" i="13"/>
  <c r="EF4" i="14"/>
  <c r="EI4" i="14"/>
  <c r="G205" i="13"/>
  <c r="G213" i="13"/>
  <c r="G198" i="13"/>
  <c r="G150" i="13"/>
  <c r="G83" i="13"/>
  <c r="G204" i="13"/>
  <c r="G122" i="13"/>
  <c r="CI34" i="14"/>
  <c r="AR34" i="14"/>
  <c r="T34" i="14"/>
  <c r="BN34" i="14"/>
  <c r="AF34" i="14"/>
  <c r="H75" i="13"/>
  <c r="G75" i="13"/>
  <c r="I75" i="13"/>
  <c r="F75" i="13"/>
  <c r="H71" i="13"/>
  <c r="G71" i="13"/>
  <c r="F71" i="13"/>
  <c r="I71" i="13"/>
  <c r="F212" i="13"/>
  <c r="F208" i="13"/>
  <c r="F192" i="13"/>
  <c r="F188" i="13"/>
  <c r="F184" i="13"/>
  <c r="F180" i="13"/>
  <c r="F158" i="13"/>
  <c r="F154" i="13"/>
  <c r="F146" i="13"/>
  <c r="G69" i="13"/>
  <c r="G67" i="13"/>
  <c r="G65" i="13"/>
  <c r="G63" i="13"/>
  <c r="G61" i="13"/>
  <c r="G59" i="13"/>
  <c r="G57" i="13"/>
  <c r="G55" i="13"/>
  <c r="G53" i="13"/>
  <c r="G48" i="13"/>
  <c r="G44" i="13"/>
  <c r="G40" i="13"/>
  <c r="G36" i="13"/>
  <c r="G227" i="13"/>
  <c r="F227" i="13"/>
  <c r="I227" i="13"/>
  <c r="H227" i="13"/>
  <c r="G221" i="13"/>
  <c r="F221" i="13"/>
  <c r="I221" i="13"/>
  <c r="H221" i="13"/>
  <c r="G217" i="13"/>
  <c r="F217" i="13"/>
  <c r="I217" i="13"/>
  <c r="H217" i="13"/>
  <c r="G170" i="13"/>
  <c r="F170" i="13"/>
  <c r="I170" i="13"/>
  <c r="H170" i="13"/>
  <c r="G164" i="13"/>
  <c r="F164" i="13"/>
  <c r="I164" i="13"/>
  <c r="H164" i="13"/>
  <c r="G131" i="13"/>
  <c r="F131" i="13"/>
  <c r="I131" i="13"/>
  <c r="H131" i="13"/>
  <c r="G120" i="13"/>
  <c r="F120" i="13"/>
  <c r="H120" i="13"/>
  <c r="I120" i="13"/>
  <c r="G113" i="13"/>
  <c r="F113" i="13"/>
  <c r="I113" i="13"/>
  <c r="H113" i="13"/>
  <c r="G108" i="13"/>
  <c r="F108" i="13"/>
  <c r="I108" i="13"/>
  <c r="H108" i="13"/>
  <c r="G103" i="13"/>
  <c r="F103" i="13"/>
  <c r="I103" i="13"/>
  <c r="H103" i="13"/>
  <c r="G98" i="13"/>
  <c r="F98" i="13"/>
  <c r="I98" i="13"/>
  <c r="H98" i="13"/>
  <c r="G85" i="13"/>
  <c r="F85" i="13"/>
  <c r="I85" i="13"/>
  <c r="H85" i="13"/>
  <c r="I211" i="13"/>
  <c r="I207" i="13"/>
  <c r="I203" i="13"/>
  <c r="F66" i="13"/>
  <c r="F62" i="13"/>
  <c r="F58" i="13"/>
  <c r="F54" i="13"/>
  <c r="F49" i="13"/>
  <c r="I49" i="13"/>
  <c r="H49" i="13"/>
  <c r="G49" i="13"/>
  <c r="F45" i="13"/>
  <c r="I45" i="13"/>
  <c r="H45" i="13"/>
  <c r="G45" i="13"/>
  <c r="F41" i="13"/>
  <c r="I41" i="13"/>
  <c r="G41" i="13"/>
  <c r="H41" i="13"/>
  <c r="F37" i="13"/>
  <c r="I37" i="13"/>
  <c r="H37" i="13"/>
  <c r="G37" i="13"/>
  <c r="G225" i="13"/>
  <c r="F225" i="13"/>
  <c r="H225" i="13"/>
  <c r="I225" i="13"/>
  <c r="G174" i="13"/>
  <c r="F174" i="13"/>
  <c r="H174" i="13"/>
  <c r="I174" i="13"/>
  <c r="G169" i="13"/>
  <c r="F169" i="13"/>
  <c r="H169" i="13"/>
  <c r="I169" i="13"/>
  <c r="G140" i="13"/>
  <c r="F140" i="13"/>
  <c r="I140" i="13"/>
  <c r="H140" i="13"/>
  <c r="G136" i="13"/>
  <c r="F136" i="13"/>
  <c r="H136" i="13"/>
  <c r="I136" i="13"/>
  <c r="G128" i="13"/>
  <c r="F128" i="13"/>
  <c r="H128" i="13"/>
  <c r="I128" i="13"/>
  <c r="G116" i="13"/>
  <c r="F116" i="13"/>
  <c r="H116" i="13"/>
  <c r="I116" i="13"/>
  <c r="G101" i="13"/>
  <c r="F101" i="13"/>
  <c r="H101" i="13"/>
  <c r="I101" i="13"/>
  <c r="G94" i="13"/>
  <c r="F94" i="13"/>
  <c r="I94" i="13"/>
  <c r="H94" i="13"/>
  <c r="G90" i="13"/>
  <c r="F90" i="13"/>
  <c r="I90" i="13"/>
  <c r="H90" i="13"/>
  <c r="G194" i="13"/>
  <c r="G52" i="13"/>
  <c r="G202" i="13"/>
  <c r="G211" i="13"/>
  <c r="U22" i="13"/>
  <c r="U28" i="13"/>
  <c r="I122" i="13"/>
  <c r="H74" i="13"/>
  <c r="G74" i="13"/>
  <c r="F74" i="13"/>
  <c r="I74" i="13"/>
  <c r="H70" i="13"/>
  <c r="G70" i="13"/>
  <c r="I70" i="13"/>
  <c r="F70" i="13"/>
  <c r="F207" i="13"/>
  <c r="F203" i="13"/>
  <c r="I84" i="13"/>
  <c r="H84" i="13"/>
  <c r="G84" i="13"/>
  <c r="F84" i="13"/>
  <c r="I76" i="13"/>
  <c r="H76" i="13"/>
  <c r="G76" i="13"/>
  <c r="F76" i="13"/>
  <c r="G226" i="13"/>
  <c r="F226" i="13"/>
  <c r="I226" i="13"/>
  <c r="H226" i="13"/>
  <c r="G220" i="13"/>
  <c r="F220" i="13"/>
  <c r="I220" i="13"/>
  <c r="H220" i="13"/>
  <c r="G216" i="13"/>
  <c r="F216" i="13"/>
  <c r="I216" i="13"/>
  <c r="H216" i="13"/>
  <c r="G167" i="13"/>
  <c r="F167" i="13"/>
  <c r="I167" i="13"/>
  <c r="H167" i="13"/>
  <c r="G163" i="13"/>
  <c r="F163" i="13"/>
  <c r="I163" i="13"/>
  <c r="H163" i="13"/>
  <c r="G134" i="13"/>
  <c r="F134" i="13"/>
  <c r="I134" i="13"/>
  <c r="H134" i="13"/>
  <c r="G127" i="13"/>
  <c r="F127" i="13"/>
  <c r="I127" i="13"/>
  <c r="H127" i="13"/>
  <c r="G119" i="13"/>
  <c r="F119" i="13"/>
  <c r="H119" i="13"/>
  <c r="I119" i="13"/>
  <c r="G112" i="13"/>
  <c r="F112" i="13"/>
  <c r="I112" i="13"/>
  <c r="H112" i="13"/>
  <c r="G107" i="13"/>
  <c r="F107" i="13"/>
  <c r="I107" i="13"/>
  <c r="H107" i="13"/>
  <c r="G102" i="13"/>
  <c r="F102" i="13"/>
  <c r="I102" i="13"/>
  <c r="H102" i="13"/>
  <c r="G88" i="13"/>
  <c r="F88" i="13"/>
  <c r="I88" i="13"/>
  <c r="H88" i="13"/>
  <c r="G82" i="13"/>
  <c r="F82" i="13"/>
  <c r="I82" i="13"/>
  <c r="H82" i="13"/>
  <c r="I210" i="13"/>
  <c r="I206" i="13"/>
  <c r="I202" i="13"/>
  <c r="I198" i="13"/>
  <c r="I194" i="13"/>
  <c r="I190" i="13"/>
  <c r="I186" i="13"/>
  <c r="I182" i="13"/>
  <c r="I156" i="13"/>
  <c r="I152" i="13"/>
  <c r="I148" i="13"/>
  <c r="I144" i="13"/>
  <c r="F81" i="13"/>
  <c r="I81" i="13"/>
  <c r="G81" i="13"/>
  <c r="H81" i="13"/>
  <c r="F69" i="13"/>
  <c r="F65" i="13"/>
  <c r="F61" i="13"/>
  <c r="F57" i="13"/>
  <c r="F53" i="13"/>
  <c r="F48" i="13"/>
  <c r="F44" i="13"/>
  <c r="F40" i="13"/>
  <c r="F36" i="13"/>
  <c r="G231" i="13"/>
  <c r="F231" i="13"/>
  <c r="H231" i="13"/>
  <c r="I231" i="13"/>
  <c r="G224" i="13"/>
  <c r="F224" i="13"/>
  <c r="H224" i="13"/>
  <c r="I224" i="13"/>
  <c r="G173" i="13"/>
  <c r="F173" i="13"/>
  <c r="H173" i="13"/>
  <c r="I173" i="13"/>
  <c r="G168" i="13"/>
  <c r="F168" i="13"/>
  <c r="H168" i="13"/>
  <c r="I168" i="13"/>
  <c r="G139" i="13"/>
  <c r="F139" i="13"/>
  <c r="H139" i="13"/>
  <c r="I139" i="13"/>
  <c r="G135" i="13"/>
  <c r="F135" i="13"/>
  <c r="H135" i="13"/>
  <c r="I135" i="13"/>
  <c r="G125" i="13"/>
  <c r="F125" i="13"/>
  <c r="H125" i="13"/>
  <c r="I125" i="13"/>
  <c r="G115" i="13"/>
  <c r="F115" i="13"/>
  <c r="H115" i="13"/>
  <c r="I115" i="13"/>
  <c r="G97" i="13"/>
  <c r="F97" i="13"/>
  <c r="H97" i="13"/>
  <c r="I97" i="13"/>
  <c r="G93" i="13"/>
  <c r="F93" i="13"/>
  <c r="I93" i="13"/>
  <c r="H93" i="13"/>
  <c r="G89" i="13"/>
  <c r="F89" i="13"/>
  <c r="H89" i="13"/>
  <c r="I89" i="13"/>
  <c r="G206" i="13"/>
  <c r="G152" i="13"/>
  <c r="G209" i="13"/>
  <c r="I83" i="13"/>
  <c r="G190" i="13"/>
  <c r="H79" i="13"/>
  <c r="G79" i="13"/>
  <c r="I79" i="13"/>
  <c r="F79" i="13"/>
  <c r="H73" i="13"/>
  <c r="G73" i="13"/>
  <c r="I73" i="13"/>
  <c r="F73" i="13"/>
  <c r="F210" i="13"/>
  <c r="F186" i="13"/>
  <c r="F156" i="13"/>
  <c r="F148" i="13"/>
  <c r="F144" i="13"/>
  <c r="G68" i="13"/>
  <c r="G66" i="13"/>
  <c r="G64" i="13"/>
  <c r="G62" i="13"/>
  <c r="G60" i="13"/>
  <c r="G58" i="13"/>
  <c r="G56" i="13"/>
  <c r="G54" i="13"/>
  <c r="G50" i="13"/>
  <c r="G46" i="13"/>
  <c r="G42" i="13"/>
  <c r="G38" i="13"/>
  <c r="CZ10" i="14"/>
  <c r="G223" i="13"/>
  <c r="F223" i="13"/>
  <c r="I223" i="13"/>
  <c r="H223" i="13"/>
  <c r="G219" i="13"/>
  <c r="F219" i="13"/>
  <c r="I219" i="13"/>
  <c r="H219" i="13"/>
  <c r="G215" i="13"/>
  <c r="F215" i="13"/>
  <c r="I215" i="13"/>
  <c r="H215" i="13"/>
  <c r="G166" i="13"/>
  <c r="F166" i="13"/>
  <c r="I166" i="13"/>
  <c r="H166" i="13"/>
  <c r="G161" i="13"/>
  <c r="F161" i="13"/>
  <c r="I161" i="13"/>
  <c r="H161" i="13"/>
  <c r="G133" i="13"/>
  <c r="F133" i="13"/>
  <c r="I133" i="13"/>
  <c r="H133" i="13"/>
  <c r="G126" i="13"/>
  <c r="F126" i="13"/>
  <c r="I126" i="13"/>
  <c r="H126" i="13"/>
  <c r="G118" i="13"/>
  <c r="F118" i="13"/>
  <c r="H118" i="13"/>
  <c r="I118" i="13"/>
  <c r="G111" i="13"/>
  <c r="F111" i="13"/>
  <c r="I111" i="13"/>
  <c r="H111" i="13"/>
  <c r="G106" i="13"/>
  <c r="F106" i="13"/>
  <c r="I106" i="13"/>
  <c r="H106" i="13"/>
  <c r="G100" i="13"/>
  <c r="F100" i="13"/>
  <c r="I100" i="13"/>
  <c r="H100" i="13"/>
  <c r="G87" i="13"/>
  <c r="F87" i="13"/>
  <c r="I87" i="13"/>
  <c r="H87" i="13"/>
  <c r="F68" i="13"/>
  <c r="F64" i="13"/>
  <c r="F60" i="13"/>
  <c r="F56" i="13"/>
  <c r="F47" i="13"/>
  <c r="I47" i="13"/>
  <c r="H47" i="13"/>
  <c r="G47" i="13"/>
  <c r="F43" i="13"/>
  <c r="G43" i="13"/>
  <c r="I43" i="13"/>
  <c r="H43" i="13"/>
  <c r="F39" i="13"/>
  <c r="I39" i="13"/>
  <c r="G39" i="13"/>
  <c r="H39" i="13"/>
  <c r="F35" i="13"/>
  <c r="I35" i="13"/>
  <c r="H35" i="13"/>
  <c r="G35" i="13"/>
  <c r="G230" i="13"/>
  <c r="F230" i="13"/>
  <c r="H230" i="13"/>
  <c r="I230" i="13"/>
  <c r="G214" i="13"/>
  <c r="F214" i="13"/>
  <c r="H214" i="13"/>
  <c r="I214" i="13"/>
  <c r="G176" i="13"/>
  <c r="F176" i="13"/>
  <c r="I176" i="13"/>
  <c r="H176" i="13"/>
  <c r="G172" i="13"/>
  <c r="F172" i="13"/>
  <c r="H172" i="13"/>
  <c r="I172" i="13"/>
  <c r="G162" i="13"/>
  <c r="F162" i="13"/>
  <c r="H162" i="13"/>
  <c r="I162" i="13"/>
  <c r="G138" i="13"/>
  <c r="F138" i="13"/>
  <c r="H138" i="13"/>
  <c r="I138" i="13"/>
  <c r="G130" i="13"/>
  <c r="F130" i="13"/>
  <c r="H130" i="13"/>
  <c r="I130" i="13"/>
  <c r="G124" i="13"/>
  <c r="F124" i="13"/>
  <c r="H124" i="13"/>
  <c r="I124" i="13"/>
  <c r="G114" i="13"/>
  <c r="F114" i="13"/>
  <c r="H114" i="13"/>
  <c r="I114" i="13"/>
  <c r="G96" i="13"/>
  <c r="F96" i="13"/>
  <c r="I96" i="13"/>
  <c r="H96" i="13"/>
  <c r="G92" i="13"/>
  <c r="F92" i="13"/>
  <c r="I92" i="13"/>
  <c r="H92" i="13"/>
  <c r="G78" i="13"/>
  <c r="F78" i="13"/>
  <c r="H78" i="13"/>
  <c r="I78" i="13"/>
  <c r="AP12" i="5" l="1"/>
  <c r="AO12" i="5"/>
  <c r="Y28" i="5"/>
  <c r="T13" i="6"/>
  <c r="BF149" i="17"/>
  <c r="AZ133" i="17"/>
  <c r="AZ156" i="17" s="1"/>
  <c r="Y60" i="5"/>
  <c r="AQ12" i="5"/>
  <c r="AB36" i="5"/>
  <c r="AE36" i="5" s="1"/>
  <c r="Y36" i="5"/>
  <c r="AB68" i="5"/>
  <c r="AE68" i="5" s="1"/>
  <c r="AN68" i="5"/>
  <c r="AN60" i="5"/>
  <c r="Y12" i="5"/>
  <c r="AL8" i="5"/>
  <c r="AJ8" i="5"/>
  <c r="AB24" i="5"/>
  <c r="AE24" i="5" s="1"/>
  <c r="Y24" i="5"/>
  <c r="E25" i="1"/>
  <c r="E28" i="1" s="1"/>
  <c r="C25" i="1"/>
  <c r="C28" i="1" s="1"/>
  <c r="B28" i="1"/>
  <c r="AL26" i="5"/>
  <c r="AK26" i="5"/>
  <c r="AJ26" i="5"/>
  <c r="AK66" i="5"/>
  <c r="AL66" i="5"/>
  <c r="AJ66" i="5"/>
  <c r="AL98" i="5"/>
  <c r="AJ98" i="5"/>
  <c r="AK98" i="5"/>
  <c r="AN23" i="5"/>
  <c r="AB23" i="5"/>
  <c r="AE23" i="5" s="1"/>
  <c r="Y23" i="5"/>
  <c r="AB47" i="5"/>
  <c r="AE47" i="5" s="1"/>
  <c r="Y47" i="5"/>
  <c r="AN47" i="5"/>
  <c r="AO47" i="5" s="1"/>
  <c r="AB87" i="5"/>
  <c r="AE87" i="5" s="1"/>
  <c r="Y87" i="5"/>
  <c r="AN87" i="5"/>
  <c r="BF137" i="17"/>
  <c r="C34" i="1"/>
  <c r="B32" i="1"/>
  <c r="D30" i="1"/>
  <c r="AJ12" i="5"/>
  <c r="AK12" i="5"/>
  <c r="AL12" i="5"/>
  <c r="AL20" i="5"/>
  <c r="AJ20" i="5"/>
  <c r="AK20" i="5"/>
  <c r="AL28" i="5"/>
  <c r="AK28" i="5"/>
  <c r="AJ28" i="5"/>
  <c r="AK36" i="5"/>
  <c r="AJ36" i="5"/>
  <c r="AL36" i="5"/>
  <c r="AL44" i="5"/>
  <c r="AK44" i="5"/>
  <c r="AJ44" i="5"/>
  <c r="AL52" i="5"/>
  <c r="AJ52" i="5"/>
  <c r="AK52" i="5"/>
  <c r="AK60" i="5"/>
  <c r="AJ60" i="5"/>
  <c r="AL60" i="5"/>
  <c r="AL68" i="5"/>
  <c r="AK68" i="5"/>
  <c r="AJ68" i="5"/>
  <c r="AL76" i="5"/>
  <c r="AK76" i="5"/>
  <c r="AJ76" i="5"/>
  <c r="AJ84" i="5"/>
  <c r="AK84" i="5"/>
  <c r="AL84" i="5"/>
  <c r="AL92" i="5"/>
  <c r="AJ92" i="5"/>
  <c r="AK92" i="5"/>
  <c r="AL100" i="5"/>
  <c r="AK100" i="5"/>
  <c r="AJ100" i="5"/>
  <c r="AK9" i="5"/>
  <c r="AJ9" i="5"/>
  <c r="AL9" i="5"/>
  <c r="AN17" i="5"/>
  <c r="Y17" i="5"/>
  <c r="AB17" i="5"/>
  <c r="AE17" i="5" s="1"/>
  <c r="Y25" i="5"/>
  <c r="AN25" i="5"/>
  <c r="AB25" i="5"/>
  <c r="AE25" i="5" s="1"/>
  <c r="AN33" i="5"/>
  <c r="Y33" i="5"/>
  <c r="AB33" i="5"/>
  <c r="AE33" i="5" s="1"/>
  <c r="Y41" i="5"/>
  <c r="AN41" i="5"/>
  <c r="AB41" i="5"/>
  <c r="AE41" i="5" s="1"/>
  <c r="AB49" i="5"/>
  <c r="AE49" i="5" s="1"/>
  <c r="Y49" i="5"/>
  <c r="AN49" i="5"/>
  <c r="AO49" i="5" s="1"/>
  <c r="AB57" i="5"/>
  <c r="AE57" i="5" s="1"/>
  <c r="Y57" i="5"/>
  <c r="AN57" i="5"/>
  <c r="AN65" i="5"/>
  <c r="AB65" i="5"/>
  <c r="AE65" i="5" s="1"/>
  <c r="Y65" i="5"/>
  <c r="Y73" i="5"/>
  <c r="AB73" i="5"/>
  <c r="AE73" i="5" s="1"/>
  <c r="AN73" i="5"/>
  <c r="AB81" i="5"/>
  <c r="AE81" i="5" s="1"/>
  <c r="Y81" i="5"/>
  <c r="AN81" i="5"/>
  <c r="AN89" i="5"/>
  <c r="AB89" i="5"/>
  <c r="AE89" i="5" s="1"/>
  <c r="Y89" i="5"/>
  <c r="Y97" i="5"/>
  <c r="AB97" i="5"/>
  <c r="AE97" i="5" s="1"/>
  <c r="AN97" i="5"/>
  <c r="AB105" i="5"/>
  <c r="AE105" i="5" s="1"/>
  <c r="AN105" i="5"/>
  <c r="Y105" i="5"/>
  <c r="AP34" i="5"/>
  <c r="AO34" i="5"/>
  <c r="AQ34" i="5"/>
  <c r="H31" i="13"/>
  <c r="U25" i="13" s="1"/>
  <c r="AD6" i="5"/>
  <c r="X103" i="5"/>
  <c r="X85" i="5"/>
  <c r="X79" i="5"/>
  <c r="X49" i="5"/>
  <c r="X31" i="5"/>
  <c r="X25" i="5"/>
  <c r="X22" i="5"/>
  <c r="X19" i="5"/>
  <c r="X13" i="5"/>
  <c r="X108" i="5"/>
  <c r="X15" i="5"/>
  <c r="X101" i="5"/>
  <c r="X98" i="5"/>
  <c r="X86" i="5"/>
  <c r="X83" i="5"/>
  <c r="X80" i="5"/>
  <c r="X65" i="5"/>
  <c r="X62" i="5"/>
  <c r="X50" i="5"/>
  <c r="X47" i="5"/>
  <c r="X44" i="5"/>
  <c r="X32" i="5"/>
  <c r="X26" i="5"/>
  <c r="X17" i="5"/>
  <c r="X10" i="5"/>
  <c r="X107" i="5"/>
  <c r="X97" i="5"/>
  <c r="X91" i="5"/>
  <c r="X73" i="5"/>
  <c r="X67" i="5"/>
  <c r="X61" i="5"/>
  <c r="X55" i="5"/>
  <c r="X43" i="5"/>
  <c r="X37" i="5"/>
  <c r="X105" i="5"/>
  <c r="X99" i="5"/>
  <c r="X93" i="5"/>
  <c r="X81" i="5"/>
  <c r="X75" i="5"/>
  <c r="X69" i="5"/>
  <c r="X63" i="5"/>
  <c r="X60" i="5"/>
  <c r="X76" i="5"/>
  <c r="X52" i="5"/>
  <c r="X16" i="5"/>
  <c r="X90" i="5"/>
  <c r="X54" i="5"/>
  <c r="X51" i="5"/>
  <c r="X30" i="5"/>
  <c r="X27" i="5"/>
  <c r="X21" i="5"/>
  <c r="X53" i="5"/>
  <c r="X20" i="5"/>
  <c r="X82" i="5"/>
  <c r="X70" i="5"/>
  <c r="X87" i="5"/>
  <c r="X57" i="5"/>
  <c r="X100" i="5"/>
  <c r="X88" i="5"/>
  <c r="X64" i="5"/>
  <c r="X40" i="5"/>
  <c r="X28" i="5"/>
  <c r="X11" i="5"/>
  <c r="X9" i="5"/>
  <c r="X102" i="5"/>
  <c r="X78" i="5"/>
  <c r="X66" i="5"/>
  <c r="X48" i="5"/>
  <c r="X45" i="5"/>
  <c r="X24" i="5"/>
  <c r="X12" i="5"/>
  <c r="X95" i="5"/>
  <c r="X92" i="5"/>
  <c r="X71" i="5"/>
  <c r="X68" i="5"/>
  <c r="X41" i="5"/>
  <c r="X38" i="5"/>
  <c r="X23" i="5"/>
  <c r="X84" i="5"/>
  <c r="X72" i="5"/>
  <c r="X29" i="5"/>
  <c r="X106" i="5"/>
  <c r="X58" i="5"/>
  <c r="X42" i="5"/>
  <c r="X39" i="5"/>
  <c r="X36" i="5"/>
  <c r="X33" i="5"/>
  <c r="X18" i="5"/>
  <c r="X104" i="5"/>
  <c r="X89" i="5"/>
  <c r="X14" i="5"/>
  <c r="X46" i="5"/>
  <c r="X34" i="5"/>
  <c r="X59" i="5"/>
  <c r="X94" i="5"/>
  <c r="X8" i="5"/>
  <c r="X96" i="5"/>
  <c r="X77" i="5"/>
  <c r="X74" i="5"/>
  <c r="X56" i="5"/>
  <c r="X35" i="5"/>
  <c r="Q10" i="1"/>
  <c r="P31" i="2"/>
  <c r="P32" i="2" s="1"/>
  <c r="P28" i="2"/>
  <c r="P29" i="2" s="1"/>
  <c r="AJ18" i="5"/>
  <c r="AK18" i="5"/>
  <c r="AL18" i="5"/>
  <c r="AJ42" i="5"/>
  <c r="AL42" i="5"/>
  <c r="AK42" i="5"/>
  <c r="AL58" i="5"/>
  <c r="AK58" i="5"/>
  <c r="AJ58" i="5"/>
  <c r="AL82" i="5"/>
  <c r="AK82" i="5"/>
  <c r="AJ82" i="5"/>
  <c r="AN8" i="5"/>
  <c r="AB8" i="5"/>
  <c r="AE8" i="5" s="1"/>
  <c r="Y8" i="5"/>
  <c r="AN39" i="5"/>
  <c r="AB39" i="5"/>
  <c r="AE39" i="5" s="1"/>
  <c r="Y39" i="5"/>
  <c r="AB63" i="5"/>
  <c r="AE63" i="5" s="1"/>
  <c r="Y63" i="5"/>
  <c r="AN63" i="5"/>
  <c r="Y79" i="5"/>
  <c r="AN79" i="5"/>
  <c r="AB79" i="5"/>
  <c r="AE79" i="5" s="1"/>
  <c r="Y103" i="5"/>
  <c r="AN103" i="5"/>
  <c r="AB103" i="5"/>
  <c r="AE103" i="5" s="1"/>
  <c r="AQ24" i="5"/>
  <c r="AO24" i="5"/>
  <c r="AP24" i="5"/>
  <c r="I31" i="13"/>
  <c r="V29" i="13" s="1"/>
  <c r="BB133" i="17"/>
  <c r="BF133" i="17" s="1"/>
  <c r="Q9" i="1"/>
  <c r="R22" i="2"/>
  <c r="R23" i="2"/>
  <c r="R24" i="2" s="1"/>
  <c r="L11" i="8"/>
  <c r="T11" i="1"/>
  <c r="J11" i="1"/>
  <c r="B12" i="1"/>
  <c r="AL14" i="5"/>
  <c r="AK14" i="5"/>
  <c r="AJ14" i="5"/>
  <c r="AL22" i="5"/>
  <c r="AK22" i="5"/>
  <c r="AJ22" i="5"/>
  <c r="AL30" i="5"/>
  <c r="AJ30" i="5"/>
  <c r="AK30" i="5"/>
  <c r="AL38" i="5"/>
  <c r="AJ38" i="5"/>
  <c r="AK38" i="5"/>
  <c r="AL46" i="5"/>
  <c r="AK46" i="5"/>
  <c r="AJ46" i="5"/>
  <c r="AL54" i="5"/>
  <c r="AK54" i="5"/>
  <c r="AJ54" i="5"/>
  <c r="AL62" i="5"/>
  <c r="AK62" i="5"/>
  <c r="AJ62" i="5"/>
  <c r="AL70" i="5"/>
  <c r="AJ70" i="5"/>
  <c r="AK70" i="5"/>
  <c r="AL78" i="5"/>
  <c r="AK78" i="5"/>
  <c r="AJ78" i="5"/>
  <c r="AL86" i="5"/>
  <c r="AJ86" i="5"/>
  <c r="AK86" i="5"/>
  <c r="AL94" i="5"/>
  <c r="AK94" i="5"/>
  <c r="AJ94" i="5"/>
  <c r="AL102" i="5"/>
  <c r="AJ102" i="5"/>
  <c r="AK102" i="5"/>
  <c r="AL11" i="5"/>
  <c r="AK11" i="5"/>
  <c r="AJ11" i="5"/>
  <c r="AN19" i="5"/>
  <c r="Y19" i="5"/>
  <c r="AB19" i="5"/>
  <c r="AE19" i="5" s="1"/>
  <c r="AN27" i="5"/>
  <c r="Y27" i="5"/>
  <c r="AB27" i="5"/>
  <c r="AE27" i="5" s="1"/>
  <c r="AN35" i="5"/>
  <c r="AB35" i="5"/>
  <c r="AE35" i="5" s="1"/>
  <c r="Y35" i="5"/>
  <c r="AN43" i="5"/>
  <c r="AO43" i="5" s="1"/>
  <c r="Y43" i="5"/>
  <c r="AB43" i="5"/>
  <c r="AE43" i="5" s="1"/>
  <c r="AB51" i="5"/>
  <c r="AE51" i="5" s="1"/>
  <c r="AN51" i="5"/>
  <c r="AO51" i="5" s="1"/>
  <c r="Y51" i="5"/>
  <c r="Y59" i="5"/>
  <c r="AN59" i="5"/>
  <c r="AB59" i="5"/>
  <c r="AE59" i="5" s="1"/>
  <c r="AN67" i="5"/>
  <c r="AB67" i="5"/>
  <c r="AE67" i="5" s="1"/>
  <c r="Y67" i="5"/>
  <c r="AB75" i="5"/>
  <c r="AE75" i="5" s="1"/>
  <c r="AN75" i="5"/>
  <c r="Y75" i="5"/>
  <c r="AN83" i="5"/>
  <c r="Y83" i="5"/>
  <c r="AB83" i="5"/>
  <c r="AE83" i="5" s="1"/>
  <c r="AN91" i="5"/>
  <c r="AB91" i="5"/>
  <c r="AE91" i="5" s="1"/>
  <c r="Y91" i="5"/>
  <c r="AB99" i="5"/>
  <c r="AE99" i="5" s="1"/>
  <c r="AN99" i="5"/>
  <c r="Y99" i="5"/>
  <c r="AL107" i="5"/>
  <c r="AK107" i="5"/>
  <c r="AJ107" i="5"/>
  <c r="AP22" i="5"/>
  <c r="AQ22" i="5"/>
  <c r="AO22" i="5"/>
  <c r="AQ32" i="5"/>
  <c r="AO32" i="5"/>
  <c r="AP32" i="5"/>
  <c r="AP40" i="5"/>
  <c r="AO40" i="5"/>
  <c r="K31" i="2"/>
  <c r="K32" i="2" s="1"/>
  <c r="K28" i="2"/>
  <c r="K29" i="2" s="1"/>
  <c r="AL10" i="5"/>
  <c r="AK10" i="5"/>
  <c r="AJ10" i="5"/>
  <c r="AL34" i="5"/>
  <c r="AJ34" i="5"/>
  <c r="AK34" i="5"/>
  <c r="AL50" i="5"/>
  <c r="AJ50" i="5"/>
  <c r="AK50" i="5"/>
  <c r="AL74" i="5"/>
  <c r="AJ74" i="5"/>
  <c r="AK74" i="5"/>
  <c r="AJ90" i="5"/>
  <c r="AK90" i="5"/>
  <c r="AL90" i="5"/>
  <c r="AL106" i="5"/>
  <c r="AJ106" i="5"/>
  <c r="AK106" i="5"/>
  <c r="AB15" i="5"/>
  <c r="AE15" i="5" s="1"/>
  <c r="AN15" i="5"/>
  <c r="Y15" i="5"/>
  <c r="Y31" i="5"/>
  <c r="AB31" i="5"/>
  <c r="AE31" i="5" s="1"/>
  <c r="AN31" i="5"/>
  <c r="AN55" i="5"/>
  <c r="AB55" i="5"/>
  <c r="AE55" i="5" s="1"/>
  <c r="Y55" i="5"/>
  <c r="Y71" i="5"/>
  <c r="AN71" i="5"/>
  <c r="AB71" i="5"/>
  <c r="AE71" i="5" s="1"/>
  <c r="Y95" i="5"/>
  <c r="AN95" i="5"/>
  <c r="AB95" i="5"/>
  <c r="AE95" i="5" s="1"/>
  <c r="F31" i="13"/>
  <c r="V25" i="13" s="1"/>
  <c r="BF146" i="17"/>
  <c r="BF143" i="17"/>
  <c r="BF136" i="17"/>
  <c r="AC6" i="5"/>
  <c r="W107" i="5"/>
  <c r="W106" i="5"/>
  <c r="W97" i="5"/>
  <c r="W91" i="5"/>
  <c r="W76" i="5"/>
  <c r="W73" i="5"/>
  <c r="W67" i="5"/>
  <c r="W61" i="5"/>
  <c r="W58" i="5"/>
  <c r="W55" i="5"/>
  <c r="W52" i="5"/>
  <c r="W43" i="5"/>
  <c r="W37" i="5"/>
  <c r="W16" i="5"/>
  <c r="W11" i="5"/>
  <c r="W105" i="5"/>
  <c r="W99" i="5"/>
  <c r="W93" i="5"/>
  <c r="W75" i="5"/>
  <c r="W69" i="5"/>
  <c r="W51" i="5"/>
  <c r="W45" i="5"/>
  <c r="W39" i="5"/>
  <c r="W21" i="5"/>
  <c r="W89" i="5"/>
  <c r="W68" i="5"/>
  <c r="W53" i="5"/>
  <c r="W35" i="5"/>
  <c r="W29" i="5"/>
  <c r="W23" i="5"/>
  <c r="W20" i="5"/>
  <c r="W19" i="5"/>
  <c r="W9" i="5"/>
  <c r="W8" i="5"/>
  <c r="W90" i="5"/>
  <c r="W87" i="5"/>
  <c r="W84" i="5"/>
  <c r="W100" i="5"/>
  <c r="W88" i="5"/>
  <c r="W85" i="5"/>
  <c r="W64" i="5"/>
  <c r="W49" i="5"/>
  <c r="W40" i="5"/>
  <c r="W28" i="5"/>
  <c r="W25" i="5"/>
  <c r="W13" i="5"/>
  <c r="W102" i="5"/>
  <c r="W78" i="5"/>
  <c r="W66" i="5"/>
  <c r="W24" i="5"/>
  <c r="W95" i="5"/>
  <c r="W92" i="5"/>
  <c r="W77" i="5"/>
  <c r="W74" i="5"/>
  <c r="W71" i="5"/>
  <c r="W47" i="5"/>
  <c r="W10" i="5"/>
  <c r="W63" i="5"/>
  <c r="W48" i="5"/>
  <c r="W30" i="5"/>
  <c r="W81" i="5"/>
  <c r="W42" i="5"/>
  <c r="W36" i="5"/>
  <c r="W18" i="5"/>
  <c r="W86" i="5"/>
  <c r="W65" i="5"/>
  <c r="W62" i="5"/>
  <c r="W44" i="5"/>
  <c r="W14" i="5"/>
  <c r="W60" i="5"/>
  <c r="W12" i="5"/>
  <c r="W104" i="5"/>
  <c r="W98" i="5"/>
  <c r="W103" i="5"/>
  <c r="W94" i="5"/>
  <c r="W82" i="5"/>
  <c r="W79" i="5"/>
  <c r="W70" i="5"/>
  <c r="W46" i="5"/>
  <c r="W34" i="5"/>
  <c r="W31" i="5"/>
  <c r="W108" i="5"/>
  <c r="W96" i="5"/>
  <c r="W72" i="5"/>
  <c r="W57" i="5"/>
  <c r="W54" i="5"/>
  <c r="W15" i="5"/>
  <c r="W83" i="5"/>
  <c r="W80" i="5"/>
  <c r="W59" i="5"/>
  <c r="W56" i="5"/>
  <c r="W41" i="5"/>
  <c r="W38" i="5"/>
  <c r="W17" i="5"/>
  <c r="W22" i="5"/>
  <c r="W33" i="5"/>
  <c r="W27" i="5"/>
  <c r="W26" i="5"/>
  <c r="W101" i="5"/>
  <c r="W50" i="5"/>
  <c r="W32" i="5"/>
  <c r="P22" i="2"/>
  <c r="P23" i="2"/>
  <c r="P24" i="2" s="1"/>
  <c r="F13" i="8"/>
  <c r="M12" i="8"/>
  <c r="R31" i="2"/>
  <c r="R32" i="2" s="1"/>
  <c r="R28" i="2"/>
  <c r="R29" i="2" s="1"/>
  <c r="AL16" i="5"/>
  <c r="AK16" i="5"/>
  <c r="AJ16" i="5"/>
  <c r="AL24" i="5"/>
  <c r="AK24" i="5"/>
  <c r="AJ24" i="5"/>
  <c r="AL32" i="5"/>
  <c r="AK32" i="5"/>
  <c r="AJ32" i="5"/>
  <c r="AL40" i="5"/>
  <c r="AJ40" i="5"/>
  <c r="AK40" i="5"/>
  <c r="AL48" i="5"/>
  <c r="AK48" i="5"/>
  <c r="AJ48" i="5"/>
  <c r="AL56" i="5"/>
  <c r="AJ56" i="5"/>
  <c r="AK56" i="5"/>
  <c r="AL64" i="5"/>
  <c r="AK64" i="5"/>
  <c r="AJ64" i="5"/>
  <c r="AJ72" i="5"/>
  <c r="AL72" i="5"/>
  <c r="AK72" i="5"/>
  <c r="AL80" i="5"/>
  <c r="AK80" i="5"/>
  <c r="AJ80" i="5"/>
  <c r="AL88" i="5"/>
  <c r="AJ88" i="5"/>
  <c r="AK88" i="5"/>
  <c r="AJ96" i="5"/>
  <c r="AL96" i="5"/>
  <c r="AK96" i="5"/>
  <c r="AL104" i="5"/>
  <c r="AK104" i="5"/>
  <c r="AJ104" i="5"/>
  <c r="Y13" i="5"/>
  <c r="AN13" i="5"/>
  <c r="AB13" i="5"/>
  <c r="AE13" i="5" s="1"/>
  <c r="AB21" i="5"/>
  <c r="AE21" i="5" s="1"/>
  <c r="AN21" i="5"/>
  <c r="Y21" i="5"/>
  <c r="AN29" i="5"/>
  <c r="Y29" i="5"/>
  <c r="AB29" i="5"/>
  <c r="AE29" i="5" s="1"/>
  <c r="AN37" i="5"/>
  <c r="Y37" i="5"/>
  <c r="AB37" i="5"/>
  <c r="AE37" i="5" s="1"/>
  <c r="Y45" i="5"/>
  <c r="AN45" i="5"/>
  <c r="AO45" i="5" s="1"/>
  <c r="AB45" i="5"/>
  <c r="AE45" i="5" s="1"/>
  <c r="AN53" i="5"/>
  <c r="AO53" i="5" s="1"/>
  <c r="Y53" i="5"/>
  <c r="AB53" i="5"/>
  <c r="AE53" i="5" s="1"/>
  <c r="Y61" i="5"/>
  <c r="AB61" i="5"/>
  <c r="AE61" i="5" s="1"/>
  <c r="AN61" i="5"/>
  <c r="AB69" i="5"/>
  <c r="AE69" i="5" s="1"/>
  <c r="AN69" i="5"/>
  <c r="Y69" i="5"/>
  <c r="Y77" i="5"/>
  <c r="AN77" i="5"/>
  <c r="AB77" i="5"/>
  <c r="AE77" i="5" s="1"/>
  <c r="Y85" i="5"/>
  <c r="AN85" i="5"/>
  <c r="AB85" i="5"/>
  <c r="AE85" i="5" s="1"/>
  <c r="AB93" i="5"/>
  <c r="AE93" i="5" s="1"/>
  <c r="AN93" i="5"/>
  <c r="Y93" i="5"/>
  <c r="AN101" i="5"/>
  <c r="AB101" i="5"/>
  <c r="AE101" i="5" s="1"/>
  <c r="Y101" i="5"/>
  <c r="AQ9" i="5"/>
  <c r="AO9" i="5"/>
  <c r="AP9" i="5"/>
  <c r="AQ20" i="5"/>
  <c r="AP20" i="5"/>
  <c r="AO20" i="5"/>
  <c r="AO28" i="5"/>
  <c r="AP28" i="5"/>
  <c r="AQ28" i="5"/>
  <c r="AQ11" i="5"/>
  <c r="AP11" i="5"/>
  <c r="AO11" i="5"/>
  <c r="AP36" i="5"/>
  <c r="AO36" i="5"/>
  <c r="AQ16" i="5"/>
  <c r="AO16" i="5"/>
  <c r="AP16" i="5"/>
  <c r="U29" i="13"/>
  <c r="V22" i="13"/>
  <c r="V28" i="13"/>
  <c r="CZ11" i="14"/>
  <c r="AC32" i="15"/>
  <c r="Y38" i="15"/>
  <c r="BB38" i="15" s="1"/>
  <c r="U38" i="15"/>
  <c r="AX38" i="15" s="1"/>
  <c r="X38" i="15"/>
  <c r="BA38" i="15" s="1"/>
  <c r="T38" i="15"/>
  <c r="AW38" i="15" s="1"/>
  <c r="W38" i="15"/>
  <c r="AZ38" i="15" s="1"/>
  <c r="S38" i="15"/>
  <c r="AV38" i="15" s="1"/>
  <c r="V38" i="15"/>
  <c r="AY38" i="15" s="1"/>
  <c r="R38" i="15"/>
  <c r="AL38" i="15"/>
  <c r="Z38" i="15"/>
  <c r="BC38" i="15" s="1"/>
  <c r="AS54" i="15"/>
  <c r="BF135" i="17"/>
  <c r="U10" i="17"/>
  <c r="BF141" i="17"/>
  <c r="F37" i="18"/>
  <c r="B38" i="18"/>
  <c r="D38" i="18" s="1"/>
  <c r="F33" i="18"/>
  <c r="O7" i="18"/>
  <c r="B72" i="18"/>
  <c r="F72" i="18" s="1"/>
  <c r="O5" i="18"/>
  <c r="K26" i="18"/>
  <c r="L26" i="18" s="1"/>
  <c r="F32" i="18"/>
  <c r="K27" i="18"/>
  <c r="L27" i="18" s="1"/>
  <c r="F35" i="18"/>
  <c r="F34" i="18"/>
  <c r="J42" i="14"/>
  <c r="Q39" i="15"/>
  <c r="P40" i="15"/>
  <c r="AU38" i="15"/>
  <c r="AF32" i="15"/>
  <c r="CK10" i="17"/>
  <c r="BF138" i="17"/>
  <c r="EJ1" i="17"/>
  <c r="FQ2" i="14"/>
  <c r="EX2" i="14"/>
  <c r="BF144" i="17"/>
  <c r="EQ134" i="14"/>
  <c r="BF145" i="17"/>
  <c r="EP134" i="14"/>
  <c r="AO42" i="15"/>
  <c r="BF142" i="17"/>
  <c r="EK128" i="17"/>
  <c r="EC128" i="17" s="1"/>
  <c r="G31" i="13"/>
  <c r="AM48" i="15"/>
  <c r="BF140" i="17"/>
  <c r="B86" i="15"/>
  <c r="M76" i="15"/>
  <c r="BF134" i="17"/>
  <c r="EI1" i="17"/>
  <c r="C60" i="18"/>
  <c r="D35" i="18"/>
  <c r="D36" i="18"/>
  <c r="C35" i="18"/>
  <c r="D60" i="18"/>
  <c r="C37" i="18"/>
  <c r="D37" i="18"/>
  <c r="D34" i="18"/>
  <c r="C33" i="18"/>
  <c r="C34" i="18"/>
  <c r="K13" i="18"/>
  <c r="K16" i="18" s="1"/>
  <c r="C36" i="18"/>
  <c r="D33" i="18"/>
  <c r="T14" i="6" l="1"/>
  <c r="X28" i="13"/>
  <c r="AP37" i="5"/>
  <c r="AO37" i="5"/>
  <c r="AO13" i="5"/>
  <c r="AP13" i="5"/>
  <c r="AQ13" i="5"/>
  <c r="AP35" i="5"/>
  <c r="AO35" i="5"/>
  <c r="AQ35" i="5"/>
  <c r="Q11" i="1"/>
  <c r="B33" i="1"/>
  <c r="B29" i="1"/>
  <c r="AQ31" i="5"/>
  <c r="AP31" i="5"/>
  <c r="AO31" i="5"/>
  <c r="C31" i="1"/>
  <c r="C29" i="1"/>
  <c r="B30" i="1"/>
  <c r="B34" i="1"/>
  <c r="BF156" i="17"/>
  <c r="BA157" i="17" s="1"/>
  <c r="Q33" i="17" s="1"/>
  <c r="W23" i="13"/>
  <c r="AC8" i="5"/>
  <c r="AC14" i="5"/>
  <c r="AC32" i="5"/>
  <c r="AC50" i="5"/>
  <c r="AC59" i="5"/>
  <c r="AC86" i="5"/>
  <c r="AC21" i="5"/>
  <c r="AC57" i="5"/>
  <c r="AC75" i="5"/>
  <c r="AC93" i="5"/>
  <c r="AC19" i="5"/>
  <c r="AC55" i="5"/>
  <c r="AC91" i="5"/>
  <c r="AC20" i="5"/>
  <c r="AC56" i="5"/>
  <c r="AC92" i="5"/>
  <c r="AC36" i="5"/>
  <c r="AC72" i="5"/>
  <c r="AC25" i="5"/>
  <c r="AC61" i="5"/>
  <c r="AC97" i="5"/>
  <c r="AC53" i="5"/>
  <c r="AC89" i="5"/>
  <c r="AC33" i="5"/>
  <c r="AC69" i="5"/>
  <c r="AC105" i="5"/>
  <c r="AC22" i="5"/>
  <c r="AC40" i="5"/>
  <c r="AC49" i="5"/>
  <c r="AC31" i="5"/>
  <c r="AC23" i="5"/>
  <c r="AC102" i="5"/>
  <c r="AC28" i="5"/>
  <c r="AC29" i="5"/>
  <c r="AC65" i="5"/>
  <c r="AC106" i="5"/>
  <c r="AC26" i="5"/>
  <c r="AC41" i="5"/>
  <c r="AC77" i="5"/>
  <c r="AC12" i="5"/>
  <c r="AC48" i="5"/>
  <c r="AC84" i="5"/>
  <c r="AC11" i="5"/>
  <c r="AC46" i="5"/>
  <c r="AC64" i="5"/>
  <c r="AC82" i="5"/>
  <c r="AC10" i="5"/>
  <c r="AC47" i="5"/>
  <c r="AC83" i="5"/>
  <c r="AC101" i="5"/>
  <c r="AC27" i="5"/>
  <c r="AC63" i="5"/>
  <c r="AC99" i="5"/>
  <c r="AC16" i="5"/>
  <c r="AC52" i="5"/>
  <c r="AC88" i="5"/>
  <c r="AC44" i="5"/>
  <c r="AC80" i="5"/>
  <c r="AC24" i="5"/>
  <c r="AC60" i="5"/>
  <c r="AC78" i="5"/>
  <c r="AC96" i="5"/>
  <c r="AC67" i="5"/>
  <c r="AC76" i="5"/>
  <c r="AC103" i="5"/>
  <c r="AC9" i="5"/>
  <c r="AC37" i="5"/>
  <c r="AC45" i="5"/>
  <c r="AC81" i="5"/>
  <c r="AC17" i="5"/>
  <c r="AC68" i="5"/>
  <c r="AC104" i="5"/>
  <c r="AC39" i="5"/>
  <c r="AC73" i="5"/>
  <c r="AC107" i="5"/>
  <c r="AC74" i="5"/>
  <c r="AC18" i="5"/>
  <c r="AC54" i="5"/>
  <c r="AC90" i="5"/>
  <c r="AC108" i="5"/>
  <c r="AC43" i="5"/>
  <c r="AC79" i="5"/>
  <c r="AC35" i="5"/>
  <c r="AC71" i="5"/>
  <c r="AC15" i="5"/>
  <c r="AC51" i="5"/>
  <c r="AC87" i="5"/>
  <c r="AC58" i="5"/>
  <c r="AC94" i="5"/>
  <c r="AC95" i="5"/>
  <c r="AC30" i="5"/>
  <c r="AC66" i="5"/>
  <c r="AC100" i="5"/>
  <c r="AC38" i="5"/>
  <c r="AC34" i="5"/>
  <c r="AC70" i="5"/>
  <c r="AC62" i="5"/>
  <c r="AC98" i="5"/>
  <c r="AC42" i="5"/>
  <c r="AC85" i="5"/>
  <c r="AC13" i="5"/>
  <c r="AQ8" i="5"/>
  <c r="AO8" i="5"/>
  <c r="AP8" i="5"/>
  <c r="C38" i="18"/>
  <c r="W22" i="13"/>
  <c r="U23" i="13"/>
  <c r="U26" i="13"/>
  <c r="AP19" i="5"/>
  <c r="AO19" i="5"/>
  <c r="AQ19" i="5"/>
  <c r="AO39" i="5"/>
  <c r="AP39" i="5"/>
  <c r="AO25" i="5"/>
  <c r="AP25" i="5"/>
  <c r="AQ25" i="5"/>
  <c r="AQ17" i="5"/>
  <c r="AP17" i="5"/>
  <c r="AO17" i="5"/>
  <c r="AQ23" i="5"/>
  <c r="AP23" i="5"/>
  <c r="AO23" i="5"/>
  <c r="B31" i="1"/>
  <c r="D29" i="1"/>
  <c r="C33" i="1"/>
  <c r="AQ15" i="5"/>
  <c r="AP15" i="5"/>
  <c r="AO15" i="5"/>
  <c r="AO41" i="5"/>
  <c r="AP41" i="5"/>
  <c r="AQ33" i="5"/>
  <c r="AP33" i="5"/>
  <c r="AO33" i="5"/>
  <c r="AQ21" i="5"/>
  <c r="AO21" i="5"/>
  <c r="AP21" i="5"/>
  <c r="F14" i="8"/>
  <c r="M13" i="8"/>
  <c r="AP29" i="5"/>
  <c r="AO29" i="5"/>
  <c r="AQ29" i="5"/>
  <c r="L12" i="8"/>
  <c r="AO27" i="5"/>
  <c r="AP27" i="5"/>
  <c r="AQ27" i="5"/>
  <c r="J12" i="1"/>
  <c r="B13" i="1"/>
  <c r="T12" i="1"/>
  <c r="AD17" i="5"/>
  <c r="AD68" i="5"/>
  <c r="AD95" i="5"/>
  <c r="AD104" i="5"/>
  <c r="AD39" i="5"/>
  <c r="AD64" i="5"/>
  <c r="AD73" i="5"/>
  <c r="AD107" i="5"/>
  <c r="AD101" i="5"/>
  <c r="AD18" i="5"/>
  <c r="AD54" i="5"/>
  <c r="AD90" i="5"/>
  <c r="AD108" i="5"/>
  <c r="AD43" i="5"/>
  <c r="AD79" i="5"/>
  <c r="AD35" i="5"/>
  <c r="AD71" i="5"/>
  <c r="AD15" i="5"/>
  <c r="AD51" i="5"/>
  <c r="AD78" i="5"/>
  <c r="AD87" i="5"/>
  <c r="AD58" i="5"/>
  <c r="AD76" i="5"/>
  <c r="AD94" i="5"/>
  <c r="AD77" i="5"/>
  <c r="AD48" i="5"/>
  <c r="AD52" i="5"/>
  <c r="AD23" i="5"/>
  <c r="AD30" i="5"/>
  <c r="AD66" i="5"/>
  <c r="AD102" i="5"/>
  <c r="AD28" i="5"/>
  <c r="AD100" i="5"/>
  <c r="AD29" i="5"/>
  <c r="AD65" i="5"/>
  <c r="AD45" i="5"/>
  <c r="AD81" i="5"/>
  <c r="AD8" i="5"/>
  <c r="AD34" i="5"/>
  <c r="AD70" i="5"/>
  <c r="AD106" i="5"/>
  <c r="AD62" i="5"/>
  <c r="AD98" i="5"/>
  <c r="AD42" i="5"/>
  <c r="AD105" i="5"/>
  <c r="AD13" i="5"/>
  <c r="AD85" i="5"/>
  <c r="AD41" i="5"/>
  <c r="AD75" i="5"/>
  <c r="AD83" i="5"/>
  <c r="AD27" i="5"/>
  <c r="AD63" i="5"/>
  <c r="AD99" i="5"/>
  <c r="AD88" i="5"/>
  <c r="AD80" i="5"/>
  <c r="AD14" i="5"/>
  <c r="AD50" i="5"/>
  <c r="AD86" i="5"/>
  <c r="AD21" i="5"/>
  <c r="AD57" i="5"/>
  <c r="AD93" i="5"/>
  <c r="AD9" i="5"/>
  <c r="AD19" i="5"/>
  <c r="AD37" i="5"/>
  <c r="AD55" i="5"/>
  <c r="AD91" i="5"/>
  <c r="AD20" i="5"/>
  <c r="AD38" i="5"/>
  <c r="AD56" i="5"/>
  <c r="AD92" i="5"/>
  <c r="AD36" i="5"/>
  <c r="AD72" i="5"/>
  <c r="AD25" i="5"/>
  <c r="AD61" i="5"/>
  <c r="AD97" i="5"/>
  <c r="AD53" i="5"/>
  <c r="AD89" i="5"/>
  <c r="AD33" i="5"/>
  <c r="AD69" i="5"/>
  <c r="AD40" i="5"/>
  <c r="AD103" i="5"/>
  <c r="AD26" i="5"/>
  <c r="AD32" i="5"/>
  <c r="AD59" i="5"/>
  <c r="AD12" i="5"/>
  <c r="AD84" i="5"/>
  <c r="AD11" i="5"/>
  <c r="AD46" i="5"/>
  <c r="AD82" i="5"/>
  <c r="AD10" i="5"/>
  <c r="AD47" i="5"/>
  <c r="AD74" i="5"/>
  <c r="AD16" i="5"/>
  <c r="AD44" i="5"/>
  <c r="AD22" i="5"/>
  <c r="AD67" i="5"/>
  <c r="AD96" i="5"/>
  <c r="AD49" i="5"/>
  <c r="AD24" i="5"/>
  <c r="AD60" i="5"/>
  <c r="AD31" i="5"/>
  <c r="B94" i="15"/>
  <c r="M86" i="15"/>
  <c r="AH71" i="15"/>
  <c r="FQ25" i="14"/>
  <c r="FE25" i="14" s="1"/>
  <c r="FQ47" i="14"/>
  <c r="FE47" i="14" s="1"/>
  <c r="FT47" i="14" s="1"/>
  <c r="FQ29" i="14"/>
  <c r="FE29" i="14" s="1"/>
  <c r="FQ24" i="14"/>
  <c r="FE24" i="14" s="1"/>
  <c r="FT24" i="14" s="1"/>
  <c r="FQ20" i="14"/>
  <c r="FE20" i="14" s="1"/>
  <c r="FQ13" i="14"/>
  <c r="FE13" i="14" s="1"/>
  <c r="FQ10" i="14"/>
  <c r="FE10" i="14" s="1"/>
  <c r="FQ8" i="14"/>
  <c r="FE8" i="14" s="1"/>
  <c r="FQ7" i="14"/>
  <c r="FE7" i="14" s="1"/>
  <c r="FQ53" i="14"/>
  <c r="FE53" i="14" s="1"/>
  <c r="FQ37" i="14"/>
  <c r="FE37" i="14" s="1"/>
  <c r="FT37" i="14" s="1"/>
  <c r="FQ30" i="14"/>
  <c r="FE30" i="14" s="1"/>
  <c r="FQ23" i="14"/>
  <c r="FE23" i="14" s="1"/>
  <c r="FQ18" i="14"/>
  <c r="FE18" i="14" s="1"/>
  <c r="FT18" i="14" s="1"/>
  <c r="FQ16" i="14"/>
  <c r="FE16" i="14" s="1"/>
  <c r="FQ55" i="14"/>
  <c r="FE55" i="14" s="1"/>
  <c r="FQ9" i="14"/>
  <c r="FE9" i="14" s="1"/>
  <c r="FT9" i="14" s="1"/>
  <c r="FQ6" i="14"/>
  <c r="FE6" i="14" s="1"/>
  <c r="FT6" i="14" s="1"/>
  <c r="FQ52" i="14"/>
  <c r="FE52" i="14" s="1"/>
  <c r="FQ27" i="14"/>
  <c r="FE27" i="14" s="1"/>
  <c r="FT27" i="14" s="1"/>
  <c r="FQ21" i="14"/>
  <c r="FE21" i="14" s="1"/>
  <c r="FT21" i="14" s="1"/>
  <c r="FQ12" i="14"/>
  <c r="FE12" i="14" s="1"/>
  <c r="FT12" i="14" s="1"/>
  <c r="FQ11" i="14"/>
  <c r="FE11" i="14" s="1"/>
  <c r="FQ26" i="14"/>
  <c r="FE26" i="14" s="1"/>
  <c r="FQ19" i="14"/>
  <c r="FE19" i="14" s="1"/>
  <c r="FQ15" i="14"/>
  <c r="FE15" i="14" s="1"/>
  <c r="FT15" i="14" s="1"/>
  <c r="FQ14" i="14"/>
  <c r="FE14" i="14" s="1"/>
  <c r="FQ49" i="14"/>
  <c r="FE49" i="14" s="1"/>
  <c r="FQ39" i="14"/>
  <c r="FE39" i="14" s="1"/>
  <c r="FQ50" i="14"/>
  <c r="FE50" i="14" s="1"/>
  <c r="FQ32" i="14"/>
  <c r="FE32" i="14" s="1"/>
  <c r="FQ51" i="14"/>
  <c r="FE51" i="14" s="1"/>
  <c r="FT51" i="14" s="1"/>
  <c r="FQ41" i="14"/>
  <c r="FE41" i="14" s="1"/>
  <c r="FQ45" i="14"/>
  <c r="FE45" i="14" s="1"/>
  <c r="FQ56" i="14"/>
  <c r="FE56" i="14" s="1"/>
  <c r="FQ17" i="14"/>
  <c r="FE17" i="14" s="1"/>
  <c r="FQ31" i="14"/>
  <c r="FE31" i="14" s="1"/>
  <c r="FT31" i="14" s="1"/>
  <c r="FQ34" i="14"/>
  <c r="FE34" i="14" s="1"/>
  <c r="FT34" i="14" s="1"/>
  <c r="FQ40" i="14"/>
  <c r="FE40" i="14" s="1"/>
  <c r="FT40" i="14" s="1"/>
  <c r="FQ44" i="14"/>
  <c r="FE44" i="14" s="1"/>
  <c r="FT44" i="14" s="1"/>
  <c r="FQ54" i="14"/>
  <c r="FE54" i="14" s="1"/>
  <c r="FT54" i="14" s="1"/>
  <c r="FQ38" i="14"/>
  <c r="FE38" i="14" s="1"/>
  <c r="FQ22" i="14"/>
  <c r="FE22" i="14" s="1"/>
  <c r="FQ33" i="14"/>
  <c r="FE33" i="14" s="1"/>
  <c r="FQ43" i="14"/>
  <c r="FE43" i="14" s="1"/>
  <c r="FQ48" i="14"/>
  <c r="FE48" i="14" s="1"/>
  <c r="FQ35" i="14"/>
  <c r="FE35" i="14" s="1"/>
  <c r="FQ28" i="14"/>
  <c r="FE28" i="14" s="1"/>
  <c r="FT28" i="14" s="1"/>
  <c r="FQ36" i="14"/>
  <c r="FE36" i="14" s="1"/>
  <c r="FQ42" i="14"/>
  <c r="FE42" i="14" s="1"/>
  <c r="FQ46" i="14"/>
  <c r="FE46" i="14" s="1"/>
  <c r="P41" i="15"/>
  <c r="Q40" i="15"/>
  <c r="F38" i="18"/>
  <c r="B39" i="18"/>
  <c r="V23" i="13"/>
  <c r="Y23" i="13" s="1"/>
  <c r="X29" i="13" s="1"/>
  <c r="AA22" i="13" s="1"/>
  <c r="V26" i="13"/>
  <c r="EZ2" i="14"/>
  <c r="FS2" i="14"/>
  <c r="CK11" i="17"/>
  <c r="X39" i="15"/>
  <c r="BA39" i="15" s="1"/>
  <c r="T39" i="15"/>
  <c r="AW39" i="15" s="1"/>
  <c r="W39" i="15"/>
  <c r="AZ39" i="15" s="1"/>
  <c r="S39" i="15"/>
  <c r="AV39" i="15" s="1"/>
  <c r="AL39" i="15"/>
  <c r="Z39" i="15"/>
  <c r="BC39" i="15" s="1"/>
  <c r="V39" i="15"/>
  <c r="AY39" i="15" s="1"/>
  <c r="R39" i="15"/>
  <c r="AU39" i="15" s="1"/>
  <c r="Y39" i="15"/>
  <c r="BB39" i="15" s="1"/>
  <c r="U39" i="15"/>
  <c r="AX39" i="15" s="1"/>
  <c r="CZ12" i="14"/>
  <c r="EI128" i="17"/>
  <c r="EA128" i="17" s="1"/>
  <c r="EY2" i="14"/>
  <c r="FR2" i="14"/>
  <c r="J43" i="14"/>
  <c r="U11" i="17"/>
  <c r="EX129" i="14"/>
  <c r="ER129" i="14" s="1"/>
  <c r="EJ128" i="17"/>
  <c r="EB128" i="17" s="1"/>
  <c r="X25" i="13" l="1"/>
  <c r="X26" i="13" s="1"/>
  <c r="AA21" i="13" s="1"/>
  <c r="D32" i="1"/>
  <c r="E30" i="1"/>
  <c r="T15" i="6"/>
  <c r="F15" i="8"/>
  <c r="M14" i="8"/>
  <c r="B14" i="1"/>
  <c r="J13" i="1"/>
  <c r="T13" i="1"/>
  <c r="D34" i="1"/>
  <c r="E34" i="1" s="1"/>
  <c r="Q12" i="1"/>
  <c r="L13" i="8"/>
  <c r="FR28" i="14"/>
  <c r="FF28" i="14" s="1"/>
  <c r="FR25" i="14"/>
  <c r="FF25" i="14" s="1"/>
  <c r="FU25" i="14" s="1"/>
  <c r="FR26" i="14"/>
  <c r="FF26" i="14" s="1"/>
  <c r="FR24" i="14"/>
  <c r="FF24" i="14" s="1"/>
  <c r="FR38" i="14"/>
  <c r="FF38" i="14" s="1"/>
  <c r="FU38" i="14" s="1"/>
  <c r="FR23" i="14"/>
  <c r="FF23" i="14" s="1"/>
  <c r="FR16" i="14"/>
  <c r="FF16" i="14" s="1"/>
  <c r="FU16" i="14" s="1"/>
  <c r="FR56" i="14"/>
  <c r="FF56" i="14" s="1"/>
  <c r="FR46" i="14"/>
  <c r="FF46" i="14" s="1"/>
  <c r="FU46" i="14" s="1"/>
  <c r="FR44" i="14"/>
  <c r="FF44" i="14" s="1"/>
  <c r="FR42" i="14"/>
  <c r="FF42" i="14" s="1"/>
  <c r="FR40" i="14"/>
  <c r="FF40" i="14" s="1"/>
  <c r="FR32" i="14"/>
  <c r="FF32" i="14" s="1"/>
  <c r="FU32" i="14" s="1"/>
  <c r="FR27" i="14"/>
  <c r="FF27" i="14" s="1"/>
  <c r="FR22" i="14"/>
  <c r="FF22" i="14" s="1"/>
  <c r="FU22" i="14" s="1"/>
  <c r="FR17" i="14"/>
  <c r="FF17" i="14" s="1"/>
  <c r="FR11" i="14"/>
  <c r="FF11" i="14" s="1"/>
  <c r="FR45" i="14"/>
  <c r="FF45" i="14" s="1"/>
  <c r="FR43" i="14"/>
  <c r="FF43" i="14" s="1"/>
  <c r="FU43" i="14" s="1"/>
  <c r="FR41" i="14"/>
  <c r="FF41" i="14" s="1"/>
  <c r="FU41" i="14" s="1"/>
  <c r="FR13" i="14"/>
  <c r="FF13" i="14" s="1"/>
  <c r="FU13" i="14" s="1"/>
  <c r="FR7" i="14"/>
  <c r="FF7" i="14" s="1"/>
  <c r="FU7" i="14" s="1"/>
  <c r="FR35" i="14"/>
  <c r="FF35" i="14" s="1"/>
  <c r="FU35" i="14" s="1"/>
  <c r="FR31" i="14"/>
  <c r="FF31" i="14" s="1"/>
  <c r="FR19" i="14"/>
  <c r="FF19" i="14" s="1"/>
  <c r="FU19" i="14" s="1"/>
  <c r="FR14" i="14"/>
  <c r="FF14" i="14" s="1"/>
  <c r="FR9" i="14"/>
  <c r="FF9" i="14" s="1"/>
  <c r="FR6" i="14"/>
  <c r="FF6" i="14" s="1"/>
  <c r="FR20" i="14"/>
  <c r="FF20" i="14" s="1"/>
  <c r="FR37" i="14"/>
  <c r="FF37" i="14" s="1"/>
  <c r="FR47" i="14"/>
  <c r="FF47" i="14" s="1"/>
  <c r="FR54" i="14"/>
  <c r="FF54" i="14" s="1"/>
  <c r="FR52" i="14"/>
  <c r="FF52" i="14" s="1"/>
  <c r="FU52" i="14" s="1"/>
  <c r="FR55" i="14"/>
  <c r="FF55" i="14" s="1"/>
  <c r="FU55" i="14" s="1"/>
  <c r="FR53" i="14"/>
  <c r="FF53" i="14" s="1"/>
  <c r="FR21" i="14"/>
  <c r="FF21" i="14" s="1"/>
  <c r="FR18" i="14"/>
  <c r="FF18" i="14" s="1"/>
  <c r="FR15" i="14"/>
  <c r="FF15" i="14" s="1"/>
  <c r="FR36" i="14"/>
  <c r="FF36" i="14" s="1"/>
  <c r="FR34" i="14"/>
  <c r="FF34" i="14" s="1"/>
  <c r="FR29" i="14"/>
  <c r="FF29" i="14" s="1"/>
  <c r="FU29" i="14" s="1"/>
  <c r="FR10" i="14"/>
  <c r="FF10" i="14" s="1"/>
  <c r="FU10" i="14" s="1"/>
  <c r="FR39" i="14"/>
  <c r="FF39" i="14" s="1"/>
  <c r="FR51" i="14"/>
  <c r="FF51" i="14" s="1"/>
  <c r="FR33" i="14"/>
  <c r="FF33" i="14" s="1"/>
  <c r="FR30" i="14"/>
  <c r="FF30" i="14" s="1"/>
  <c r="FR12" i="14"/>
  <c r="FF12" i="14" s="1"/>
  <c r="FR8" i="14"/>
  <c r="FF8" i="14" s="1"/>
  <c r="FR49" i="14"/>
  <c r="FF49" i="14" s="1"/>
  <c r="FU49" i="14" s="1"/>
  <c r="FR48" i="14"/>
  <c r="FF48" i="14" s="1"/>
  <c r="FR50" i="14"/>
  <c r="FF50" i="14" s="1"/>
  <c r="EY130" i="14"/>
  <c r="ES130" i="14" s="1"/>
  <c r="CK12" i="17"/>
  <c r="B40" i="18"/>
  <c r="F39" i="18"/>
  <c r="C39" i="18"/>
  <c r="D39" i="18"/>
  <c r="AE84" i="13"/>
  <c r="AD83" i="13"/>
  <c r="AG82" i="13"/>
  <c r="AC82" i="13"/>
  <c r="AF81" i="13"/>
  <c r="AB81" i="13"/>
  <c r="AE80" i="13"/>
  <c r="AD79" i="13"/>
  <c r="AG78" i="13"/>
  <c r="AC78" i="13"/>
  <c r="AF77" i="13"/>
  <c r="AB77" i="13"/>
  <c r="AE76" i="13"/>
  <c r="AD75" i="13"/>
  <c r="AH74" i="13"/>
  <c r="AD74" i="13"/>
  <c r="AH73" i="13"/>
  <c r="AD73" i="13"/>
  <c r="AH72" i="13"/>
  <c r="AD72" i="13"/>
  <c r="AH71" i="13"/>
  <c r="AD71" i="13"/>
  <c r="AH70" i="13"/>
  <c r="AD70" i="13"/>
  <c r="AH69" i="13"/>
  <c r="AD69" i="13"/>
  <c r="AH68" i="13"/>
  <c r="AD68" i="13"/>
  <c r="AH67" i="13"/>
  <c r="AD67" i="13"/>
  <c r="AH66" i="13"/>
  <c r="AD66" i="13"/>
  <c r="AH65" i="13"/>
  <c r="AD65" i="13"/>
  <c r="AH64" i="13"/>
  <c r="AD64" i="13"/>
  <c r="AH63" i="13"/>
  <c r="AD63" i="13"/>
  <c r="AH62" i="13"/>
  <c r="AD62" i="13"/>
  <c r="AH61" i="13"/>
  <c r="AD61" i="13"/>
  <c r="AH60" i="13"/>
  <c r="AD60" i="13"/>
  <c r="AH59" i="13"/>
  <c r="AD59" i="13"/>
  <c r="AH58" i="13"/>
  <c r="AD58" i="13"/>
  <c r="AH57" i="13"/>
  <c r="AD57" i="13"/>
  <c r="AH56" i="13"/>
  <c r="AD56" i="13"/>
  <c r="AH55" i="13"/>
  <c r="AD55" i="13"/>
  <c r="AH54" i="13"/>
  <c r="AD54" i="13"/>
  <c r="AH53" i="13"/>
  <c r="AD53" i="13"/>
  <c r="AI52" i="13"/>
  <c r="AE52" i="13"/>
  <c r="AF51" i="13"/>
  <c r="AB51" i="13"/>
  <c r="AH50" i="13"/>
  <c r="AD50" i="13"/>
  <c r="AF49" i="13"/>
  <c r="AB49" i="13"/>
  <c r="AH48" i="13"/>
  <c r="AD48" i="13"/>
  <c r="AF47" i="13"/>
  <c r="AB47" i="13"/>
  <c r="AH46" i="13"/>
  <c r="AD46" i="13"/>
  <c r="AF45" i="13"/>
  <c r="AB45" i="13"/>
  <c r="AH44" i="13"/>
  <c r="AD44" i="13"/>
  <c r="AF43" i="13"/>
  <c r="AB43" i="13"/>
  <c r="AH42" i="13"/>
  <c r="AD42" i="13"/>
  <c r="AF41" i="13"/>
  <c r="AB41" i="13"/>
  <c r="AH40" i="13"/>
  <c r="AD40" i="13"/>
  <c r="AF39" i="13"/>
  <c r="AB39" i="13"/>
  <c r="AH38" i="13"/>
  <c r="AD38" i="13"/>
  <c r="AF37" i="13"/>
  <c r="AB37" i="13"/>
  <c r="AH36" i="13"/>
  <c r="AD36" i="13"/>
  <c r="AF35" i="13"/>
  <c r="AB35" i="13"/>
  <c r="AH34" i="13"/>
  <c r="AD34" i="13"/>
  <c r="AE40" i="13"/>
  <c r="AE38" i="13"/>
  <c r="AD84" i="13"/>
  <c r="AG83" i="13"/>
  <c r="AC83" i="13"/>
  <c r="AF82" i="13"/>
  <c r="AB82" i="13"/>
  <c r="AE81" i="13"/>
  <c r="AD80" i="13"/>
  <c r="AG79" i="13"/>
  <c r="AC79" i="13"/>
  <c r="AF78" i="13"/>
  <c r="AB78" i="13"/>
  <c r="AE77" i="13"/>
  <c r="AD76" i="13"/>
  <c r="AG75" i="13"/>
  <c r="AC75" i="13"/>
  <c r="AG74" i="13"/>
  <c r="AC74" i="13"/>
  <c r="AG73" i="13"/>
  <c r="AC73" i="13"/>
  <c r="AG72" i="13"/>
  <c r="AC72" i="13"/>
  <c r="AG71" i="13"/>
  <c r="AC71" i="13"/>
  <c r="AG70" i="13"/>
  <c r="AC70" i="13"/>
  <c r="AG69" i="13"/>
  <c r="AC69" i="13"/>
  <c r="AG68" i="13"/>
  <c r="AC68" i="13"/>
  <c r="AG67" i="13"/>
  <c r="AC67" i="13"/>
  <c r="AG66" i="13"/>
  <c r="AC66" i="13"/>
  <c r="AG65" i="13"/>
  <c r="AC65" i="13"/>
  <c r="AG64" i="13"/>
  <c r="AC64" i="13"/>
  <c r="AG63" i="13"/>
  <c r="AC63" i="13"/>
  <c r="AG62" i="13"/>
  <c r="AC62" i="13"/>
  <c r="AG61" i="13"/>
  <c r="AC61" i="13"/>
  <c r="AG60" i="13"/>
  <c r="AC60" i="13"/>
  <c r="AG59" i="13"/>
  <c r="AC59" i="13"/>
  <c r="AG58" i="13"/>
  <c r="AC58" i="13"/>
  <c r="AG57" i="13"/>
  <c r="AC57" i="13"/>
  <c r="AG56" i="13"/>
  <c r="AC56" i="13"/>
  <c r="AG55" i="13"/>
  <c r="AC55" i="13"/>
  <c r="AG54" i="13"/>
  <c r="AC54" i="13"/>
  <c r="AG53" i="13"/>
  <c r="AC53" i="13"/>
  <c r="AH52" i="13"/>
  <c r="AD52" i="13"/>
  <c r="AI51" i="13"/>
  <c r="AE51" i="13"/>
  <c r="AG50" i="13"/>
  <c r="AC50" i="13"/>
  <c r="AI49" i="13"/>
  <c r="AE49" i="13"/>
  <c r="AG48" i="13"/>
  <c r="AC48" i="13"/>
  <c r="AI47" i="13"/>
  <c r="AE47" i="13"/>
  <c r="AG46" i="13"/>
  <c r="AC46" i="13"/>
  <c r="AI45" i="13"/>
  <c r="AE45" i="13"/>
  <c r="AG44" i="13"/>
  <c r="AC44" i="13"/>
  <c r="AI43" i="13"/>
  <c r="AE43" i="13"/>
  <c r="AG42" i="13"/>
  <c r="AC42" i="13"/>
  <c r="AI41" i="13"/>
  <c r="AE41" i="13"/>
  <c r="AG40" i="13"/>
  <c r="AC40" i="13"/>
  <c r="AI39" i="13"/>
  <c r="AE39" i="13"/>
  <c r="AG38" i="13"/>
  <c r="AC38" i="13"/>
  <c r="AI37" i="13"/>
  <c r="AE37" i="13"/>
  <c r="AG36" i="13"/>
  <c r="AC36" i="13"/>
  <c r="AI35" i="13"/>
  <c r="AE35" i="13"/>
  <c r="AG34" i="13"/>
  <c r="AC34" i="13"/>
  <c r="AF84" i="13"/>
  <c r="AE83" i="13"/>
  <c r="AG81" i="13"/>
  <c r="AF80" i="13"/>
  <c r="AB80" i="13"/>
  <c r="AC77" i="13"/>
  <c r="AB76" i="13"/>
  <c r="AE74" i="13"/>
  <c r="AE72" i="13"/>
  <c r="AE71" i="13"/>
  <c r="AE67" i="13"/>
  <c r="AE66" i="13"/>
  <c r="AE65" i="13"/>
  <c r="AE62" i="13"/>
  <c r="AE60" i="13"/>
  <c r="AE57" i="13"/>
  <c r="AE56" i="13"/>
  <c r="AE54" i="13"/>
  <c r="AF52" i="13"/>
  <c r="AG51" i="13"/>
  <c r="AI50" i="13"/>
  <c r="AC49" i="13"/>
  <c r="AI48" i="13"/>
  <c r="AC47" i="13"/>
  <c r="AI46" i="13"/>
  <c r="AC45" i="13"/>
  <c r="AE44" i="13"/>
  <c r="AG43" i="13"/>
  <c r="AE42" i="13"/>
  <c r="AG41" i="13"/>
  <c r="AI40" i="13"/>
  <c r="AG39" i="13"/>
  <c r="AI38" i="13"/>
  <c r="AG37" i="13"/>
  <c r="AE36" i="13"/>
  <c r="AC35" i="13"/>
  <c r="AI34" i="13"/>
  <c r="AC84" i="13"/>
  <c r="AF83" i="13"/>
  <c r="AB83" i="13"/>
  <c r="AE82" i="13"/>
  <c r="AD81" i="13"/>
  <c r="AG80" i="13"/>
  <c r="AC80" i="13"/>
  <c r="AF79" i="13"/>
  <c r="AB79" i="13"/>
  <c r="AE78" i="13"/>
  <c r="AD77" i="13"/>
  <c r="AG76" i="13"/>
  <c r="AC76" i="13"/>
  <c r="AF75" i="13"/>
  <c r="AB75" i="13"/>
  <c r="AF74" i="13"/>
  <c r="AB74" i="13"/>
  <c r="AF73" i="13"/>
  <c r="AB73" i="13"/>
  <c r="AF72" i="13"/>
  <c r="AB72" i="13"/>
  <c r="AF71" i="13"/>
  <c r="AB71" i="13"/>
  <c r="S71" i="13"/>
  <c r="AF70" i="13"/>
  <c r="AB70" i="13"/>
  <c r="AF69" i="13"/>
  <c r="AB69" i="13"/>
  <c r="AF68" i="13"/>
  <c r="AB68" i="13"/>
  <c r="AF67" i="13"/>
  <c r="AB67" i="13"/>
  <c r="AF66" i="13"/>
  <c r="AB66" i="13"/>
  <c r="AF65" i="13"/>
  <c r="AB65" i="13"/>
  <c r="AF64" i="13"/>
  <c r="AB64" i="13"/>
  <c r="AF63" i="13"/>
  <c r="AB63" i="13"/>
  <c r="AF62" i="13"/>
  <c r="AB62" i="13"/>
  <c r="AF61" i="13"/>
  <c r="AB61" i="13"/>
  <c r="AF60" i="13"/>
  <c r="AB60" i="13"/>
  <c r="AF59" i="13"/>
  <c r="AB59" i="13"/>
  <c r="AF58" i="13"/>
  <c r="AB58" i="13"/>
  <c r="AF57" i="13"/>
  <c r="AB57" i="13"/>
  <c r="AF56" i="13"/>
  <c r="AB56" i="13"/>
  <c r="AF55" i="13"/>
  <c r="AB55" i="13"/>
  <c r="S55" i="13"/>
  <c r="AF54" i="13"/>
  <c r="AB54" i="13"/>
  <c r="AF53" i="13"/>
  <c r="AB53" i="13"/>
  <c r="AG52" i="13"/>
  <c r="AC52" i="13"/>
  <c r="AH51" i="13"/>
  <c r="AD51" i="13"/>
  <c r="AF50" i="13"/>
  <c r="AB50" i="13"/>
  <c r="AH49" i="13"/>
  <c r="AD49" i="13"/>
  <c r="AF48" i="13"/>
  <c r="AB48" i="13"/>
  <c r="AH47" i="13"/>
  <c r="AD47" i="13"/>
  <c r="AF46" i="13"/>
  <c r="AB46" i="13"/>
  <c r="AH45" i="13"/>
  <c r="AD45" i="13"/>
  <c r="AF44" i="13"/>
  <c r="AB44" i="13"/>
  <c r="AH43" i="13"/>
  <c r="AD43" i="13"/>
  <c r="Q43" i="13"/>
  <c r="AF42" i="13"/>
  <c r="AB42" i="13"/>
  <c r="AH41" i="13"/>
  <c r="AD41" i="13"/>
  <c r="AF40" i="13"/>
  <c r="AB40" i="13"/>
  <c r="AH39" i="13"/>
  <c r="AD39" i="13"/>
  <c r="AF38" i="13"/>
  <c r="AB38" i="13"/>
  <c r="AH37" i="13"/>
  <c r="AD37" i="13"/>
  <c r="AF36" i="13"/>
  <c r="AB36" i="13"/>
  <c r="AH35" i="13"/>
  <c r="AD35" i="13"/>
  <c r="AF34" i="13"/>
  <c r="AB34" i="13"/>
  <c r="AB84" i="13"/>
  <c r="AD82" i="13"/>
  <c r="AC81" i="13"/>
  <c r="AE79" i="13"/>
  <c r="AD78" i="13"/>
  <c r="AG77" i="13"/>
  <c r="AF76" i="13"/>
  <c r="AE75" i="13"/>
  <c r="AE73" i="13"/>
  <c r="R71" i="13"/>
  <c r="AE70" i="13"/>
  <c r="AE69" i="13"/>
  <c r="AE68" i="13"/>
  <c r="R66" i="13"/>
  <c r="AE64" i="13"/>
  <c r="AE63" i="13"/>
  <c r="R63" i="13"/>
  <c r="AE61" i="13"/>
  <c r="AE59" i="13"/>
  <c r="AE58" i="13"/>
  <c r="N58" i="13"/>
  <c r="AE55" i="13"/>
  <c r="AE53" i="13"/>
  <c r="AB52" i="13"/>
  <c r="AC51" i="13"/>
  <c r="AE50" i="13"/>
  <c r="AG49" i="13"/>
  <c r="AE48" i="13"/>
  <c r="AG47" i="13"/>
  <c r="AE46" i="13"/>
  <c r="AG45" i="13"/>
  <c r="AI44" i="13"/>
  <c r="AC43" i="13"/>
  <c r="AI42" i="13"/>
  <c r="AC41" i="13"/>
  <c r="AC39" i="13"/>
  <c r="AC37" i="13"/>
  <c r="AI36" i="13"/>
  <c r="AG35" i="13"/>
  <c r="AE34" i="13"/>
  <c r="L82" i="13"/>
  <c r="Y82" i="13" s="1"/>
  <c r="L78" i="13"/>
  <c r="Y78" i="13" s="1"/>
  <c r="L83" i="13"/>
  <c r="Y83" i="13" s="1"/>
  <c r="L79" i="13"/>
  <c r="Y79" i="13" s="1"/>
  <c r="L75" i="13"/>
  <c r="Y75" i="13" s="1"/>
  <c r="L74" i="13"/>
  <c r="Y74" i="13" s="1"/>
  <c r="L73" i="13"/>
  <c r="Y73" i="13" s="1"/>
  <c r="L72" i="13"/>
  <c r="Y72" i="13" s="1"/>
  <c r="L71" i="13"/>
  <c r="Y71" i="13" s="1"/>
  <c r="L70" i="13"/>
  <c r="Y70" i="13" s="1"/>
  <c r="L69" i="13"/>
  <c r="Y69" i="13" s="1"/>
  <c r="L68" i="13"/>
  <c r="Y68" i="13" s="1"/>
  <c r="L67" i="13"/>
  <c r="Y67" i="13" s="1"/>
  <c r="L66" i="13"/>
  <c r="Y66" i="13" s="1"/>
  <c r="L65" i="13"/>
  <c r="Y65" i="13" s="1"/>
  <c r="L64" i="13"/>
  <c r="Y64" i="13" s="1"/>
  <c r="L63" i="13"/>
  <c r="Y63" i="13" s="1"/>
  <c r="L62" i="13"/>
  <c r="Y62" i="13" s="1"/>
  <c r="L61" i="13"/>
  <c r="Y61" i="13" s="1"/>
  <c r="L60" i="13"/>
  <c r="Y60" i="13" s="1"/>
  <c r="L59" i="13"/>
  <c r="Y59" i="13" s="1"/>
  <c r="L58" i="13"/>
  <c r="Y58" i="13" s="1"/>
  <c r="L57" i="13"/>
  <c r="Y57" i="13" s="1"/>
  <c r="L56" i="13"/>
  <c r="Y56" i="13" s="1"/>
  <c r="L55" i="13"/>
  <c r="Y55" i="13" s="1"/>
  <c r="L54" i="13"/>
  <c r="Y54" i="13" s="1"/>
  <c r="L53" i="13"/>
  <c r="Y53" i="13" s="1"/>
  <c r="L50" i="13"/>
  <c r="Y50" i="13" s="1"/>
  <c r="L48" i="13"/>
  <c r="Y48" i="13" s="1"/>
  <c r="L46" i="13"/>
  <c r="Y46" i="13" s="1"/>
  <c r="L44" i="13"/>
  <c r="Y44" i="13" s="1"/>
  <c r="L42" i="13"/>
  <c r="Y42" i="13" s="1"/>
  <c r="L40" i="13"/>
  <c r="Y40" i="13" s="1"/>
  <c r="L38" i="13"/>
  <c r="Y38" i="13" s="1"/>
  <c r="L36" i="13"/>
  <c r="Y36" i="13" s="1"/>
  <c r="L34" i="13"/>
  <c r="Y34" i="13" s="1"/>
  <c r="L77" i="13"/>
  <c r="Y77" i="13" s="1"/>
  <c r="L49" i="13"/>
  <c r="Y49" i="13" s="1"/>
  <c r="L47" i="13"/>
  <c r="Y47" i="13" s="1"/>
  <c r="L45" i="13"/>
  <c r="Y45" i="13" s="1"/>
  <c r="L41" i="13"/>
  <c r="Y41" i="13" s="1"/>
  <c r="L37" i="13"/>
  <c r="Y37" i="13" s="1"/>
  <c r="L35" i="13"/>
  <c r="Y35" i="13" s="1"/>
  <c r="L84" i="13"/>
  <c r="Y84" i="13" s="1"/>
  <c r="L80" i="13"/>
  <c r="Y80" i="13" s="1"/>
  <c r="L76" i="13"/>
  <c r="Y76" i="13" s="1"/>
  <c r="L52" i="13"/>
  <c r="Y52" i="13" s="1"/>
  <c r="L81" i="13"/>
  <c r="Y81" i="13" s="1"/>
  <c r="L51" i="13"/>
  <c r="Y51" i="13" s="1"/>
  <c r="L43" i="13"/>
  <c r="Y43" i="13" s="1"/>
  <c r="L39" i="13"/>
  <c r="Y39" i="13" s="1"/>
  <c r="U12" i="17"/>
  <c r="CZ13" i="14"/>
  <c r="AS71" i="15"/>
  <c r="J44" i="14"/>
  <c r="FS26" i="14"/>
  <c r="FG26" i="14" s="1"/>
  <c r="FV26" i="14" s="1"/>
  <c r="FS29" i="14"/>
  <c r="FG29" i="14" s="1"/>
  <c r="FS28" i="14"/>
  <c r="FG28" i="14" s="1"/>
  <c r="FS22" i="14"/>
  <c r="FG22" i="14" s="1"/>
  <c r="FS18" i="14"/>
  <c r="FG18" i="14" s="1"/>
  <c r="FS17" i="14"/>
  <c r="FG17" i="14" s="1"/>
  <c r="FV17" i="14" s="1"/>
  <c r="FS11" i="14"/>
  <c r="FG11" i="14" s="1"/>
  <c r="FV11" i="14" s="1"/>
  <c r="FS34" i="14"/>
  <c r="FG34" i="14" s="1"/>
  <c r="FS21" i="14"/>
  <c r="FG21" i="14" s="1"/>
  <c r="FS19" i="14"/>
  <c r="FG19" i="14" s="1"/>
  <c r="FS14" i="14"/>
  <c r="FG14" i="14" s="1"/>
  <c r="FV14" i="14" s="1"/>
  <c r="FS12" i="14"/>
  <c r="FG12" i="14" s="1"/>
  <c r="FS9" i="14"/>
  <c r="FG9" i="14" s="1"/>
  <c r="FS6" i="14"/>
  <c r="FG6" i="14" s="1"/>
  <c r="FS51" i="14"/>
  <c r="FG51" i="14" s="1"/>
  <c r="FS10" i="14"/>
  <c r="FG10" i="14" s="1"/>
  <c r="FS8" i="14"/>
  <c r="FG8" i="14" s="1"/>
  <c r="FV8" i="14" s="1"/>
  <c r="FS50" i="14"/>
  <c r="FG50" i="14" s="1"/>
  <c r="FV50" i="14" s="1"/>
  <c r="FS48" i="14"/>
  <c r="FG48" i="14" s="1"/>
  <c r="FV48" i="14" s="1"/>
  <c r="FS33" i="14"/>
  <c r="FG33" i="14" s="1"/>
  <c r="FV33" i="14" s="1"/>
  <c r="FS15" i="14"/>
  <c r="FG15" i="14" s="1"/>
  <c r="FS13" i="14"/>
  <c r="FG13" i="14" s="1"/>
  <c r="FS7" i="14"/>
  <c r="FG7" i="14" s="1"/>
  <c r="FS36" i="14"/>
  <c r="FG36" i="14" s="1"/>
  <c r="FV36" i="14" s="1"/>
  <c r="FS23" i="14"/>
  <c r="FG23" i="14" s="1"/>
  <c r="FV23" i="14" s="1"/>
  <c r="FS16" i="14"/>
  <c r="FG16" i="14" s="1"/>
  <c r="FS30" i="14"/>
  <c r="FG30" i="14" s="1"/>
  <c r="FV30" i="14" s="1"/>
  <c r="FS38" i="14"/>
  <c r="FG38" i="14" s="1"/>
  <c r="FS35" i="14"/>
  <c r="FG35" i="14" s="1"/>
  <c r="FS53" i="14"/>
  <c r="FG53" i="14" s="1"/>
  <c r="FV53" i="14" s="1"/>
  <c r="FS56" i="14"/>
  <c r="FG56" i="14" s="1"/>
  <c r="FV56" i="14" s="1"/>
  <c r="FS44" i="14"/>
  <c r="FG44" i="14" s="1"/>
  <c r="FS40" i="14"/>
  <c r="FG40" i="14" s="1"/>
  <c r="FS24" i="14"/>
  <c r="FG24" i="14" s="1"/>
  <c r="FS39" i="14"/>
  <c r="FG39" i="14" s="1"/>
  <c r="FV39" i="14" s="1"/>
  <c r="FS43" i="14"/>
  <c r="FG43" i="14" s="1"/>
  <c r="FS32" i="14"/>
  <c r="FG32" i="14" s="1"/>
  <c r="FS27" i="14"/>
  <c r="FG27" i="14" s="1"/>
  <c r="FS20" i="14"/>
  <c r="FG20" i="14" s="1"/>
  <c r="FV20" i="14" s="1"/>
  <c r="FS47" i="14"/>
  <c r="FG47" i="14" s="1"/>
  <c r="FS52" i="14"/>
  <c r="FG52" i="14" s="1"/>
  <c r="FS49" i="14"/>
  <c r="FG49" i="14" s="1"/>
  <c r="FS46" i="14"/>
  <c r="FG46" i="14" s="1"/>
  <c r="FS42" i="14"/>
  <c r="FG42" i="14" s="1"/>
  <c r="FV42" i="14" s="1"/>
  <c r="FS31" i="14"/>
  <c r="FG31" i="14" s="1"/>
  <c r="FS45" i="14"/>
  <c r="FG45" i="14" s="1"/>
  <c r="FV45" i="14" s="1"/>
  <c r="FS41" i="14"/>
  <c r="FG41" i="14" s="1"/>
  <c r="FS25" i="14"/>
  <c r="FG25" i="14" s="1"/>
  <c r="FS37" i="14"/>
  <c r="FG37" i="14" s="1"/>
  <c r="FS54" i="14"/>
  <c r="FG54" i="14" s="1"/>
  <c r="FS55" i="14"/>
  <c r="FG55" i="14" s="1"/>
  <c r="W40" i="15"/>
  <c r="AZ40" i="15" s="1"/>
  <c r="S40" i="15"/>
  <c r="AV40" i="15" s="1"/>
  <c r="AL40" i="15"/>
  <c r="Z40" i="15"/>
  <c r="BC40" i="15" s="1"/>
  <c r="V40" i="15"/>
  <c r="AY40" i="15" s="1"/>
  <c r="R40" i="15"/>
  <c r="AU40" i="15" s="1"/>
  <c r="Y40" i="15"/>
  <c r="BB40" i="15" s="1"/>
  <c r="U40" i="15"/>
  <c r="AX40" i="15" s="1"/>
  <c r="X40" i="15"/>
  <c r="BA40" i="15" s="1"/>
  <c r="T40" i="15"/>
  <c r="AW40" i="15" s="1"/>
  <c r="FT58" i="14"/>
  <c r="EZ131" i="14"/>
  <c r="ET131" i="14" s="1"/>
  <c r="Q41" i="15"/>
  <c r="P42" i="15"/>
  <c r="M94" i="15"/>
  <c r="B95" i="15"/>
  <c r="T16" i="6" l="1"/>
  <c r="P49" i="13"/>
  <c r="S40" i="13"/>
  <c r="S54" i="13"/>
  <c r="S70" i="13"/>
  <c r="T43" i="13"/>
  <c r="M78" i="13"/>
  <c r="Q49" i="13"/>
  <c r="S63" i="13"/>
  <c r="Q77" i="13"/>
  <c r="N82" i="13"/>
  <c r="E32" i="1"/>
  <c r="S36" i="13"/>
  <c r="R65" i="13"/>
  <c r="O76" i="13"/>
  <c r="S46" i="13"/>
  <c r="S62" i="13"/>
  <c r="T76" i="13"/>
  <c r="Q35" i="13"/>
  <c r="Q39" i="13"/>
  <c r="L14" i="8"/>
  <c r="R36" i="13"/>
  <c r="P41" i="13"/>
  <c r="S38" i="13"/>
  <c r="S48" i="13"/>
  <c r="Q51" i="13"/>
  <c r="S59" i="13"/>
  <c r="S67" i="13"/>
  <c r="S75" i="13"/>
  <c r="F26" i="1"/>
  <c r="G26" i="1" s="1"/>
  <c r="F24" i="1"/>
  <c r="G24" i="1" s="1"/>
  <c r="F22" i="1"/>
  <c r="F27" i="1"/>
  <c r="G27" i="1" s="1"/>
  <c r="F25" i="1"/>
  <c r="G25" i="1" s="1"/>
  <c r="F23" i="1"/>
  <c r="G23" i="1" s="1"/>
  <c r="Q13" i="1"/>
  <c r="F16" i="8"/>
  <c r="M15" i="8"/>
  <c r="T51" i="13"/>
  <c r="N55" i="13"/>
  <c r="R74" i="13"/>
  <c r="O80" i="13"/>
  <c r="Q37" i="13"/>
  <c r="Q41" i="13"/>
  <c r="S44" i="13"/>
  <c r="Q47" i="13"/>
  <c r="S58" i="13"/>
  <c r="S66" i="13"/>
  <c r="S74" i="13"/>
  <c r="B15" i="1"/>
  <c r="T14" i="1"/>
  <c r="J14" i="1"/>
  <c r="Z41" i="15"/>
  <c r="BC41" i="15" s="1"/>
  <c r="V41" i="15"/>
  <c r="AY41" i="15" s="1"/>
  <c r="R41" i="15"/>
  <c r="AU41" i="15" s="1"/>
  <c r="AL41" i="15"/>
  <c r="Y41" i="15"/>
  <c r="BB41" i="15" s="1"/>
  <c r="U41" i="15"/>
  <c r="AX41" i="15" s="1"/>
  <c r="X41" i="15"/>
  <c r="BA41" i="15" s="1"/>
  <c r="T41" i="15"/>
  <c r="AW41" i="15" s="1"/>
  <c r="W41" i="15"/>
  <c r="AZ41" i="15" s="1"/>
  <c r="S41" i="15"/>
  <c r="AV41" i="15" s="1"/>
  <c r="B98" i="15"/>
  <c r="M95" i="15"/>
  <c r="FV58" i="14"/>
  <c r="FG58" i="14" s="1"/>
  <c r="P35" i="13"/>
  <c r="P37" i="13"/>
  <c r="R56" i="13"/>
  <c r="N59" i="13"/>
  <c r="R64" i="13"/>
  <c r="N67" i="13"/>
  <c r="R72" i="13"/>
  <c r="N75" i="13"/>
  <c r="P77" i="13"/>
  <c r="N79" i="13"/>
  <c r="N78" i="13"/>
  <c r="S79" i="13"/>
  <c r="T80" i="13"/>
  <c r="Q81" i="13"/>
  <c r="T35" i="13"/>
  <c r="T37" i="13"/>
  <c r="T39" i="13"/>
  <c r="N54" i="13"/>
  <c r="R59" i="13"/>
  <c r="N62" i="13"/>
  <c r="N65" i="13"/>
  <c r="R67" i="13"/>
  <c r="R70" i="13"/>
  <c r="R75" i="13"/>
  <c r="M82" i="13"/>
  <c r="P34" i="13"/>
  <c r="N35" i="13"/>
  <c r="P36" i="13"/>
  <c r="N37" i="13"/>
  <c r="P38" i="13"/>
  <c r="N39" i="13"/>
  <c r="P40" i="13"/>
  <c r="N41" i="13"/>
  <c r="P42" i="13"/>
  <c r="N43" i="13"/>
  <c r="P44" i="13"/>
  <c r="N45" i="13"/>
  <c r="P46" i="13"/>
  <c r="N47" i="13"/>
  <c r="P48" i="13"/>
  <c r="N49" i="13"/>
  <c r="P50" i="13"/>
  <c r="N51" i="13"/>
  <c r="M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M76" i="13"/>
  <c r="R77" i="13"/>
  <c r="O82" i="13"/>
  <c r="P83" i="13"/>
  <c r="N40" i="13"/>
  <c r="Q34" i="13"/>
  <c r="S35" i="13"/>
  <c r="Q36" i="13"/>
  <c r="S37" i="13"/>
  <c r="Q38" i="13"/>
  <c r="S39" i="13"/>
  <c r="Q40" i="13"/>
  <c r="S41" i="13"/>
  <c r="Q42" i="13"/>
  <c r="S43" i="13"/>
  <c r="Q44" i="13"/>
  <c r="S45" i="13"/>
  <c r="Q46" i="13"/>
  <c r="S47" i="13"/>
  <c r="Q48" i="13"/>
  <c r="S49" i="13"/>
  <c r="Q50" i="13"/>
  <c r="S51" i="13"/>
  <c r="R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N80" i="13"/>
  <c r="S81" i="13"/>
  <c r="T82" i="13"/>
  <c r="Q83" i="13"/>
  <c r="FE58" i="14"/>
  <c r="J45" i="14"/>
  <c r="R42" i="13"/>
  <c r="R44" i="13"/>
  <c r="N46" i="13"/>
  <c r="R48" i="13"/>
  <c r="N50" i="13"/>
  <c r="O52" i="13"/>
  <c r="R54" i="13"/>
  <c r="R57" i="13"/>
  <c r="R62" i="13"/>
  <c r="N68" i="13"/>
  <c r="N70" i="13"/>
  <c r="N73" i="13"/>
  <c r="Q82" i="13"/>
  <c r="O34" i="13"/>
  <c r="M35" i="13"/>
  <c r="O36" i="13"/>
  <c r="M37" i="13"/>
  <c r="O38" i="13"/>
  <c r="M39" i="13"/>
  <c r="O40" i="13"/>
  <c r="M41" i="13"/>
  <c r="O42" i="13"/>
  <c r="M43" i="13"/>
  <c r="O44" i="13"/>
  <c r="M45" i="13"/>
  <c r="O46" i="13"/>
  <c r="M47" i="13"/>
  <c r="O48" i="13"/>
  <c r="M49" i="13"/>
  <c r="O50" i="13"/>
  <c r="M51" i="13"/>
  <c r="P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P76" i="13"/>
  <c r="M77" i="13"/>
  <c r="R78" i="13"/>
  <c r="O83" i="13"/>
  <c r="N42" i="13"/>
  <c r="N44" i="13"/>
  <c r="R46" i="13"/>
  <c r="N48" i="13"/>
  <c r="R50" i="13"/>
  <c r="S52" i="13"/>
  <c r="N57" i="13"/>
  <c r="R60" i="13"/>
  <c r="N71" i="13"/>
  <c r="R73" i="13"/>
  <c r="S76" i="13"/>
  <c r="Q78" i="13"/>
  <c r="R83" i="13"/>
  <c r="T34" i="13"/>
  <c r="R35" i="13"/>
  <c r="T36" i="13"/>
  <c r="R37" i="13"/>
  <c r="T38" i="13"/>
  <c r="R39" i="13"/>
  <c r="T40" i="13"/>
  <c r="R41" i="13"/>
  <c r="T42" i="13"/>
  <c r="R43" i="13"/>
  <c r="T44" i="13"/>
  <c r="R45" i="13"/>
  <c r="T46" i="13"/>
  <c r="R47" i="13"/>
  <c r="T48" i="13"/>
  <c r="R49" i="13"/>
  <c r="T50" i="13"/>
  <c r="R51" i="13"/>
  <c r="Q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71" i="13"/>
  <c r="T72" i="13"/>
  <c r="T73" i="13"/>
  <c r="T74" i="13"/>
  <c r="T75" i="13"/>
  <c r="Q76" i="13"/>
  <c r="N81" i="13"/>
  <c r="S82" i="13"/>
  <c r="T83" i="13"/>
  <c r="R38" i="13"/>
  <c r="O77" i="13"/>
  <c r="P78" i="13"/>
  <c r="M79" i="13"/>
  <c r="R80" i="13"/>
  <c r="CK13" i="17"/>
  <c r="P43" i="15"/>
  <c r="Q42" i="15"/>
  <c r="N34" i="13"/>
  <c r="N60" i="13"/>
  <c r="S34" i="13"/>
  <c r="S42" i="13"/>
  <c r="Q45" i="13"/>
  <c r="S50" i="13"/>
  <c r="T52" i="13"/>
  <c r="S53" i="13"/>
  <c r="S56" i="13"/>
  <c r="S57" i="13"/>
  <c r="S60" i="13"/>
  <c r="S61" i="13"/>
  <c r="S64" i="13"/>
  <c r="S65" i="13"/>
  <c r="S68" i="13"/>
  <c r="S69" i="13"/>
  <c r="S72" i="13"/>
  <c r="S73" i="13"/>
  <c r="S83" i="13"/>
  <c r="R34" i="13"/>
  <c r="N36" i="13"/>
  <c r="N38" i="13"/>
  <c r="R40" i="13"/>
  <c r="R55" i="13"/>
  <c r="N63" i="13"/>
  <c r="N66" i="13"/>
  <c r="R68" i="13"/>
  <c r="N74" i="13"/>
  <c r="R79" i="13"/>
  <c r="P81" i="13"/>
  <c r="O78" i="13"/>
  <c r="P79" i="13"/>
  <c r="M80" i="13"/>
  <c r="R81" i="13"/>
  <c r="T41" i="13"/>
  <c r="N76" i="13"/>
  <c r="S77" i="13"/>
  <c r="T78" i="13"/>
  <c r="Q79" i="13"/>
  <c r="B41" i="18"/>
  <c r="F40" i="18"/>
  <c r="D40" i="18"/>
  <c r="C40" i="18"/>
  <c r="U13" i="17"/>
  <c r="CZ14" i="14"/>
  <c r="P45" i="13"/>
  <c r="P47" i="13"/>
  <c r="N53" i="13"/>
  <c r="N61" i="13"/>
  <c r="R69" i="13"/>
  <c r="T81" i="13"/>
  <c r="N83" i="13"/>
  <c r="O79" i="13"/>
  <c r="P80" i="13"/>
  <c r="M81" i="13"/>
  <c r="R82" i="13"/>
  <c r="P43" i="13"/>
  <c r="T45" i="13"/>
  <c r="T47" i="13"/>
  <c r="T49" i="13"/>
  <c r="P51" i="13"/>
  <c r="R53" i="13"/>
  <c r="N56" i="13"/>
  <c r="R58" i="13"/>
  <c r="R61" i="13"/>
  <c r="N64" i="13"/>
  <c r="N69" i="13"/>
  <c r="N72" i="13"/>
  <c r="T77" i="13"/>
  <c r="S80" i="13"/>
  <c r="N77" i="13"/>
  <c r="S78" i="13"/>
  <c r="T79" i="13"/>
  <c r="Q80" i="13"/>
  <c r="P39" i="13"/>
  <c r="M34" i="13"/>
  <c r="O35" i="13"/>
  <c r="M36" i="13"/>
  <c r="O37" i="13"/>
  <c r="M38" i="13"/>
  <c r="O39" i="13"/>
  <c r="M40" i="13"/>
  <c r="O41" i="13"/>
  <c r="M42" i="13"/>
  <c r="O43" i="13"/>
  <c r="M44" i="13"/>
  <c r="O45" i="13"/>
  <c r="M46" i="13"/>
  <c r="O47" i="13"/>
  <c r="M48" i="13"/>
  <c r="O49" i="13"/>
  <c r="M50" i="13"/>
  <c r="O51" i="13"/>
  <c r="N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R76" i="13"/>
  <c r="O81" i="13"/>
  <c r="P82" i="13"/>
  <c r="M83" i="13"/>
  <c r="FU58" i="14"/>
  <c r="FF58" i="14" s="1"/>
  <c r="L18" i="1" l="1"/>
  <c r="N15" i="1"/>
  <c r="P12" i="1"/>
  <c r="L10" i="1"/>
  <c r="AF4" i="1"/>
  <c r="O16" i="1"/>
  <c r="K14" i="1"/>
  <c r="M11" i="1"/>
  <c r="O8" i="1"/>
  <c r="L17" i="1"/>
  <c r="N14" i="1"/>
  <c r="P11" i="1"/>
  <c r="L9" i="1"/>
  <c r="M12" i="1"/>
  <c r="K11" i="1"/>
  <c r="K13" i="1"/>
  <c r="R13" i="1" s="1"/>
  <c r="K17" i="1"/>
  <c r="P18" i="1"/>
  <c r="N13" i="1"/>
  <c r="L8" i="1"/>
  <c r="O14" i="1"/>
  <c r="M9" i="1"/>
  <c r="L15" i="1"/>
  <c r="P9" i="1"/>
  <c r="O13" i="1"/>
  <c r="K9" i="1"/>
  <c r="N17" i="1"/>
  <c r="P14" i="1"/>
  <c r="R14" i="1" s="1"/>
  <c r="L12" i="1"/>
  <c r="N9" i="1"/>
  <c r="O18" i="1"/>
  <c r="K16" i="1"/>
  <c r="M13" i="1"/>
  <c r="O10" i="1"/>
  <c r="K8" i="1"/>
  <c r="N16" i="1"/>
  <c r="P13" i="1"/>
  <c r="L11" i="1"/>
  <c r="N8" i="1"/>
  <c r="O9" i="1"/>
  <c r="M8" i="1"/>
  <c r="M10" i="1"/>
  <c r="M14" i="1"/>
  <c r="P16" i="1"/>
  <c r="L14" i="1"/>
  <c r="N11" i="1"/>
  <c r="P8" i="1"/>
  <c r="K18" i="1"/>
  <c r="M15" i="1"/>
  <c r="O12" i="1"/>
  <c r="K10" i="1"/>
  <c r="N18" i="1"/>
  <c r="P15" i="1"/>
  <c r="L13" i="1"/>
  <c r="N10" i="1"/>
  <c r="O17" i="1"/>
  <c r="M16" i="1"/>
  <c r="M18" i="1"/>
  <c r="O11" i="1"/>
  <c r="L16" i="1"/>
  <c r="P10" i="1"/>
  <c r="M17" i="1"/>
  <c r="K12" i="1"/>
  <c r="R12" i="1" s="1"/>
  <c r="P17" i="1"/>
  <c r="N12" i="1"/>
  <c r="K15" i="1"/>
  <c r="O15" i="1"/>
  <c r="T17" i="6"/>
  <c r="T15" i="1"/>
  <c r="J15" i="1"/>
  <c r="B16" i="1"/>
  <c r="F17" i="8"/>
  <c r="M16" i="8"/>
  <c r="F28" i="1"/>
  <c r="G22" i="1"/>
  <c r="G29" i="1" s="1"/>
  <c r="L15" i="8"/>
  <c r="Q14" i="1"/>
  <c r="F41" i="18"/>
  <c r="B42" i="18"/>
  <c r="C41" i="18"/>
  <c r="D41" i="18"/>
  <c r="Z42" i="15"/>
  <c r="BC42" i="15" s="1"/>
  <c r="V42" i="15"/>
  <c r="AY42" i="15" s="1"/>
  <c r="R42" i="15"/>
  <c r="AU42" i="15" s="1"/>
  <c r="Y42" i="15"/>
  <c r="BB42" i="15" s="1"/>
  <c r="U42" i="15"/>
  <c r="AX42" i="15" s="1"/>
  <c r="X42" i="15"/>
  <c r="BA42" i="15" s="1"/>
  <c r="T42" i="15"/>
  <c r="AW42" i="15" s="1"/>
  <c r="S42" i="15"/>
  <c r="AV42" i="15" s="1"/>
  <c r="AL42" i="15"/>
  <c r="W42" i="15"/>
  <c r="AZ42" i="15" s="1"/>
  <c r="P44" i="15"/>
  <c r="Q43" i="15"/>
  <c r="CK14" i="17"/>
  <c r="J46" i="14"/>
  <c r="FU59" i="14"/>
  <c r="FF59" i="14" s="1"/>
  <c r="U14" i="17"/>
  <c r="CZ15" i="14"/>
  <c r="B106" i="15"/>
  <c r="M98" i="15"/>
  <c r="T18" i="6" l="1"/>
  <c r="R10" i="1"/>
  <c r="K19" i="1"/>
  <c r="R8" i="1"/>
  <c r="R11" i="1"/>
  <c r="R9" i="1"/>
  <c r="F18" i="8"/>
  <c r="M17" i="8"/>
  <c r="T16" i="1"/>
  <c r="B17" i="1"/>
  <c r="J16" i="1"/>
  <c r="Q15" i="1"/>
  <c r="R15" i="1"/>
  <c r="L16" i="8"/>
  <c r="X43" i="15"/>
  <c r="BA43" i="15" s="1"/>
  <c r="T43" i="15"/>
  <c r="AW43" i="15" s="1"/>
  <c r="AL43" i="15"/>
  <c r="W43" i="15"/>
  <c r="AZ43" i="15" s="1"/>
  <c r="S43" i="15"/>
  <c r="AV43" i="15" s="1"/>
  <c r="Z43" i="15"/>
  <c r="BC43" i="15" s="1"/>
  <c r="V43" i="15"/>
  <c r="AY43" i="15" s="1"/>
  <c r="R43" i="15"/>
  <c r="AU43" i="15" s="1"/>
  <c r="Y43" i="15"/>
  <c r="BB43" i="15" s="1"/>
  <c r="U43" i="15"/>
  <c r="AX43" i="15" s="1"/>
  <c r="U15" i="17"/>
  <c r="P45" i="15"/>
  <c r="Q44" i="15"/>
  <c r="F42" i="18"/>
  <c r="B43" i="18"/>
  <c r="C42" i="18"/>
  <c r="D42" i="18"/>
  <c r="B111" i="15"/>
  <c r="M106" i="15"/>
  <c r="CZ16" i="14"/>
  <c r="J47" i="14"/>
  <c r="CK15" i="17"/>
  <c r="L22" i="1" l="1"/>
  <c r="K28" i="1"/>
  <c r="J25" i="1"/>
  <c r="T19" i="6"/>
  <c r="L17" i="8"/>
  <c r="J17" i="1"/>
  <c r="B18" i="1"/>
  <c r="B19" i="1" s="1"/>
  <c r="T17" i="1"/>
  <c r="M18" i="8"/>
  <c r="F19" i="8"/>
  <c r="R16" i="1"/>
  <c r="Q16" i="1"/>
  <c r="B118" i="15"/>
  <c r="M111" i="15"/>
  <c r="AI91" i="15"/>
  <c r="CK16" i="17"/>
  <c r="AL44" i="15"/>
  <c r="Z44" i="15"/>
  <c r="BC44" i="15" s="1"/>
  <c r="V44" i="15"/>
  <c r="AY44" i="15" s="1"/>
  <c r="R44" i="15"/>
  <c r="AU44" i="15" s="1"/>
  <c r="Y44" i="15"/>
  <c r="BB44" i="15" s="1"/>
  <c r="U44" i="15"/>
  <c r="AX44" i="15" s="1"/>
  <c r="X44" i="15"/>
  <c r="BA44" i="15" s="1"/>
  <c r="T44" i="15"/>
  <c r="AW44" i="15" s="1"/>
  <c r="S44" i="15"/>
  <c r="AV44" i="15" s="1"/>
  <c r="W44" i="15"/>
  <c r="AZ44" i="15" s="1"/>
  <c r="J48" i="14"/>
  <c r="CZ17" i="14"/>
  <c r="Q45" i="15"/>
  <c r="P46" i="15"/>
  <c r="B44" i="18"/>
  <c r="F43" i="18"/>
  <c r="D43" i="18"/>
  <c r="C43" i="18"/>
  <c r="U16" i="17"/>
  <c r="T20" i="6" l="1"/>
  <c r="L18" i="8"/>
  <c r="T18" i="1"/>
  <c r="T19" i="1" s="1"/>
  <c r="J18" i="1"/>
  <c r="J19" i="1" s="1"/>
  <c r="F20" i="8"/>
  <c r="M19" i="8"/>
  <c r="Q17" i="1"/>
  <c r="R17" i="1"/>
  <c r="B45" i="18"/>
  <c r="F44" i="18"/>
  <c r="C44" i="18"/>
  <c r="D44" i="18"/>
  <c r="Q46" i="15"/>
  <c r="P47" i="15"/>
  <c r="CZ18" i="14"/>
  <c r="AL45" i="15"/>
  <c r="Y45" i="15"/>
  <c r="BB45" i="15" s="1"/>
  <c r="U45" i="15"/>
  <c r="AX45" i="15" s="1"/>
  <c r="X45" i="15"/>
  <c r="BA45" i="15" s="1"/>
  <c r="T45" i="15"/>
  <c r="AW45" i="15" s="1"/>
  <c r="W45" i="15"/>
  <c r="AZ45" i="15" s="1"/>
  <c r="S45" i="15"/>
  <c r="AV45" i="15" s="1"/>
  <c r="Z45" i="15"/>
  <c r="BC45" i="15" s="1"/>
  <c r="V45" i="15"/>
  <c r="AY45" i="15" s="1"/>
  <c r="R45" i="15"/>
  <c r="AU45" i="15" s="1"/>
  <c r="AT91" i="15"/>
  <c r="U17" i="17"/>
  <c r="J49" i="14"/>
  <c r="CK17" i="17"/>
  <c r="B121" i="15"/>
  <c r="M118" i="15"/>
  <c r="T21" i="6" l="1"/>
  <c r="K21" i="1"/>
  <c r="J22" i="1"/>
  <c r="J28" i="1"/>
  <c r="K24" i="1"/>
  <c r="F21" i="8"/>
  <c r="M20" i="8"/>
  <c r="R18" i="1"/>
  <c r="R19" i="1" s="1"/>
  <c r="Q18" i="1"/>
  <c r="Q19" i="1" s="1"/>
  <c r="L19" i="8"/>
  <c r="M121" i="15"/>
  <c r="B127" i="15"/>
  <c r="AE75" i="15"/>
  <c r="U18" i="17"/>
  <c r="P48" i="15"/>
  <c r="Q47" i="15"/>
  <c r="CK18" i="17"/>
  <c r="J50" i="14"/>
  <c r="CZ19" i="14"/>
  <c r="Y46" i="15"/>
  <c r="BB46" i="15" s="1"/>
  <c r="U46" i="15"/>
  <c r="AX46" i="15" s="1"/>
  <c r="X46" i="15"/>
  <c r="BA46" i="15" s="1"/>
  <c r="T46" i="15"/>
  <c r="AW46" i="15" s="1"/>
  <c r="AL46" i="15"/>
  <c r="W46" i="15"/>
  <c r="AZ46" i="15" s="1"/>
  <c r="S46" i="15"/>
  <c r="AV46" i="15" s="1"/>
  <c r="Z46" i="15"/>
  <c r="BC46" i="15" s="1"/>
  <c r="V46" i="15"/>
  <c r="AY46" i="15" s="1"/>
  <c r="R46" i="15"/>
  <c r="AU46" i="15" s="1"/>
  <c r="F45" i="18"/>
  <c r="B46" i="18"/>
  <c r="C45" i="18"/>
  <c r="D45" i="18"/>
  <c r="T22" i="6" l="1"/>
  <c r="J27" i="1"/>
  <c r="J21" i="1"/>
  <c r="N21" i="1" s="1"/>
  <c r="K27" i="1"/>
  <c r="L21" i="1"/>
  <c r="J24" i="1"/>
  <c r="M24" i="1" s="1"/>
  <c r="L20" i="8"/>
  <c r="F22" i="8"/>
  <c r="M21" i="8"/>
  <c r="AL47" i="15"/>
  <c r="W47" i="15"/>
  <c r="AZ47" i="15" s="1"/>
  <c r="S47" i="15"/>
  <c r="AV47" i="15" s="1"/>
  <c r="Z47" i="15"/>
  <c r="BC47" i="15" s="1"/>
  <c r="V47" i="15"/>
  <c r="AY47" i="15" s="1"/>
  <c r="R47" i="15"/>
  <c r="AU47" i="15" s="1"/>
  <c r="Y47" i="15"/>
  <c r="BB47" i="15" s="1"/>
  <c r="U47" i="15"/>
  <c r="AX47" i="15" s="1"/>
  <c r="X47" i="15"/>
  <c r="BA47" i="15" s="1"/>
  <c r="T47" i="15"/>
  <c r="AW47" i="15" s="1"/>
  <c r="CZ20" i="14"/>
  <c r="J51" i="14"/>
  <c r="CK19" i="17"/>
  <c r="P49" i="15"/>
  <c r="Q48" i="15"/>
  <c r="AP75" i="15"/>
  <c r="F46" i="18"/>
  <c r="B47" i="18"/>
  <c r="D46" i="18"/>
  <c r="C46" i="18"/>
  <c r="U19" i="17"/>
  <c r="B130" i="15"/>
  <c r="M127" i="15"/>
  <c r="M25" i="1" l="1"/>
  <c r="AF2" i="1" s="1"/>
  <c r="T23" i="6"/>
  <c r="L21" i="8"/>
  <c r="F23" i="8"/>
  <c r="M22" i="8"/>
  <c r="D8" i="8"/>
  <c r="M27" i="1"/>
  <c r="M28" i="1" s="1"/>
  <c r="AF3" i="1" s="1"/>
  <c r="U4" i="1" s="1"/>
  <c r="P50" i="15"/>
  <c r="Q49" i="15"/>
  <c r="J52" i="14"/>
  <c r="B133" i="15"/>
  <c r="M130" i="15"/>
  <c r="U20" i="17"/>
  <c r="CZ21" i="14"/>
  <c r="B48" i="18"/>
  <c r="F47" i="18"/>
  <c r="D47" i="18"/>
  <c r="C47" i="18"/>
  <c r="Y48" i="15"/>
  <c r="BB48" i="15" s="1"/>
  <c r="U48" i="15"/>
  <c r="AX48" i="15" s="1"/>
  <c r="X48" i="15"/>
  <c r="BA48" i="15" s="1"/>
  <c r="T48" i="15"/>
  <c r="AW48" i="15" s="1"/>
  <c r="W48" i="15"/>
  <c r="AZ48" i="15" s="1"/>
  <c r="S48" i="15"/>
  <c r="AV48" i="15" s="1"/>
  <c r="AL48" i="15"/>
  <c r="R48" i="15"/>
  <c r="AU48" i="15" s="1"/>
  <c r="Z48" i="15"/>
  <c r="BC48" i="15" s="1"/>
  <c r="V48" i="15"/>
  <c r="AY48" i="15" s="1"/>
  <c r="CK20" i="17"/>
  <c r="T24" i="6" l="1"/>
  <c r="Z8" i="1"/>
  <c r="X9" i="1"/>
  <c r="V10" i="1"/>
  <c r="AH10" i="1"/>
  <c r="AG11" i="1"/>
  <c r="AE12" i="1"/>
  <c r="AC13" i="1"/>
  <c r="AA14" i="1"/>
  <c r="Y15" i="1"/>
  <c r="W16" i="1"/>
  <c r="U17" i="1"/>
  <c r="AG17" i="1"/>
  <c r="AE18" i="1"/>
  <c r="AH8" i="1"/>
  <c r="AH18" i="1"/>
  <c r="AC8" i="1"/>
  <c r="AA9" i="1"/>
  <c r="Y10" i="1"/>
  <c r="W11" i="1"/>
  <c r="V12" i="1"/>
  <c r="AH12" i="1"/>
  <c r="AF13" i="1"/>
  <c r="AD14" i="1"/>
  <c r="AB15" i="1"/>
  <c r="Z16" i="1"/>
  <c r="X17" i="1"/>
  <c r="V18" i="1"/>
  <c r="Y8" i="1"/>
  <c r="W9" i="1"/>
  <c r="Z11" i="1"/>
  <c r="AF8" i="1"/>
  <c r="AD9" i="1"/>
  <c r="AB10" i="1"/>
  <c r="AA11" i="1"/>
  <c r="Y12" i="1"/>
  <c r="W13" i="1"/>
  <c r="U14" i="1"/>
  <c r="AG14" i="1"/>
  <c r="AE15" i="1"/>
  <c r="AC16" i="1"/>
  <c r="AA17" i="1"/>
  <c r="Y18" i="1"/>
  <c r="AB8" i="1"/>
  <c r="Z9" i="1"/>
  <c r="U9" i="1"/>
  <c r="AB12" i="1"/>
  <c r="AH15" i="1"/>
  <c r="AE8" i="1"/>
  <c r="AA10" i="1"/>
  <c r="Y11" i="1"/>
  <c r="AA12" i="1"/>
  <c r="AB13" i="1"/>
  <c r="AC14" i="1"/>
  <c r="AD15" i="1"/>
  <c r="AC17" i="1"/>
  <c r="X10" i="1"/>
  <c r="U15" i="1"/>
  <c r="U8" i="1"/>
  <c r="AG8" i="1"/>
  <c r="AE9" i="1"/>
  <c r="AC10" i="1"/>
  <c r="AB11" i="1"/>
  <c r="Z12" i="1"/>
  <c r="X13" i="1"/>
  <c r="V14" i="1"/>
  <c r="AH14" i="1"/>
  <c r="AF15" i="1"/>
  <c r="AD16" i="1"/>
  <c r="AB17" i="1"/>
  <c r="Z18" i="1"/>
  <c r="AE16" i="1"/>
  <c r="AG18" i="1"/>
  <c r="AE10" i="1"/>
  <c r="X14" i="1"/>
  <c r="AD17" i="1"/>
  <c r="AF9" i="1"/>
  <c r="AG10" i="1"/>
  <c r="U12" i="1"/>
  <c r="V13" i="1"/>
  <c r="W14" i="1"/>
  <c r="X15" i="1"/>
  <c r="Y16" i="1"/>
  <c r="AD18" i="1"/>
  <c r="AG12" i="1"/>
  <c r="W17" i="1"/>
  <c r="AA8" i="1"/>
  <c r="Y9" i="1"/>
  <c r="W10" i="1"/>
  <c r="U11" i="1"/>
  <c r="AH11" i="1"/>
  <c r="AF12" i="1"/>
  <c r="AD13" i="1"/>
  <c r="AB14" i="1"/>
  <c r="Z15" i="1"/>
  <c r="X16" i="1"/>
  <c r="V17" i="1"/>
  <c r="AH17" i="1"/>
  <c r="AF18" i="1"/>
  <c r="AF17" i="1"/>
  <c r="W8" i="1"/>
  <c r="AD11" i="1"/>
  <c r="V15" i="1"/>
  <c r="AB18" i="1"/>
  <c r="U10" i="1"/>
  <c r="V11" i="1"/>
  <c r="X12" i="1"/>
  <c r="Y13" i="1"/>
  <c r="Z14" i="1"/>
  <c r="AA15" i="1"/>
  <c r="AH16" i="1"/>
  <c r="V8" i="1"/>
  <c r="AH13" i="1"/>
  <c r="X18" i="1"/>
  <c r="AD8" i="1"/>
  <c r="AB9" i="1"/>
  <c r="Z10" i="1"/>
  <c r="X11" i="1"/>
  <c r="W12" i="1"/>
  <c r="U13" i="1"/>
  <c r="AG13" i="1"/>
  <c r="AE14" i="1"/>
  <c r="AC15" i="1"/>
  <c r="AA16" i="1"/>
  <c r="Y17" i="1"/>
  <c r="W18" i="1"/>
  <c r="AB16" i="1"/>
  <c r="AA18" i="1"/>
  <c r="AG9" i="1"/>
  <c r="AD10" i="1"/>
  <c r="AF14" i="1"/>
  <c r="V16" i="1"/>
  <c r="AF10" i="1"/>
  <c r="Y14" i="1"/>
  <c r="AE17" i="1"/>
  <c r="Z13" i="1"/>
  <c r="AC11" i="1"/>
  <c r="AG15" i="1"/>
  <c r="X8" i="1"/>
  <c r="AE11" i="1"/>
  <c r="W15" i="1"/>
  <c r="AC18" i="1"/>
  <c r="AF16" i="1"/>
  <c r="AD12" i="1"/>
  <c r="U18" i="1"/>
  <c r="V9" i="1"/>
  <c r="AC12" i="1"/>
  <c r="U16" i="1"/>
  <c r="Z17" i="1"/>
  <c r="AF11" i="1"/>
  <c r="AH9" i="1"/>
  <c r="AC9" i="1"/>
  <c r="AA13" i="1"/>
  <c r="AE13" i="1"/>
  <c r="AG16" i="1"/>
  <c r="F24" i="8"/>
  <c r="M23" i="8"/>
  <c r="V4" i="1"/>
  <c r="L22" i="8"/>
  <c r="D12" i="8"/>
  <c r="D13" i="8" s="1"/>
  <c r="D9" i="8"/>
  <c r="Q50" i="15"/>
  <c r="P51" i="15"/>
  <c r="CK21" i="17"/>
  <c r="M133" i="15"/>
  <c r="B137" i="15"/>
  <c r="AD81" i="15"/>
  <c r="J53" i="14"/>
  <c r="B49" i="18"/>
  <c r="F48" i="18"/>
  <c r="C48" i="18"/>
  <c r="D48" i="18"/>
  <c r="CZ22" i="14"/>
  <c r="U21" i="17"/>
  <c r="AL49" i="15"/>
  <c r="X49" i="15"/>
  <c r="BA49" i="15" s="1"/>
  <c r="T49" i="15"/>
  <c r="AW49" i="15" s="1"/>
  <c r="W49" i="15"/>
  <c r="AZ49" i="15" s="1"/>
  <c r="S49" i="15"/>
  <c r="AV49" i="15" s="1"/>
  <c r="Z49" i="15"/>
  <c r="BC49" i="15" s="1"/>
  <c r="V49" i="15"/>
  <c r="AY49" i="15" s="1"/>
  <c r="R49" i="15"/>
  <c r="AU49" i="15" s="1"/>
  <c r="Y49" i="15"/>
  <c r="BB49" i="15" s="1"/>
  <c r="U49" i="15"/>
  <c r="AX49" i="15" s="1"/>
  <c r="T25" i="6" l="1"/>
  <c r="AE19" i="1"/>
  <c r="Y19" i="1"/>
  <c r="F25" i="8"/>
  <c r="M24" i="8"/>
  <c r="V19" i="1"/>
  <c r="AG19" i="1"/>
  <c r="AB19" i="1"/>
  <c r="AF19" i="1"/>
  <c r="W19" i="1"/>
  <c r="D15" i="8"/>
  <c r="X19" i="1"/>
  <c r="AD19" i="1"/>
  <c r="AA19" i="1"/>
  <c r="U19" i="1"/>
  <c r="AH19" i="1"/>
  <c r="L23" i="8"/>
  <c r="AC19" i="1"/>
  <c r="Z19" i="1"/>
  <c r="AO81" i="15"/>
  <c r="CK22" i="17"/>
  <c r="Y50" i="15"/>
  <c r="BB50" i="15" s="1"/>
  <c r="U50" i="15"/>
  <c r="AX50" i="15" s="1"/>
  <c r="X50" i="15"/>
  <c r="BA50" i="15" s="1"/>
  <c r="T50" i="15"/>
  <c r="AW50" i="15" s="1"/>
  <c r="AL50" i="15"/>
  <c r="W50" i="15"/>
  <c r="AZ50" i="15" s="1"/>
  <c r="S50" i="15"/>
  <c r="AV50" i="15" s="1"/>
  <c r="Z50" i="15"/>
  <c r="BC50" i="15" s="1"/>
  <c r="V50" i="15"/>
  <c r="AY50" i="15" s="1"/>
  <c r="R50" i="15"/>
  <c r="AU50" i="15" s="1"/>
  <c r="J54" i="14"/>
  <c r="B138" i="15"/>
  <c r="M137" i="15"/>
  <c r="AI107" i="15"/>
  <c r="U22" i="17"/>
  <c r="F49" i="18"/>
  <c r="B50" i="18"/>
  <c r="C49" i="18"/>
  <c r="D49" i="18"/>
  <c r="CZ23" i="14"/>
  <c r="P52" i="15"/>
  <c r="Q51" i="15"/>
  <c r="T26" i="6" l="1"/>
  <c r="G23" i="8"/>
  <c r="J23" i="8" s="1"/>
  <c r="K23" i="8" s="1"/>
  <c r="G19" i="8"/>
  <c r="J19" i="8" s="1"/>
  <c r="K19" i="8" s="1"/>
  <c r="G15" i="8"/>
  <c r="J15" i="8" s="1"/>
  <c r="K15" i="8" s="1"/>
  <c r="G11" i="8"/>
  <c r="J11" i="8" s="1"/>
  <c r="K11" i="8" s="1"/>
  <c r="G7" i="8"/>
  <c r="J7" i="8" s="1"/>
  <c r="K7" i="8" s="1"/>
  <c r="G22" i="8"/>
  <c r="J22" i="8" s="1"/>
  <c r="K22" i="8" s="1"/>
  <c r="G18" i="8"/>
  <c r="J18" i="8" s="1"/>
  <c r="K18" i="8" s="1"/>
  <c r="G14" i="8"/>
  <c r="J14" i="8" s="1"/>
  <c r="K14" i="8" s="1"/>
  <c r="G24" i="8"/>
  <c r="J24" i="8" s="1"/>
  <c r="K24" i="8" s="1"/>
  <c r="G20" i="8"/>
  <c r="J20" i="8" s="1"/>
  <c r="K20" i="8" s="1"/>
  <c r="G16" i="8"/>
  <c r="J16" i="8" s="1"/>
  <c r="K16" i="8" s="1"/>
  <c r="G12" i="8"/>
  <c r="J12" i="8" s="1"/>
  <c r="K12" i="8" s="1"/>
  <c r="G8" i="8"/>
  <c r="J8" i="8" s="1"/>
  <c r="K8" i="8" s="1"/>
  <c r="G17" i="8"/>
  <c r="J17" i="8" s="1"/>
  <c r="K17" i="8" s="1"/>
  <c r="G13" i="8"/>
  <c r="J13" i="8" s="1"/>
  <c r="K13" i="8" s="1"/>
  <c r="G25" i="8"/>
  <c r="J25" i="8" s="1"/>
  <c r="K25" i="8" s="1"/>
  <c r="G10" i="8"/>
  <c r="J10" i="8" s="1"/>
  <c r="K10" i="8" s="1"/>
  <c r="G21" i="8"/>
  <c r="J21" i="8" s="1"/>
  <c r="K21" i="8" s="1"/>
  <c r="G9" i="8"/>
  <c r="J9" i="8" s="1"/>
  <c r="K9" i="8" s="1"/>
  <c r="L24" i="8"/>
  <c r="F26" i="8"/>
  <c r="G26" i="8" s="1"/>
  <c r="J26" i="8" s="1"/>
  <c r="K26" i="8" s="1"/>
  <c r="M25" i="8"/>
  <c r="P53" i="15"/>
  <c r="Q52" i="15"/>
  <c r="AT107" i="15"/>
  <c r="AI32" i="15"/>
  <c r="J55" i="14"/>
  <c r="CZ24" i="14"/>
  <c r="M138" i="15"/>
  <c r="B140" i="15"/>
  <c r="W51" i="15"/>
  <c r="AZ51" i="15" s="1"/>
  <c r="S51" i="15"/>
  <c r="AV51" i="15" s="1"/>
  <c r="AL51" i="15"/>
  <c r="Z51" i="15"/>
  <c r="BC51" i="15" s="1"/>
  <c r="V51" i="15"/>
  <c r="AY51" i="15" s="1"/>
  <c r="R51" i="15"/>
  <c r="AU51" i="15" s="1"/>
  <c r="Y51" i="15"/>
  <c r="BB51" i="15" s="1"/>
  <c r="U51" i="15"/>
  <c r="AX51" i="15" s="1"/>
  <c r="T51" i="15"/>
  <c r="AW51" i="15" s="1"/>
  <c r="X51" i="15"/>
  <c r="BA51" i="15" s="1"/>
  <c r="F50" i="18"/>
  <c r="B51" i="18"/>
  <c r="C50" i="18"/>
  <c r="D50" i="18"/>
  <c r="U23" i="17"/>
  <c r="CK23" i="17"/>
  <c r="T27" i="6" l="1"/>
  <c r="N16" i="8"/>
  <c r="P16" i="8"/>
  <c r="O16" i="8"/>
  <c r="F27" i="8"/>
  <c r="M26" i="8"/>
  <c r="O20" i="8"/>
  <c r="N20" i="8"/>
  <c r="P20" i="8"/>
  <c r="N14" i="8"/>
  <c r="O14" i="8"/>
  <c r="P14" i="8"/>
  <c r="P15" i="8"/>
  <c r="N15" i="8"/>
  <c r="O15" i="8"/>
  <c r="L25" i="8"/>
  <c r="P25" i="8" s="1"/>
  <c r="N17" i="8"/>
  <c r="O17" i="8"/>
  <c r="P17" i="8"/>
  <c r="O11" i="8"/>
  <c r="P11" i="8"/>
  <c r="N11" i="8"/>
  <c r="O9" i="8"/>
  <c r="P9" i="8"/>
  <c r="N9" i="8"/>
  <c r="P13" i="8"/>
  <c r="O13" i="8"/>
  <c r="N13" i="8"/>
  <c r="P8" i="8"/>
  <c r="O8" i="8"/>
  <c r="N8" i="8"/>
  <c r="O24" i="8"/>
  <c r="P24" i="8"/>
  <c r="N24" i="8"/>
  <c r="N18" i="8"/>
  <c r="O18" i="8"/>
  <c r="P18" i="8"/>
  <c r="O19" i="8"/>
  <c r="N19" i="8"/>
  <c r="P19" i="8"/>
  <c r="P10" i="8"/>
  <c r="O10" i="8"/>
  <c r="N10" i="8"/>
  <c r="O21" i="8"/>
  <c r="P21" i="8"/>
  <c r="N21" i="8"/>
  <c r="N12" i="8"/>
  <c r="P12" i="8"/>
  <c r="O12" i="8"/>
  <c r="P22" i="8"/>
  <c r="N22" i="8"/>
  <c r="O22" i="8"/>
  <c r="P7" i="8"/>
  <c r="O7" i="8"/>
  <c r="N7" i="8"/>
  <c r="N23" i="8"/>
  <c r="O23" i="8"/>
  <c r="P23" i="8"/>
  <c r="B52" i="18"/>
  <c r="F51" i="18"/>
  <c r="D51" i="18"/>
  <c r="C51" i="18"/>
  <c r="B142" i="15"/>
  <c r="M140" i="15"/>
  <c r="CK24" i="17"/>
  <c r="U24" i="17"/>
  <c r="CZ25" i="14"/>
  <c r="AL52" i="15"/>
  <c r="Z52" i="15"/>
  <c r="BC52" i="15" s="1"/>
  <c r="V52" i="15"/>
  <c r="AY52" i="15" s="1"/>
  <c r="R52" i="15"/>
  <c r="AU52" i="15" s="1"/>
  <c r="Y52" i="15"/>
  <c r="BB52" i="15" s="1"/>
  <c r="U52" i="15"/>
  <c r="AX52" i="15" s="1"/>
  <c r="X52" i="15"/>
  <c r="BA52" i="15" s="1"/>
  <c r="T52" i="15"/>
  <c r="AW52" i="15" s="1"/>
  <c r="S52" i="15"/>
  <c r="AV52" i="15" s="1"/>
  <c r="W52" i="15"/>
  <c r="AZ52" i="15" s="1"/>
  <c r="J56" i="14"/>
  <c r="Q53" i="15"/>
  <c r="P54" i="15"/>
  <c r="T28" i="6" l="1"/>
  <c r="N25" i="8"/>
  <c r="L26" i="8"/>
  <c r="O25" i="8"/>
  <c r="F28" i="8"/>
  <c r="M27" i="8"/>
  <c r="G27" i="8"/>
  <c r="J27" i="8" s="1"/>
  <c r="K27" i="8" s="1"/>
  <c r="U25" i="17"/>
  <c r="CK25" i="17"/>
  <c r="Q54" i="15"/>
  <c r="P55" i="15"/>
  <c r="Y53" i="15"/>
  <c r="BB53" i="15" s="1"/>
  <c r="U53" i="15"/>
  <c r="AX53" i="15" s="1"/>
  <c r="AL53" i="15"/>
  <c r="X53" i="15"/>
  <c r="BA53" i="15" s="1"/>
  <c r="T53" i="15"/>
  <c r="AW53" i="15" s="1"/>
  <c r="W53" i="15"/>
  <c r="AZ53" i="15" s="1"/>
  <c r="S53" i="15"/>
  <c r="AV53" i="15" s="1"/>
  <c r="V53" i="15"/>
  <c r="AY53" i="15" s="1"/>
  <c r="R53" i="15"/>
  <c r="AU53" i="15" s="1"/>
  <c r="Z53" i="15"/>
  <c r="BC53" i="15" s="1"/>
  <c r="J57" i="14"/>
  <c r="CZ26" i="14"/>
  <c r="B146" i="15"/>
  <c r="M142" i="15"/>
  <c r="B53" i="18"/>
  <c r="F52" i="18"/>
  <c r="C52" i="18"/>
  <c r="D52" i="18"/>
  <c r="T29" i="6" l="1"/>
  <c r="L27" i="8"/>
  <c r="O27" i="8" s="1"/>
  <c r="F29" i="8"/>
  <c r="M28" i="8"/>
  <c r="G28" i="8"/>
  <c r="J28" i="8" s="1"/>
  <c r="K28" i="8" s="1"/>
  <c r="P27" i="8"/>
  <c r="N27" i="8"/>
  <c r="P26" i="8"/>
  <c r="N26" i="8"/>
  <c r="O26" i="8"/>
  <c r="Z54" i="15"/>
  <c r="BC54" i="15" s="1"/>
  <c r="V54" i="15"/>
  <c r="AY54" i="15" s="1"/>
  <c r="R54" i="15"/>
  <c r="AU54" i="15" s="1"/>
  <c r="AL54" i="15"/>
  <c r="Y54" i="15"/>
  <c r="BB54" i="15" s="1"/>
  <c r="U54" i="15"/>
  <c r="AX54" i="15" s="1"/>
  <c r="X54" i="15"/>
  <c r="BA54" i="15" s="1"/>
  <c r="T54" i="15"/>
  <c r="AW54" i="15" s="1"/>
  <c r="S54" i="15"/>
  <c r="AV54" i="15" s="1"/>
  <c r="W54" i="15"/>
  <c r="AZ54" i="15" s="1"/>
  <c r="F53" i="18"/>
  <c r="B54" i="18"/>
  <c r="C53" i="18"/>
  <c r="D53" i="18"/>
  <c r="J58" i="14"/>
  <c r="CZ27" i="14"/>
  <c r="CK26" i="17"/>
  <c r="B151" i="15"/>
  <c r="M146" i="15"/>
  <c r="Q55" i="15"/>
  <c r="P56" i="15"/>
  <c r="U26" i="17"/>
  <c r="T30" i="6" l="1"/>
  <c r="F30" i="8"/>
  <c r="M29" i="8"/>
  <c r="G29" i="8"/>
  <c r="J29" i="8" s="1"/>
  <c r="K29" i="8" s="1"/>
  <c r="V43" i="8"/>
  <c r="U43" i="8"/>
  <c r="W43" i="8"/>
  <c r="L28" i="8"/>
  <c r="P28" i="8" s="1"/>
  <c r="U27" i="17"/>
  <c r="M151" i="15"/>
  <c r="B153" i="15"/>
  <c r="CZ28" i="14"/>
  <c r="F54" i="18"/>
  <c r="B55" i="18"/>
  <c r="C54" i="18"/>
  <c r="D54" i="18"/>
  <c r="P57" i="15"/>
  <c r="Q56" i="15"/>
  <c r="J59" i="14"/>
  <c r="Z55" i="15"/>
  <c r="BC55" i="15" s="1"/>
  <c r="V55" i="15"/>
  <c r="AY55" i="15" s="1"/>
  <c r="R55" i="15"/>
  <c r="AU55" i="15" s="1"/>
  <c r="AL55" i="15"/>
  <c r="Y55" i="15"/>
  <c r="BB55" i="15" s="1"/>
  <c r="U55" i="15"/>
  <c r="AX55" i="15" s="1"/>
  <c r="X55" i="15"/>
  <c r="BA55" i="15" s="1"/>
  <c r="T55" i="15"/>
  <c r="AW55" i="15" s="1"/>
  <c r="W55" i="15"/>
  <c r="AZ55" i="15" s="1"/>
  <c r="S55" i="15"/>
  <c r="AV55" i="15" s="1"/>
  <c r="CK27" i="17"/>
  <c r="T31" i="6" l="1"/>
  <c r="N28" i="8"/>
  <c r="F31" i="8"/>
  <c r="M30" i="8"/>
  <c r="G30" i="8"/>
  <c r="J30" i="8" s="1"/>
  <c r="K30" i="8" s="1"/>
  <c r="O28" i="8"/>
  <c r="L29" i="8"/>
  <c r="N29" i="8" s="1"/>
  <c r="AL56" i="15"/>
  <c r="W56" i="15"/>
  <c r="AZ56" i="15" s="1"/>
  <c r="S56" i="15"/>
  <c r="AV56" i="15" s="1"/>
  <c r="Z56" i="15"/>
  <c r="BC56" i="15" s="1"/>
  <c r="V56" i="15"/>
  <c r="AY56" i="15" s="1"/>
  <c r="R56" i="15"/>
  <c r="AU56" i="15" s="1"/>
  <c r="Y56" i="15"/>
  <c r="BB56" i="15" s="1"/>
  <c r="U56" i="15"/>
  <c r="AX56" i="15" s="1"/>
  <c r="T56" i="15"/>
  <c r="AW56" i="15" s="1"/>
  <c r="X56" i="15"/>
  <c r="BA56" i="15" s="1"/>
  <c r="B56" i="18"/>
  <c r="F55" i="18"/>
  <c r="D55" i="18"/>
  <c r="C55" i="18"/>
  <c r="U28" i="17"/>
  <c r="J60" i="14"/>
  <c r="Q57" i="15"/>
  <c r="P58" i="15"/>
  <c r="CZ29" i="14"/>
  <c r="CK28" i="17"/>
  <c r="M153" i="15"/>
  <c r="AG105" i="15"/>
  <c r="B154" i="15"/>
  <c r="T32" i="6" l="1"/>
  <c r="F32" i="8"/>
  <c r="M31" i="8"/>
  <c r="G31" i="8"/>
  <c r="J31" i="8" s="1"/>
  <c r="K31" i="8" s="1"/>
  <c r="P29" i="8"/>
  <c r="O29" i="8"/>
  <c r="N30" i="8"/>
  <c r="L30" i="8"/>
  <c r="O30" i="8" s="1"/>
  <c r="Q58" i="15"/>
  <c r="P59" i="15"/>
  <c r="B156" i="15"/>
  <c r="M154" i="15"/>
  <c r="AL57" i="15"/>
  <c r="Y57" i="15"/>
  <c r="BB57" i="15" s="1"/>
  <c r="U57" i="15"/>
  <c r="AX57" i="15" s="1"/>
  <c r="X57" i="15"/>
  <c r="BA57" i="15" s="1"/>
  <c r="T57" i="15"/>
  <c r="AW57" i="15" s="1"/>
  <c r="W57" i="15"/>
  <c r="AZ57" i="15" s="1"/>
  <c r="S57" i="15"/>
  <c r="AV57" i="15" s="1"/>
  <c r="Z57" i="15"/>
  <c r="BC57" i="15" s="1"/>
  <c r="V57" i="15"/>
  <c r="AY57" i="15" s="1"/>
  <c r="R57" i="15"/>
  <c r="AU57" i="15" s="1"/>
  <c r="U29" i="17"/>
  <c r="B57" i="18"/>
  <c r="F56" i="18"/>
  <c r="C56" i="18"/>
  <c r="D56" i="18"/>
  <c r="AR105" i="15"/>
  <c r="CZ30" i="14"/>
  <c r="J61" i="14"/>
  <c r="CK29" i="17"/>
  <c r="P30" i="8" l="1"/>
  <c r="T33" i="6"/>
  <c r="F33" i="8"/>
  <c r="M32" i="8"/>
  <c r="G32" i="8"/>
  <c r="J32" i="8" s="1"/>
  <c r="K32" i="8" s="1"/>
  <c r="L31" i="8"/>
  <c r="N31" i="8" s="1"/>
  <c r="J62" i="14"/>
  <c r="CZ31" i="14"/>
  <c r="B160" i="15"/>
  <c r="M156" i="15"/>
  <c r="F57" i="18"/>
  <c r="B58" i="18"/>
  <c r="D57" i="18"/>
  <c r="C57" i="18"/>
  <c r="P60" i="15"/>
  <c r="Q59" i="15"/>
  <c r="CK30" i="17"/>
  <c r="U30" i="17"/>
  <c r="Y58" i="15"/>
  <c r="BB58" i="15" s="1"/>
  <c r="U58" i="15"/>
  <c r="AX58" i="15" s="1"/>
  <c r="X58" i="15"/>
  <c r="BA58" i="15" s="1"/>
  <c r="T58" i="15"/>
  <c r="AW58" i="15" s="1"/>
  <c r="AL58" i="15"/>
  <c r="W58" i="15"/>
  <c r="AZ58" i="15" s="1"/>
  <c r="S58" i="15"/>
  <c r="AV58" i="15" s="1"/>
  <c r="V58" i="15"/>
  <c r="AY58" i="15" s="1"/>
  <c r="R58" i="15"/>
  <c r="AU58" i="15" s="1"/>
  <c r="Z58" i="15"/>
  <c r="BC58" i="15" s="1"/>
  <c r="P31" i="8" l="1"/>
  <c r="T34" i="6"/>
  <c r="O31" i="8"/>
  <c r="L32" i="8"/>
  <c r="P32" i="8" s="1"/>
  <c r="F34" i="8"/>
  <c r="M33" i="8"/>
  <c r="G33" i="8"/>
  <c r="J33" i="8" s="1"/>
  <c r="K33" i="8" s="1"/>
  <c r="CK31" i="17"/>
  <c r="J63" i="14"/>
  <c r="W59" i="15"/>
  <c r="AZ59" i="15" s="1"/>
  <c r="S59" i="15"/>
  <c r="AV59" i="15" s="1"/>
  <c r="Z59" i="15"/>
  <c r="BC59" i="15" s="1"/>
  <c r="V59" i="15"/>
  <c r="AY59" i="15" s="1"/>
  <c r="R59" i="15"/>
  <c r="AU59" i="15" s="1"/>
  <c r="Y59" i="15"/>
  <c r="BB59" i="15" s="1"/>
  <c r="U59" i="15"/>
  <c r="AX59" i="15" s="1"/>
  <c r="X59" i="15"/>
  <c r="BA59" i="15" s="1"/>
  <c r="T59" i="15"/>
  <c r="AW59" i="15" s="1"/>
  <c r="AL59" i="15"/>
  <c r="F58" i="18"/>
  <c r="B59" i="18"/>
  <c r="D58" i="18"/>
  <c r="C58" i="18"/>
  <c r="B163" i="15"/>
  <c r="M160" i="15"/>
  <c r="U31" i="17"/>
  <c r="P61" i="15"/>
  <c r="Q60" i="15"/>
  <c r="CZ32" i="14"/>
  <c r="T35" i="6" l="1"/>
  <c r="L33" i="8"/>
  <c r="O32" i="8"/>
  <c r="M34" i="8"/>
  <c r="G34" i="8"/>
  <c r="J34" i="8" s="1"/>
  <c r="K34" i="8" s="1"/>
  <c r="N32" i="8"/>
  <c r="N33" i="8"/>
  <c r="O33" i="8"/>
  <c r="P33" i="8"/>
  <c r="B61" i="18"/>
  <c r="F59" i="18"/>
  <c r="D59" i="18"/>
  <c r="C59" i="18"/>
  <c r="U32" i="17"/>
  <c r="M163" i="15"/>
  <c r="B165" i="15"/>
  <c r="CK32" i="17"/>
  <c r="CZ33" i="14"/>
  <c r="AL60" i="15"/>
  <c r="X60" i="15"/>
  <c r="BA60" i="15" s="1"/>
  <c r="T60" i="15"/>
  <c r="AW60" i="15" s="1"/>
  <c r="W60" i="15"/>
  <c r="AZ60" i="15" s="1"/>
  <c r="S60" i="15"/>
  <c r="AV60" i="15" s="1"/>
  <c r="Z60" i="15"/>
  <c r="BC60" i="15" s="1"/>
  <c r="V60" i="15"/>
  <c r="AY60" i="15" s="1"/>
  <c r="R60" i="15"/>
  <c r="AU60" i="15" s="1"/>
  <c r="Y60" i="15"/>
  <c r="BB60" i="15" s="1"/>
  <c r="U60" i="15"/>
  <c r="AX60" i="15" s="1"/>
  <c r="J64" i="14"/>
  <c r="P62" i="15"/>
  <c r="Q61" i="15"/>
  <c r="T36" i="6" l="1"/>
  <c r="O34" i="8"/>
  <c r="L34" i="8"/>
  <c r="N34" i="8" s="1"/>
  <c r="J65" i="14"/>
  <c r="CK33" i="17"/>
  <c r="CZ34" i="14"/>
  <c r="Y61" i="15"/>
  <c r="BB61" i="15" s="1"/>
  <c r="U61" i="15"/>
  <c r="AX61" i="15" s="1"/>
  <c r="X61" i="15"/>
  <c r="BA61" i="15" s="1"/>
  <c r="T61" i="15"/>
  <c r="AW61" i="15" s="1"/>
  <c r="W61" i="15"/>
  <c r="AZ61" i="15" s="1"/>
  <c r="S61" i="15"/>
  <c r="AV61" i="15" s="1"/>
  <c r="V61" i="15"/>
  <c r="AY61" i="15" s="1"/>
  <c r="AL61" i="15"/>
  <c r="R61" i="15"/>
  <c r="AU61" i="15" s="1"/>
  <c r="Z61" i="15"/>
  <c r="BC61" i="15" s="1"/>
  <c r="P63" i="15"/>
  <c r="Q62" i="15"/>
  <c r="M165" i="15"/>
  <c r="AH117" i="15"/>
  <c r="B166" i="15"/>
  <c r="U33" i="17"/>
  <c r="F61" i="18"/>
  <c r="B62" i="18"/>
  <c r="C61" i="18"/>
  <c r="D61" i="18"/>
  <c r="P34" i="8" l="1"/>
  <c r="T37" i="6"/>
  <c r="N3" i="8"/>
  <c r="P3" i="8"/>
  <c r="Y34" i="8" s="1"/>
  <c r="O3" i="8"/>
  <c r="B168" i="15"/>
  <c r="M166" i="15"/>
  <c r="Q63" i="15"/>
  <c r="P64" i="15"/>
  <c r="U34" i="17"/>
  <c r="AS117" i="15"/>
  <c r="CK34" i="17"/>
  <c r="J66" i="14"/>
  <c r="F62" i="18"/>
  <c r="B63" i="18"/>
  <c r="D62" i="18"/>
  <c r="C62" i="18"/>
  <c r="X62" i="15"/>
  <c r="BA62" i="15" s="1"/>
  <c r="T62" i="15"/>
  <c r="AW62" i="15" s="1"/>
  <c r="AL62" i="15"/>
  <c r="W62" i="15"/>
  <c r="AZ62" i="15" s="1"/>
  <c r="S62" i="15"/>
  <c r="AV62" i="15" s="1"/>
  <c r="Z62" i="15"/>
  <c r="BC62" i="15" s="1"/>
  <c r="V62" i="15"/>
  <c r="AY62" i="15" s="1"/>
  <c r="R62" i="15"/>
  <c r="AU62" i="15" s="1"/>
  <c r="Y62" i="15"/>
  <c r="BB62" i="15" s="1"/>
  <c r="U62" i="15"/>
  <c r="AX62" i="15" s="1"/>
  <c r="CZ35" i="14"/>
  <c r="T38" i="6" l="1"/>
  <c r="AE34" i="8"/>
  <c r="AB34" i="8"/>
  <c r="U32" i="8"/>
  <c r="U28" i="8"/>
  <c r="U24" i="8"/>
  <c r="U20" i="8"/>
  <c r="U16" i="8"/>
  <c r="U12" i="8"/>
  <c r="U8" i="8"/>
  <c r="V42" i="8"/>
  <c r="U31" i="8"/>
  <c r="U27" i="8"/>
  <c r="U23" i="8"/>
  <c r="U19" i="8"/>
  <c r="U15" i="8"/>
  <c r="U11" i="8"/>
  <c r="U7" i="8"/>
  <c r="U34" i="8"/>
  <c r="U26" i="8"/>
  <c r="U18" i="8"/>
  <c r="U10" i="8"/>
  <c r="U33" i="8"/>
  <c r="U25" i="8"/>
  <c r="U17" i="8"/>
  <c r="U9" i="8"/>
  <c r="U30" i="8"/>
  <c r="U22" i="8"/>
  <c r="U14" i="8"/>
  <c r="U21" i="8"/>
  <c r="U13" i="8"/>
  <c r="U29" i="8"/>
  <c r="X18" i="8"/>
  <c r="X17" i="8"/>
  <c r="X24" i="8"/>
  <c r="X21" i="8"/>
  <c r="X13" i="8"/>
  <c r="X15" i="8"/>
  <c r="X10" i="8"/>
  <c r="X8" i="8"/>
  <c r="X16" i="8"/>
  <c r="X12" i="8"/>
  <c r="X9" i="8"/>
  <c r="X14" i="8"/>
  <c r="X7" i="8"/>
  <c r="X11" i="8"/>
  <c r="X23" i="8"/>
  <c r="X22" i="8"/>
  <c r="X20" i="8"/>
  <c r="X19" i="8"/>
  <c r="X25" i="8"/>
  <c r="X27" i="8"/>
  <c r="X26" i="8"/>
  <c r="X28" i="8"/>
  <c r="X30" i="8"/>
  <c r="X29" i="8"/>
  <c r="X31" i="8"/>
  <c r="X33" i="8"/>
  <c r="X32" i="8"/>
  <c r="T27" i="8"/>
  <c r="T21" i="8"/>
  <c r="T15" i="8"/>
  <c r="T10" i="8"/>
  <c r="U42" i="8"/>
  <c r="T30" i="8"/>
  <c r="T20" i="8"/>
  <c r="T25" i="8"/>
  <c r="T19" i="8"/>
  <c r="T14" i="8"/>
  <c r="T9" i="8"/>
  <c r="T34" i="8"/>
  <c r="T28" i="8"/>
  <c r="T17" i="8"/>
  <c r="T23" i="8"/>
  <c r="T12" i="8"/>
  <c r="T33" i="8"/>
  <c r="T13" i="8"/>
  <c r="T22" i="8"/>
  <c r="T11" i="8"/>
  <c r="T32" i="8"/>
  <c r="T31" i="8"/>
  <c r="T18" i="8"/>
  <c r="T8" i="8"/>
  <c r="T26" i="8"/>
  <c r="T7" i="8"/>
  <c r="T24" i="8"/>
  <c r="T29" i="8"/>
  <c r="T16" i="8"/>
  <c r="W8" i="8"/>
  <c r="W12" i="8"/>
  <c r="W24" i="8"/>
  <c r="W14" i="8"/>
  <c r="W10" i="8"/>
  <c r="W21" i="8"/>
  <c r="W9" i="8"/>
  <c r="W13" i="8"/>
  <c r="W20" i="8"/>
  <c r="W23" i="8"/>
  <c r="W19" i="8"/>
  <c r="W7" i="8"/>
  <c r="W17" i="8"/>
  <c r="W18" i="8"/>
  <c r="W11" i="8"/>
  <c r="W16" i="8"/>
  <c r="W22" i="8"/>
  <c r="W15" i="8"/>
  <c r="W25" i="8"/>
  <c r="W27" i="8"/>
  <c r="W26" i="8"/>
  <c r="W29" i="8"/>
  <c r="W28" i="8"/>
  <c r="W30" i="8"/>
  <c r="W31" i="8"/>
  <c r="W33" i="8"/>
  <c r="W32" i="8"/>
  <c r="X34" i="8"/>
  <c r="W34" i="8"/>
  <c r="W42" i="8"/>
  <c r="V31" i="8"/>
  <c r="V27" i="8"/>
  <c r="V23" i="8"/>
  <c r="V19" i="8"/>
  <c r="V15" i="8"/>
  <c r="V11" i="8"/>
  <c r="V33" i="8"/>
  <c r="V29" i="8"/>
  <c r="V25" i="8"/>
  <c r="V21" i="8"/>
  <c r="V17" i="8"/>
  <c r="V13" i="8"/>
  <c r="V9" i="8"/>
  <c r="V32" i="8"/>
  <c r="V28" i="8"/>
  <c r="V24" i="8"/>
  <c r="V20" i="8"/>
  <c r="V16" i="8"/>
  <c r="V12" i="8"/>
  <c r="V8" i="8"/>
  <c r="V30" i="8"/>
  <c r="V14" i="8"/>
  <c r="V26" i="8"/>
  <c r="V10" i="8"/>
  <c r="V22" i="8"/>
  <c r="V7" i="8"/>
  <c r="V34" i="8"/>
  <c r="V18" i="8"/>
  <c r="Y25" i="8"/>
  <c r="Y17" i="8"/>
  <c r="Y16" i="8"/>
  <c r="Y12" i="8"/>
  <c r="Y22" i="8"/>
  <c r="Y8" i="8"/>
  <c r="Y20" i="8"/>
  <c r="Y7" i="8"/>
  <c r="Y14" i="8"/>
  <c r="Y11" i="8"/>
  <c r="Y23" i="8"/>
  <c r="Y10" i="8"/>
  <c r="Y13" i="8"/>
  <c r="Y18" i="8"/>
  <c r="Y21" i="8"/>
  <c r="Y19" i="8"/>
  <c r="Y9" i="8"/>
  <c r="Y24" i="8"/>
  <c r="Y15" i="8"/>
  <c r="Y27" i="8"/>
  <c r="Y26" i="8"/>
  <c r="Y28" i="8"/>
  <c r="Y30" i="8"/>
  <c r="Y29" i="8"/>
  <c r="Y31" i="8"/>
  <c r="Y32" i="8"/>
  <c r="Y33" i="8"/>
  <c r="B64" i="18"/>
  <c r="F63" i="18"/>
  <c r="D63" i="18"/>
  <c r="C63" i="18"/>
  <c r="P65" i="15"/>
  <c r="Q64" i="15"/>
  <c r="U35" i="17"/>
  <c r="Z63" i="15"/>
  <c r="BC63" i="15" s="1"/>
  <c r="V63" i="15"/>
  <c r="AY63" i="15" s="1"/>
  <c r="R63" i="15"/>
  <c r="AU63" i="15" s="1"/>
  <c r="Y63" i="15"/>
  <c r="BB63" i="15" s="1"/>
  <c r="U63" i="15"/>
  <c r="AX63" i="15" s="1"/>
  <c r="AL63" i="15"/>
  <c r="X63" i="15"/>
  <c r="BA63" i="15" s="1"/>
  <c r="T63" i="15"/>
  <c r="AW63" i="15" s="1"/>
  <c r="W63" i="15"/>
  <c r="AZ63" i="15" s="1"/>
  <c r="S63" i="15"/>
  <c r="AV63" i="15" s="1"/>
  <c r="J67" i="14"/>
  <c r="CK35" i="17"/>
  <c r="CZ36" i="14"/>
  <c r="B169" i="15"/>
  <c r="M168" i="15"/>
  <c r="T39" i="6" l="1"/>
  <c r="AE29" i="8"/>
  <c r="AB29" i="8"/>
  <c r="AE27" i="8"/>
  <c r="AB27" i="8"/>
  <c r="AE19" i="8"/>
  <c r="AB19" i="8"/>
  <c r="AB10" i="8"/>
  <c r="AE10" i="8"/>
  <c r="AB7" i="8"/>
  <c r="AE7" i="8"/>
  <c r="AE12" i="8"/>
  <c r="AB12" i="8"/>
  <c r="AC32" i="8"/>
  <c r="Z32" i="8"/>
  <c r="AC28" i="8"/>
  <c r="Z28" i="8"/>
  <c r="AC25" i="8"/>
  <c r="Z25" i="8"/>
  <c r="AC11" i="8"/>
  <c r="Z11" i="8"/>
  <c r="AC19" i="8"/>
  <c r="Z19" i="8"/>
  <c r="Z9" i="8"/>
  <c r="AC9" i="8"/>
  <c r="AC24" i="8"/>
  <c r="Z24" i="8"/>
  <c r="AD32" i="8"/>
  <c r="AA32" i="8"/>
  <c r="AD30" i="8"/>
  <c r="AA30" i="8"/>
  <c r="AD25" i="8"/>
  <c r="AA25" i="8"/>
  <c r="AD23" i="8"/>
  <c r="AA23" i="8"/>
  <c r="AA9" i="8"/>
  <c r="AD9" i="8"/>
  <c r="AA10" i="8"/>
  <c r="AD10" i="8"/>
  <c r="AD24" i="8"/>
  <c r="AA24" i="8"/>
  <c r="AE33" i="8"/>
  <c r="AB33" i="8"/>
  <c r="AE30" i="8"/>
  <c r="AB30" i="8"/>
  <c r="AE15" i="8"/>
  <c r="AB15" i="8"/>
  <c r="AE21" i="8"/>
  <c r="AB21" i="8"/>
  <c r="AE23" i="8"/>
  <c r="AB23" i="8"/>
  <c r="AE20" i="8"/>
  <c r="AB20" i="8"/>
  <c r="AE16" i="8"/>
  <c r="AB16" i="8"/>
  <c r="AC34" i="8"/>
  <c r="Z34" i="8"/>
  <c r="AC33" i="8"/>
  <c r="Z33" i="8"/>
  <c r="AC29" i="8"/>
  <c r="Z29" i="8"/>
  <c r="AC15" i="8"/>
  <c r="Z15" i="8"/>
  <c r="AC18" i="8"/>
  <c r="Z18" i="8"/>
  <c r="AC23" i="8"/>
  <c r="Z23" i="8"/>
  <c r="AC21" i="8"/>
  <c r="Z21" i="8"/>
  <c r="AC12" i="8"/>
  <c r="Z12" i="8"/>
  <c r="AD33" i="8"/>
  <c r="AA33" i="8"/>
  <c r="AD28" i="8"/>
  <c r="AA28" i="8"/>
  <c r="AD19" i="8"/>
  <c r="AA19" i="8"/>
  <c r="AD11" i="8"/>
  <c r="AA11" i="8"/>
  <c r="AD12" i="8"/>
  <c r="AA12" i="8"/>
  <c r="AD15" i="8"/>
  <c r="AA15" i="8"/>
  <c r="AD17" i="8"/>
  <c r="AA17" i="8"/>
  <c r="AE32" i="8"/>
  <c r="AB32" i="8"/>
  <c r="AE28" i="8"/>
  <c r="AB28" i="8"/>
  <c r="AE24" i="8"/>
  <c r="AB24" i="8"/>
  <c r="AE18" i="8"/>
  <c r="AB18" i="8"/>
  <c r="AE11" i="8"/>
  <c r="AB11" i="8"/>
  <c r="AB8" i="8"/>
  <c r="AE8" i="8"/>
  <c r="AE17" i="8"/>
  <c r="AB17" i="8"/>
  <c r="AC31" i="8"/>
  <c r="Z31" i="8"/>
  <c r="AC26" i="8"/>
  <c r="Z26" i="8"/>
  <c r="AC22" i="8"/>
  <c r="Z22" i="8"/>
  <c r="AC17" i="8"/>
  <c r="Z17" i="8"/>
  <c r="AC20" i="8"/>
  <c r="Z20" i="8"/>
  <c r="Z10" i="8"/>
  <c r="AC10" i="8"/>
  <c r="Z8" i="8"/>
  <c r="AC8" i="8"/>
  <c r="AD31" i="8"/>
  <c r="AA31" i="8"/>
  <c r="AD26" i="8"/>
  <c r="AA26" i="8"/>
  <c r="AD20" i="8"/>
  <c r="AA20" i="8"/>
  <c r="AA7" i="8"/>
  <c r="AD7" i="8"/>
  <c r="AD16" i="8"/>
  <c r="AA16" i="8"/>
  <c r="AD13" i="8"/>
  <c r="AA13" i="8"/>
  <c r="AD18" i="8"/>
  <c r="AA18" i="8"/>
  <c r="AE31" i="8"/>
  <c r="AB31" i="8"/>
  <c r="AE26" i="8"/>
  <c r="AB26" i="8"/>
  <c r="AB9" i="8"/>
  <c r="AE9" i="8"/>
  <c r="AE13" i="8"/>
  <c r="AB13" i="8"/>
  <c r="AE14" i="8"/>
  <c r="AB14" i="8"/>
  <c r="AE22" i="8"/>
  <c r="AB22" i="8"/>
  <c r="AE25" i="8"/>
  <c r="AB25" i="8"/>
  <c r="AD34" i="8"/>
  <c r="AA34" i="8"/>
  <c r="AC30" i="8"/>
  <c r="Z30" i="8"/>
  <c r="AC27" i="8"/>
  <c r="Z27" i="8"/>
  <c r="AC16" i="8"/>
  <c r="Z16" i="8"/>
  <c r="Z7" i="8"/>
  <c r="AC7" i="8"/>
  <c r="AC13" i="8"/>
  <c r="Z13" i="8"/>
  <c r="AC14" i="8"/>
  <c r="Z14" i="8"/>
  <c r="AD29" i="8"/>
  <c r="AA29" i="8"/>
  <c r="AD27" i="8"/>
  <c r="AA27" i="8"/>
  <c r="AD22" i="8"/>
  <c r="AA22" i="8"/>
  <c r="AD14" i="8"/>
  <c r="AA14" i="8"/>
  <c r="AA8" i="8"/>
  <c r="AD8" i="8"/>
  <c r="AD21" i="8"/>
  <c r="AA21" i="8"/>
  <c r="CZ37" i="14"/>
  <c r="U36" i="17"/>
  <c r="W64" i="15"/>
  <c r="AZ64" i="15" s="1"/>
  <c r="S64" i="15"/>
  <c r="AV64" i="15" s="1"/>
  <c r="AL64" i="15"/>
  <c r="Z64" i="15"/>
  <c r="BC64" i="15" s="1"/>
  <c r="V64" i="15"/>
  <c r="AY64" i="15" s="1"/>
  <c r="R64" i="15"/>
  <c r="AU64" i="15" s="1"/>
  <c r="Y64" i="15"/>
  <c r="BB64" i="15" s="1"/>
  <c r="U64" i="15"/>
  <c r="AX64" i="15" s="1"/>
  <c r="X64" i="15"/>
  <c r="BA64" i="15" s="1"/>
  <c r="T64" i="15"/>
  <c r="AW64" i="15" s="1"/>
  <c r="B171" i="15"/>
  <c r="M169" i="15"/>
  <c r="CK36" i="17"/>
  <c r="Q65" i="15"/>
  <c r="P66" i="15"/>
  <c r="J68" i="14"/>
  <c r="B65" i="18"/>
  <c r="F64" i="18"/>
  <c r="C64" i="18"/>
  <c r="D64" i="18"/>
  <c r="T40" i="6" l="1"/>
  <c r="R5" i="8"/>
  <c r="AC5" i="8"/>
  <c r="U41" i="8" s="1"/>
  <c r="Q5" i="8"/>
  <c r="AE5" i="8"/>
  <c r="W41" i="8" s="1"/>
  <c r="AD5" i="8"/>
  <c r="V41" i="8" s="1"/>
  <c r="S5" i="8"/>
  <c r="Z65" i="15"/>
  <c r="BC65" i="15" s="1"/>
  <c r="V65" i="15"/>
  <c r="AY65" i="15" s="1"/>
  <c r="R65" i="15"/>
  <c r="AU65" i="15" s="1"/>
  <c r="AL65" i="15"/>
  <c r="Y65" i="15"/>
  <c r="BB65" i="15" s="1"/>
  <c r="U65" i="15"/>
  <c r="AX65" i="15" s="1"/>
  <c r="X65" i="15"/>
  <c r="BA65" i="15" s="1"/>
  <c r="T65" i="15"/>
  <c r="AW65" i="15" s="1"/>
  <c r="W65" i="15"/>
  <c r="AZ65" i="15" s="1"/>
  <c r="S65" i="15"/>
  <c r="AV65" i="15" s="1"/>
  <c r="CZ38" i="14"/>
  <c r="F65" i="18"/>
  <c r="B66" i="18"/>
  <c r="D65" i="18"/>
  <c r="C65" i="18"/>
  <c r="CK37" i="17"/>
  <c r="M171" i="15"/>
  <c r="B172" i="15"/>
  <c r="J69" i="14"/>
  <c r="P67" i="15"/>
  <c r="Q66" i="15"/>
  <c r="U37" i="17"/>
  <c r="T41" i="6" l="1"/>
  <c r="U40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R7" i="8"/>
  <c r="R8" i="8"/>
  <c r="R10" i="8"/>
  <c r="V40" i="8"/>
  <c r="R9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W40" i="8"/>
  <c r="S9" i="8"/>
  <c r="S10" i="8"/>
  <c r="S7" i="8"/>
  <c r="S8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U38" i="17"/>
  <c r="M172" i="15"/>
  <c r="AE107" i="15"/>
  <c r="B174" i="15"/>
  <c r="F66" i="18"/>
  <c r="B67" i="18"/>
  <c r="C66" i="18"/>
  <c r="D66" i="18"/>
  <c r="Z66" i="15"/>
  <c r="BC66" i="15" s="1"/>
  <c r="V66" i="15"/>
  <c r="AY66" i="15" s="1"/>
  <c r="R66" i="15"/>
  <c r="AU66" i="15" s="1"/>
  <c r="Y66" i="15"/>
  <c r="BB66" i="15" s="1"/>
  <c r="U66" i="15"/>
  <c r="AX66" i="15" s="1"/>
  <c r="X66" i="15"/>
  <c r="BA66" i="15" s="1"/>
  <c r="T66" i="15"/>
  <c r="AW66" i="15" s="1"/>
  <c r="AL66" i="15"/>
  <c r="W66" i="15"/>
  <c r="AZ66" i="15" s="1"/>
  <c r="S66" i="15"/>
  <c r="AV66" i="15" s="1"/>
  <c r="CZ39" i="14"/>
  <c r="P68" i="15"/>
  <c r="Q67" i="15"/>
  <c r="J70" i="14"/>
  <c r="CK38" i="17"/>
  <c r="T42" i="6" l="1"/>
  <c r="CZ40" i="14"/>
  <c r="B68" i="18"/>
  <c r="F67" i="18"/>
  <c r="D67" i="18"/>
  <c r="C67" i="18"/>
  <c r="J71" i="14"/>
  <c r="CK39" i="17"/>
  <c r="AL67" i="15"/>
  <c r="X67" i="15"/>
  <c r="BA67" i="15" s="1"/>
  <c r="T67" i="15"/>
  <c r="AW67" i="15" s="1"/>
  <c r="W67" i="15"/>
  <c r="AZ67" i="15" s="1"/>
  <c r="S67" i="15"/>
  <c r="AV67" i="15" s="1"/>
  <c r="Z67" i="15"/>
  <c r="BC67" i="15" s="1"/>
  <c r="V67" i="15"/>
  <c r="AY67" i="15" s="1"/>
  <c r="R67" i="15"/>
  <c r="AU67" i="15" s="1"/>
  <c r="Y67" i="15"/>
  <c r="BB67" i="15" s="1"/>
  <c r="U67" i="15"/>
  <c r="AX67" i="15" s="1"/>
  <c r="B176" i="15"/>
  <c r="M174" i="15"/>
  <c r="P69" i="15"/>
  <c r="Q68" i="15"/>
  <c r="AP107" i="15"/>
  <c r="U39" i="17"/>
  <c r="T43" i="6" l="1"/>
  <c r="M176" i="15"/>
  <c r="B178" i="15"/>
  <c r="AB103" i="15"/>
  <c r="CK40" i="17"/>
  <c r="Z68" i="15"/>
  <c r="BC68" i="15" s="1"/>
  <c r="V68" i="15"/>
  <c r="AY68" i="15" s="1"/>
  <c r="R68" i="15"/>
  <c r="AU68" i="15" s="1"/>
  <c r="Y68" i="15"/>
  <c r="BB68" i="15" s="1"/>
  <c r="U68" i="15"/>
  <c r="AX68" i="15" s="1"/>
  <c r="X68" i="15"/>
  <c r="BA68" i="15" s="1"/>
  <c r="T68" i="15"/>
  <c r="AW68" i="15" s="1"/>
  <c r="W68" i="15"/>
  <c r="AZ68" i="15" s="1"/>
  <c r="AL68" i="15"/>
  <c r="S68" i="15"/>
  <c r="AV68" i="15" s="1"/>
  <c r="P70" i="15"/>
  <c r="Q69" i="15"/>
  <c r="CZ41" i="14"/>
  <c r="U40" i="17"/>
  <c r="J72" i="14"/>
  <c r="B69" i="18"/>
  <c r="F68" i="18"/>
  <c r="C68" i="18"/>
  <c r="D68" i="18"/>
  <c r="T44" i="6" l="1"/>
  <c r="CZ42" i="14"/>
  <c r="X69" i="15"/>
  <c r="BA69" i="15" s="1"/>
  <c r="T69" i="15"/>
  <c r="AW69" i="15" s="1"/>
  <c r="AL69" i="15"/>
  <c r="W69" i="15"/>
  <c r="AZ69" i="15" s="1"/>
  <c r="S69" i="15"/>
  <c r="AV69" i="15" s="1"/>
  <c r="Z69" i="15"/>
  <c r="BC69" i="15" s="1"/>
  <c r="V69" i="15"/>
  <c r="AY69" i="15" s="1"/>
  <c r="R69" i="15"/>
  <c r="AU69" i="15" s="1"/>
  <c r="Y69" i="15"/>
  <c r="BB69" i="15" s="1"/>
  <c r="U69" i="15"/>
  <c r="AX69" i="15" s="1"/>
  <c r="AM103" i="15"/>
  <c r="J73" i="14"/>
  <c r="U41" i="17"/>
  <c r="P71" i="15"/>
  <c r="Q70" i="15"/>
  <c r="M178" i="15"/>
  <c r="B180" i="15"/>
  <c r="F69" i="18"/>
  <c r="B70" i="18"/>
  <c r="C69" i="18"/>
  <c r="D69" i="18"/>
  <c r="CK41" i="17"/>
  <c r="T45" i="6" l="1"/>
  <c r="CK42" i="17"/>
  <c r="B181" i="15"/>
  <c r="M180" i="15"/>
  <c r="U42" i="17"/>
  <c r="CZ43" i="14"/>
  <c r="B71" i="18"/>
  <c r="F70" i="18"/>
  <c r="AL70" i="15"/>
  <c r="Z70" i="15"/>
  <c r="BC70" i="15" s="1"/>
  <c r="V70" i="15"/>
  <c r="AY70" i="15" s="1"/>
  <c r="R70" i="15"/>
  <c r="AU70" i="15" s="1"/>
  <c r="Y70" i="15"/>
  <c r="BB70" i="15" s="1"/>
  <c r="U70" i="15"/>
  <c r="AX70" i="15" s="1"/>
  <c r="X70" i="15"/>
  <c r="BA70" i="15" s="1"/>
  <c r="T70" i="15"/>
  <c r="AW70" i="15" s="1"/>
  <c r="W70" i="15"/>
  <c r="AZ70" i="15" s="1"/>
  <c r="S70" i="15"/>
  <c r="AV70" i="15" s="1"/>
  <c r="Q71" i="15"/>
  <c r="P72" i="15"/>
  <c r="J74" i="14"/>
  <c r="T46" i="6" l="1"/>
  <c r="P73" i="15"/>
  <c r="Q72" i="15"/>
  <c r="J75" i="14"/>
  <c r="Y71" i="15"/>
  <c r="BB71" i="15" s="1"/>
  <c r="U71" i="15"/>
  <c r="AX71" i="15" s="1"/>
  <c r="AL71" i="15"/>
  <c r="X71" i="15"/>
  <c r="BA71" i="15" s="1"/>
  <c r="T71" i="15"/>
  <c r="AW71" i="15" s="1"/>
  <c r="W71" i="15"/>
  <c r="AZ71" i="15" s="1"/>
  <c r="S71" i="15"/>
  <c r="AV71" i="15" s="1"/>
  <c r="R71" i="15"/>
  <c r="AU71" i="15" s="1"/>
  <c r="Z71" i="15"/>
  <c r="BC71" i="15" s="1"/>
  <c r="V71" i="15"/>
  <c r="AY71" i="15" s="1"/>
  <c r="B73" i="18"/>
  <c r="F71" i="18"/>
  <c r="U43" i="17"/>
  <c r="CK43" i="17"/>
  <c r="CZ44" i="14"/>
  <c r="B182" i="15"/>
  <c r="M181" i="15"/>
  <c r="T47" i="6" l="1"/>
  <c r="CK44" i="17"/>
  <c r="P74" i="15"/>
  <c r="Q73" i="15"/>
  <c r="U44" i="17"/>
  <c r="B183" i="15"/>
  <c r="AH133" i="15"/>
  <c r="M182" i="15"/>
  <c r="J76" i="14"/>
  <c r="CZ45" i="14"/>
  <c r="F73" i="18"/>
  <c r="B74" i="18"/>
  <c r="Z72" i="15"/>
  <c r="BC72" i="15" s="1"/>
  <c r="V72" i="15"/>
  <c r="AY72" i="15" s="1"/>
  <c r="R72" i="15"/>
  <c r="AU72" i="15" s="1"/>
  <c r="Y72" i="15"/>
  <c r="BB72" i="15" s="1"/>
  <c r="U72" i="15"/>
  <c r="AX72" i="15" s="1"/>
  <c r="X72" i="15"/>
  <c r="BA72" i="15" s="1"/>
  <c r="T72" i="15"/>
  <c r="AW72" i="15" s="1"/>
  <c r="W72" i="15"/>
  <c r="AZ72" i="15" s="1"/>
  <c r="AL72" i="15"/>
  <c r="S72" i="15"/>
  <c r="AV72" i="15" s="1"/>
  <c r="T48" i="6" l="1"/>
  <c r="P75" i="15"/>
  <c r="Q74" i="15"/>
  <c r="J77" i="14"/>
  <c r="B184" i="15"/>
  <c r="M183" i="15"/>
  <c r="X73" i="15"/>
  <c r="BA73" i="15" s="1"/>
  <c r="T73" i="15"/>
  <c r="AW73" i="15" s="1"/>
  <c r="W73" i="15"/>
  <c r="AZ73" i="15" s="1"/>
  <c r="S73" i="15"/>
  <c r="AV73" i="15" s="1"/>
  <c r="AL73" i="15"/>
  <c r="Z73" i="15"/>
  <c r="BC73" i="15" s="1"/>
  <c r="V73" i="15"/>
  <c r="AY73" i="15" s="1"/>
  <c r="R73" i="15"/>
  <c r="AU73" i="15" s="1"/>
  <c r="Y73" i="15"/>
  <c r="BB73" i="15" s="1"/>
  <c r="U73" i="15"/>
  <c r="AX73" i="15" s="1"/>
  <c r="CZ46" i="14"/>
  <c r="U45" i="17"/>
  <c r="CK45" i="17"/>
  <c r="B75" i="18"/>
  <c r="F75" i="18" s="1"/>
  <c r="F74" i="18"/>
  <c r="AS133" i="15"/>
  <c r="AH32" i="15"/>
  <c r="T49" i="6" l="1"/>
  <c r="Q75" i="15"/>
  <c r="P76" i="15"/>
  <c r="B185" i="15"/>
  <c r="M184" i="15"/>
  <c r="U46" i="17"/>
  <c r="AL74" i="15"/>
  <c r="W74" i="15"/>
  <c r="AZ74" i="15" s="1"/>
  <c r="S74" i="15"/>
  <c r="AV74" i="15" s="1"/>
  <c r="Z74" i="15"/>
  <c r="BC74" i="15" s="1"/>
  <c r="V74" i="15"/>
  <c r="AY74" i="15" s="1"/>
  <c r="R74" i="15"/>
  <c r="AU74" i="15" s="1"/>
  <c r="Y74" i="15"/>
  <c r="BB74" i="15" s="1"/>
  <c r="U74" i="15"/>
  <c r="AX74" i="15" s="1"/>
  <c r="X74" i="15"/>
  <c r="BA74" i="15" s="1"/>
  <c r="T74" i="15"/>
  <c r="AW74" i="15" s="1"/>
  <c r="CK46" i="17"/>
  <c r="CZ47" i="14"/>
  <c r="J78" i="14"/>
  <c r="T50" i="6" l="1"/>
  <c r="CZ48" i="14"/>
  <c r="CK47" i="17"/>
  <c r="M185" i="15"/>
  <c r="AG130" i="15"/>
  <c r="B186" i="15"/>
  <c r="J79" i="14"/>
  <c r="Q76" i="15"/>
  <c r="P77" i="15"/>
  <c r="U47" i="17"/>
  <c r="Y75" i="15"/>
  <c r="BB75" i="15" s="1"/>
  <c r="U75" i="15"/>
  <c r="AX75" i="15" s="1"/>
  <c r="X75" i="15"/>
  <c r="BA75" i="15" s="1"/>
  <c r="T75" i="15"/>
  <c r="AW75" i="15" s="1"/>
  <c r="W75" i="15"/>
  <c r="AZ75" i="15" s="1"/>
  <c r="S75" i="15"/>
  <c r="AV75" i="15" s="1"/>
  <c r="AL75" i="15"/>
  <c r="R75" i="15"/>
  <c r="AU75" i="15" s="1"/>
  <c r="Z75" i="15"/>
  <c r="BC75" i="15" s="1"/>
  <c r="V75" i="15"/>
  <c r="AY75" i="15" s="1"/>
  <c r="T51" i="6" l="1"/>
  <c r="J80" i="14"/>
  <c r="U48" i="17"/>
  <c r="M186" i="15"/>
  <c r="B187" i="15"/>
  <c r="CK48" i="17"/>
  <c r="Q77" i="15"/>
  <c r="P78" i="15"/>
  <c r="AR130" i="15"/>
  <c r="AG32" i="15"/>
  <c r="Y76" i="15"/>
  <c r="BB76" i="15" s="1"/>
  <c r="U76" i="15"/>
  <c r="AX76" i="15" s="1"/>
  <c r="AL76" i="15"/>
  <c r="X76" i="15"/>
  <c r="BA76" i="15" s="1"/>
  <c r="T76" i="15"/>
  <c r="AW76" i="15" s="1"/>
  <c r="W76" i="15"/>
  <c r="AZ76" i="15" s="1"/>
  <c r="S76" i="15"/>
  <c r="AV76" i="15" s="1"/>
  <c r="Z76" i="15"/>
  <c r="BC76" i="15" s="1"/>
  <c r="V76" i="15"/>
  <c r="AY76" i="15" s="1"/>
  <c r="R76" i="15"/>
  <c r="AU76" i="15" s="1"/>
  <c r="CZ49" i="14"/>
  <c r="T52" i="6" l="1"/>
  <c r="Q78" i="15"/>
  <c r="P79" i="15"/>
  <c r="U49" i="17"/>
  <c r="Y77" i="15"/>
  <c r="BB77" i="15" s="1"/>
  <c r="U77" i="15"/>
  <c r="AX77" i="15" s="1"/>
  <c r="AL77" i="15"/>
  <c r="W77" i="15"/>
  <c r="AZ77" i="15" s="1"/>
  <c r="R77" i="15"/>
  <c r="AU77" i="15" s="1"/>
  <c r="V77" i="15"/>
  <c r="AY77" i="15" s="1"/>
  <c r="Z77" i="15"/>
  <c r="BC77" i="15" s="1"/>
  <c r="T77" i="15"/>
  <c r="AW77" i="15" s="1"/>
  <c r="X77" i="15"/>
  <c r="BA77" i="15" s="1"/>
  <c r="S77" i="15"/>
  <c r="AV77" i="15" s="1"/>
  <c r="CK49" i="17"/>
  <c r="M187" i="15"/>
  <c r="B188" i="15"/>
  <c r="CZ50" i="14"/>
  <c r="J81" i="14"/>
  <c r="T53" i="6" l="1"/>
  <c r="CZ51" i="14"/>
  <c r="M188" i="15"/>
  <c r="B190" i="15"/>
  <c r="J82" i="14"/>
  <c r="Q79" i="15"/>
  <c r="P80" i="15"/>
  <c r="CK50" i="17"/>
  <c r="U50" i="17"/>
  <c r="W78" i="15"/>
  <c r="AZ78" i="15" s="1"/>
  <c r="S78" i="15"/>
  <c r="AV78" i="15" s="1"/>
  <c r="AL78" i="15"/>
  <c r="Y78" i="15"/>
  <c r="BB78" i="15" s="1"/>
  <c r="U78" i="15"/>
  <c r="AX78" i="15" s="1"/>
  <c r="T78" i="15"/>
  <c r="AW78" i="15" s="1"/>
  <c r="Z78" i="15"/>
  <c r="BC78" i="15" s="1"/>
  <c r="R78" i="15"/>
  <c r="AU78" i="15" s="1"/>
  <c r="X78" i="15"/>
  <c r="BA78" i="15" s="1"/>
  <c r="V78" i="15"/>
  <c r="AY78" i="15" s="1"/>
  <c r="T54" i="6" l="1"/>
  <c r="AL79" i="15"/>
  <c r="W79" i="15"/>
  <c r="AZ79" i="15" s="1"/>
  <c r="S79" i="15"/>
  <c r="AV79" i="15" s="1"/>
  <c r="Y79" i="15"/>
  <c r="BB79" i="15" s="1"/>
  <c r="U79" i="15"/>
  <c r="AX79" i="15" s="1"/>
  <c r="Z79" i="15"/>
  <c r="BC79" i="15" s="1"/>
  <c r="R79" i="15"/>
  <c r="AU79" i="15" s="1"/>
  <c r="X79" i="15"/>
  <c r="BA79" i="15" s="1"/>
  <c r="V79" i="15"/>
  <c r="AY79" i="15" s="1"/>
  <c r="T79" i="15"/>
  <c r="AW79" i="15" s="1"/>
  <c r="J83" i="14"/>
  <c r="U51" i="17"/>
  <c r="CK51" i="17"/>
  <c r="M190" i="15"/>
  <c r="B191" i="15"/>
  <c r="CZ52" i="14"/>
  <c r="P81" i="15"/>
  <c r="Q80" i="15"/>
  <c r="T55" i="6" l="1"/>
  <c r="M191" i="15"/>
  <c r="B192" i="15"/>
  <c r="CK52" i="17"/>
  <c r="J84" i="14"/>
  <c r="Y80" i="15"/>
  <c r="BB80" i="15" s="1"/>
  <c r="U80" i="15"/>
  <c r="AX80" i="15" s="1"/>
  <c r="W80" i="15"/>
  <c r="AZ80" i="15" s="1"/>
  <c r="S80" i="15"/>
  <c r="AV80" i="15" s="1"/>
  <c r="X80" i="15"/>
  <c r="BA80" i="15" s="1"/>
  <c r="AL80" i="15"/>
  <c r="V80" i="15"/>
  <c r="AY80" i="15" s="1"/>
  <c r="T80" i="15"/>
  <c r="AW80" i="15" s="1"/>
  <c r="Z80" i="15"/>
  <c r="BC80" i="15" s="1"/>
  <c r="R80" i="15"/>
  <c r="AU80" i="15" s="1"/>
  <c r="U52" i="17"/>
  <c r="CZ53" i="14"/>
  <c r="P82" i="15"/>
  <c r="Q81" i="15"/>
  <c r="T56" i="6" l="1"/>
  <c r="P83" i="15"/>
  <c r="Q82" i="15"/>
  <c r="J85" i="14"/>
  <c r="CK53" i="17"/>
  <c r="X81" i="15"/>
  <c r="BA81" i="15" s="1"/>
  <c r="T81" i="15"/>
  <c r="AW81" i="15" s="1"/>
  <c r="Z81" i="15"/>
  <c r="BC81" i="15" s="1"/>
  <c r="V81" i="15"/>
  <c r="AY81" i="15" s="1"/>
  <c r="R81" i="15"/>
  <c r="AU81" i="15" s="1"/>
  <c r="Y81" i="15"/>
  <c r="BB81" i="15" s="1"/>
  <c r="AL81" i="15"/>
  <c r="W81" i="15"/>
  <c r="AZ81" i="15" s="1"/>
  <c r="U81" i="15"/>
  <c r="AX81" i="15" s="1"/>
  <c r="S81" i="15"/>
  <c r="AV81" i="15" s="1"/>
  <c r="CZ54" i="14"/>
  <c r="U53" i="17"/>
  <c r="B193" i="15"/>
  <c r="AE124" i="15"/>
  <c r="M192" i="15"/>
  <c r="T57" i="6" l="1"/>
  <c r="B194" i="15"/>
  <c r="M193" i="15"/>
  <c r="AD123" i="15"/>
  <c r="U54" i="17"/>
  <c r="CK54" i="17"/>
  <c r="J86" i="14"/>
  <c r="AP124" i="15"/>
  <c r="AE32" i="15"/>
  <c r="CZ55" i="14"/>
  <c r="AL82" i="15"/>
  <c r="Z82" i="15"/>
  <c r="BC82" i="15" s="1"/>
  <c r="V82" i="15"/>
  <c r="AY82" i="15" s="1"/>
  <c r="R82" i="15"/>
  <c r="AU82" i="15" s="1"/>
  <c r="X82" i="15"/>
  <c r="BA82" i="15" s="1"/>
  <c r="T82" i="15"/>
  <c r="AW82" i="15" s="1"/>
  <c r="S82" i="15"/>
  <c r="AV82" i="15" s="1"/>
  <c r="Y82" i="15"/>
  <c r="BB82" i="15" s="1"/>
  <c r="W82" i="15"/>
  <c r="AZ82" i="15" s="1"/>
  <c r="U82" i="15"/>
  <c r="AX82" i="15" s="1"/>
  <c r="Q83" i="15"/>
  <c r="P84" i="15"/>
  <c r="T58" i="6" l="1"/>
  <c r="Y83" i="15"/>
  <c r="BB83" i="15" s="1"/>
  <c r="U83" i="15"/>
  <c r="AX83" i="15" s="1"/>
  <c r="W83" i="15"/>
  <c r="AZ83" i="15" s="1"/>
  <c r="S83" i="15"/>
  <c r="AV83" i="15" s="1"/>
  <c r="Z83" i="15"/>
  <c r="BC83" i="15" s="1"/>
  <c r="R83" i="15"/>
  <c r="AU83" i="15" s="1"/>
  <c r="X83" i="15"/>
  <c r="BA83" i="15" s="1"/>
  <c r="AL83" i="15"/>
  <c r="V83" i="15"/>
  <c r="AY83" i="15" s="1"/>
  <c r="T83" i="15"/>
  <c r="AW83" i="15" s="1"/>
  <c r="CK55" i="17"/>
  <c r="J87" i="14"/>
  <c r="AO123" i="15"/>
  <c r="AD32" i="15"/>
  <c r="CZ56" i="14"/>
  <c r="Q84" i="15"/>
  <c r="P85" i="15"/>
  <c r="U55" i="17"/>
  <c r="M194" i="15"/>
  <c r="B196" i="15"/>
  <c r="T59" i="6" l="1"/>
  <c r="U56" i="17"/>
  <c r="Q85" i="15"/>
  <c r="P86" i="15"/>
  <c r="CZ57" i="14"/>
  <c r="J88" i="14"/>
  <c r="CK56" i="17"/>
  <c r="W84" i="15"/>
  <c r="AZ84" i="15" s="1"/>
  <c r="S84" i="15"/>
  <c r="AV84" i="15" s="1"/>
  <c r="AL84" i="15"/>
  <c r="Y84" i="15"/>
  <c r="BB84" i="15" s="1"/>
  <c r="U84" i="15"/>
  <c r="AX84" i="15" s="1"/>
  <c r="X84" i="15"/>
  <c r="BA84" i="15" s="1"/>
  <c r="V84" i="15"/>
  <c r="AY84" i="15" s="1"/>
  <c r="T84" i="15"/>
  <c r="AW84" i="15" s="1"/>
  <c r="Z84" i="15"/>
  <c r="BC84" i="15" s="1"/>
  <c r="R84" i="15"/>
  <c r="AU84" i="15" s="1"/>
  <c r="M196" i="15"/>
  <c r="B197" i="15"/>
  <c r="T60" i="6" l="1"/>
  <c r="M197" i="15"/>
  <c r="AB121" i="15"/>
  <c r="B198" i="15"/>
  <c r="CK57" i="17"/>
  <c r="W85" i="15"/>
  <c r="AZ85" i="15" s="1"/>
  <c r="S85" i="15"/>
  <c r="AV85" i="15" s="1"/>
  <c r="AL85" i="15"/>
  <c r="Y85" i="15"/>
  <c r="BB85" i="15" s="1"/>
  <c r="U85" i="15"/>
  <c r="AX85" i="15" s="1"/>
  <c r="V85" i="15"/>
  <c r="AY85" i="15" s="1"/>
  <c r="T85" i="15"/>
  <c r="AW85" i="15" s="1"/>
  <c r="Z85" i="15"/>
  <c r="BC85" i="15" s="1"/>
  <c r="R85" i="15"/>
  <c r="AU85" i="15" s="1"/>
  <c r="X85" i="15"/>
  <c r="BA85" i="15" s="1"/>
  <c r="Q86" i="15"/>
  <c r="P87" i="15"/>
  <c r="CZ58" i="14"/>
  <c r="U57" i="17"/>
  <c r="J89" i="14"/>
  <c r="T61" i="6" l="1"/>
  <c r="U58" i="17"/>
  <c r="CK58" i="17"/>
  <c r="AL86" i="15"/>
  <c r="W86" i="15"/>
  <c r="AZ86" i="15" s="1"/>
  <c r="S86" i="15"/>
  <c r="AV86" i="15" s="1"/>
  <c r="Y86" i="15"/>
  <c r="BB86" i="15" s="1"/>
  <c r="U86" i="15"/>
  <c r="AX86" i="15" s="1"/>
  <c r="T86" i="15"/>
  <c r="AW86" i="15" s="1"/>
  <c r="Z86" i="15"/>
  <c r="BC86" i="15" s="1"/>
  <c r="R86" i="15"/>
  <c r="AU86" i="15" s="1"/>
  <c r="X86" i="15"/>
  <c r="BA86" i="15" s="1"/>
  <c r="V86" i="15"/>
  <c r="AY86" i="15" s="1"/>
  <c r="AM121" i="15"/>
  <c r="AB32" i="15"/>
  <c r="J90" i="14"/>
  <c r="CZ59" i="14"/>
  <c r="Q87" i="15"/>
  <c r="P88" i="15"/>
  <c r="B199" i="15"/>
  <c r="AA119" i="15"/>
  <c r="M198" i="15"/>
  <c r="T62" i="6" l="1"/>
  <c r="AL87" i="15"/>
  <c r="Y87" i="15"/>
  <c r="BB87" i="15" s="1"/>
  <c r="U87" i="15"/>
  <c r="AX87" i="15" s="1"/>
  <c r="W87" i="15"/>
  <c r="AZ87" i="15" s="1"/>
  <c r="S87" i="15"/>
  <c r="AV87" i="15" s="1"/>
  <c r="T87" i="15"/>
  <c r="AW87" i="15" s="1"/>
  <c r="Z87" i="15"/>
  <c r="BC87" i="15" s="1"/>
  <c r="R87" i="15"/>
  <c r="AU87" i="15" s="1"/>
  <c r="X87" i="15"/>
  <c r="BA87" i="15" s="1"/>
  <c r="V87" i="15"/>
  <c r="AY87" i="15" s="1"/>
  <c r="CK59" i="17"/>
  <c r="AJ119" i="15"/>
  <c r="AA32" i="15"/>
  <c r="AK32" i="15" s="1"/>
  <c r="J91" i="14"/>
  <c r="B200" i="15"/>
  <c r="M199" i="15"/>
  <c r="U59" i="17"/>
  <c r="Q88" i="15"/>
  <c r="P89" i="15"/>
  <c r="CZ60" i="14"/>
  <c r="T63" i="6" l="1"/>
  <c r="CZ61" i="14"/>
  <c r="B201" i="15"/>
  <c r="M200" i="15"/>
  <c r="P90" i="15"/>
  <c r="Q89" i="15"/>
  <c r="U60" i="17"/>
  <c r="J92" i="14"/>
  <c r="Y88" i="15"/>
  <c r="BB88" i="15" s="1"/>
  <c r="U88" i="15"/>
  <c r="AX88" i="15" s="1"/>
  <c r="AL88" i="15"/>
  <c r="W88" i="15"/>
  <c r="AZ88" i="15" s="1"/>
  <c r="S88" i="15"/>
  <c r="AV88" i="15" s="1"/>
  <c r="Z88" i="15"/>
  <c r="BC88" i="15" s="1"/>
  <c r="R88" i="15"/>
  <c r="AU88" i="15" s="1"/>
  <c r="X88" i="15"/>
  <c r="BA88" i="15" s="1"/>
  <c r="V88" i="15"/>
  <c r="AY88" i="15" s="1"/>
  <c r="T88" i="15"/>
  <c r="AW88" i="15" s="1"/>
  <c r="CK60" i="17"/>
  <c r="T64" i="6" l="1"/>
  <c r="J93" i="14"/>
  <c r="W89" i="15"/>
  <c r="AZ89" i="15" s="1"/>
  <c r="S89" i="15"/>
  <c r="AV89" i="15" s="1"/>
  <c r="Y89" i="15"/>
  <c r="BB89" i="15" s="1"/>
  <c r="U89" i="15"/>
  <c r="AX89" i="15" s="1"/>
  <c r="X89" i="15"/>
  <c r="BA89" i="15" s="1"/>
  <c r="AL89" i="15"/>
  <c r="V89" i="15"/>
  <c r="AY89" i="15" s="1"/>
  <c r="T89" i="15"/>
  <c r="AW89" i="15" s="1"/>
  <c r="Z89" i="15"/>
  <c r="BC89" i="15" s="1"/>
  <c r="R89" i="15"/>
  <c r="AU89" i="15" s="1"/>
  <c r="CK61" i="17"/>
  <c r="U61" i="17"/>
  <c r="Q90" i="15"/>
  <c r="P91" i="15"/>
  <c r="B202" i="15"/>
  <c r="M201" i="15"/>
  <c r="CZ62" i="14"/>
  <c r="T65" i="6" l="1"/>
  <c r="AL90" i="15"/>
  <c r="Z90" i="15"/>
  <c r="BC90" i="15" s="1"/>
  <c r="V90" i="15"/>
  <c r="AY90" i="15" s="1"/>
  <c r="R90" i="15"/>
  <c r="AU90" i="15" s="1"/>
  <c r="X90" i="15"/>
  <c r="BA90" i="15" s="1"/>
  <c r="T90" i="15"/>
  <c r="AW90" i="15" s="1"/>
  <c r="Y90" i="15"/>
  <c r="BB90" i="15" s="1"/>
  <c r="W90" i="15"/>
  <c r="AZ90" i="15" s="1"/>
  <c r="U90" i="15"/>
  <c r="AX90" i="15" s="1"/>
  <c r="S90" i="15"/>
  <c r="AV90" i="15" s="1"/>
  <c r="CZ63" i="14"/>
  <c r="B203" i="15"/>
  <c r="M202" i="15"/>
  <c r="Q91" i="15"/>
  <c r="P92" i="15"/>
  <c r="U62" i="17"/>
  <c r="CK62" i="17"/>
  <c r="J94" i="14"/>
  <c r="T66" i="6" l="1"/>
  <c r="J95" i="14"/>
  <c r="B204" i="15"/>
  <c r="M203" i="15"/>
  <c r="CZ64" i="14"/>
  <c r="CK63" i="17"/>
  <c r="P93" i="15"/>
  <c r="Q92" i="15"/>
  <c r="U63" i="17"/>
  <c r="Y91" i="15"/>
  <c r="BB91" i="15" s="1"/>
  <c r="U91" i="15"/>
  <c r="AX91" i="15" s="1"/>
  <c r="AL91" i="15"/>
  <c r="W91" i="15"/>
  <c r="AZ91" i="15" s="1"/>
  <c r="S91" i="15"/>
  <c r="AV91" i="15" s="1"/>
  <c r="V91" i="15"/>
  <c r="AY91" i="15" s="1"/>
  <c r="T91" i="15"/>
  <c r="AW91" i="15" s="1"/>
  <c r="Z91" i="15"/>
  <c r="BC91" i="15" s="1"/>
  <c r="R91" i="15"/>
  <c r="AU91" i="15" s="1"/>
  <c r="X91" i="15"/>
  <c r="BA91" i="15" s="1"/>
  <c r="T67" i="6" l="1"/>
  <c r="Q93" i="15"/>
  <c r="P94" i="15"/>
  <c r="CK64" i="17"/>
  <c r="CZ65" i="14"/>
  <c r="J96" i="14"/>
  <c r="U64" i="17"/>
  <c r="B205" i="15"/>
  <c r="M204" i="15"/>
  <c r="AL92" i="15"/>
  <c r="W92" i="15"/>
  <c r="AZ92" i="15" s="1"/>
  <c r="S92" i="15"/>
  <c r="AV92" i="15" s="1"/>
  <c r="Y92" i="15"/>
  <c r="BB92" i="15" s="1"/>
  <c r="U92" i="15"/>
  <c r="AX92" i="15" s="1"/>
  <c r="X92" i="15"/>
  <c r="BA92" i="15" s="1"/>
  <c r="T92" i="15"/>
  <c r="AW92" i="15" s="1"/>
  <c r="Z92" i="15"/>
  <c r="BC92" i="15" s="1"/>
  <c r="V92" i="15"/>
  <c r="AY92" i="15" s="1"/>
  <c r="R92" i="15"/>
  <c r="AU92" i="15" s="1"/>
  <c r="T68" i="6" l="1"/>
  <c r="CZ66" i="14"/>
  <c r="CK65" i="17"/>
  <c r="B206" i="15"/>
  <c r="M206" i="15" s="1"/>
  <c r="M205" i="15"/>
  <c r="U65" i="17"/>
  <c r="P95" i="15"/>
  <c r="Q94" i="15"/>
  <c r="J97" i="14"/>
  <c r="AL93" i="15"/>
  <c r="Y93" i="15"/>
  <c r="BB93" i="15" s="1"/>
  <c r="U93" i="15"/>
  <c r="AX93" i="15" s="1"/>
  <c r="X93" i="15"/>
  <c r="BA93" i="15" s="1"/>
  <c r="T93" i="15"/>
  <c r="AW93" i="15" s="1"/>
  <c r="W93" i="15"/>
  <c r="AZ93" i="15" s="1"/>
  <c r="S93" i="15"/>
  <c r="AV93" i="15" s="1"/>
  <c r="Z93" i="15"/>
  <c r="BC93" i="15" s="1"/>
  <c r="V93" i="15"/>
  <c r="AY93" i="15" s="1"/>
  <c r="R93" i="15"/>
  <c r="AU93" i="15" s="1"/>
  <c r="T69" i="6" l="1"/>
  <c r="J98" i="14"/>
  <c r="Z94" i="15"/>
  <c r="BC94" i="15" s="1"/>
  <c r="V94" i="15"/>
  <c r="AY94" i="15" s="1"/>
  <c r="R94" i="15"/>
  <c r="AU94" i="15" s="1"/>
  <c r="Y94" i="15"/>
  <c r="BB94" i="15" s="1"/>
  <c r="U94" i="15"/>
  <c r="AX94" i="15" s="1"/>
  <c r="X94" i="15"/>
  <c r="BA94" i="15" s="1"/>
  <c r="T94" i="15"/>
  <c r="AW94" i="15" s="1"/>
  <c r="AL94" i="15"/>
  <c r="W94" i="15"/>
  <c r="AZ94" i="15" s="1"/>
  <c r="S94" i="15"/>
  <c r="AV94" i="15" s="1"/>
  <c r="U66" i="17"/>
  <c r="P96" i="15"/>
  <c r="Q95" i="15"/>
  <c r="CK66" i="17"/>
  <c r="CZ67" i="14"/>
  <c r="T70" i="6" l="1"/>
  <c r="Y95" i="15"/>
  <c r="BB95" i="15" s="1"/>
  <c r="U95" i="15"/>
  <c r="AX95" i="15" s="1"/>
  <c r="X95" i="15"/>
  <c r="BA95" i="15" s="1"/>
  <c r="T95" i="15"/>
  <c r="AW95" i="15" s="1"/>
  <c r="W95" i="15"/>
  <c r="AZ95" i="15" s="1"/>
  <c r="S95" i="15"/>
  <c r="AV95" i="15" s="1"/>
  <c r="AL95" i="15"/>
  <c r="Z95" i="15"/>
  <c r="BC95" i="15" s="1"/>
  <c r="V95" i="15"/>
  <c r="AY95" i="15" s="1"/>
  <c r="R95" i="15"/>
  <c r="AU95" i="15" s="1"/>
  <c r="P97" i="15"/>
  <c r="Q96" i="15"/>
  <c r="J99" i="14"/>
  <c r="CK67" i="17"/>
  <c r="U67" i="17"/>
  <c r="CZ68" i="14"/>
  <c r="T71" i="6" l="1"/>
  <c r="J100" i="14"/>
  <c r="CK68" i="17"/>
  <c r="X96" i="15"/>
  <c r="BA96" i="15" s="1"/>
  <c r="T96" i="15"/>
  <c r="AW96" i="15" s="1"/>
  <c r="W96" i="15"/>
  <c r="AZ96" i="15" s="1"/>
  <c r="S96" i="15"/>
  <c r="AV96" i="15" s="1"/>
  <c r="Z96" i="15"/>
  <c r="BC96" i="15" s="1"/>
  <c r="V96" i="15"/>
  <c r="AY96" i="15" s="1"/>
  <c r="R96" i="15"/>
  <c r="AU96" i="15" s="1"/>
  <c r="AL96" i="15"/>
  <c r="Y96" i="15"/>
  <c r="BB96" i="15" s="1"/>
  <c r="U96" i="15"/>
  <c r="AX96" i="15" s="1"/>
  <c r="CZ69" i="14"/>
  <c r="P98" i="15"/>
  <c r="Q97" i="15"/>
  <c r="U68" i="17"/>
  <c r="T72" i="6" l="1"/>
  <c r="U69" i="17"/>
  <c r="X97" i="15"/>
  <c r="BA97" i="15" s="1"/>
  <c r="T97" i="15"/>
  <c r="AW97" i="15" s="1"/>
  <c r="W97" i="15"/>
  <c r="AZ97" i="15" s="1"/>
  <c r="S97" i="15"/>
  <c r="AV97" i="15" s="1"/>
  <c r="AL97" i="15"/>
  <c r="Z97" i="15"/>
  <c r="BC97" i="15" s="1"/>
  <c r="V97" i="15"/>
  <c r="AY97" i="15" s="1"/>
  <c r="R97" i="15"/>
  <c r="AU97" i="15" s="1"/>
  <c r="Y97" i="15"/>
  <c r="BB97" i="15" s="1"/>
  <c r="U97" i="15"/>
  <c r="AX97" i="15" s="1"/>
  <c r="CZ70" i="14"/>
  <c r="CK69" i="17"/>
  <c r="P99" i="15"/>
  <c r="Q98" i="15"/>
  <c r="J101" i="14"/>
  <c r="T73" i="6" l="1"/>
  <c r="U70" i="17"/>
  <c r="J102" i="14"/>
  <c r="AL98" i="15"/>
  <c r="X98" i="15"/>
  <c r="BA98" i="15" s="1"/>
  <c r="T98" i="15"/>
  <c r="AW98" i="15" s="1"/>
  <c r="W98" i="15"/>
  <c r="AZ98" i="15" s="1"/>
  <c r="S98" i="15"/>
  <c r="AV98" i="15" s="1"/>
  <c r="Z98" i="15"/>
  <c r="BC98" i="15" s="1"/>
  <c r="V98" i="15"/>
  <c r="AY98" i="15" s="1"/>
  <c r="R98" i="15"/>
  <c r="AU98" i="15" s="1"/>
  <c r="Y98" i="15"/>
  <c r="BB98" i="15" s="1"/>
  <c r="U98" i="15"/>
  <c r="AX98" i="15" s="1"/>
  <c r="CK70" i="17"/>
  <c r="Q99" i="15"/>
  <c r="P100" i="15"/>
  <c r="CZ71" i="14"/>
  <c r="T74" i="6" l="1"/>
  <c r="J103" i="14"/>
  <c r="U71" i="17"/>
  <c r="P101" i="15"/>
  <c r="Q100" i="15"/>
  <c r="CZ72" i="14"/>
  <c r="AL99" i="15"/>
  <c r="Y99" i="15"/>
  <c r="BB99" i="15" s="1"/>
  <c r="U99" i="15"/>
  <c r="AX99" i="15" s="1"/>
  <c r="X99" i="15"/>
  <c r="BA99" i="15" s="1"/>
  <c r="T99" i="15"/>
  <c r="AW99" i="15" s="1"/>
  <c r="W99" i="15"/>
  <c r="AZ99" i="15" s="1"/>
  <c r="S99" i="15"/>
  <c r="AV99" i="15" s="1"/>
  <c r="Z99" i="15"/>
  <c r="BC99" i="15" s="1"/>
  <c r="V99" i="15"/>
  <c r="AY99" i="15" s="1"/>
  <c r="R99" i="15"/>
  <c r="AU99" i="15" s="1"/>
  <c r="CK71" i="17"/>
  <c r="T75" i="6" l="1"/>
  <c r="CZ73" i="14"/>
  <c r="CK72" i="17"/>
  <c r="Y100" i="15"/>
  <c r="BB100" i="15" s="1"/>
  <c r="U100" i="15"/>
  <c r="AX100" i="15" s="1"/>
  <c r="X100" i="15"/>
  <c r="BA100" i="15" s="1"/>
  <c r="T100" i="15"/>
  <c r="AW100" i="15" s="1"/>
  <c r="W100" i="15"/>
  <c r="AZ100" i="15" s="1"/>
  <c r="S100" i="15"/>
  <c r="AV100" i="15" s="1"/>
  <c r="AL100" i="15"/>
  <c r="Z100" i="15"/>
  <c r="BC100" i="15" s="1"/>
  <c r="V100" i="15"/>
  <c r="AY100" i="15" s="1"/>
  <c r="R100" i="15"/>
  <c r="AU100" i="15" s="1"/>
  <c r="U72" i="17"/>
  <c r="P102" i="15"/>
  <c r="Q101" i="15"/>
  <c r="J104" i="14"/>
  <c r="T76" i="6" l="1"/>
  <c r="X101" i="15"/>
  <c r="BA101" i="15" s="1"/>
  <c r="T101" i="15"/>
  <c r="AW101" i="15" s="1"/>
  <c r="W101" i="15"/>
  <c r="AZ101" i="15" s="1"/>
  <c r="S101" i="15"/>
  <c r="AV101" i="15" s="1"/>
  <c r="AL101" i="15"/>
  <c r="Z101" i="15"/>
  <c r="BC101" i="15" s="1"/>
  <c r="V101" i="15"/>
  <c r="AY101" i="15" s="1"/>
  <c r="R101" i="15"/>
  <c r="AU101" i="15" s="1"/>
  <c r="Y101" i="15"/>
  <c r="BB101" i="15" s="1"/>
  <c r="U101" i="15"/>
  <c r="AX101" i="15" s="1"/>
  <c r="U73" i="17"/>
  <c r="CK73" i="17"/>
  <c r="P103" i="15"/>
  <c r="Q102" i="15"/>
  <c r="CZ74" i="14"/>
  <c r="J105" i="14"/>
  <c r="T77" i="6" l="1"/>
  <c r="J106" i="14"/>
  <c r="CZ75" i="14"/>
  <c r="W102" i="15"/>
  <c r="AZ102" i="15" s="1"/>
  <c r="S102" i="15"/>
  <c r="AV102" i="15" s="1"/>
  <c r="AL102" i="15"/>
  <c r="Z102" i="15"/>
  <c r="BC102" i="15" s="1"/>
  <c r="V102" i="15"/>
  <c r="AY102" i="15" s="1"/>
  <c r="R102" i="15"/>
  <c r="AU102" i="15" s="1"/>
  <c r="Y102" i="15"/>
  <c r="BB102" i="15" s="1"/>
  <c r="U102" i="15"/>
  <c r="AX102" i="15" s="1"/>
  <c r="X102" i="15"/>
  <c r="BA102" i="15" s="1"/>
  <c r="T102" i="15"/>
  <c r="AW102" i="15" s="1"/>
  <c r="CK74" i="17"/>
  <c r="U74" i="17"/>
  <c r="P104" i="15"/>
  <c r="Q103" i="15"/>
  <c r="T78" i="6" l="1"/>
  <c r="P105" i="15"/>
  <c r="Q104" i="15"/>
  <c r="Z103" i="15"/>
  <c r="BC103" i="15" s="1"/>
  <c r="V103" i="15"/>
  <c r="AY103" i="15" s="1"/>
  <c r="R103" i="15"/>
  <c r="AU103" i="15" s="1"/>
  <c r="Y103" i="15"/>
  <c r="BB103" i="15" s="1"/>
  <c r="U103" i="15"/>
  <c r="AX103" i="15" s="1"/>
  <c r="X103" i="15"/>
  <c r="BA103" i="15" s="1"/>
  <c r="T103" i="15"/>
  <c r="AW103" i="15" s="1"/>
  <c r="AL103" i="15"/>
  <c r="W103" i="15"/>
  <c r="AZ103" i="15" s="1"/>
  <c r="S103" i="15"/>
  <c r="AV103" i="15" s="1"/>
  <c r="U75" i="17"/>
  <c r="CZ76" i="14"/>
  <c r="J107" i="14"/>
  <c r="CK75" i="17"/>
  <c r="T79" i="6" l="1"/>
  <c r="U76" i="17"/>
  <c r="J108" i="14"/>
  <c r="CZ77" i="14"/>
  <c r="CK76" i="17"/>
  <c r="X104" i="15"/>
  <c r="BA104" i="15" s="1"/>
  <c r="T104" i="15"/>
  <c r="AW104" i="15" s="1"/>
  <c r="W104" i="15"/>
  <c r="AZ104" i="15" s="1"/>
  <c r="S104" i="15"/>
  <c r="AV104" i="15" s="1"/>
  <c r="Z104" i="15"/>
  <c r="BC104" i="15" s="1"/>
  <c r="V104" i="15"/>
  <c r="AY104" i="15" s="1"/>
  <c r="R104" i="15"/>
  <c r="AU104" i="15" s="1"/>
  <c r="AL104" i="15"/>
  <c r="Y104" i="15"/>
  <c r="BB104" i="15" s="1"/>
  <c r="U104" i="15"/>
  <c r="AX104" i="15" s="1"/>
  <c r="P106" i="15"/>
  <c r="Q105" i="15"/>
  <c r="T80" i="6" l="1"/>
  <c r="X105" i="15"/>
  <c r="BA105" i="15" s="1"/>
  <c r="T105" i="15"/>
  <c r="AW105" i="15" s="1"/>
  <c r="W105" i="15"/>
  <c r="AZ105" i="15" s="1"/>
  <c r="S105" i="15"/>
  <c r="AV105" i="15" s="1"/>
  <c r="AL105" i="15"/>
  <c r="Z105" i="15"/>
  <c r="BC105" i="15" s="1"/>
  <c r="V105" i="15"/>
  <c r="AY105" i="15" s="1"/>
  <c r="R105" i="15"/>
  <c r="AU105" i="15" s="1"/>
  <c r="Y105" i="15"/>
  <c r="BB105" i="15" s="1"/>
  <c r="U105" i="15"/>
  <c r="AX105" i="15" s="1"/>
  <c r="P107" i="15"/>
  <c r="Q106" i="15"/>
  <c r="CK77" i="17"/>
  <c r="CZ78" i="14"/>
  <c r="J109" i="14"/>
  <c r="U77" i="17"/>
  <c r="T81" i="6" l="1"/>
  <c r="X106" i="15"/>
  <c r="BA106" i="15" s="1"/>
  <c r="T106" i="15"/>
  <c r="AW106" i="15" s="1"/>
  <c r="W106" i="15"/>
  <c r="AZ106" i="15" s="1"/>
  <c r="S106" i="15"/>
  <c r="AV106" i="15" s="1"/>
  <c r="AL106" i="15"/>
  <c r="Z106" i="15"/>
  <c r="BC106" i="15" s="1"/>
  <c r="V106" i="15"/>
  <c r="AY106" i="15" s="1"/>
  <c r="R106" i="15"/>
  <c r="AU106" i="15" s="1"/>
  <c r="Y106" i="15"/>
  <c r="BB106" i="15" s="1"/>
  <c r="U106" i="15"/>
  <c r="AX106" i="15" s="1"/>
  <c r="P108" i="15"/>
  <c r="Q107" i="15"/>
  <c r="U78" i="17"/>
  <c r="CK78" i="17"/>
  <c r="J110" i="14"/>
  <c r="CZ79" i="14"/>
  <c r="T82" i="6" l="1"/>
  <c r="AL107" i="15"/>
  <c r="W107" i="15"/>
  <c r="AZ107" i="15" s="1"/>
  <c r="S107" i="15"/>
  <c r="AV107" i="15" s="1"/>
  <c r="Z107" i="15"/>
  <c r="BC107" i="15" s="1"/>
  <c r="V107" i="15"/>
  <c r="AY107" i="15" s="1"/>
  <c r="R107" i="15"/>
  <c r="AU107" i="15" s="1"/>
  <c r="Y107" i="15"/>
  <c r="BB107" i="15" s="1"/>
  <c r="U107" i="15"/>
  <c r="AX107" i="15" s="1"/>
  <c r="X107" i="15"/>
  <c r="BA107" i="15" s="1"/>
  <c r="T107" i="15"/>
  <c r="AW107" i="15" s="1"/>
  <c r="P109" i="15"/>
  <c r="Q108" i="15"/>
  <c r="CK79" i="17"/>
  <c r="CZ80" i="14"/>
  <c r="J111" i="14"/>
  <c r="U79" i="17"/>
  <c r="T83" i="6" l="1"/>
  <c r="Y108" i="15"/>
  <c r="BB108" i="15" s="1"/>
  <c r="U108" i="15"/>
  <c r="AX108" i="15" s="1"/>
  <c r="X108" i="15"/>
  <c r="BA108" i="15" s="1"/>
  <c r="T108" i="15"/>
  <c r="AW108" i="15" s="1"/>
  <c r="W108" i="15"/>
  <c r="AZ108" i="15" s="1"/>
  <c r="S108" i="15"/>
  <c r="AV108" i="15" s="1"/>
  <c r="AL108" i="15"/>
  <c r="Z108" i="15"/>
  <c r="BC108" i="15" s="1"/>
  <c r="V108" i="15"/>
  <c r="AY108" i="15" s="1"/>
  <c r="R108" i="15"/>
  <c r="AU108" i="15" s="1"/>
  <c r="P110" i="15"/>
  <c r="Q109" i="15"/>
  <c r="U80" i="17"/>
  <c r="CK80" i="17"/>
  <c r="J112" i="14"/>
  <c r="CZ81" i="14"/>
  <c r="T84" i="6" l="1"/>
  <c r="X109" i="15"/>
  <c r="BA109" i="15" s="1"/>
  <c r="T109" i="15"/>
  <c r="AW109" i="15" s="1"/>
  <c r="W109" i="15"/>
  <c r="AZ109" i="15" s="1"/>
  <c r="S109" i="15"/>
  <c r="AV109" i="15" s="1"/>
  <c r="Z109" i="15"/>
  <c r="BC109" i="15" s="1"/>
  <c r="V109" i="15"/>
  <c r="AY109" i="15" s="1"/>
  <c r="R109" i="15"/>
  <c r="AU109" i="15" s="1"/>
  <c r="AL109" i="15"/>
  <c r="Y109" i="15"/>
  <c r="BB109" i="15" s="1"/>
  <c r="U109" i="15"/>
  <c r="AX109" i="15" s="1"/>
  <c r="P111" i="15"/>
  <c r="Q110" i="15"/>
  <c r="CK81" i="17"/>
  <c r="CZ82" i="14"/>
  <c r="J113" i="14"/>
  <c r="U81" i="17"/>
  <c r="T85" i="6" l="1"/>
  <c r="X110" i="15"/>
  <c r="BA110" i="15" s="1"/>
  <c r="T110" i="15"/>
  <c r="AW110" i="15" s="1"/>
  <c r="W110" i="15"/>
  <c r="AZ110" i="15" s="1"/>
  <c r="S110" i="15"/>
  <c r="AV110" i="15" s="1"/>
  <c r="AL110" i="15"/>
  <c r="Z110" i="15"/>
  <c r="BC110" i="15" s="1"/>
  <c r="V110" i="15"/>
  <c r="AY110" i="15" s="1"/>
  <c r="R110" i="15"/>
  <c r="AU110" i="15" s="1"/>
  <c r="Y110" i="15"/>
  <c r="BB110" i="15" s="1"/>
  <c r="U110" i="15"/>
  <c r="AX110" i="15" s="1"/>
  <c r="Q111" i="15"/>
  <c r="P112" i="15"/>
  <c r="U82" i="17"/>
  <c r="CK82" i="17"/>
  <c r="J114" i="14"/>
  <c r="CZ83" i="14"/>
  <c r="T86" i="6" l="1"/>
  <c r="Q112" i="15"/>
  <c r="P113" i="15"/>
  <c r="CK83" i="17"/>
  <c r="CZ84" i="14"/>
  <c r="J115" i="14"/>
  <c r="U83" i="17"/>
  <c r="W111" i="15"/>
  <c r="AZ111" i="15" s="1"/>
  <c r="S111" i="15"/>
  <c r="AV111" i="15" s="1"/>
  <c r="Z111" i="15"/>
  <c r="BC111" i="15" s="1"/>
  <c r="V111" i="15"/>
  <c r="AY111" i="15" s="1"/>
  <c r="R111" i="15"/>
  <c r="AU111" i="15" s="1"/>
  <c r="AL111" i="15"/>
  <c r="Y111" i="15"/>
  <c r="BB111" i="15" s="1"/>
  <c r="U111" i="15"/>
  <c r="AX111" i="15" s="1"/>
  <c r="X111" i="15"/>
  <c r="BA111" i="15" s="1"/>
  <c r="T111" i="15"/>
  <c r="AW111" i="15" s="1"/>
  <c r="T87" i="6" l="1"/>
  <c r="U84" i="17"/>
  <c r="CK84" i="17"/>
  <c r="J116" i="14"/>
  <c r="CZ85" i="14"/>
  <c r="P114" i="15"/>
  <c r="Q113" i="15"/>
  <c r="W112" i="15"/>
  <c r="AZ112" i="15" s="1"/>
  <c r="S112" i="15"/>
  <c r="AV112" i="15" s="1"/>
  <c r="Z112" i="15"/>
  <c r="BC112" i="15" s="1"/>
  <c r="V112" i="15"/>
  <c r="AY112" i="15" s="1"/>
  <c r="R112" i="15"/>
  <c r="AU112" i="15" s="1"/>
  <c r="AL112" i="15"/>
  <c r="Y112" i="15"/>
  <c r="BB112" i="15" s="1"/>
  <c r="U112" i="15"/>
  <c r="AX112" i="15" s="1"/>
  <c r="X112" i="15"/>
  <c r="BA112" i="15" s="1"/>
  <c r="T112" i="15"/>
  <c r="AW112" i="15" s="1"/>
  <c r="T88" i="6" l="1"/>
  <c r="CK85" i="17"/>
  <c r="W113" i="15"/>
  <c r="AZ113" i="15" s="1"/>
  <c r="S113" i="15"/>
  <c r="AV113" i="15" s="1"/>
  <c r="AL113" i="15"/>
  <c r="Z113" i="15"/>
  <c r="BC113" i="15" s="1"/>
  <c r="V113" i="15"/>
  <c r="AY113" i="15" s="1"/>
  <c r="R113" i="15"/>
  <c r="AU113" i="15" s="1"/>
  <c r="Y113" i="15"/>
  <c r="BB113" i="15" s="1"/>
  <c r="U113" i="15"/>
  <c r="AX113" i="15" s="1"/>
  <c r="X113" i="15"/>
  <c r="BA113" i="15" s="1"/>
  <c r="T113" i="15"/>
  <c r="AW113" i="15" s="1"/>
  <c r="P115" i="15"/>
  <c r="Q114" i="15"/>
  <c r="CZ86" i="14"/>
  <c r="J117" i="14"/>
  <c r="U85" i="17"/>
  <c r="T89" i="6" l="1"/>
  <c r="AL114" i="15"/>
  <c r="Z114" i="15"/>
  <c r="BC114" i="15" s="1"/>
  <c r="V114" i="15"/>
  <c r="AY114" i="15" s="1"/>
  <c r="R114" i="15"/>
  <c r="AU114" i="15" s="1"/>
  <c r="Y114" i="15"/>
  <c r="BB114" i="15" s="1"/>
  <c r="U114" i="15"/>
  <c r="AX114" i="15" s="1"/>
  <c r="X114" i="15"/>
  <c r="BA114" i="15" s="1"/>
  <c r="T114" i="15"/>
  <c r="AW114" i="15" s="1"/>
  <c r="W114" i="15"/>
  <c r="AZ114" i="15" s="1"/>
  <c r="S114" i="15"/>
  <c r="AV114" i="15" s="1"/>
  <c r="Q115" i="15"/>
  <c r="P116" i="15"/>
  <c r="CK86" i="17"/>
  <c r="U86" i="17"/>
  <c r="J118" i="14"/>
  <c r="CZ87" i="14"/>
  <c r="T90" i="6" l="1"/>
  <c r="J119" i="14"/>
  <c r="Q116" i="15"/>
  <c r="P117" i="15"/>
  <c r="CZ88" i="14"/>
  <c r="U87" i="17"/>
  <c r="CK87" i="17"/>
  <c r="AL115" i="15"/>
  <c r="Y115" i="15"/>
  <c r="BB115" i="15" s="1"/>
  <c r="U115" i="15"/>
  <c r="AX115" i="15" s="1"/>
  <c r="X115" i="15"/>
  <c r="BA115" i="15" s="1"/>
  <c r="T115" i="15"/>
  <c r="AW115" i="15" s="1"/>
  <c r="W115" i="15"/>
  <c r="AZ115" i="15" s="1"/>
  <c r="S115" i="15"/>
  <c r="AV115" i="15" s="1"/>
  <c r="Z115" i="15"/>
  <c r="BC115" i="15" s="1"/>
  <c r="V115" i="15"/>
  <c r="AY115" i="15" s="1"/>
  <c r="R115" i="15"/>
  <c r="AU115" i="15" s="1"/>
  <c r="T91" i="6" l="1"/>
  <c r="U88" i="17"/>
  <c r="CZ89" i="14"/>
  <c r="CK88" i="17"/>
  <c r="Q117" i="15"/>
  <c r="P118" i="15"/>
  <c r="AL116" i="15"/>
  <c r="Y116" i="15"/>
  <c r="BB116" i="15" s="1"/>
  <c r="U116" i="15"/>
  <c r="AX116" i="15" s="1"/>
  <c r="X116" i="15"/>
  <c r="BA116" i="15" s="1"/>
  <c r="T116" i="15"/>
  <c r="AW116" i="15" s="1"/>
  <c r="W116" i="15"/>
  <c r="AZ116" i="15" s="1"/>
  <c r="S116" i="15"/>
  <c r="AV116" i="15" s="1"/>
  <c r="Z116" i="15"/>
  <c r="BC116" i="15" s="1"/>
  <c r="V116" i="15"/>
  <c r="AY116" i="15" s="1"/>
  <c r="R116" i="15"/>
  <c r="AU116" i="15" s="1"/>
  <c r="J120" i="14"/>
  <c r="T92" i="6" l="1"/>
  <c r="Y117" i="15"/>
  <c r="BB117" i="15" s="1"/>
  <c r="U117" i="15"/>
  <c r="AX117" i="15" s="1"/>
  <c r="X117" i="15"/>
  <c r="BA117" i="15" s="1"/>
  <c r="T117" i="15"/>
  <c r="AW117" i="15" s="1"/>
  <c r="W117" i="15"/>
  <c r="AZ117" i="15" s="1"/>
  <c r="S117" i="15"/>
  <c r="AV117" i="15" s="1"/>
  <c r="AL117" i="15"/>
  <c r="Z117" i="15"/>
  <c r="BC117" i="15" s="1"/>
  <c r="V117" i="15"/>
  <c r="AY117" i="15" s="1"/>
  <c r="R117" i="15"/>
  <c r="AU117" i="15" s="1"/>
  <c r="CZ90" i="14"/>
  <c r="U89" i="17"/>
  <c r="CK89" i="17"/>
  <c r="J121" i="14"/>
  <c r="Q118" i="15"/>
  <c r="P119" i="15"/>
  <c r="T93" i="6" l="1"/>
  <c r="P120" i="15"/>
  <c r="Q119" i="15"/>
  <c r="J122" i="14"/>
  <c r="CK90" i="17"/>
  <c r="AL118" i="15"/>
  <c r="Y118" i="15"/>
  <c r="BB118" i="15" s="1"/>
  <c r="U118" i="15"/>
  <c r="AX118" i="15" s="1"/>
  <c r="X118" i="15"/>
  <c r="BA118" i="15" s="1"/>
  <c r="T118" i="15"/>
  <c r="AW118" i="15" s="1"/>
  <c r="W118" i="15"/>
  <c r="AZ118" i="15" s="1"/>
  <c r="S118" i="15"/>
  <c r="AV118" i="15" s="1"/>
  <c r="Z118" i="15"/>
  <c r="BC118" i="15" s="1"/>
  <c r="V118" i="15"/>
  <c r="AY118" i="15" s="1"/>
  <c r="R118" i="15"/>
  <c r="AU118" i="15" s="1"/>
  <c r="U90" i="17"/>
  <c r="CZ91" i="14"/>
  <c r="T94" i="6" l="1"/>
  <c r="CZ92" i="14"/>
  <c r="U91" i="17"/>
  <c r="J123" i="14"/>
  <c r="Y119" i="15"/>
  <c r="BB119" i="15" s="1"/>
  <c r="U119" i="15"/>
  <c r="AX119" i="15" s="1"/>
  <c r="X119" i="15"/>
  <c r="BA119" i="15" s="1"/>
  <c r="T119" i="15"/>
  <c r="AW119" i="15" s="1"/>
  <c r="W119" i="15"/>
  <c r="AZ119" i="15" s="1"/>
  <c r="S119" i="15"/>
  <c r="AV119" i="15" s="1"/>
  <c r="AL119" i="15"/>
  <c r="Z119" i="15"/>
  <c r="BC119" i="15" s="1"/>
  <c r="V119" i="15"/>
  <c r="AY119" i="15" s="1"/>
  <c r="R119" i="15"/>
  <c r="AU119" i="15" s="1"/>
  <c r="CK91" i="17"/>
  <c r="P121" i="15"/>
  <c r="Q120" i="15"/>
  <c r="T95" i="6" l="1"/>
  <c r="J124" i="14"/>
  <c r="X120" i="15"/>
  <c r="BA120" i="15" s="1"/>
  <c r="T120" i="15"/>
  <c r="AW120" i="15" s="1"/>
  <c r="W120" i="15"/>
  <c r="AZ120" i="15" s="1"/>
  <c r="S120" i="15"/>
  <c r="AV120" i="15" s="1"/>
  <c r="Z120" i="15"/>
  <c r="BC120" i="15" s="1"/>
  <c r="V120" i="15"/>
  <c r="AY120" i="15" s="1"/>
  <c r="R120" i="15"/>
  <c r="AU120" i="15" s="1"/>
  <c r="AL120" i="15"/>
  <c r="Y120" i="15"/>
  <c r="BB120" i="15" s="1"/>
  <c r="U120" i="15"/>
  <c r="AX120" i="15" s="1"/>
  <c r="P122" i="15"/>
  <c r="Q121" i="15"/>
  <c r="CK92" i="17"/>
  <c r="CZ93" i="14"/>
  <c r="U92" i="17"/>
  <c r="T96" i="6" l="1"/>
  <c r="U93" i="17"/>
  <c r="CZ94" i="14"/>
  <c r="CK93" i="17"/>
  <c r="P123" i="15"/>
  <c r="Q122" i="15"/>
  <c r="X121" i="15"/>
  <c r="BA121" i="15" s="1"/>
  <c r="T121" i="15"/>
  <c r="AW121" i="15" s="1"/>
  <c r="AL121" i="15"/>
  <c r="W121" i="15"/>
  <c r="AZ121" i="15" s="1"/>
  <c r="S121" i="15"/>
  <c r="AV121" i="15" s="1"/>
  <c r="Z121" i="15"/>
  <c r="BC121" i="15" s="1"/>
  <c r="V121" i="15"/>
  <c r="AY121" i="15" s="1"/>
  <c r="R121" i="15"/>
  <c r="AU121" i="15" s="1"/>
  <c r="Y121" i="15"/>
  <c r="BB121" i="15" s="1"/>
  <c r="U121" i="15"/>
  <c r="AX121" i="15" s="1"/>
  <c r="J125" i="14"/>
  <c r="T97" i="6" l="1"/>
  <c r="P124" i="15"/>
  <c r="Q123" i="15"/>
  <c r="CK94" i="17"/>
  <c r="J126" i="14"/>
  <c r="AL122" i="15"/>
  <c r="Z122" i="15"/>
  <c r="BC122" i="15" s="1"/>
  <c r="V122" i="15"/>
  <c r="AY122" i="15" s="1"/>
  <c r="R122" i="15"/>
  <c r="AU122" i="15" s="1"/>
  <c r="Y122" i="15"/>
  <c r="BB122" i="15" s="1"/>
  <c r="U122" i="15"/>
  <c r="AX122" i="15" s="1"/>
  <c r="X122" i="15"/>
  <c r="BA122" i="15" s="1"/>
  <c r="T122" i="15"/>
  <c r="AW122" i="15" s="1"/>
  <c r="W122" i="15"/>
  <c r="AZ122" i="15" s="1"/>
  <c r="S122" i="15"/>
  <c r="AV122" i="15" s="1"/>
  <c r="CZ95" i="14"/>
  <c r="U94" i="17"/>
  <c r="T98" i="6" l="1"/>
  <c r="U95" i="17"/>
  <c r="J127" i="14"/>
  <c r="CZ96" i="14"/>
  <c r="Y123" i="15"/>
  <c r="BB123" i="15" s="1"/>
  <c r="U123" i="15"/>
  <c r="AX123" i="15" s="1"/>
  <c r="X123" i="15"/>
  <c r="BA123" i="15" s="1"/>
  <c r="T123" i="15"/>
  <c r="AW123" i="15" s="1"/>
  <c r="W123" i="15"/>
  <c r="AZ123" i="15" s="1"/>
  <c r="S123" i="15"/>
  <c r="AV123" i="15" s="1"/>
  <c r="AL123" i="15"/>
  <c r="Z123" i="15"/>
  <c r="BC123" i="15" s="1"/>
  <c r="V123" i="15"/>
  <c r="AY123" i="15" s="1"/>
  <c r="R123" i="15"/>
  <c r="AU123" i="15" s="1"/>
  <c r="CK95" i="17"/>
  <c r="P125" i="15"/>
  <c r="Q124" i="15"/>
  <c r="T99" i="6" l="1"/>
  <c r="CZ97" i="14"/>
  <c r="J128" i="14"/>
  <c r="X124" i="15"/>
  <c r="BA124" i="15" s="1"/>
  <c r="T124" i="15"/>
  <c r="AW124" i="15" s="1"/>
  <c r="W124" i="15"/>
  <c r="AZ124" i="15" s="1"/>
  <c r="S124" i="15"/>
  <c r="AV124" i="15" s="1"/>
  <c r="AL124" i="15"/>
  <c r="Z124" i="15"/>
  <c r="BC124" i="15" s="1"/>
  <c r="V124" i="15"/>
  <c r="AY124" i="15" s="1"/>
  <c r="R124" i="15"/>
  <c r="AU124" i="15" s="1"/>
  <c r="Y124" i="15"/>
  <c r="BB124" i="15" s="1"/>
  <c r="U124" i="15"/>
  <c r="AX124" i="15" s="1"/>
  <c r="Q125" i="15"/>
  <c r="P126" i="15"/>
  <c r="CK96" i="17"/>
  <c r="U96" i="17"/>
  <c r="T100" i="6" l="1"/>
  <c r="W125" i="15"/>
  <c r="AZ125" i="15" s="1"/>
  <c r="S125" i="15"/>
  <c r="AV125" i="15" s="1"/>
  <c r="Z125" i="15"/>
  <c r="BC125" i="15" s="1"/>
  <c r="V125" i="15"/>
  <c r="AY125" i="15" s="1"/>
  <c r="R125" i="15"/>
  <c r="AU125" i="15" s="1"/>
  <c r="AL125" i="15"/>
  <c r="Y125" i="15"/>
  <c r="BB125" i="15" s="1"/>
  <c r="U125" i="15"/>
  <c r="AX125" i="15" s="1"/>
  <c r="X125" i="15"/>
  <c r="BA125" i="15" s="1"/>
  <c r="T125" i="15"/>
  <c r="AW125" i="15" s="1"/>
  <c r="CZ98" i="14"/>
  <c r="U97" i="17"/>
  <c r="CK97" i="17"/>
  <c r="Q126" i="15"/>
  <c r="P127" i="15"/>
  <c r="J129" i="14"/>
  <c r="T101" i="6" l="1"/>
  <c r="W126" i="15"/>
  <c r="AZ126" i="15" s="1"/>
  <c r="S126" i="15"/>
  <c r="AV126" i="15" s="1"/>
  <c r="AL126" i="15"/>
  <c r="Z126" i="15"/>
  <c r="BC126" i="15" s="1"/>
  <c r="V126" i="15"/>
  <c r="AY126" i="15" s="1"/>
  <c r="R126" i="15"/>
  <c r="AU126" i="15" s="1"/>
  <c r="Y126" i="15"/>
  <c r="BB126" i="15" s="1"/>
  <c r="U126" i="15"/>
  <c r="AX126" i="15" s="1"/>
  <c r="X126" i="15"/>
  <c r="BA126" i="15" s="1"/>
  <c r="T126" i="15"/>
  <c r="AW126" i="15" s="1"/>
  <c r="J130" i="14"/>
  <c r="Q127" i="15"/>
  <c r="P128" i="15"/>
  <c r="CK98" i="17"/>
  <c r="U98" i="17"/>
  <c r="CZ99" i="14"/>
  <c r="T102" i="6" l="1"/>
  <c r="W127" i="15"/>
  <c r="AZ127" i="15" s="1"/>
  <c r="S127" i="15"/>
  <c r="AV127" i="15" s="1"/>
  <c r="Z127" i="15"/>
  <c r="BC127" i="15" s="1"/>
  <c r="V127" i="15"/>
  <c r="AY127" i="15" s="1"/>
  <c r="R127" i="15"/>
  <c r="AU127" i="15" s="1"/>
  <c r="AL127" i="15"/>
  <c r="Y127" i="15"/>
  <c r="BB127" i="15" s="1"/>
  <c r="U127" i="15"/>
  <c r="AX127" i="15" s="1"/>
  <c r="X127" i="15"/>
  <c r="BA127" i="15" s="1"/>
  <c r="T127" i="15"/>
  <c r="AW127" i="15" s="1"/>
  <c r="J131" i="14"/>
  <c r="U99" i="17"/>
  <c r="CZ100" i="14"/>
  <c r="CK99" i="17"/>
  <c r="Q128" i="15"/>
  <c r="P129" i="15"/>
  <c r="T103" i="6" l="1"/>
  <c r="P130" i="15"/>
  <c r="Q129" i="15"/>
  <c r="U100" i="17"/>
  <c r="CK100" i="17"/>
  <c r="W128" i="15"/>
  <c r="AZ128" i="15" s="1"/>
  <c r="S128" i="15"/>
  <c r="AV128" i="15" s="1"/>
  <c r="Z128" i="15"/>
  <c r="BC128" i="15" s="1"/>
  <c r="V128" i="15"/>
  <c r="AY128" i="15" s="1"/>
  <c r="R128" i="15"/>
  <c r="AU128" i="15" s="1"/>
  <c r="AL128" i="15"/>
  <c r="Y128" i="15"/>
  <c r="BB128" i="15" s="1"/>
  <c r="U128" i="15"/>
  <c r="AX128" i="15" s="1"/>
  <c r="X128" i="15"/>
  <c r="BA128" i="15" s="1"/>
  <c r="T128" i="15"/>
  <c r="AW128" i="15" s="1"/>
  <c r="CZ101" i="14"/>
  <c r="J132" i="14"/>
  <c r="T104" i="6" l="1"/>
  <c r="CZ102" i="14"/>
  <c r="U101" i="17"/>
  <c r="W129" i="15"/>
  <c r="AZ129" i="15" s="1"/>
  <c r="S129" i="15"/>
  <c r="AV129" i="15" s="1"/>
  <c r="Z129" i="15"/>
  <c r="BC129" i="15" s="1"/>
  <c r="V129" i="15"/>
  <c r="AY129" i="15" s="1"/>
  <c r="R129" i="15"/>
  <c r="AU129" i="15" s="1"/>
  <c r="AL129" i="15"/>
  <c r="Y129" i="15"/>
  <c r="BB129" i="15" s="1"/>
  <c r="U129" i="15"/>
  <c r="AX129" i="15" s="1"/>
  <c r="X129" i="15"/>
  <c r="BA129" i="15" s="1"/>
  <c r="T129" i="15"/>
  <c r="AW129" i="15" s="1"/>
  <c r="J133" i="14"/>
  <c r="CK101" i="17"/>
  <c r="P131" i="15"/>
  <c r="Q130" i="15"/>
  <c r="T105" i="6" l="1"/>
  <c r="CK102" i="17"/>
  <c r="Q131" i="15"/>
  <c r="P132" i="15"/>
  <c r="X130" i="15"/>
  <c r="BA130" i="15" s="1"/>
  <c r="T130" i="15"/>
  <c r="AW130" i="15" s="1"/>
  <c r="W130" i="15"/>
  <c r="AZ130" i="15" s="1"/>
  <c r="S130" i="15"/>
  <c r="AV130" i="15" s="1"/>
  <c r="AL130" i="15"/>
  <c r="Z130" i="15"/>
  <c r="BC130" i="15" s="1"/>
  <c r="V130" i="15"/>
  <c r="AY130" i="15" s="1"/>
  <c r="R130" i="15"/>
  <c r="AU130" i="15" s="1"/>
  <c r="Y130" i="15"/>
  <c r="BB130" i="15" s="1"/>
  <c r="U130" i="15"/>
  <c r="AX130" i="15" s="1"/>
  <c r="J134" i="14"/>
  <c r="U102" i="17"/>
  <c r="CZ103" i="14"/>
  <c r="T106" i="6" l="1"/>
  <c r="U103" i="17"/>
  <c r="Q132" i="15"/>
  <c r="P133" i="15"/>
  <c r="CK103" i="17"/>
  <c r="CZ104" i="14"/>
  <c r="J135" i="14"/>
  <c r="W131" i="15"/>
  <c r="AZ131" i="15" s="1"/>
  <c r="S131" i="15"/>
  <c r="AV131" i="15" s="1"/>
  <c r="Z131" i="15"/>
  <c r="BC131" i="15" s="1"/>
  <c r="V131" i="15"/>
  <c r="AY131" i="15" s="1"/>
  <c r="R131" i="15"/>
  <c r="AU131" i="15" s="1"/>
  <c r="AL131" i="15"/>
  <c r="Y131" i="15"/>
  <c r="BB131" i="15" s="1"/>
  <c r="U131" i="15"/>
  <c r="AX131" i="15" s="1"/>
  <c r="X131" i="15"/>
  <c r="BA131" i="15" s="1"/>
  <c r="T131" i="15"/>
  <c r="AW131" i="15" s="1"/>
  <c r="T107" i="6" l="1"/>
  <c r="CK104" i="17"/>
  <c r="W132" i="15"/>
  <c r="AZ132" i="15" s="1"/>
  <c r="S132" i="15"/>
  <c r="AV132" i="15" s="1"/>
  <c r="Z132" i="15"/>
  <c r="BC132" i="15" s="1"/>
  <c r="V132" i="15"/>
  <c r="AY132" i="15" s="1"/>
  <c r="R132" i="15"/>
  <c r="AU132" i="15" s="1"/>
  <c r="AL132" i="15"/>
  <c r="Y132" i="15"/>
  <c r="BB132" i="15" s="1"/>
  <c r="U132" i="15"/>
  <c r="AX132" i="15" s="1"/>
  <c r="X132" i="15"/>
  <c r="BA132" i="15" s="1"/>
  <c r="T132" i="15"/>
  <c r="AW132" i="15" s="1"/>
  <c r="J136" i="14"/>
  <c r="CZ105" i="14"/>
  <c r="P134" i="15"/>
  <c r="Q133" i="15"/>
  <c r="U104" i="17"/>
  <c r="T108" i="6" l="1"/>
  <c r="Q134" i="15"/>
  <c r="P135" i="15"/>
  <c r="CZ106" i="14"/>
  <c r="J137" i="14"/>
  <c r="U105" i="17"/>
  <c r="CK105" i="17"/>
  <c r="W133" i="15"/>
  <c r="AZ133" i="15" s="1"/>
  <c r="S133" i="15"/>
  <c r="AV133" i="15" s="1"/>
  <c r="AL133" i="15"/>
  <c r="Z133" i="15"/>
  <c r="BC133" i="15" s="1"/>
  <c r="V133" i="15"/>
  <c r="AY133" i="15" s="1"/>
  <c r="R133" i="15"/>
  <c r="AU133" i="15" s="1"/>
  <c r="Y133" i="15"/>
  <c r="BB133" i="15" s="1"/>
  <c r="U133" i="15"/>
  <c r="AX133" i="15" s="1"/>
  <c r="X133" i="15"/>
  <c r="BA133" i="15" s="1"/>
  <c r="T133" i="15"/>
  <c r="AW133" i="15" s="1"/>
  <c r="T109" i="6" l="1"/>
  <c r="V108" i="6" s="1"/>
  <c r="U106" i="17"/>
  <c r="J138" i="14"/>
  <c r="CZ107" i="14"/>
  <c r="Q135" i="15"/>
  <c r="P136" i="15"/>
  <c r="CK106" i="17"/>
  <c r="Z134" i="15"/>
  <c r="BC134" i="15" s="1"/>
  <c r="V134" i="15"/>
  <c r="AY134" i="15" s="1"/>
  <c r="R134" i="15"/>
  <c r="AU134" i="15" s="1"/>
  <c r="AL134" i="15"/>
  <c r="Y134" i="15"/>
  <c r="BB134" i="15" s="1"/>
  <c r="U134" i="15"/>
  <c r="AX134" i="15" s="1"/>
  <c r="X134" i="15"/>
  <c r="BA134" i="15" s="1"/>
  <c r="T134" i="15"/>
  <c r="AW134" i="15" s="1"/>
  <c r="W134" i="15"/>
  <c r="AZ134" i="15" s="1"/>
  <c r="S134" i="15"/>
  <c r="AV134" i="15" s="1"/>
  <c r="AX108" i="6" l="1"/>
  <c r="AE108" i="6"/>
  <c r="Y108" i="6"/>
  <c r="W108" i="6"/>
  <c r="X108" i="6"/>
  <c r="V9" i="6"/>
  <c r="V10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CK107" i="17"/>
  <c r="P137" i="15"/>
  <c r="Q136" i="15"/>
  <c r="Z135" i="15"/>
  <c r="BC135" i="15" s="1"/>
  <c r="V135" i="15"/>
  <c r="AY135" i="15" s="1"/>
  <c r="R135" i="15"/>
  <c r="AU135" i="15" s="1"/>
  <c r="AL135" i="15"/>
  <c r="Y135" i="15"/>
  <c r="BB135" i="15" s="1"/>
  <c r="U135" i="15"/>
  <c r="AX135" i="15" s="1"/>
  <c r="X135" i="15"/>
  <c r="BA135" i="15" s="1"/>
  <c r="T135" i="15"/>
  <c r="AW135" i="15" s="1"/>
  <c r="W135" i="15"/>
  <c r="AZ135" i="15" s="1"/>
  <c r="S135" i="15"/>
  <c r="AV135" i="15" s="1"/>
  <c r="CZ108" i="14"/>
  <c r="J139" i="14"/>
  <c r="U107" i="17"/>
  <c r="AX86" i="6" l="1"/>
  <c r="W86" i="6"/>
  <c r="AE86" i="6"/>
  <c r="X86" i="6"/>
  <c r="Y86" i="6"/>
  <c r="AX85" i="6"/>
  <c r="Y85" i="6"/>
  <c r="AE85" i="6"/>
  <c r="W85" i="6"/>
  <c r="X85" i="6"/>
  <c r="AX65" i="6"/>
  <c r="X65" i="6"/>
  <c r="Y65" i="6"/>
  <c r="AE65" i="6"/>
  <c r="W65" i="6"/>
  <c r="AX61" i="6"/>
  <c r="AE61" i="6"/>
  <c r="W61" i="6"/>
  <c r="X61" i="6"/>
  <c r="Y61" i="6"/>
  <c r="AX57" i="6"/>
  <c r="AE57" i="6"/>
  <c r="W57" i="6"/>
  <c r="X57" i="6"/>
  <c r="Y57" i="6"/>
  <c r="AX53" i="6"/>
  <c r="Y53" i="6"/>
  <c r="W53" i="6"/>
  <c r="AE53" i="6"/>
  <c r="X53" i="6"/>
  <c r="AX49" i="6"/>
  <c r="Y49" i="6"/>
  <c r="X49" i="6"/>
  <c r="W49" i="6"/>
  <c r="AE49" i="6"/>
  <c r="AX45" i="6"/>
  <c r="W45" i="6"/>
  <c r="AE45" i="6"/>
  <c r="Y45" i="6"/>
  <c r="X45" i="6"/>
  <c r="AX41" i="6"/>
  <c r="AE41" i="6"/>
  <c r="X41" i="6"/>
  <c r="Y41" i="6"/>
  <c r="W41" i="6"/>
  <c r="AX37" i="6"/>
  <c r="AE37" i="6"/>
  <c r="X37" i="6"/>
  <c r="Y37" i="6"/>
  <c r="W37" i="6"/>
  <c r="AX33" i="6"/>
  <c r="AE33" i="6"/>
  <c r="Y33" i="6"/>
  <c r="X33" i="6"/>
  <c r="W33" i="6"/>
  <c r="AX29" i="6"/>
  <c r="AE29" i="6"/>
  <c r="X29" i="6"/>
  <c r="Y29" i="6"/>
  <c r="W29" i="6"/>
  <c r="AX25" i="6"/>
  <c r="X25" i="6"/>
  <c r="Y25" i="6"/>
  <c r="AE25" i="6"/>
  <c r="W25" i="6"/>
  <c r="AX21" i="6"/>
  <c r="X21" i="6"/>
  <c r="Y21" i="6"/>
  <c r="AE21" i="6"/>
  <c r="W21" i="6"/>
  <c r="AX17" i="6"/>
  <c r="AE17" i="6"/>
  <c r="X17" i="6"/>
  <c r="Y17" i="6"/>
  <c r="W17" i="6"/>
  <c r="AX13" i="6"/>
  <c r="AE13" i="6"/>
  <c r="X13" i="6"/>
  <c r="Y13" i="6"/>
  <c r="W13" i="6"/>
  <c r="AX109" i="6"/>
  <c r="Y109" i="6"/>
  <c r="AE109" i="6"/>
  <c r="X109" i="6"/>
  <c r="W109" i="6"/>
  <c r="AX106" i="6"/>
  <c r="X106" i="6"/>
  <c r="Y106" i="6"/>
  <c r="AE106" i="6"/>
  <c r="W106" i="6"/>
  <c r="AX98" i="6"/>
  <c r="AE98" i="6"/>
  <c r="Y98" i="6"/>
  <c r="X98" i="6"/>
  <c r="W98" i="6"/>
  <c r="AX90" i="6"/>
  <c r="AE90" i="6"/>
  <c r="W90" i="6"/>
  <c r="X90" i="6"/>
  <c r="Y90" i="6"/>
  <c r="AX78" i="6"/>
  <c r="X78" i="6"/>
  <c r="W78" i="6"/>
  <c r="AE78" i="6"/>
  <c r="Y78" i="6"/>
  <c r="AX74" i="6"/>
  <c r="AE74" i="6"/>
  <c r="Y74" i="6"/>
  <c r="X74" i="6"/>
  <c r="W74" i="6"/>
  <c r="AX66" i="6"/>
  <c r="W66" i="6"/>
  <c r="AE66" i="6"/>
  <c r="X66" i="6"/>
  <c r="Y66" i="6"/>
  <c r="AX58" i="6"/>
  <c r="AE58" i="6"/>
  <c r="W58" i="6"/>
  <c r="Y58" i="6"/>
  <c r="X58" i="6"/>
  <c r="AX50" i="6"/>
  <c r="AE50" i="6"/>
  <c r="X50" i="6"/>
  <c r="Y50" i="6"/>
  <c r="W50" i="6"/>
  <c r="AX38" i="6"/>
  <c r="Y38" i="6"/>
  <c r="AE38" i="6"/>
  <c r="W38" i="6"/>
  <c r="X38" i="6"/>
  <c r="AX30" i="6"/>
  <c r="AE30" i="6"/>
  <c r="X30" i="6"/>
  <c r="W30" i="6"/>
  <c r="Y30" i="6"/>
  <c r="AX22" i="6"/>
  <c r="AE22" i="6"/>
  <c r="X22" i="6"/>
  <c r="Y22" i="6"/>
  <c r="W22" i="6"/>
  <c r="AX18" i="6"/>
  <c r="AE18" i="6"/>
  <c r="Y18" i="6"/>
  <c r="W18" i="6"/>
  <c r="X18" i="6"/>
  <c r="AX10" i="6"/>
  <c r="AE10" i="6"/>
  <c r="Y10" i="6"/>
  <c r="X10" i="6"/>
  <c r="W10" i="6"/>
  <c r="AX101" i="6"/>
  <c r="W101" i="6"/>
  <c r="AE101" i="6"/>
  <c r="X101" i="6"/>
  <c r="Y101" i="6"/>
  <c r="AX89" i="6"/>
  <c r="AE89" i="6"/>
  <c r="Y89" i="6"/>
  <c r="X89" i="6"/>
  <c r="W89" i="6"/>
  <c r="AX81" i="6"/>
  <c r="AE81" i="6"/>
  <c r="X81" i="6"/>
  <c r="Y81" i="6"/>
  <c r="W81" i="6"/>
  <c r="AX69" i="6"/>
  <c r="AE69" i="6"/>
  <c r="X69" i="6"/>
  <c r="Y69" i="6"/>
  <c r="W69" i="6"/>
  <c r="AX104" i="6"/>
  <c r="AE104" i="6"/>
  <c r="Y104" i="6"/>
  <c r="W104" i="6"/>
  <c r="X104" i="6"/>
  <c r="AX100" i="6"/>
  <c r="AE100" i="6"/>
  <c r="W100" i="6"/>
  <c r="Y100" i="6"/>
  <c r="X100" i="6"/>
  <c r="AX96" i="6"/>
  <c r="X96" i="6"/>
  <c r="W96" i="6"/>
  <c r="AE96" i="6"/>
  <c r="Y96" i="6"/>
  <c r="AX92" i="6"/>
  <c r="W92" i="6"/>
  <c r="X92" i="6"/>
  <c r="Y92" i="6"/>
  <c r="AE92" i="6"/>
  <c r="AX88" i="6"/>
  <c r="X88" i="6"/>
  <c r="W88" i="6"/>
  <c r="AE88" i="6"/>
  <c r="Y88" i="6"/>
  <c r="AX84" i="6"/>
  <c r="Y84" i="6"/>
  <c r="W84" i="6"/>
  <c r="AE84" i="6"/>
  <c r="X84" i="6"/>
  <c r="AX80" i="6"/>
  <c r="X80" i="6"/>
  <c r="W80" i="6"/>
  <c r="AE80" i="6"/>
  <c r="Y80" i="6"/>
  <c r="AX76" i="6"/>
  <c r="W76" i="6"/>
  <c r="AE76" i="6"/>
  <c r="X76" i="6"/>
  <c r="Y76" i="6"/>
  <c r="AX72" i="6"/>
  <c r="W72" i="6"/>
  <c r="X72" i="6"/>
  <c r="Y72" i="6"/>
  <c r="AE72" i="6"/>
  <c r="AX68" i="6"/>
  <c r="W68" i="6"/>
  <c r="X68" i="6"/>
  <c r="Y68" i="6"/>
  <c r="AE68" i="6"/>
  <c r="AX64" i="6"/>
  <c r="X64" i="6"/>
  <c r="W64" i="6"/>
  <c r="AE64" i="6"/>
  <c r="Y64" i="6"/>
  <c r="AX60" i="6"/>
  <c r="X60" i="6"/>
  <c r="W60" i="6"/>
  <c r="Y60" i="6"/>
  <c r="AE60" i="6"/>
  <c r="AX56" i="6"/>
  <c r="AE56" i="6"/>
  <c r="X56" i="6"/>
  <c r="Y56" i="6"/>
  <c r="W56" i="6"/>
  <c r="AX52" i="6"/>
  <c r="X52" i="6"/>
  <c r="Y52" i="6"/>
  <c r="W52" i="6"/>
  <c r="AE52" i="6"/>
  <c r="AX48" i="6"/>
  <c r="AE48" i="6"/>
  <c r="Y48" i="6"/>
  <c r="W48" i="6"/>
  <c r="X48" i="6"/>
  <c r="AX44" i="6"/>
  <c r="W44" i="6"/>
  <c r="Y44" i="6"/>
  <c r="AE44" i="6"/>
  <c r="X44" i="6"/>
  <c r="AX40" i="6"/>
  <c r="AE40" i="6"/>
  <c r="W40" i="6"/>
  <c r="X40" i="6"/>
  <c r="Y40" i="6"/>
  <c r="AX36" i="6"/>
  <c r="AE36" i="6"/>
  <c r="Y36" i="6"/>
  <c r="X36" i="6"/>
  <c r="W36" i="6"/>
  <c r="AX32" i="6"/>
  <c r="X32" i="6"/>
  <c r="AE32" i="6"/>
  <c r="Y32" i="6"/>
  <c r="W32" i="6"/>
  <c r="AX28" i="6"/>
  <c r="AE28" i="6"/>
  <c r="W28" i="6"/>
  <c r="X28" i="6"/>
  <c r="Y28" i="6"/>
  <c r="AX24" i="6"/>
  <c r="AE24" i="6"/>
  <c r="Y24" i="6"/>
  <c r="X24" i="6"/>
  <c r="W24" i="6"/>
  <c r="AX20" i="6"/>
  <c r="AE20" i="6"/>
  <c r="X20" i="6"/>
  <c r="Y20" i="6"/>
  <c r="W20" i="6"/>
  <c r="AX16" i="6"/>
  <c r="AE16" i="6"/>
  <c r="W16" i="6"/>
  <c r="X16" i="6"/>
  <c r="Y16" i="6"/>
  <c r="AX12" i="6"/>
  <c r="AE12" i="6"/>
  <c r="X12" i="6"/>
  <c r="Y12" i="6"/>
  <c r="W12" i="6"/>
  <c r="AX9" i="6"/>
  <c r="AE9" i="6"/>
  <c r="Y9" i="6"/>
  <c r="AC9" i="6" s="1"/>
  <c r="W9" i="6"/>
  <c r="AA9" i="6" s="1"/>
  <c r="X9" i="6"/>
  <c r="AB9" i="6" s="1"/>
  <c r="AG108" i="6"/>
  <c r="AR108" i="6" s="1"/>
  <c r="AU108" i="6" s="1"/>
  <c r="AL108" i="6" s="1"/>
  <c r="AO108" i="6" s="1"/>
  <c r="AH108" i="6"/>
  <c r="AS108" i="6" s="1"/>
  <c r="AV108" i="6" s="1"/>
  <c r="AM108" i="6" s="1"/>
  <c r="AP108" i="6" s="1"/>
  <c r="AF108" i="6"/>
  <c r="AQ108" i="6" s="1"/>
  <c r="AT108" i="6" s="1"/>
  <c r="AK108" i="6" s="1"/>
  <c r="AN108" i="6" s="1"/>
  <c r="AX102" i="6"/>
  <c r="Y102" i="6"/>
  <c r="AE102" i="6"/>
  <c r="X102" i="6"/>
  <c r="W102" i="6"/>
  <c r="AX94" i="6"/>
  <c r="W94" i="6"/>
  <c r="Y94" i="6"/>
  <c r="X94" i="6"/>
  <c r="AE94" i="6"/>
  <c r="AX82" i="6"/>
  <c r="Y82" i="6"/>
  <c r="AE82" i="6"/>
  <c r="X82" i="6"/>
  <c r="W82" i="6"/>
  <c r="AX70" i="6"/>
  <c r="Y70" i="6"/>
  <c r="W70" i="6"/>
  <c r="AE70" i="6"/>
  <c r="X70" i="6"/>
  <c r="AX62" i="6"/>
  <c r="AE62" i="6"/>
  <c r="W62" i="6"/>
  <c r="X62" i="6"/>
  <c r="Y62" i="6"/>
  <c r="AX54" i="6"/>
  <c r="AE54" i="6"/>
  <c r="X54" i="6"/>
  <c r="Y54" i="6"/>
  <c r="W54" i="6"/>
  <c r="AX46" i="6"/>
  <c r="AE46" i="6"/>
  <c r="X46" i="6"/>
  <c r="Y46" i="6"/>
  <c r="W46" i="6"/>
  <c r="AX42" i="6"/>
  <c r="AE42" i="6"/>
  <c r="Y42" i="6"/>
  <c r="X42" i="6"/>
  <c r="W42" i="6"/>
  <c r="AX34" i="6"/>
  <c r="AE34" i="6"/>
  <c r="X34" i="6"/>
  <c r="Y34" i="6"/>
  <c r="W34" i="6"/>
  <c r="AX26" i="6"/>
  <c r="Y26" i="6"/>
  <c r="W26" i="6"/>
  <c r="AE26" i="6"/>
  <c r="X26" i="6"/>
  <c r="AX14" i="6"/>
  <c r="Y14" i="6"/>
  <c r="AE14" i="6"/>
  <c r="W14" i="6"/>
  <c r="X14" i="6"/>
  <c r="AX105" i="6"/>
  <c r="AE105" i="6"/>
  <c r="X105" i="6"/>
  <c r="Y105" i="6"/>
  <c r="W105" i="6"/>
  <c r="AX97" i="6"/>
  <c r="X97" i="6"/>
  <c r="W97" i="6"/>
  <c r="AE97" i="6"/>
  <c r="Y97" i="6"/>
  <c r="AX93" i="6"/>
  <c r="Y93" i="6"/>
  <c r="AE93" i="6"/>
  <c r="X93" i="6"/>
  <c r="W93" i="6"/>
  <c r="AX77" i="6"/>
  <c r="AE77" i="6"/>
  <c r="Y77" i="6"/>
  <c r="X77" i="6"/>
  <c r="W77" i="6"/>
  <c r="AX73" i="6"/>
  <c r="AE73" i="6"/>
  <c r="X73" i="6"/>
  <c r="Y73" i="6"/>
  <c r="W73" i="6"/>
  <c r="AX107" i="6"/>
  <c r="X107" i="6"/>
  <c r="W107" i="6"/>
  <c r="Y107" i="6"/>
  <c r="AE107" i="6"/>
  <c r="AX103" i="6"/>
  <c r="X103" i="6"/>
  <c r="AE103" i="6"/>
  <c r="Y103" i="6"/>
  <c r="W103" i="6"/>
  <c r="AX99" i="6"/>
  <c r="AE99" i="6"/>
  <c r="Y99" i="6"/>
  <c r="W99" i="6"/>
  <c r="X99" i="6"/>
  <c r="AX95" i="6"/>
  <c r="Y95" i="6"/>
  <c r="AE95" i="6"/>
  <c r="X95" i="6"/>
  <c r="W95" i="6"/>
  <c r="AX91" i="6"/>
  <c r="AE91" i="6"/>
  <c r="X91" i="6"/>
  <c r="Y91" i="6"/>
  <c r="W91" i="6"/>
  <c r="AX87" i="6"/>
  <c r="W87" i="6"/>
  <c r="Y87" i="6"/>
  <c r="AE87" i="6"/>
  <c r="X87" i="6"/>
  <c r="AX83" i="6"/>
  <c r="AE83" i="6"/>
  <c r="X83" i="6"/>
  <c r="Y83" i="6"/>
  <c r="W83" i="6"/>
  <c r="AX79" i="6"/>
  <c r="Y79" i="6"/>
  <c r="W79" i="6"/>
  <c r="X79" i="6"/>
  <c r="AE79" i="6"/>
  <c r="AX75" i="6"/>
  <c r="AE75" i="6"/>
  <c r="X75" i="6"/>
  <c r="W75" i="6"/>
  <c r="Y75" i="6"/>
  <c r="AX71" i="6"/>
  <c r="X71" i="6"/>
  <c r="AE71" i="6"/>
  <c r="Y71" i="6"/>
  <c r="W71" i="6"/>
  <c r="AX67" i="6"/>
  <c r="AE67" i="6"/>
  <c r="W67" i="6"/>
  <c r="Y67" i="6"/>
  <c r="X67" i="6"/>
  <c r="AX63" i="6"/>
  <c r="AE63" i="6"/>
  <c r="W63" i="6"/>
  <c r="X63" i="6"/>
  <c r="Y63" i="6"/>
  <c r="AX59" i="6"/>
  <c r="X59" i="6"/>
  <c r="AE59" i="6"/>
  <c r="Y59" i="6"/>
  <c r="W59" i="6"/>
  <c r="AX55" i="6"/>
  <c r="W55" i="6"/>
  <c r="AE55" i="6"/>
  <c r="X55" i="6"/>
  <c r="Y55" i="6"/>
  <c r="AX51" i="6"/>
  <c r="Y51" i="6"/>
  <c r="AE51" i="6"/>
  <c r="X51" i="6"/>
  <c r="W51" i="6"/>
  <c r="AX47" i="6"/>
  <c r="AE47" i="6"/>
  <c r="X47" i="6"/>
  <c r="Y47" i="6"/>
  <c r="W47" i="6"/>
  <c r="AX43" i="6"/>
  <c r="AE43" i="6"/>
  <c r="Y43" i="6"/>
  <c r="W43" i="6"/>
  <c r="X43" i="6"/>
  <c r="AX39" i="6"/>
  <c r="W39" i="6"/>
  <c r="Y39" i="6"/>
  <c r="AE39" i="6"/>
  <c r="X39" i="6"/>
  <c r="AX35" i="6"/>
  <c r="AE35" i="6"/>
  <c r="W35" i="6"/>
  <c r="X35" i="6"/>
  <c r="Y35" i="6"/>
  <c r="AX31" i="6"/>
  <c r="Y31" i="6"/>
  <c r="W31" i="6"/>
  <c r="AE31" i="6"/>
  <c r="X31" i="6"/>
  <c r="AX27" i="6"/>
  <c r="W27" i="6"/>
  <c r="AE27" i="6"/>
  <c r="Y27" i="6"/>
  <c r="X27" i="6"/>
  <c r="AX23" i="6"/>
  <c r="AE23" i="6"/>
  <c r="W23" i="6"/>
  <c r="X23" i="6"/>
  <c r="Y23" i="6"/>
  <c r="AX19" i="6"/>
  <c r="AE19" i="6"/>
  <c r="Y19" i="6"/>
  <c r="W19" i="6"/>
  <c r="X19" i="6"/>
  <c r="AX15" i="6"/>
  <c r="W15" i="6"/>
  <c r="Y15" i="6"/>
  <c r="AE15" i="6"/>
  <c r="X15" i="6"/>
  <c r="AX11" i="6"/>
  <c r="AE11" i="6"/>
  <c r="W11" i="6"/>
  <c r="Y11" i="6"/>
  <c r="X11" i="6"/>
  <c r="AY108" i="6"/>
  <c r="BA108" i="6"/>
  <c r="AZ108" i="6"/>
  <c r="CK108" i="17"/>
  <c r="U108" i="17"/>
  <c r="AL136" i="15"/>
  <c r="Z136" i="15"/>
  <c r="BC136" i="15" s="1"/>
  <c r="V136" i="15"/>
  <c r="AY136" i="15" s="1"/>
  <c r="R136" i="15"/>
  <c r="AU136" i="15" s="1"/>
  <c r="Y136" i="15"/>
  <c r="BB136" i="15" s="1"/>
  <c r="U136" i="15"/>
  <c r="AX136" i="15" s="1"/>
  <c r="X136" i="15"/>
  <c r="BA136" i="15" s="1"/>
  <c r="T136" i="15"/>
  <c r="AW136" i="15" s="1"/>
  <c r="W136" i="15"/>
  <c r="AZ136" i="15" s="1"/>
  <c r="S136" i="15"/>
  <c r="AV136" i="15" s="1"/>
  <c r="J140" i="14"/>
  <c r="CZ109" i="14"/>
  <c r="Q137" i="15"/>
  <c r="P138" i="15"/>
  <c r="AZ103" i="6" l="1"/>
  <c r="AY103" i="6"/>
  <c r="BA103" i="6"/>
  <c r="AH24" i="6"/>
  <c r="AS24" i="6" s="1"/>
  <c r="AV24" i="6" s="1"/>
  <c r="AM24" i="6" s="1"/>
  <c r="AP24" i="6" s="1"/>
  <c r="AF24" i="6"/>
  <c r="AQ24" i="6" s="1"/>
  <c r="AT24" i="6" s="1"/>
  <c r="AK24" i="6" s="1"/>
  <c r="AN24" i="6" s="1"/>
  <c r="AG24" i="6"/>
  <c r="AR24" i="6" s="1"/>
  <c r="AU24" i="6" s="1"/>
  <c r="AL24" i="6" s="1"/>
  <c r="AO24" i="6" s="1"/>
  <c r="AZ36" i="6"/>
  <c r="BA36" i="6"/>
  <c r="AY36" i="6"/>
  <c r="AF40" i="6"/>
  <c r="AQ40" i="6" s="1"/>
  <c r="AT40" i="6" s="1"/>
  <c r="AK40" i="6" s="1"/>
  <c r="AN40" i="6" s="1"/>
  <c r="AG40" i="6"/>
  <c r="AR40" i="6" s="1"/>
  <c r="AU40" i="6" s="1"/>
  <c r="AL40" i="6" s="1"/>
  <c r="AO40" i="6" s="1"/>
  <c r="AH40" i="6"/>
  <c r="AS40" i="6" s="1"/>
  <c r="AV40" i="6" s="1"/>
  <c r="AM40" i="6" s="1"/>
  <c r="AP40" i="6" s="1"/>
  <c r="AC40" i="6" s="1"/>
  <c r="AY52" i="6"/>
  <c r="AZ52" i="6"/>
  <c r="BA52" i="6"/>
  <c r="AF80" i="6"/>
  <c r="AQ80" i="6" s="1"/>
  <c r="AT80" i="6" s="1"/>
  <c r="AK80" i="6" s="1"/>
  <c r="AN80" i="6" s="1"/>
  <c r="AA80" i="6" s="1"/>
  <c r="AG80" i="6"/>
  <c r="AR80" i="6" s="1"/>
  <c r="AU80" i="6" s="1"/>
  <c r="AL80" i="6" s="1"/>
  <c r="AO80" i="6" s="1"/>
  <c r="AH80" i="6"/>
  <c r="AS80" i="6" s="1"/>
  <c r="AV80" i="6" s="1"/>
  <c r="AM80" i="6" s="1"/>
  <c r="AP80" i="6" s="1"/>
  <c r="AZ84" i="6"/>
  <c r="BA84" i="6"/>
  <c r="AY84" i="6"/>
  <c r="AY89" i="6"/>
  <c r="BA89" i="6"/>
  <c r="AZ89" i="6"/>
  <c r="AG30" i="6"/>
  <c r="AR30" i="6" s="1"/>
  <c r="AU30" i="6" s="1"/>
  <c r="AL30" i="6" s="1"/>
  <c r="AO30" i="6" s="1"/>
  <c r="AH30" i="6"/>
  <c r="AS30" i="6" s="1"/>
  <c r="AV30" i="6" s="1"/>
  <c r="AM30" i="6" s="1"/>
  <c r="AP30" i="6" s="1"/>
  <c r="AF30" i="6"/>
  <c r="AQ30" i="6" s="1"/>
  <c r="AT30" i="6" s="1"/>
  <c r="AK30" i="6" s="1"/>
  <c r="AN30" i="6" s="1"/>
  <c r="AG38" i="6"/>
  <c r="AR38" i="6" s="1"/>
  <c r="AU38" i="6" s="1"/>
  <c r="AL38" i="6" s="1"/>
  <c r="AO38" i="6" s="1"/>
  <c r="AB38" i="6" s="1"/>
  <c r="AH38" i="6"/>
  <c r="AS38" i="6" s="1"/>
  <c r="AV38" i="6" s="1"/>
  <c r="AM38" i="6" s="1"/>
  <c r="AP38" i="6" s="1"/>
  <c r="AF38" i="6"/>
  <c r="AQ38" i="6" s="1"/>
  <c r="AT38" i="6" s="1"/>
  <c r="AK38" i="6" s="1"/>
  <c r="AN38" i="6" s="1"/>
  <c r="BA58" i="6"/>
  <c r="AZ58" i="6"/>
  <c r="AY58" i="6"/>
  <c r="AG17" i="6"/>
  <c r="AR17" i="6" s="1"/>
  <c r="AU17" i="6" s="1"/>
  <c r="AL17" i="6" s="1"/>
  <c r="AO17" i="6" s="1"/>
  <c r="AH17" i="6"/>
  <c r="AS17" i="6" s="1"/>
  <c r="AV17" i="6" s="1"/>
  <c r="AM17" i="6" s="1"/>
  <c r="AP17" i="6" s="1"/>
  <c r="AF17" i="6"/>
  <c r="AQ17" i="6" s="1"/>
  <c r="AT17" i="6" s="1"/>
  <c r="AK17" i="6" s="1"/>
  <c r="AN17" i="6" s="1"/>
  <c r="BA27" i="6"/>
  <c r="AZ27" i="6"/>
  <c r="AY27" i="6"/>
  <c r="AG39" i="6"/>
  <c r="AR39" i="6" s="1"/>
  <c r="AU39" i="6" s="1"/>
  <c r="AL39" i="6" s="1"/>
  <c r="AO39" i="6" s="1"/>
  <c r="AB39" i="6" s="1"/>
  <c r="AH39" i="6"/>
  <c r="AS39" i="6" s="1"/>
  <c r="AV39" i="6" s="1"/>
  <c r="AM39" i="6" s="1"/>
  <c r="AP39" i="6" s="1"/>
  <c r="AC39" i="6" s="1"/>
  <c r="AF39" i="6"/>
  <c r="AQ39" i="6" s="1"/>
  <c r="AT39" i="6" s="1"/>
  <c r="AK39" i="6" s="1"/>
  <c r="AN39" i="6" s="1"/>
  <c r="AA39" i="6" s="1"/>
  <c r="BA43" i="6"/>
  <c r="AZ43" i="6"/>
  <c r="AY43" i="6"/>
  <c r="AG47" i="6"/>
  <c r="AR47" i="6" s="1"/>
  <c r="AU47" i="6" s="1"/>
  <c r="AL47" i="6" s="1"/>
  <c r="AO47" i="6" s="1"/>
  <c r="AH47" i="6"/>
  <c r="AS47" i="6" s="1"/>
  <c r="AV47" i="6" s="1"/>
  <c r="AM47" i="6" s="1"/>
  <c r="AP47" i="6" s="1"/>
  <c r="AF47" i="6"/>
  <c r="AQ47" i="6" s="1"/>
  <c r="AT47" i="6" s="1"/>
  <c r="AK47" i="6" s="1"/>
  <c r="AN47" i="6" s="1"/>
  <c r="AG51" i="6"/>
  <c r="AR51" i="6" s="1"/>
  <c r="AU51" i="6" s="1"/>
  <c r="AL51" i="6" s="1"/>
  <c r="AO51" i="6" s="1"/>
  <c r="AH51" i="6"/>
  <c r="AS51" i="6" s="1"/>
  <c r="AV51" i="6" s="1"/>
  <c r="AM51" i="6" s="1"/>
  <c r="AP51" i="6" s="1"/>
  <c r="AF51" i="6"/>
  <c r="AQ51" i="6" s="1"/>
  <c r="AT51" i="6" s="1"/>
  <c r="AK51" i="6" s="1"/>
  <c r="AN51" i="6" s="1"/>
  <c r="AZ59" i="6"/>
  <c r="AY59" i="6"/>
  <c r="BA59" i="6"/>
  <c r="AH63" i="6"/>
  <c r="AS63" i="6" s="1"/>
  <c r="AV63" i="6" s="1"/>
  <c r="AM63" i="6" s="1"/>
  <c r="AP63" i="6" s="1"/>
  <c r="AF63" i="6"/>
  <c r="AQ63" i="6" s="1"/>
  <c r="AT63" i="6" s="1"/>
  <c r="AK63" i="6" s="1"/>
  <c r="AN63" i="6" s="1"/>
  <c r="AA63" i="6" s="1"/>
  <c r="AG63" i="6"/>
  <c r="AR63" i="6" s="1"/>
  <c r="AU63" i="6" s="1"/>
  <c r="AL63" i="6" s="1"/>
  <c r="AO63" i="6" s="1"/>
  <c r="BA75" i="6"/>
  <c r="AY75" i="6"/>
  <c r="AZ75" i="6"/>
  <c r="AF87" i="6"/>
  <c r="AQ87" i="6" s="1"/>
  <c r="AT87" i="6" s="1"/>
  <c r="AK87" i="6" s="1"/>
  <c r="AN87" i="6" s="1"/>
  <c r="AG87" i="6"/>
  <c r="AR87" i="6" s="1"/>
  <c r="AU87" i="6" s="1"/>
  <c r="AL87" i="6" s="1"/>
  <c r="AO87" i="6" s="1"/>
  <c r="AH87" i="6"/>
  <c r="AS87" i="6" s="1"/>
  <c r="AV87" i="6" s="1"/>
  <c r="AM87" i="6" s="1"/>
  <c r="AP87" i="6" s="1"/>
  <c r="AY91" i="6"/>
  <c r="BA91" i="6"/>
  <c r="AZ91" i="6"/>
  <c r="AG107" i="6"/>
  <c r="AH107" i="6"/>
  <c r="AS107" i="6" s="1"/>
  <c r="AV107" i="6" s="1"/>
  <c r="AM107" i="6" s="1"/>
  <c r="AP107" i="6" s="1"/>
  <c r="AC107" i="6" s="1"/>
  <c r="AF107" i="6"/>
  <c r="AQ107" i="6" s="1"/>
  <c r="AT107" i="6" s="1"/>
  <c r="AK107" i="6" s="1"/>
  <c r="AN107" i="6" s="1"/>
  <c r="AY107" i="6"/>
  <c r="BA107" i="6"/>
  <c r="AZ107" i="6"/>
  <c r="AG73" i="6"/>
  <c r="AR73" i="6" s="1"/>
  <c r="AU73" i="6" s="1"/>
  <c r="AL73" i="6" s="1"/>
  <c r="AO73" i="6" s="1"/>
  <c r="AF73" i="6"/>
  <c r="AQ73" i="6" s="1"/>
  <c r="AT73" i="6" s="1"/>
  <c r="AK73" i="6" s="1"/>
  <c r="AN73" i="6" s="1"/>
  <c r="AH73" i="6"/>
  <c r="AS73" i="6" s="1"/>
  <c r="AV73" i="6" s="1"/>
  <c r="AM73" i="6" s="1"/>
  <c r="AP73" i="6" s="1"/>
  <c r="BA97" i="6"/>
  <c r="AZ97" i="6"/>
  <c r="AY97" i="6"/>
  <c r="AG105" i="6"/>
  <c r="AR105" i="6" s="1"/>
  <c r="AU105" i="6" s="1"/>
  <c r="AL105" i="6" s="1"/>
  <c r="AO105" i="6" s="1"/>
  <c r="AH105" i="6"/>
  <c r="AS105" i="6" s="1"/>
  <c r="AV105" i="6" s="1"/>
  <c r="AM105" i="6" s="1"/>
  <c r="AP105" i="6" s="1"/>
  <c r="AF105" i="6"/>
  <c r="AQ105" i="6" s="1"/>
  <c r="AT105" i="6" s="1"/>
  <c r="AK105" i="6" s="1"/>
  <c r="AN105" i="6" s="1"/>
  <c r="AG14" i="6"/>
  <c r="AR14" i="6" s="1"/>
  <c r="AU14" i="6" s="1"/>
  <c r="AL14" i="6" s="1"/>
  <c r="AO14" i="6" s="1"/>
  <c r="AH14" i="6"/>
  <c r="AS14" i="6" s="1"/>
  <c r="AV14" i="6" s="1"/>
  <c r="AM14" i="6" s="1"/>
  <c r="AP14" i="6" s="1"/>
  <c r="AF14" i="6"/>
  <c r="AQ14" i="6" s="1"/>
  <c r="AT14" i="6" s="1"/>
  <c r="AK14" i="6" s="1"/>
  <c r="AN14" i="6" s="1"/>
  <c r="AA14" i="6" s="1"/>
  <c r="AH26" i="6"/>
  <c r="AS26" i="6" s="1"/>
  <c r="AV26" i="6" s="1"/>
  <c r="AM26" i="6" s="1"/>
  <c r="AP26" i="6" s="1"/>
  <c r="AF26" i="6"/>
  <c r="AQ26" i="6" s="1"/>
  <c r="AT26" i="6" s="1"/>
  <c r="AK26" i="6" s="1"/>
  <c r="AN26" i="6" s="1"/>
  <c r="AG26" i="6"/>
  <c r="AR26" i="6" s="1"/>
  <c r="AU26" i="6" s="1"/>
  <c r="AL26" i="6" s="1"/>
  <c r="AO26" i="6" s="1"/>
  <c r="BA34" i="6"/>
  <c r="AY34" i="6"/>
  <c r="AZ34" i="6"/>
  <c r="AG42" i="6"/>
  <c r="AR42" i="6" s="1"/>
  <c r="AU42" i="6" s="1"/>
  <c r="AL42" i="6" s="1"/>
  <c r="AO42" i="6" s="1"/>
  <c r="AH42" i="6"/>
  <c r="AS42" i="6" s="1"/>
  <c r="AV42" i="6" s="1"/>
  <c r="AM42" i="6" s="1"/>
  <c r="AP42" i="6" s="1"/>
  <c r="AC42" i="6" s="1"/>
  <c r="AF42" i="6"/>
  <c r="AQ42" i="6" s="1"/>
  <c r="AT42" i="6" s="1"/>
  <c r="AK42" i="6" s="1"/>
  <c r="AN42" i="6" s="1"/>
  <c r="BA62" i="6"/>
  <c r="AZ62" i="6"/>
  <c r="AY62" i="6"/>
  <c r="AH82" i="6"/>
  <c r="AG82" i="6"/>
  <c r="AF82" i="6"/>
  <c r="AQ82" i="6" s="1"/>
  <c r="AT82" i="6" s="1"/>
  <c r="AK82" i="6" s="1"/>
  <c r="AN82" i="6" s="1"/>
  <c r="AZ102" i="6"/>
  <c r="BA102" i="6"/>
  <c r="AY102" i="6"/>
  <c r="BA9" i="6"/>
  <c r="AZ9" i="6"/>
  <c r="AY9" i="6"/>
  <c r="AH12" i="6"/>
  <c r="AS12" i="6" s="1"/>
  <c r="AV12" i="6" s="1"/>
  <c r="AM12" i="6" s="1"/>
  <c r="AP12" i="6" s="1"/>
  <c r="AF12" i="6"/>
  <c r="AQ12" i="6" s="1"/>
  <c r="AT12" i="6" s="1"/>
  <c r="AK12" i="6" s="1"/>
  <c r="AN12" i="6" s="1"/>
  <c r="AG12" i="6"/>
  <c r="AR12" i="6" s="1"/>
  <c r="AU12" i="6" s="1"/>
  <c r="AL12" i="6" s="1"/>
  <c r="AO12" i="6" s="1"/>
  <c r="AB12" i="6" s="1"/>
  <c r="AZ24" i="6"/>
  <c r="AY24" i="6"/>
  <c r="BA24" i="6"/>
  <c r="AG28" i="6"/>
  <c r="AR28" i="6" s="1"/>
  <c r="AU28" i="6" s="1"/>
  <c r="AL28" i="6" s="1"/>
  <c r="AO28" i="6" s="1"/>
  <c r="AB28" i="6" s="1"/>
  <c r="AH28" i="6"/>
  <c r="AS28" i="6" s="1"/>
  <c r="AV28" i="6" s="1"/>
  <c r="AM28" i="6" s="1"/>
  <c r="AP28" i="6" s="1"/>
  <c r="AF28" i="6"/>
  <c r="AH32" i="6"/>
  <c r="AS32" i="6" s="1"/>
  <c r="AV32" i="6" s="1"/>
  <c r="AM32" i="6" s="1"/>
  <c r="AP32" i="6" s="1"/>
  <c r="AF32" i="6"/>
  <c r="AQ32" i="6" s="1"/>
  <c r="AT32" i="6" s="1"/>
  <c r="AK32" i="6" s="1"/>
  <c r="AN32" i="6" s="1"/>
  <c r="AG32" i="6"/>
  <c r="AR32" i="6" s="1"/>
  <c r="AU32" i="6" s="1"/>
  <c r="AL32" i="6" s="1"/>
  <c r="AO32" i="6" s="1"/>
  <c r="BA40" i="6"/>
  <c r="AZ40" i="6"/>
  <c r="AY40" i="6"/>
  <c r="BA56" i="6"/>
  <c r="AZ56" i="6"/>
  <c r="AY56" i="6"/>
  <c r="AF72" i="6"/>
  <c r="AQ72" i="6" s="1"/>
  <c r="AT72" i="6" s="1"/>
  <c r="AK72" i="6" s="1"/>
  <c r="AN72" i="6" s="1"/>
  <c r="AA72" i="6" s="1"/>
  <c r="AG72" i="6"/>
  <c r="AR72" i="6" s="1"/>
  <c r="AU72" i="6" s="1"/>
  <c r="AL72" i="6" s="1"/>
  <c r="AO72" i="6" s="1"/>
  <c r="AH72" i="6"/>
  <c r="AS72" i="6" s="1"/>
  <c r="AV72" i="6" s="1"/>
  <c r="AM72" i="6" s="1"/>
  <c r="AP72" i="6" s="1"/>
  <c r="AY72" i="6"/>
  <c r="AZ72" i="6"/>
  <c r="BA72" i="6"/>
  <c r="AG84" i="6"/>
  <c r="AH84" i="6"/>
  <c r="AS84" i="6" s="1"/>
  <c r="AV84" i="6" s="1"/>
  <c r="AM84" i="6" s="1"/>
  <c r="AP84" i="6" s="1"/>
  <c r="AF84" i="6"/>
  <c r="AQ84" i="6" s="1"/>
  <c r="AT84" i="6" s="1"/>
  <c r="AK84" i="6" s="1"/>
  <c r="AN84" i="6" s="1"/>
  <c r="AA84" i="6" s="1"/>
  <c r="BA88" i="6"/>
  <c r="AZ88" i="6"/>
  <c r="AY88" i="6"/>
  <c r="BA104" i="6"/>
  <c r="AZ104" i="6"/>
  <c r="AY104" i="6"/>
  <c r="AH69" i="6"/>
  <c r="AS69" i="6" s="1"/>
  <c r="AV69" i="6" s="1"/>
  <c r="AM69" i="6" s="1"/>
  <c r="AP69" i="6" s="1"/>
  <c r="AF69" i="6"/>
  <c r="AQ69" i="6" s="1"/>
  <c r="AT69" i="6" s="1"/>
  <c r="AK69" i="6" s="1"/>
  <c r="AN69" i="6" s="1"/>
  <c r="AA69" i="6" s="1"/>
  <c r="AG69" i="6"/>
  <c r="AR69" i="6" s="1"/>
  <c r="AU69" i="6" s="1"/>
  <c r="AL69" i="6" s="1"/>
  <c r="AO69" i="6" s="1"/>
  <c r="BA101" i="6"/>
  <c r="AZ101" i="6"/>
  <c r="AY101" i="6"/>
  <c r="AG10" i="6"/>
  <c r="AR10" i="6" s="1"/>
  <c r="AU10" i="6" s="1"/>
  <c r="AL10" i="6" s="1"/>
  <c r="AO10" i="6" s="1"/>
  <c r="AH10" i="6"/>
  <c r="AS10" i="6" s="1"/>
  <c r="AV10" i="6" s="1"/>
  <c r="AM10" i="6" s="1"/>
  <c r="AP10" i="6" s="1"/>
  <c r="AF10" i="6"/>
  <c r="AQ10" i="6" s="1"/>
  <c r="AT10" i="6" s="1"/>
  <c r="AK10" i="6" s="1"/>
  <c r="AN10" i="6" s="1"/>
  <c r="BA30" i="6"/>
  <c r="AY30" i="6"/>
  <c r="AZ30" i="6"/>
  <c r="BA66" i="6"/>
  <c r="AY66" i="6"/>
  <c r="AZ66" i="6"/>
  <c r="AG74" i="6"/>
  <c r="AR74" i="6" s="1"/>
  <c r="AU74" i="6" s="1"/>
  <c r="AL74" i="6" s="1"/>
  <c r="AO74" i="6" s="1"/>
  <c r="AB74" i="6" s="1"/>
  <c r="AH74" i="6"/>
  <c r="AS74" i="6" s="1"/>
  <c r="AV74" i="6" s="1"/>
  <c r="AM74" i="6" s="1"/>
  <c r="AP74" i="6" s="1"/>
  <c r="AC74" i="6" s="1"/>
  <c r="AF74" i="6"/>
  <c r="AQ74" i="6" s="1"/>
  <c r="AT74" i="6" s="1"/>
  <c r="AK74" i="6" s="1"/>
  <c r="AN74" i="6" s="1"/>
  <c r="AA74" i="6" s="1"/>
  <c r="BA98" i="6"/>
  <c r="AY98" i="6"/>
  <c r="AZ98" i="6"/>
  <c r="AG109" i="6"/>
  <c r="AR109" i="6" s="1"/>
  <c r="AU109" i="6" s="1"/>
  <c r="AL109" i="6" s="1"/>
  <c r="AO109" i="6" s="1"/>
  <c r="AB109" i="6" s="1"/>
  <c r="AH109" i="6"/>
  <c r="AS109" i="6" s="1"/>
  <c r="AV109" i="6" s="1"/>
  <c r="AM109" i="6" s="1"/>
  <c r="AP109" i="6" s="1"/>
  <c r="AC109" i="6" s="1"/>
  <c r="AF109" i="6"/>
  <c r="AQ109" i="6" s="1"/>
  <c r="AT109" i="6" s="1"/>
  <c r="AK109" i="6" s="1"/>
  <c r="AN109" i="6" s="1"/>
  <c r="AA109" i="6" s="1"/>
  <c r="AY17" i="6"/>
  <c r="BA17" i="6"/>
  <c r="AZ17" i="6"/>
  <c r="AY33" i="6"/>
  <c r="AZ33" i="6"/>
  <c r="BA33" i="6"/>
  <c r="AH37" i="6"/>
  <c r="AS37" i="6" s="1"/>
  <c r="AV37" i="6" s="1"/>
  <c r="AM37" i="6" s="1"/>
  <c r="AP37" i="6" s="1"/>
  <c r="AF37" i="6"/>
  <c r="AQ37" i="6" s="1"/>
  <c r="AT37" i="6" s="1"/>
  <c r="AK37" i="6" s="1"/>
  <c r="AN37" i="6" s="1"/>
  <c r="AG37" i="6"/>
  <c r="AR37" i="6" s="1"/>
  <c r="AU37" i="6" s="1"/>
  <c r="AL37" i="6" s="1"/>
  <c r="AO37" i="6" s="1"/>
  <c r="AG49" i="6"/>
  <c r="AR49" i="6" s="1"/>
  <c r="AU49" i="6" s="1"/>
  <c r="AL49" i="6" s="1"/>
  <c r="AO49" i="6" s="1"/>
  <c r="AB49" i="6" s="1"/>
  <c r="AH49" i="6"/>
  <c r="AS49" i="6" s="1"/>
  <c r="AV49" i="6" s="1"/>
  <c r="AM49" i="6" s="1"/>
  <c r="AP49" i="6" s="1"/>
  <c r="AF49" i="6"/>
  <c r="AQ49" i="6" s="1"/>
  <c r="AT49" i="6" s="1"/>
  <c r="AK49" i="6" s="1"/>
  <c r="AN49" i="6" s="1"/>
  <c r="BA49" i="6"/>
  <c r="AZ49" i="6"/>
  <c r="AY49" i="6"/>
  <c r="AY65" i="6"/>
  <c r="BA65" i="6"/>
  <c r="AZ65" i="6"/>
  <c r="AG86" i="6"/>
  <c r="AR86" i="6" s="1"/>
  <c r="AU86" i="6" s="1"/>
  <c r="AL86" i="6" s="1"/>
  <c r="AO86" i="6" s="1"/>
  <c r="AH86" i="6"/>
  <c r="AS86" i="6" s="1"/>
  <c r="AV86" i="6" s="1"/>
  <c r="AM86" i="6" s="1"/>
  <c r="AP86" i="6" s="1"/>
  <c r="AF86" i="6"/>
  <c r="AQ86" i="6" s="1"/>
  <c r="AT86" i="6" s="1"/>
  <c r="AK86" i="6" s="1"/>
  <c r="AN86" i="6" s="1"/>
  <c r="AH11" i="6"/>
  <c r="AS11" i="6" s="1"/>
  <c r="AV11" i="6" s="1"/>
  <c r="AM11" i="6" s="1"/>
  <c r="AP11" i="6" s="1"/>
  <c r="AC11" i="6" s="1"/>
  <c r="AG11" i="6"/>
  <c r="AR11" i="6" s="1"/>
  <c r="AU11" i="6" s="1"/>
  <c r="AL11" i="6" s="1"/>
  <c r="AO11" i="6" s="1"/>
  <c r="AB11" i="6" s="1"/>
  <c r="AF11" i="6"/>
  <c r="AQ11" i="6" s="1"/>
  <c r="AT11" i="6" s="1"/>
  <c r="AK11" i="6" s="1"/>
  <c r="AN11" i="6" s="1"/>
  <c r="AA11" i="6" s="1"/>
  <c r="BA23" i="6"/>
  <c r="AZ23" i="6"/>
  <c r="AY23" i="6"/>
  <c r="BA39" i="6"/>
  <c r="AZ39" i="6"/>
  <c r="AY39" i="6"/>
  <c r="AG43" i="6"/>
  <c r="AR43" i="6" s="1"/>
  <c r="AU43" i="6" s="1"/>
  <c r="AL43" i="6" s="1"/>
  <c r="AO43" i="6" s="1"/>
  <c r="AB43" i="6" s="1"/>
  <c r="AH43" i="6"/>
  <c r="AS43" i="6" s="1"/>
  <c r="AV43" i="6" s="1"/>
  <c r="AM43" i="6" s="1"/>
  <c r="AP43" i="6" s="1"/>
  <c r="AF43" i="6"/>
  <c r="AQ43" i="6" s="1"/>
  <c r="AT43" i="6" s="1"/>
  <c r="AK43" i="6" s="1"/>
  <c r="AN43" i="6" s="1"/>
  <c r="AA43" i="6" s="1"/>
  <c r="AY55" i="6"/>
  <c r="AZ55" i="6"/>
  <c r="BA55" i="6"/>
  <c r="BA71" i="6"/>
  <c r="AY71" i="6"/>
  <c r="AZ71" i="6"/>
  <c r="BA87" i="6"/>
  <c r="AY87" i="6"/>
  <c r="AZ87" i="6"/>
  <c r="AH95" i="6"/>
  <c r="AS95" i="6" s="1"/>
  <c r="AV95" i="6" s="1"/>
  <c r="AM95" i="6" s="1"/>
  <c r="AP95" i="6" s="1"/>
  <c r="AF95" i="6"/>
  <c r="AQ95" i="6" s="1"/>
  <c r="AT95" i="6" s="1"/>
  <c r="AK95" i="6" s="1"/>
  <c r="AN95" i="6" s="1"/>
  <c r="AG95" i="6"/>
  <c r="AR95" i="6" s="1"/>
  <c r="AU95" i="6" s="1"/>
  <c r="AL95" i="6" s="1"/>
  <c r="AO95" i="6" s="1"/>
  <c r="AG62" i="6"/>
  <c r="AR62" i="6" s="1"/>
  <c r="AU62" i="6" s="1"/>
  <c r="AL62" i="6" s="1"/>
  <c r="AO62" i="6" s="1"/>
  <c r="AH62" i="6"/>
  <c r="AF62" i="6"/>
  <c r="AQ62" i="6" s="1"/>
  <c r="AT62" i="6" s="1"/>
  <c r="AK62" i="6" s="1"/>
  <c r="AN62" i="6" s="1"/>
  <c r="AG94" i="6"/>
  <c r="AR94" i="6" s="1"/>
  <c r="AU94" i="6" s="1"/>
  <c r="AL94" i="6" s="1"/>
  <c r="AO94" i="6" s="1"/>
  <c r="AH94" i="6"/>
  <c r="AS94" i="6" s="1"/>
  <c r="AV94" i="6" s="1"/>
  <c r="AM94" i="6" s="1"/>
  <c r="AP94" i="6" s="1"/>
  <c r="AC94" i="6" s="1"/>
  <c r="AF94" i="6"/>
  <c r="AQ94" i="6" s="1"/>
  <c r="AT94" i="6" s="1"/>
  <c r="AK94" i="6" s="1"/>
  <c r="AN94" i="6" s="1"/>
  <c r="AZ94" i="6"/>
  <c r="BA94" i="6"/>
  <c r="AY94" i="6"/>
  <c r="AH9" i="6"/>
  <c r="AS9" i="6" s="1"/>
  <c r="AV9" i="6" s="1"/>
  <c r="AM9" i="6" s="1"/>
  <c r="AP9" i="6" s="1"/>
  <c r="AC10" i="6" s="1"/>
  <c r="AG9" i="6"/>
  <c r="AF9" i="6"/>
  <c r="AG68" i="6"/>
  <c r="AR68" i="6" s="1"/>
  <c r="AU68" i="6" s="1"/>
  <c r="AL68" i="6" s="1"/>
  <c r="AO68" i="6" s="1"/>
  <c r="AH68" i="6"/>
  <c r="AF68" i="6"/>
  <c r="AQ68" i="6" s="1"/>
  <c r="AT68" i="6" s="1"/>
  <c r="AK68" i="6" s="1"/>
  <c r="AN68" i="6" s="1"/>
  <c r="AY100" i="6"/>
  <c r="AZ100" i="6"/>
  <c r="BA100" i="6"/>
  <c r="AF104" i="6"/>
  <c r="AQ104" i="6" s="1"/>
  <c r="AT104" i="6" s="1"/>
  <c r="AK104" i="6" s="1"/>
  <c r="AN104" i="6" s="1"/>
  <c r="AG104" i="6"/>
  <c r="AR104" i="6" s="1"/>
  <c r="AU104" i="6" s="1"/>
  <c r="AL104" i="6" s="1"/>
  <c r="AO104" i="6" s="1"/>
  <c r="AH104" i="6"/>
  <c r="AS104" i="6" s="1"/>
  <c r="AV104" i="6" s="1"/>
  <c r="AM104" i="6" s="1"/>
  <c r="AP104" i="6" s="1"/>
  <c r="BA22" i="6"/>
  <c r="AZ22" i="6"/>
  <c r="AY22" i="6"/>
  <c r="BA90" i="6"/>
  <c r="AY90" i="6"/>
  <c r="AZ90" i="6"/>
  <c r="AY13" i="6"/>
  <c r="BA13" i="6"/>
  <c r="AZ13" i="6"/>
  <c r="BA15" i="6"/>
  <c r="AY15" i="6"/>
  <c r="AZ15" i="6"/>
  <c r="AG19" i="6"/>
  <c r="AR19" i="6" s="1"/>
  <c r="AU19" i="6" s="1"/>
  <c r="AL19" i="6" s="1"/>
  <c r="AO19" i="6" s="1"/>
  <c r="AH19" i="6"/>
  <c r="AF19" i="6"/>
  <c r="AQ19" i="6" s="1"/>
  <c r="AT19" i="6" s="1"/>
  <c r="AK19" i="6" s="1"/>
  <c r="AN19" i="6" s="1"/>
  <c r="AY31" i="6"/>
  <c r="BA31" i="6"/>
  <c r="AZ31" i="6"/>
  <c r="AH35" i="6"/>
  <c r="AS35" i="6" s="1"/>
  <c r="AV35" i="6" s="1"/>
  <c r="AM35" i="6" s="1"/>
  <c r="AP35" i="6" s="1"/>
  <c r="AG35" i="6"/>
  <c r="AF35" i="6"/>
  <c r="BA47" i="6"/>
  <c r="AZ47" i="6"/>
  <c r="AY47" i="6"/>
  <c r="AH55" i="6"/>
  <c r="AF55" i="6"/>
  <c r="AQ55" i="6" s="1"/>
  <c r="AT55" i="6" s="1"/>
  <c r="AK55" i="6" s="1"/>
  <c r="AN55" i="6" s="1"/>
  <c r="AG55" i="6"/>
  <c r="AR55" i="6" s="1"/>
  <c r="AU55" i="6" s="1"/>
  <c r="AL55" i="6" s="1"/>
  <c r="AO55" i="6" s="1"/>
  <c r="BA63" i="6"/>
  <c r="AY63" i="6"/>
  <c r="AZ63" i="6"/>
  <c r="AF67" i="6"/>
  <c r="AQ67" i="6" s="1"/>
  <c r="AT67" i="6" s="1"/>
  <c r="AK67" i="6" s="1"/>
  <c r="AN67" i="6" s="1"/>
  <c r="AG67" i="6"/>
  <c r="AR67" i="6" s="1"/>
  <c r="AU67" i="6" s="1"/>
  <c r="AL67" i="6" s="1"/>
  <c r="AO67" i="6" s="1"/>
  <c r="AB67" i="6" s="1"/>
  <c r="AH67" i="6"/>
  <c r="AS67" i="6" s="1"/>
  <c r="AV67" i="6" s="1"/>
  <c r="AM67" i="6" s="1"/>
  <c r="AP67" i="6" s="1"/>
  <c r="AF71" i="6"/>
  <c r="AQ71" i="6" s="1"/>
  <c r="AT71" i="6" s="1"/>
  <c r="AK71" i="6" s="1"/>
  <c r="AN71" i="6" s="1"/>
  <c r="AG71" i="6"/>
  <c r="AR71" i="6" s="1"/>
  <c r="AU71" i="6" s="1"/>
  <c r="AL71" i="6" s="1"/>
  <c r="AO71" i="6" s="1"/>
  <c r="AH71" i="6"/>
  <c r="AS71" i="6" s="1"/>
  <c r="AV71" i="6" s="1"/>
  <c r="AM71" i="6" s="1"/>
  <c r="AP71" i="6" s="1"/>
  <c r="AG79" i="6"/>
  <c r="AR79" i="6" s="1"/>
  <c r="AU79" i="6" s="1"/>
  <c r="AL79" i="6" s="1"/>
  <c r="AO79" i="6" s="1"/>
  <c r="AH79" i="6"/>
  <c r="AS79" i="6" s="1"/>
  <c r="AV79" i="6" s="1"/>
  <c r="AM79" i="6" s="1"/>
  <c r="AP79" i="6" s="1"/>
  <c r="AF79" i="6"/>
  <c r="AQ79" i="6" s="1"/>
  <c r="AT79" i="6" s="1"/>
  <c r="AK79" i="6" s="1"/>
  <c r="AN79" i="6" s="1"/>
  <c r="AZ79" i="6"/>
  <c r="BA79" i="6"/>
  <c r="AY79" i="6"/>
  <c r="AG83" i="6"/>
  <c r="AR83" i="6" s="1"/>
  <c r="AU83" i="6" s="1"/>
  <c r="AL83" i="6" s="1"/>
  <c r="AO83" i="6" s="1"/>
  <c r="AH83" i="6"/>
  <c r="AS83" i="6" s="1"/>
  <c r="AV83" i="6" s="1"/>
  <c r="AM83" i="6" s="1"/>
  <c r="AP83" i="6" s="1"/>
  <c r="AF83" i="6"/>
  <c r="AQ83" i="6" s="1"/>
  <c r="AT83" i="6" s="1"/>
  <c r="AK83" i="6" s="1"/>
  <c r="AN83" i="6" s="1"/>
  <c r="AA83" i="6" s="1"/>
  <c r="BA95" i="6"/>
  <c r="AY95" i="6"/>
  <c r="AZ95" i="6"/>
  <c r="AG99" i="6"/>
  <c r="AR99" i="6" s="1"/>
  <c r="AU99" i="6" s="1"/>
  <c r="AL99" i="6" s="1"/>
  <c r="AO99" i="6" s="1"/>
  <c r="AH99" i="6"/>
  <c r="AS99" i="6" s="1"/>
  <c r="AV99" i="6" s="1"/>
  <c r="AM99" i="6" s="1"/>
  <c r="AP99" i="6" s="1"/>
  <c r="AF99" i="6"/>
  <c r="AH103" i="6"/>
  <c r="AS103" i="6" s="1"/>
  <c r="AV103" i="6" s="1"/>
  <c r="AM103" i="6" s="1"/>
  <c r="AP103" i="6" s="1"/>
  <c r="AC103" i="6" s="1"/>
  <c r="AF103" i="6"/>
  <c r="AG103" i="6"/>
  <c r="AR103" i="6" s="1"/>
  <c r="AU103" i="6" s="1"/>
  <c r="AL103" i="6" s="1"/>
  <c r="AO103" i="6" s="1"/>
  <c r="BA73" i="6"/>
  <c r="AY73" i="6"/>
  <c r="AZ73" i="6"/>
  <c r="AG77" i="6"/>
  <c r="AR77" i="6" s="1"/>
  <c r="AU77" i="6" s="1"/>
  <c r="AL77" i="6" s="1"/>
  <c r="AO77" i="6" s="1"/>
  <c r="AH77" i="6"/>
  <c r="AS77" i="6" s="1"/>
  <c r="AV77" i="6" s="1"/>
  <c r="AM77" i="6" s="1"/>
  <c r="AP77" i="6" s="1"/>
  <c r="AF77" i="6"/>
  <c r="AQ77" i="6" s="1"/>
  <c r="AT77" i="6" s="1"/>
  <c r="AK77" i="6" s="1"/>
  <c r="AN77" i="6" s="1"/>
  <c r="AA77" i="6" s="1"/>
  <c r="AF93" i="6"/>
  <c r="AQ93" i="6" s="1"/>
  <c r="AT93" i="6" s="1"/>
  <c r="AK93" i="6" s="1"/>
  <c r="AN93" i="6" s="1"/>
  <c r="AG93" i="6"/>
  <c r="AR93" i="6" s="1"/>
  <c r="AU93" i="6" s="1"/>
  <c r="AL93" i="6" s="1"/>
  <c r="AO93" i="6" s="1"/>
  <c r="AH93" i="6"/>
  <c r="AS93" i="6" s="1"/>
  <c r="AV93" i="6" s="1"/>
  <c r="AM93" i="6" s="1"/>
  <c r="AP93" i="6" s="1"/>
  <c r="AG97" i="6"/>
  <c r="AR97" i="6" s="1"/>
  <c r="AU97" i="6" s="1"/>
  <c r="AL97" i="6" s="1"/>
  <c r="AO97" i="6" s="1"/>
  <c r="AB97" i="6" s="1"/>
  <c r="AH97" i="6"/>
  <c r="AS97" i="6" s="1"/>
  <c r="AV97" i="6" s="1"/>
  <c r="AM97" i="6" s="1"/>
  <c r="AP97" i="6" s="1"/>
  <c r="AF97" i="6"/>
  <c r="BA105" i="6"/>
  <c r="AY105" i="6"/>
  <c r="AZ105" i="6"/>
  <c r="BA42" i="6"/>
  <c r="AY42" i="6"/>
  <c r="AZ42" i="6"/>
  <c r="AH46" i="6"/>
  <c r="AG46" i="6"/>
  <c r="AF46" i="6"/>
  <c r="BA70" i="6"/>
  <c r="AZ70" i="6"/>
  <c r="AY70" i="6"/>
  <c r="AA108" i="6"/>
  <c r="AZ12" i="6"/>
  <c r="BA12" i="6"/>
  <c r="AY12" i="6"/>
  <c r="AG16" i="6"/>
  <c r="AR16" i="6" s="1"/>
  <c r="AU16" i="6" s="1"/>
  <c r="AL16" i="6" s="1"/>
  <c r="AO16" i="6" s="1"/>
  <c r="AH16" i="6"/>
  <c r="AS16" i="6" s="1"/>
  <c r="AV16" i="6" s="1"/>
  <c r="AM16" i="6" s="1"/>
  <c r="AP16" i="6" s="1"/>
  <c r="AF16" i="6"/>
  <c r="AY28" i="6"/>
  <c r="BA28" i="6"/>
  <c r="AZ28" i="6"/>
  <c r="AZ44" i="6"/>
  <c r="BA44" i="6"/>
  <c r="AY44" i="6"/>
  <c r="AH48" i="6"/>
  <c r="AS48" i="6" s="1"/>
  <c r="AV48" i="6" s="1"/>
  <c r="AM48" i="6" s="1"/>
  <c r="AP48" i="6" s="1"/>
  <c r="AC48" i="6" s="1"/>
  <c r="AF48" i="6"/>
  <c r="AQ48" i="6" s="1"/>
  <c r="AT48" i="6" s="1"/>
  <c r="AK48" i="6" s="1"/>
  <c r="AN48" i="6" s="1"/>
  <c r="AG48" i="6"/>
  <c r="AR48" i="6" s="1"/>
  <c r="AU48" i="6" s="1"/>
  <c r="AL48" i="6" s="1"/>
  <c r="AO48" i="6" s="1"/>
  <c r="AB48" i="6" s="1"/>
  <c r="AG60" i="6"/>
  <c r="AR60" i="6" s="1"/>
  <c r="AU60" i="6" s="1"/>
  <c r="AL60" i="6" s="1"/>
  <c r="AO60" i="6" s="1"/>
  <c r="AH60" i="6"/>
  <c r="AS60" i="6" s="1"/>
  <c r="AV60" i="6" s="1"/>
  <c r="AM60" i="6" s="1"/>
  <c r="AP60" i="6" s="1"/>
  <c r="AC60" i="6" s="1"/>
  <c r="AF60" i="6"/>
  <c r="AQ60" i="6" s="1"/>
  <c r="AT60" i="6" s="1"/>
  <c r="AK60" i="6" s="1"/>
  <c r="AN60" i="6" s="1"/>
  <c r="AZ60" i="6"/>
  <c r="BA60" i="6"/>
  <c r="AY60" i="6"/>
  <c r="AY76" i="6"/>
  <c r="BA76" i="6"/>
  <c r="AZ76" i="6"/>
  <c r="AH88" i="6"/>
  <c r="AS88" i="6" s="1"/>
  <c r="AV88" i="6" s="1"/>
  <c r="AM88" i="6" s="1"/>
  <c r="AP88" i="6" s="1"/>
  <c r="AC88" i="6" s="1"/>
  <c r="AF88" i="6"/>
  <c r="AQ88" i="6" s="1"/>
  <c r="AT88" i="6" s="1"/>
  <c r="AK88" i="6" s="1"/>
  <c r="AN88" i="6" s="1"/>
  <c r="AA88" i="6" s="1"/>
  <c r="AG88" i="6"/>
  <c r="AR88" i="6" s="1"/>
  <c r="AU88" i="6" s="1"/>
  <c r="AL88" i="6" s="1"/>
  <c r="AO88" i="6" s="1"/>
  <c r="AB88" i="6" s="1"/>
  <c r="AH92" i="6"/>
  <c r="AS92" i="6" s="1"/>
  <c r="AV92" i="6" s="1"/>
  <c r="AM92" i="6" s="1"/>
  <c r="AP92" i="6" s="1"/>
  <c r="AF92" i="6"/>
  <c r="AG92" i="6"/>
  <c r="AR92" i="6" s="1"/>
  <c r="AU92" i="6" s="1"/>
  <c r="AL92" i="6" s="1"/>
  <c r="AO92" i="6" s="1"/>
  <c r="AZ92" i="6"/>
  <c r="BA92" i="6"/>
  <c r="AY92" i="6"/>
  <c r="AY69" i="6"/>
  <c r="BA69" i="6"/>
  <c r="AZ69" i="6"/>
  <c r="AG81" i="6"/>
  <c r="AR81" i="6" s="1"/>
  <c r="AU81" i="6" s="1"/>
  <c r="AL81" i="6" s="1"/>
  <c r="AO81" i="6" s="1"/>
  <c r="AB81" i="6" s="1"/>
  <c r="AH81" i="6"/>
  <c r="AS81" i="6" s="1"/>
  <c r="AV81" i="6" s="1"/>
  <c r="AM81" i="6" s="1"/>
  <c r="AP81" i="6" s="1"/>
  <c r="AC81" i="6" s="1"/>
  <c r="AF81" i="6"/>
  <c r="AQ81" i="6" s="1"/>
  <c r="AT81" i="6" s="1"/>
  <c r="AK81" i="6" s="1"/>
  <c r="AN81" i="6" s="1"/>
  <c r="AY10" i="6"/>
  <c r="BA10" i="6"/>
  <c r="AZ10" i="6"/>
  <c r="AG18" i="6"/>
  <c r="AH18" i="6"/>
  <c r="AS18" i="6" s="1"/>
  <c r="AV18" i="6" s="1"/>
  <c r="AM18" i="6" s="1"/>
  <c r="AP18" i="6" s="1"/>
  <c r="AC18" i="6" s="1"/>
  <c r="AF18" i="6"/>
  <c r="AQ18" i="6" s="1"/>
  <c r="AT18" i="6" s="1"/>
  <c r="AK18" i="6" s="1"/>
  <c r="AN18" i="6" s="1"/>
  <c r="AA18" i="6" s="1"/>
  <c r="AZ38" i="6"/>
  <c r="BA38" i="6"/>
  <c r="AY38" i="6"/>
  <c r="AG50" i="6"/>
  <c r="AR50" i="6" s="1"/>
  <c r="AU50" i="6" s="1"/>
  <c r="AL50" i="6" s="1"/>
  <c r="AO50" i="6" s="1"/>
  <c r="AB50" i="6" s="1"/>
  <c r="AF50" i="6"/>
  <c r="AQ50" i="6" s="1"/>
  <c r="AT50" i="6" s="1"/>
  <c r="AK50" i="6" s="1"/>
  <c r="AN50" i="6" s="1"/>
  <c r="AA50" i="6" s="1"/>
  <c r="AH50" i="6"/>
  <c r="BA74" i="6"/>
  <c r="AZ74" i="6"/>
  <c r="AY74" i="6"/>
  <c r="BA106" i="6"/>
  <c r="AZ106" i="6"/>
  <c r="AY106" i="6"/>
  <c r="AZ21" i="6"/>
  <c r="BA21" i="6"/>
  <c r="AY21" i="6"/>
  <c r="BA37" i="6"/>
  <c r="AZ37" i="6"/>
  <c r="AY37" i="6"/>
  <c r="AF41" i="6"/>
  <c r="AQ41" i="6" s="1"/>
  <c r="AT41" i="6" s="1"/>
  <c r="AK41" i="6" s="1"/>
  <c r="AN41" i="6" s="1"/>
  <c r="AA41" i="6" s="1"/>
  <c r="AG41" i="6"/>
  <c r="AR41" i="6" s="1"/>
  <c r="AU41" i="6" s="1"/>
  <c r="AL41" i="6" s="1"/>
  <c r="AO41" i="6" s="1"/>
  <c r="AB41" i="6" s="1"/>
  <c r="AH41" i="6"/>
  <c r="AS41" i="6" s="1"/>
  <c r="AV41" i="6" s="1"/>
  <c r="AM41" i="6" s="1"/>
  <c r="AP41" i="6" s="1"/>
  <c r="AG45" i="6"/>
  <c r="AR45" i="6" s="1"/>
  <c r="AU45" i="6" s="1"/>
  <c r="AL45" i="6" s="1"/>
  <c r="AO45" i="6" s="1"/>
  <c r="AH45" i="6"/>
  <c r="AS45" i="6" s="1"/>
  <c r="AV45" i="6" s="1"/>
  <c r="AM45" i="6" s="1"/>
  <c r="AP45" i="6" s="1"/>
  <c r="AF45" i="6"/>
  <c r="AQ45" i="6" s="1"/>
  <c r="AT45" i="6" s="1"/>
  <c r="AK45" i="6" s="1"/>
  <c r="AN45" i="6" s="1"/>
  <c r="BA53" i="6"/>
  <c r="AZ53" i="6"/>
  <c r="AY53" i="6"/>
  <c r="AF57" i="6"/>
  <c r="AQ57" i="6" s="1"/>
  <c r="AT57" i="6" s="1"/>
  <c r="AK57" i="6" s="1"/>
  <c r="AN57" i="6" s="1"/>
  <c r="AA57" i="6" s="1"/>
  <c r="AG57" i="6"/>
  <c r="AR57" i="6" s="1"/>
  <c r="AU57" i="6" s="1"/>
  <c r="AL57" i="6" s="1"/>
  <c r="AO57" i="6" s="1"/>
  <c r="AH57" i="6"/>
  <c r="AS57" i="6" s="1"/>
  <c r="AV57" i="6" s="1"/>
  <c r="AM57" i="6" s="1"/>
  <c r="AP57" i="6" s="1"/>
  <c r="AF65" i="6"/>
  <c r="AG65" i="6"/>
  <c r="AR65" i="6" s="1"/>
  <c r="AU65" i="6" s="1"/>
  <c r="AL65" i="6" s="1"/>
  <c r="AO65" i="6" s="1"/>
  <c r="AB65" i="6" s="1"/>
  <c r="AH65" i="6"/>
  <c r="AS65" i="6" s="1"/>
  <c r="AV65" i="6" s="1"/>
  <c r="AM65" i="6" s="1"/>
  <c r="AP65" i="6" s="1"/>
  <c r="AZ85" i="6"/>
  <c r="AY85" i="6"/>
  <c r="BA85" i="6"/>
  <c r="AG75" i="6"/>
  <c r="AR75" i="6" s="1"/>
  <c r="AU75" i="6" s="1"/>
  <c r="AL75" i="6" s="1"/>
  <c r="AO75" i="6" s="1"/>
  <c r="AB75" i="6" s="1"/>
  <c r="AH75" i="6"/>
  <c r="AS75" i="6" s="1"/>
  <c r="AV75" i="6" s="1"/>
  <c r="AM75" i="6" s="1"/>
  <c r="AP75" i="6" s="1"/>
  <c r="AC75" i="6" s="1"/>
  <c r="AF75" i="6"/>
  <c r="AQ75" i="6" s="1"/>
  <c r="AT75" i="6" s="1"/>
  <c r="AK75" i="6" s="1"/>
  <c r="AN75" i="6" s="1"/>
  <c r="AH91" i="6"/>
  <c r="AS91" i="6" s="1"/>
  <c r="AV91" i="6" s="1"/>
  <c r="AM91" i="6" s="1"/>
  <c r="AP91" i="6" s="1"/>
  <c r="AC91" i="6" s="1"/>
  <c r="AG91" i="6"/>
  <c r="AR91" i="6" s="1"/>
  <c r="AU91" i="6" s="1"/>
  <c r="AL91" i="6" s="1"/>
  <c r="AO91" i="6" s="1"/>
  <c r="AF91" i="6"/>
  <c r="AQ91" i="6" s="1"/>
  <c r="AT91" i="6" s="1"/>
  <c r="AK91" i="6" s="1"/>
  <c r="AN91" i="6" s="1"/>
  <c r="BA93" i="6"/>
  <c r="AY93" i="6"/>
  <c r="AZ93" i="6"/>
  <c r="BA26" i="6"/>
  <c r="AZ26" i="6"/>
  <c r="AY26" i="6"/>
  <c r="AH34" i="6"/>
  <c r="AS34" i="6" s="1"/>
  <c r="AV34" i="6" s="1"/>
  <c r="AM34" i="6" s="1"/>
  <c r="AP34" i="6" s="1"/>
  <c r="AG34" i="6"/>
  <c r="AR34" i="6" s="1"/>
  <c r="AU34" i="6" s="1"/>
  <c r="AL34" i="6" s="1"/>
  <c r="AO34" i="6" s="1"/>
  <c r="AF34" i="6"/>
  <c r="AZ54" i="6"/>
  <c r="AY54" i="6"/>
  <c r="BA54" i="6"/>
  <c r="AZ20" i="6"/>
  <c r="AY20" i="6"/>
  <c r="BA20" i="6"/>
  <c r="AH52" i="6"/>
  <c r="AG52" i="6"/>
  <c r="AR52" i="6" s="1"/>
  <c r="AU52" i="6" s="1"/>
  <c r="AL52" i="6" s="1"/>
  <c r="AO52" i="6" s="1"/>
  <c r="AB52" i="6" s="1"/>
  <c r="AF52" i="6"/>
  <c r="AQ52" i="6" s="1"/>
  <c r="AT52" i="6" s="1"/>
  <c r="AK52" i="6" s="1"/>
  <c r="AN52" i="6" s="1"/>
  <c r="AA52" i="6" s="1"/>
  <c r="AH56" i="6"/>
  <c r="AF56" i="6"/>
  <c r="AQ56" i="6" s="1"/>
  <c r="AT56" i="6" s="1"/>
  <c r="AK56" i="6" s="1"/>
  <c r="AN56" i="6" s="1"/>
  <c r="AA56" i="6" s="1"/>
  <c r="AG56" i="6"/>
  <c r="AR56" i="6" s="1"/>
  <c r="AU56" i="6" s="1"/>
  <c r="AL56" i="6" s="1"/>
  <c r="AO56" i="6" s="1"/>
  <c r="AB56" i="6" s="1"/>
  <c r="AF64" i="6"/>
  <c r="AQ64" i="6" s="1"/>
  <c r="AT64" i="6" s="1"/>
  <c r="AK64" i="6" s="1"/>
  <c r="AN64" i="6" s="1"/>
  <c r="AA64" i="6" s="1"/>
  <c r="AG64" i="6"/>
  <c r="AR64" i="6" s="1"/>
  <c r="AU64" i="6" s="1"/>
  <c r="AL64" i="6" s="1"/>
  <c r="AO64" i="6" s="1"/>
  <c r="AB64" i="6" s="1"/>
  <c r="AH64" i="6"/>
  <c r="AS64" i="6" s="1"/>
  <c r="AV64" i="6" s="1"/>
  <c r="AM64" i="6" s="1"/>
  <c r="AP64" i="6" s="1"/>
  <c r="AC64" i="6" s="1"/>
  <c r="AY68" i="6"/>
  <c r="AZ68" i="6"/>
  <c r="BA68" i="6"/>
  <c r="AF76" i="6"/>
  <c r="AQ76" i="6" s="1"/>
  <c r="AT76" i="6" s="1"/>
  <c r="AK76" i="6" s="1"/>
  <c r="AN76" i="6" s="1"/>
  <c r="AA76" i="6" s="1"/>
  <c r="AG76" i="6"/>
  <c r="AR76" i="6" s="1"/>
  <c r="AU76" i="6" s="1"/>
  <c r="AL76" i="6" s="1"/>
  <c r="AO76" i="6" s="1"/>
  <c r="AB76" i="6" s="1"/>
  <c r="AH76" i="6"/>
  <c r="AS76" i="6" s="1"/>
  <c r="AV76" i="6" s="1"/>
  <c r="AM76" i="6" s="1"/>
  <c r="AP76" i="6" s="1"/>
  <c r="AC76" i="6" s="1"/>
  <c r="AH96" i="6"/>
  <c r="AS96" i="6" s="1"/>
  <c r="AV96" i="6" s="1"/>
  <c r="AM96" i="6" s="1"/>
  <c r="AP96" i="6" s="1"/>
  <c r="AC96" i="6" s="1"/>
  <c r="AF96" i="6"/>
  <c r="AQ96" i="6" s="1"/>
  <c r="AT96" i="6" s="1"/>
  <c r="AK96" i="6" s="1"/>
  <c r="AN96" i="6" s="1"/>
  <c r="AA96" i="6" s="1"/>
  <c r="AG96" i="6"/>
  <c r="AR96" i="6" s="1"/>
  <c r="AU96" i="6" s="1"/>
  <c r="AL96" i="6" s="1"/>
  <c r="AO96" i="6" s="1"/>
  <c r="AB96" i="6" s="1"/>
  <c r="AG78" i="6"/>
  <c r="AR78" i="6" s="1"/>
  <c r="AU78" i="6" s="1"/>
  <c r="AL78" i="6" s="1"/>
  <c r="AO78" i="6" s="1"/>
  <c r="AB78" i="6" s="1"/>
  <c r="AH78" i="6"/>
  <c r="AS78" i="6" s="1"/>
  <c r="AV78" i="6" s="1"/>
  <c r="AM78" i="6" s="1"/>
  <c r="AP78" i="6" s="1"/>
  <c r="AC78" i="6" s="1"/>
  <c r="AF78" i="6"/>
  <c r="AQ78" i="6" s="1"/>
  <c r="AT78" i="6" s="1"/>
  <c r="AK78" i="6" s="1"/>
  <c r="AN78" i="6" s="1"/>
  <c r="AG98" i="6"/>
  <c r="AR98" i="6" s="1"/>
  <c r="AU98" i="6" s="1"/>
  <c r="AL98" i="6" s="1"/>
  <c r="AO98" i="6" s="1"/>
  <c r="AH98" i="6"/>
  <c r="AS98" i="6" s="1"/>
  <c r="AV98" i="6" s="1"/>
  <c r="AM98" i="6" s="1"/>
  <c r="AP98" i="6" s="1"/>
  <c r="AC98" i="6" s="1"/>
  <c r="AF98" i="6"/>
  <c r="AQ98" i="6" s="1"/>
  <c r="AT98" i="6" s="1"/>
  <c r="AK98" i="6" s="1"/>
  <c r="AN98" i="6" s="1"/>
  <c r="AG25" i="6"/>
  <c r="AR25" i="6" s="1"/>
  <c r="AU25" i="6" s="1"/>
  <c r="AL25" i="6" s="1"/>
  <c r="AO25" i="6" s="1"/>
  <c r="AB25" i="6" s="1"/>
  <c r="AH25" i="6"/>
  <c r="AS25" i="6" s="1"/>
  <c r="AV25" i="6" s="1"/>
  <c r="AM25" i="6" s="1"/>
  <c r="AP25" i="6" s="1"/>
  <c r="AF25" i="6"/>
  <c r="AQ25" i="6" s="1"/>
  <c r="AT25" i="6" s="1"/>
  <c r="AK25" i="6" s="1"/>
  <c r="AN25" i="6" s="1"/>
  <c r="AA25" i="6" s="1"/>
  <c r="AZ29" i="6"/>
  <c r="BA29" i="6"/>
  <c r="AY29" i="6"/>
  <c r="AF33" i="6"/>
  <c r="AQ33" i="6" s="1"/>
  <c r="AT33" i="6" s="1"/>
  <c r="AK33" i="6" s="1"/>
  <c r="AN33" i="6" s="1"/>
  <c r="AA33" i="6" s="1"/>
  <c r="AG33" i="6"/>
  <c r="AR33" i="6" s="1"/>
  <c r="AU33" i="6" s="1"/>
  <c r="AL33" i="6" s="1"/>
  <c r="AO33" i="6" s="1"/>
  <c r="AB33" i="6" s="1"/>
  <c r="AH33" i="6"/>
  <c r="AS33" i="6" s="1"/>
  <c r="AV33" i="6" s="1"/>
  <c r="AM33" i="6" s="1"/>
  <c r="AP33" i="6" s="1"/>
  <c r="AC33" i="6" s="1"/>
  <c r="BA45" i="6"/>
  <c r="AZ45" i="6"/>
  <c r="AY45" i="6"/>
  <c r="AY61" i="6"/>
  <c r="BA61" i="6"/>
  <c r="AZ61" i="6"/>
  <c r="AF85" i="6"/>
  <c r="AQ85" i="6" s="1"/>
  <c r="AT85" i="6" s="1"/>
  <c r="AK85" i="6" s="1"/>
  <c r="AN85" i="6" s="1"/>
  <c r="AG85" i="6"/>
  <c r="AR85" i="6" s="1"/>
  <c r="AU85" i="6" s="1"/>
  <c r="AL85" i="6" s="1"/>
  <c r="AO85" i="6" s="1"/>
  <c r="AH85" i="6"/>
  <c r="AS85" i="6" s="1"/>
  <c r="AV85" i="6" s="1"/>
  <c r="AM85" i="6" s="1"/>
  <c r="AP85" i="6" s="1"/>
  <c r="AC85" i="6" s="1"/>
  <c r="BA11" i="6"/>
  <c r="AY11" i="6"/>
  <c r="AZ11" i="6"/>
  <c r="AG15" i="6"/>
  <c r="AR15" i="6" s="1"/>
  <c r="AU15" i="6" s="1"/>
  <c r="AL15" i="6" s="1"/>
  <c r="AO15" i="6" s="1"/>
  <c r="AB15" i="6" s="1"/>
  <c r="AH15" i="6"/>
  <c r="AS15" i="6" s="1"/>
  <c r="AV15" i="6" s="1"/>
  <c r="AM15" i="6" s="1"/>
  <c r="AP15" i="6" s="1"/>
  <c r="AC15" i="6" s="1"/>
  <c r="AF15" i="6"/>
  <c r="AQ15" i="6" s="1"/>
  <c r="AT15" i="6" s="1"/>
  <c r="AK15" i="6" s="1"/>
  <c r="AN15" i="6" s="1"/>
  <c r="AZ19" i="6"/>
  <c r="AY19" i="6"/>
  <c r="BA19" i="6"/>
  <c r="AG23" i="6"/>
  <c r="AR23" i="6" s="1"/>
  <c r="AU23" i="6" s="1"/>
  <c r="AL23" i="6" s="1"/>
  <c r="AO23" i="6" s="1"/>
  <c r="AF23" i="6"/>
  <c r="AQ23" i="6" s="1"/>
  <c r="AT23" i="6" s="1"/>
  <c r="AK23" i="6" s="1"/>
  <c r="AN23" i="6" s="1"/>
  <c r="AH23" i="6"/>
  <c r="AH27" i="6"/>
  <c r="AF27" i="6"/>
  <c r="AQ27" i="6" s="1"/>
  <c r="AT27" i="6" s="1"/>
  <c r="AK27" i="6" s="1"/>
  <c r="AN27" i="6" s="1"/>
  <c r="AA27" i="6" s="1"/>
  <c r="AG27" i="6"/>
  <c r="AR27" i="6" s="1"/>
  <c r="AU27" i="6" s="1"/>
  <c r="AL27" i="6" s="1"/>
  <c r="AO27" i="6" s="1"/>
  <c r="AB27" i="6" s="1"/>
  <c r="AH31" i="6"/>
  <c r="AS31" i="6" s="1"/>
  <c r="AV31" i="6" s="1"/>
  <c r="AM31" i="6" s="1"/>
  <c r="AP31" i="6" s="1"/>
  <c r="AC31" i="6" s="1"/>
  <c r="AF31" i="6"/>
  <c r="AQ31" i="6" s="1"/>
  <c r="AT31" i="6" s="1"/>
  <c r="AK31" i="6" s="1"/>
  <c r="AN31" i="6" s="1"/>
  <c r="AA31" i="6" s="1"/>
  <c r="AG31" i="6"/>
  <c r="AR31" i="6" s="1"/>
  <c r="AU31" i="6" s="1"/>
  <c r="AL31" i="6" s="1"/>
  <c r="AO31" i="6" s="1"/>
  <c r="AB31" i="6" s="1"/>
  <c r="BA35" i="6"/>
  <c r="AZ35" i="6"/>
  <c r="AY35" i="6"/>
  <c r="AY51" i="6"/>
  <c r="BA51" i="6"/>
  <c r="AZ51" i="6"/>
  <c r="AF59" i="6"/>
  <c r="AQ59" i="6" s="1"/>
  <c r="AT59" i="6" s="1"/>
  <c r="AK59" i="6" s="1"/>
  <c r="AN59" i="6" s="1"/>
  <c r="AA59" i="6" s="1"/>
  <c r="AG59" i="6"/>
  <c r="AR59" i="6" s="1"/>
  <c r="AU59" i="6" s="1"/>
  <c r="AL59" i="6" s="1"/>
  <c r="AO59" i="6" s="1"/>
  <c r="AH59" i="6"/>
  <c r="AS59" i="6" s="1"/>
  <c r="AV59" i="6" s="1"/>
  <c r="AM59" i="6" s="1"/>
  <c r="AP59" i="6" s="1"/>
  <c r="AZ67" i="6"/>
  <c r="AY67" i="6"/>
  <c r="BA67" i="6"/>
  <c r="BA83" i="6"/>
  <c r="AZ83" i="6"/>
  <c r="AY83" i="6"/>
  <c r="AZ99" i="6"/>
  <c r="AY99" i="6"/>
  <c r="BA99" i="6"/>
  <c r="BA77" i="6"/>
  <c r="AY77" i="6"/>
  <c r="AZ77" i="6"/>
  <c r="AZ14" i="6"/>
  <c r="AY14" i="6"/>
  <c r="BA14" i="6"/>
  <c r="AZ46" i="6"/>
  <c r="AY46" i="6"/>
  <c r="BA46" i="6"/>
  <c r="AG54" i="6"/>
  <c r="AR54" i="6" s="1"/>
  <c r="AU54" i="6" s="1"/>
  <c r="AL54" i="6" s="1"/>
  <c r="AO54" i="6" s="1"/>
  <c r="AH54" i="6"/>
  <c r="AS54" i="6" s="1"/>
  <c r="AV54" i="6" s="1"/>
  <c r="AM54" i="6" s="1"/>
  <c r="AP54" i="6" s="1"/>
  <c r="AF54" i="6"/>
  <c r="AQ54" i="6" s="1"/>
  <c r="AT54" i="6" s="1"/>
  <c r="AK54" i="6" s="1"/>
  <c r="AN54" i="6" s="1"/>
  <c r="AH70" i="6"/>
  <c r="AS70" i="6" s="1"/>
  <c r="AV70" i="6" s="1"/>
  <c r="AM70" i="6" s="1"/>
  <c r="AP70" i="6" s="1"/>
  <c r="AC70" i="6" s="1"/>
  <c r="AF70" i="6"/>
  <c r="AQ70" i="6" s="1"/>
  <c r="AT70" i="6" s="1"/>
  <c r="AK70" i="6" s="1"/>
  <c r="AN70" i="6" s="1"/>
  <c r="AG70" i="6"/>
  <c r="AR70" i="6" s="1"/>
  <c r="AU70" i="6" s="1"/>
  <c r="AL70" i="6" s="1"/>
  <c r="AO70" i="6" s="1"/>
  <c r="AB70" i="6" s="1"/>
  <c r="BA82" i="6"/>
  <c r="AY82" i="6"/>
  <c r="AZ82" i="6"/>
  <c r="AG102" i="6"/>
  <c r="AR102" i="6" s="1"/>
  <c r="AU102" i="6" s="1"/>
  <c r="AL102" i="6" s="1"/>
  <c r="AO102" i="6" s="1"/>
  <c r="AH102" i="6"/>
  <c r="AS102" i="6" s="1"/>
  <c r="AV102" i="6" s="1"/>
  <c r="AM102" i="6" s="1"/>
  <c r="AP102" i="6" s="1"/>
  <c r="AF102" i="6"/>
  <c r="AQ102" i="6" s="1"/>
  <c r="AT102" i="6" s="1"/>
  <c r="AK102" i="6" s="1"/>
  <c r="AN102" i="6" s="1"/>
  <c r="AZ16" i="6"/>
  <c r="BA16" i="6"/>
  <c r="AY16" i="6"/>
  <c r="AH20" i="6"/>
  <c r="AS20" i="6" s="1"/>
  <c r="AV20" i="6" s="1"/>
  <c r="AM20" i="6" s="1"/>
  <c r="AP20" i="6" s="1"/>
  <c r="AF20" i="6"/>
  <c r="AQ20" i="6" s="1"/>
  <c r="AT20" i="6" s="1"/>
  <c r="AK20" i="6" s="1"/>
  <c r="AN20" i="6" s="1"/>
  <c r="AA20" i="6" s="1"/>
  <c r="AG20" i="6"/>
  <c r="AR20" i="6" s="1"/>
  <c r="AU20" i="6" s="1"/>
  <c r="AL20" i="6" s="1"/>
  <c r="AO20" i="6" s="1"/>
  <c r="AB20" i="6" s="1"/>
  <c r="AZ32" i="6"/>
  <c r="AY32" i="6"/>
  <c r="BA32" i="6"/>
  <c r="AF36" i="6"/>
  <c r="AQ36" i="6" s="1"/>
  <c r="AT36" i="6" s="1"/>
  <c r="AK36" i="6" s="1"/>
  <c r="AN36" i="6" s="1"/>
  <c r="AG36" i="6"/>
  <c r="AR36" i="6" s="1"/>
  <c r="AU36" i="6" s="1"/>
  <c r="AL36" i="6" s="1"/>
  <c r="AO36" i="6" s="1"/>
  <c r="AH36" i="6"/>
  <c r="AS36" i="6" s="1"/>
  <c r="AV36" i="6" s="1"/>
  <c r="AM36" i="6" s="1"/>
  <c r="AP36" i="6" s="1"/>
  <c r="AC36" i="6" s="1"/>
  <c r="AF44" i="6"/>
  <c r="AH44" i="6"/>
  <c r="AS44" i="6" s="1"/>
  <c r="AV44" i="6" s="1"/>
  <c r="AM44" i="6" s="1"/>
  <c r="AP44" i="6" s="1"/>
  <c r="AC44" i="6" s="1"/>
  <c r="AG44" i="6"/>
  <c r="AR44" i="6" s="1"/>
  <c r="AU44" i="6" s="1"/>
  <c r="AL44" i="6" s="1"/>
  <c r="AO44" i="6" s="1"/>
  <c r="AB44" i="6" s="1"/>
  <c r="BA48" i="6"/>
  <c r="AZ48" i="6"/>
  <c r="AY48" i="6"/>
  <c r="BA64" i="6"/>
  <c r="AY64" i="6"/>
  <c r="AZ64" i="6"/>
  <c r="AZ80" i="6"/>
  <c r="AY80" i="6"/>
  <c r="BA80" i="6"/>
  <c r="BA96" i="6"/>
  <c r="AZ96" i="6"/>
  <c r="AY96" i="6"/>
  <c r="AG100" i="6"/>
  <c r="AR100" i="6" s="1"/>
  <c r="AU100" i="6" s="1"/>
  <c r="AL100" i="6" s="1"/>
  <c r="AO100" i="6" s="1"/>
  <c r="AB100" i="6" s="1"/>
  <c r="AF100" i="6"/>
  <c r="AQ100" i="6" s="1"/>
  <c r="AT100" i="6" s="1"/>
  <c r="AK100" i="6" s="1"/>
  <c r="AN100" i="6" s="1"/>
  <c r="AH100" i="6"/>
  <c r="AY81" i="6"/>
  <c r="AZ81" i="6"/>
  <c r="BA81" i="6"/>
  <c r="AG89" i="6"/>
  <c r="AR89" i="6" s="1"/>
  <c r="AU89" i="6" s="1"/>
  <c r="AL89" i="6" s="1"/>
  <c r="AO89" i="6" s="1"/>
  <c r="AB89" i="6" s="1"/>
  <c r="AH89" i="6"/>
  <c r="AS89" i="6" s="1"/>
  <c r="AV89" i="6" s="1"/>
  <c r="AM89" i="6" s="1"/>
  <c r="AP89" i="6" s="1"/>
  <c r="AC89" i="6" s="1"/>
  <c r="AF89" i="6"/>
  <c r="AQ89" i="6" s="1"/>
  <c r="AT89" i="6" s="1"/>
  <c r="AK89" i="6" s="1"/>
  <c r="AN89" i="6" s="1"/>
  <c r="AA89" i="6" s="1"/>
  <c r="AH101" i="6"/>
  <c r="AS101" i="6" s="1"/>
  <c r="AV101" i="6" s="1"/>
  <c r="AM101" i="6" s="1"/>
  <c r="AP101" i="6" s="1"/>
  <c r="AF101" i="6"/>
  <c r="AG101" i="6"/>
  <c r="AR101" i="6" s="1"/>
  <c r="AU101" i="6" s="1"/>
  <c r="AL101" i="6" s="1"/>
  <c r="AO101" i="6" s="1"/>
  <c r="AB101" i="6" s="1"/>
  <c r="BA18" i="6"/>
  <c r="AZ18" i="6"/>
  <c r="AY18" i="6"/>
  <c r="AH22" i="6"/>
  <c r="AF22" i="6"/>
  <c r="AG22" i="6"/>
  <c r="AR22" i="6" s="1"/>
  <c r="AU22" i="6" s="1"/>
  <c r="AL22" i="6" s="1"/>
  <c r="AO22" i="6" s="1"/>
  <c r="BA50" i="6"/>
  <c r="AY50" i="6"/>
  <c r="AZ50" i="6"/>
  <c r="AH58" i="6"/>
  <c r="AS58" i="6" s="1"/>
  <c r="AV58" i="6" s="1"/>
  <c r="AM58" i="6" s="1"/>
  <c r="AP58" i="6" s="1"/>
  <c r="AC58" i="6" s="1"/>
  <c r="AF58" i="6"/>
  <c r="AQ58" i="6" s="1"/>
  <c r="AT58" i="6" s="1"/>
  <c r="AK58" i="6" s="1"/>
  <c r="AN58" i="6" s="1"/>
  <c r="AG58" i="6"/>
  <c r="AR58" i="6" s="1"/>
  <c r="AU58" i="6" s="1"/>
  <c r="AL58" i="6" s="1"/>
  <c r="AO58" i="6" s="1"/>
  <c r="AB58" i="6" s="1"/>
  <c r="AG66" i="6"/>
  <c r="AR66" i="6" s="1"/>
  <c r="AU66" i="6" s="1"/>
  <c r="AL66" i="6" s="1"/>
  <c r="AO66" i="6" s="1"/>
  <c r="AH66" i="6"/>
  <c r="AS66" i="6" s="1"/>
  <c r="AV66" i="6" s="1"/>
  <c r="AM66" i="6" s="1"/>
  <c r="AP66" i="6" s="1"/>
  <c r="AC66" i="6" s="1"/>
  <c r="AF66" i="6"/>
  <c r="AQ66" i="6" s="1"/>
  <c r="AT66" i="6" s="1"/>
  <c r="AK66" i="6" s="1"/>
  <c r="AN66" i="6" s="1"/>
  <c r="BA78" i="6"/>
  <c r="AZ78" i="6"/>
  <c r="AY78" i="6"/>
  <c r="AH90" i="6"/>
  <c r="AS90" i="6" s="1"/>
  <c r="AV90" i="6" s="1"/>
  <c r="AM90" i="6" s="1"/>
  <c r="AP90" i="6" s="1"/>
  <c r="AG90" i="6"/>
  <c r="AR90" i="6" s="1"/>
  <c r="AU90" i="6" s="1"/>
  <c r="AL90" i="6" s="1"/>
  <c r="AO90" i="6" s="1"/>
  <c r="AB90" i="6" s="1"/>
  <c r="AF90" i="6"/>
  <c r="AH106" i="6"/>
  <c r="AS106" i="6" s="1"/>
  <c r="AV106" i="6" s="1"/>
  <c r="AM106" i="6" s="1"/>
  <c r="AP106" i="6" s="1"/>
  <c r="AF106" i="6"/>
  <c r="AG106" i="6"/>
  <c r="AR106" i="6" s="1"/>
  <c r="AU106" i="6" s="1"/>
  <c r="AL106" i="6" s="1"/>
  <c r="AO106" i="6" s="1"/>
  <c r="AB106" i="6" s="1"/>
  <c r="AY109" i="6"/>
  <c r="BA109" i="6"/>
  <c r="AZ109" i="6"/>
  <c r="AG13" i="6"/>
  <c r="AR13" i="6" s="1"/>
  <c r="AU13" i="6" s="1"/>
  <c r="AL13" i="6" s="1"/>
  <c r="AO13" i="6" s="1"/>
  <c r="AB13" i="6" s="1"/>
  <c r="AH13" i="6"/>
  <c r="AS13" i="6" s="1"/>
  <c r="AV13" i="6" s="1"/>
  <c r="AM13" i="6" s="1"/>
  <c r="AP13" i="6" s="1"/>
  <c r="AC13" i="6" s="1"/>
  <c r="AF13" i="6"/>
  <c r="AQ13" i="6" s="1"/>
  <c r="AT13" i="6" s="1"/>
  <c r="AK13" i="6" s="1"/>
  <c r="AN13" i="6" s="1"/>
  <c r="AA13" i="6" s="1"/>
  <c r="AF21" i="6"/>
  <c r="AQ21" i="6" s="1"/>
  <c r="AT21" i="6" s="1"/>
  <c r="AK21" i="6" s="1"/>
  <c r="AN21" i="6" s="1"/>
  <c r="AA21" i="6" s="1"/>
  <c r="AG21" i="6"/>
  <c r="AR21" i="6" s="1"/>
  <c r="AU21" i="6" s="1"/>
  <c r="AL21" i="6" s="1"/>
  <c r="AO21" i="6" s="1"/>
  <c r="AB21" i="6" s="1"/>
  <c r="AH21" i="6"/>
  <c r="AS21" i="6" s="1"/>
  <c r="AV21" i="6" s="1"/>
  <c r="AM21" i="6" s="1"/>
  <c r="AP21" i="6" s="1"/>
  <c r="AC21" i="6" s="1"/>
  <c r="BA25" i="6"/>
  <c r="AY25" i="6"/>
  <c r="AZ25" i="6"/>
  <c r="AF29" i="6"/>
  <c r="AQ29" i="6" s="1"/>
  <c r="AT29" i="6" s="1"/>
  <c r="AK29" i="6" s="1"/>
  <c r="AN29" i="6" s="1"/>
  <c r="AG29" i="6"/>
  <c r="AR29" i="6" s="1"/>
  <c r="AU29" i="6" s="1"/>
  <c r="AL29" i="6" s="1"/>
  <c r="AO29" i="6" s="1"/>
  <c r="AH29" i="6"/>
  <c r="AS29" i="6" s="1"/>
  <c r="AV29" i="6" s="1"/>
  <c r="AM29" i="6" s="1"/>
  <c r="AP29" i="6" s="1"/>
  <c r="AC29" i="6" s="1"/>
  <c r="AZ41" i="6"/>
  <c r="BA41" i="6"/>
  <c r="AY41" i="6"/>
  <c r="AH53" i="6"/>
  <c r="AS53" i="6" s="1"/>
  <c r="AV53" i="6" s="1"/>
  <c r="AM53" i="6" s="1"/>
  <c r="AP53" i="6" s="1"/>
  <c r="AF53" i="6"/>
  <c r="AG53" i="6"/>
  <c r="AR53" i="6" s="1"/>
  <c r="AU53" i="6" s="1"/>
  <c r="AL53" i="6" s="1"/>
  <c r="AO53" i="6" s="1"/>
  <c r="AB53" i="6" s="1"/>
  <c r="AY57" i="6"/>
  <c r="BA57" i="6"/>
  <c r="AZ57" i="6"/>
  <c r="AG61" i="6"/>
  <c r="AF61" i="6"/>
  <c r="AQ61" i="6" s="1"/>
  <c r="AT61" i="6" s="1"/>
  <c r="AK61" i="6" s="1"/>
  <c r="AN61" i="6" s="1"/>
  <c r="AA61" i="6" s="1"/>
  <c r="AH61" i="6"/>
  <c r="AS61" i="6" s="1"/>
  <c r="AV61" i="6" s="1"/>
  <c r="AM61" i="6" s="1"/>
  <c r="AP61" i="6" s="1"/>
  <c r="AZ86" i="6"/>
  <c r="BA86" i="6"/>
  <c r="AY86" i="6"/>
  <c r="AL137" i="15"/>
  <c r="Y137" i="15"/>
  <c r="BB137" i="15" s="1"/>
  <c r="U137" i="15"/>
  <c r="AX137" i="15" s="1"/>
  <c r="X137" i="15"/>
  <c r="BA137" i="15" s="1"/>
  <c r="T137" i="15"/>
  <c r="AW137" i="15" s="1"/>
  <c r="W137" i="15"/>
  <c r="AZ137" i="15" s="1"/>
  <c r="S137" i="15"/>
  <c r="AV137" i="15" s="1"/>
  <c r="Z137" i="15"/>
  <c r="BC137" i="15" s="1"/>
  <c r="V137" i="15"/>
  <c r="AY137" i="15" s="1"/>
  <c r="R137" i="15"/>
  <c r="AU137" i="15" s="1"/>
  <c r="CZ110" i="14"/>
  <c r="J141" i="14"/>
  <c r="CK109" i="17"/>
  <c r="Q138" i="15"/>
  <c r="P139" i="15"/>
  <c r="U109" i="17"/>
  <c r="AC16" i="6" l="1"/>
  <c r="AC71" i="6"/>
  <c r="AR35" i="6"/>
  <c r="AU35" i="6" s="1"/>
  <c r="AL35" i="6" s="1"/>
  <c r="AO35" i="6"/>
  <c r="AB35" i="6" s="1"/>
  <c r="AB68" i="6"/>
  <c r="AA32" i="6"/>
  <c r="AC61" i="6"/>
  <c r="AQ106" i="6"/>
  <c r="AT106" i="6" s="1"/>
  <c r="AK106" i="6" s="1"/>
  <c r="AN106" i="6" s="1"/>
  <c r="AC90" i="6"/>
  <c r="AA58" i="6"/>
  <c r="AQ101" i="6"/>
  <c r="AT101" i="6" s="1"/>
  <c r="AK101" i="6" s="1"/>
  <c r="AN101" i="6"/>
  <c r="AP100" i="6"/>
  <c r="AC100" i="6" s="1"/>
  <c r="AS100" i="6"/>
  <c r="AV100" i="6" s="1"/>
  <c r="AM100" i="6" s="1"/>
  <c r="AC102" i="6"/>
  <c r="AP23" i="6"/>
  <c r="AS23" i="6"/>
  <c r="AV23" i="6" s="1"/>
  <c r="AM23" i="6" s="1"/>
  <c r="AC25" i="6"/>
  <c r="AB98" i="6"/>
  <c r="AN34" i="6"/>
  <c r="AA34" i="6" s="1"/>
  <c r="AQ34" i="6"/>
  <c r="AT34" i="6" s="1"/>
  <c r="AK34" i="6" s="1"/>
  <c r="AA75" i="6"/>
  <c r="AQ65" i="6"/>
  <c r="AT65" i="6" s="1"/>
  <c r="AK65" i="6" s="1"/>
  <c r="AN65" i="6"/>
  <c r="AA65" i="6" s="1"/>
  <c r="AC45" i="6"/>
  <c r="AC92" i="6"/>
  <c r="AB60" i="6"/>
  <c r="AB16" i="6"/>
  <c r="AN46" i="6"/>
  <c r="AA46" i="6" s="1"/>
  <c r="AQ46" i="6"/>
  <c r="AT46" i="6" s="1"/>
  <c r="AK46" i="6" s="1"/>
  <c r="AC93" i="6"/>
  <c r="AC77" i="6"/>
  <c r="AN99" i="6"/>
  <c r="AA99" i="6" s="1"/>
  <c r="AQ99" i="6"/>
  <c r="AT99" i="6" s="1"/>
  <c r="AK99" i="6" s="1"/>
  <c r="AA79" i="6"/>
  <c r="AB71" i="6"/>
  <c r="AA67" i="6"/>
  <c r="AB55" i="6"/>
  <c r="AC35" i="6"/>
  <c r="AA19" i="6"/>
  <c r="AB104" i="6"/>
  <c r="AQ9" i="6"/>
  <c r="AT9" i="6" s="1"/>
  <c r="AK9" i="6" s="1"/>
  <c r="AN9" i="6" s="1"/>
  <c r="AA10" i="6" s="1"/>
  <c r="AB94" i="6"/>
  <c r="AB95" i="6"/>
  <c r="AA86" i="6"/>
  <c r="AB37" i="6"/>
  <c r="AC84" i="6"/>
  <c r="AC32" i="6"/>
  <c r="AA12" i="6"/>
  <c r="AA82" i="6"/>
  <c r="AB42" i="6"/>
  <c r="AB26" i="6"/>
  <c r="AC14" i="6"/>
  <c r="AB105" i="6"/>
  <c r="AC73" i="6"/>
  <c r="AR107" i="6"/>
  <c r="AU107" i="6" s="1"/>
  <c r="AL107" i="6" s="1"/>
  <c r="AO107" i="6"/>
  <c r="AC87" i="6"/>
  <c r="AA51" i="6"/>
  <c r="AC17" i="6"/>
  <c r="AA30" i="6"/>
  <c r="AB40" i="6"/>
  <c r="AA47" i="6"/>
  <c r="AB29" i="6"/>
  <c r="AC106" i="6"/>
  <c r="AB22" i="6"/>
  <c r="AA100" i="6"/>
  <c r="AQ44" i="6"/>
  <c r="AT44" i="6" s="1"/>
  <c r="AK44" i="6" s="1"/>
  <c r="AN44" i="6" s="1"/>
  <c r="AB102" i="6"/>
  <c r="AC54" i="6"/>
  <c r="AC59" i="6"/>
  <c r="AA78" i="6"/>
  <c r="AS52" i="6"/>
  <c r="AV52" i="6" s="1"/>
  <c r="AM52" i="6" s="1"/>
  <c r="AP52" i="6" s="1"/>
  <c r="AB34" i="6"/>
  <c r="AB45" i="6"/>
  <c r="AS50" i="6"/>
  <c r="AV50" i="6" s="1"/>
  <c r="AM50" i="6" s="1"/>
  <c r="AP50" i="6"/>
  <c r="AC50" i="6" s="1"/>
  <c r="AR18" i="6"/>
  <c r="AU18" i="6" s="1"/>
  <c r="AL18" i="6" s="1"/>
  <c r="AO18" i="6"/>
  <c r="AB18" i="6" s="1"/>
  <c r="AA81" i="6"/>
  <c r="AO46" i="6"/>
  <c r="AB46" i="6" s="1"/>
  <c r="AR46" i="6"/>
  <c r="AU46" i="6" s="1"/>
  <c r="AL46" i="6" s="1"/>
  <c r="AQ97" i="6"/>
  <c r="AT97" i="6" s="1"/>
  <c r="AK97" i="6" s="1"/>
  <c r="AN97" i="6" s="1"/>
  <c r="AB93" i="6"/>
  <c r="AB77" i="6"/>
  <c r="AB103" i="6"/>
  <c r="AC99" i="6"/>
  <c r="AC79" i="6"/>
  <c r="AA71" i="6"/>
  <c r="AA55" i="6"/>
  <c r="AS19" i="6"/>
  <c r="AV19" i="6" s="1"/>
  <c r="AM19" i="6" s="1"/>
  <c r="AP19" i="6" s="1"/>
  <c r="AA68" i="6"/>
  <c r="AR9" i="6"/>
  <c r="AU9" i="6" s="1"/>
  <c r="AL9" i="6" s="1"/>
  <c r="AO9" i="6"/>
  <c r="AB10" i="6" s="1"/>
  <c r="AA62" i="6"/>
  <c r="AA95" i="6"/>
  <c r="AC43" i="6"/>
  <c r="AC86" i="6"/>
  <c r="AA49" i="6"/>
  <c r="AA37" i="6"/>
  <c r="AR84" i="6"/>
  <c r="AU84" i="6" s="1"/>
  <c r="AL84" i="6" s="1"/>
  <c r="AO84" i="6"/>
  <c r="AB84" i="6" s="1"/>
  <c r="AC72" i="6"/>
  <c r="AQ28" i="6"/>
  <c r="AT28" i="6" s="1"/>
  <c r="AK28" i="6" s="1"/>
  <c r="AN28" i="6" s="1"/>
  <c r="AC12" i="6"/>
  <c r="AR82" i="6"/>
  <c r="AU82" i="6" s="1"/>
  <c r="AL82" i="6" s="1"/>
  <c r="AO82" i="6" s="1"/>
  <c r="AA26" i="6"/>
  <c r="AB14" i="6"/>
  <c r="AA73" i="6"/>
  <c r="AB87" i="6"/>
  <c r="AB47" i="6"/>
  <c r="AB17" i="6"/>
  <c r="AA38" i="6"/>
  <c r="AC30" i="6"/>
  <c r="AC80" i="6"/>
  <c r="AA40" i="6"/>
  <c r="AB24" i="6"/>
  <c r="AQ53" i="6"/>
  <c r="AT53" i="6" s="1"/>
  <c r="AK53" i="6" s="1"/>
  <c r="AN53" i="6"/>
  <c r="AS22" i="6"/>
  <c r="AV22" i="6" s="1"/>
  <c r="AM22" i="6" s="1"/>
  <c r="AP22" i="6" s="1"/>
  <c r="AC22" i="6" s="1"/>
  <c r="AS27" i="6"/>
  <c r="AV27" i="6" s="1"/>
  <c r="AM27" i="6" s="1"/>
  <c r="AP27" i="6" s="1"/>
  <c r="AQ92" i="6"/>
  <c r="AT92" i="6" s="1"/>
  <c r="AK92" i="6" s="1"/>
  <c r="AN92" i="6" s="1"/>
  <c r="AC104" i="6"/>
  <c r="AC105" i="6"/>
  <c r="AR61" i="6"/>
  <c r="AU61" i="6" s="1"/>
  <c r="AL61" i="6" s="1"/>
  <c r="AO61" i="6" s="1"/>
  <c r="AQ90" i="6"/>
  <c r="AT90" i="6" s="1"/>
  <c r="AK90" i="6" s="1"/>
  <c r="AN90" i="6" s="1"/>
  <c r="AB66" i="6"/>
  <c r="AQ22" i="6"/>
  <c r="AT22" i="6" s="1"/>
  <c r="AK22" i="6" s="1"/>
  <c r="AN22" i="6"/>
  <c r="AA22" i="6" s="1"/>
  <c r="AC108" i="6"/>
  <c r="AA70" i="6"/>
  <c r="AB54" i="6"/>
  <c r="AB59" i="6"/>
  <c r="AB23" i="6"/>
  <c r="AA15" i="6"/>
  <c r="AA85" i="6"/>
  <c r="AP56" i="6"/>
  <c r="AS56" i="6"/>
  <c r="AV56" i="6" s="1"/>
  <c r="AM56" i="6" s="1"/>
  <c r="AC34" i="6"/>
  <c r="AB91" i="6"/>
  <c r="AC65" i="6"/>
  <c r="AB57" i="6"/>
  <c r="AC41" i="6"/>
  <c r="AB92" i="6"/>
  <c r="AA60" i="6"/>
  <c r="AA48" i="6"/>
  <c r="AN16" i="6"/>
  <c r="AA16" i="6" s="1"/>
  <c r="AQ16" i="6"/>
  <c r="AT16" i="6" s="1"/>
  <c r="AK16" i="6" s="1"/>
  <c r="AS46" i="6"/>
  <c r="AV46" i="6" s="1"/>
  <c r="AM46" i="6" s="1"/>
  <c r="AP46" i="6" s="1"/>
  <c r="AC97" i="6"/>
  <c r="AQ103" i="6"/>
  <c r="AT103" i="6" s="1"/>
  <c r="AK103" i="6" s="1"/>
  <c r="AN103" i="6" s="1"/>
  <c r="AB99" i="6"/>
  <c r="AB79" i="6"/>
  <c r="AC67" i="6"/>
  <c r="AS55" i="6"/>
  <c r="AV55" i="6" s="1"/>
  <c r="AM55" i="6" s="1"/>
  <c r="AP55" i="6" s="1"/>
  <c r="AC55" i="6" s="1"/>
  <c r="AQ35" i="6"/>
  <c r="AT35" i="6" s="1"/>
  <c r="AK35" i="6" s="1"/>
  <c r="AN35" i="6" s="1"/>
  <c r="AB19" i="6"/>
  <c r="AP68" i="6"/>
  <c r="AC68" i="6" s="1"/>
  <c r="AS68" i="6"/>
  <c r="AV68" i="6" s="1"/>
  <c r="AM68" i="6" s="1"/>
  <c r="AA94" i="6"/>
  <c r="AS62" i="6"/>
  <c r="AV62" i="6" s="1"/>
  <c r="AM62" i="6" s="1"/>
  <c r="AP62" i="6" s="1"/>
  <c r="AC95" i="6"/>
  <c r="AB86" i="6"/>
  <c r="AC49" i="6"/>
  <c r="AC37" i="6"/>
  <c r="AB69" i="6"/>
  <c r="AB72" i="6"/>
  <c r="AB32" i="6"/>
  <c r="AS82" i="6"/>
  <c r="AV82" i="6" s="1"/>
  <c r="AM82" i="6" s="1"/>
  <c r="AP82" i="6" s="1"/>
  <c r="AA42" i="6"/>
  <c r="AC26" i="6"/>
  <c r="AA105" i="6"/>
  <c r="AB73" i="6"/>
  <c r="AA87" i="6"/>
  <c r="AB63" i="6"/>
  <c r="AB51" i="6"/>
  <c r="AC38" i="6"/>
  <c r="AB30" i="6"/>
  <c r="AB80" i="6"/>
  <c r="AA24" i="6"/>
  <c r="Z138" i="15"/>
  <c r="BC138" i="15" s="1"/>
  <c r="V138" i="15"/>
  <c r="AY138" i="15" s="1"/>
  <c r="R138" i="15"/>
  <c r="AU138" i="15" s="1"/>
  <c r="AL138" i="15"/>
  <c r="Y138" i="15"/>
  <c r="BB138" i="15" s="1"/>
  <c r="U138" i="15"/>
  <c r="AX138" i="15" s="1"/>
  <c r="X138" i="15"/>
  <c r="BA138" i="15" s="1"/>
  <c r="T138" i="15"/>
  <c r="AW138" i="15" s="1"/>
  <c r="W138" i="15"/>
  <c r="AZ138" i="15" s="1"/>
  <c r="S138" i="15"/>
  <c r="AV138" i="15" s="1"/>
  <c r="CK110" i="17"/>
  <c r="CZ111" i="14"/>
  <c r="U110" i="17"/>
  <c r="Q139" i="15"/>
  <c r="P140" i="15"/>
  <c r="J142" i="14"/>
  <c r="AA35" i="6" l="1"/>
  <c r="AA36" i="6"/>
  <c r="AA106" i="6"/>
  <c r="AA107" i="6"/>
  <c r="AA103" i="6"/>
  <c r="AA104" i="6"/>
  <c r="AC19" i="6"/>
  <c r="AC20" i="6"/>
  <c r="AA97" i="6"/>
  <c r="AA98" i="6"/>
  <c r="AA28" i="6"/>
  <c r="AA29" i="6"/>
  <c r="AA90" i="6"/>
  <c r="AA91" i="6"/>
  <c r="AA92" i="6"/>
  <c r="AA93" i="6"/>
  <c r="AB82" i="6"/>
  <c r="AB83" i="6"/>
  <c r="AA44" i="6"/>
  <c r="AA45" i="6"/>
  <c r="AC82" i="6"/>
  <c r="AC83" i="6"/>
  <c r="AC63" i="6"/>
  <c r="AC62" i="6"/>
  <c r="AC46" i="6"/>
  <c r="AC47" i="6"/>
  <c r="AB61" i="6"/>
  <c r="AB62" i="6"/>
  <c r="AC27" i="6"/>
  <c r="AC28" i="6"/>
  <c r="AC52" i="6"/>
  <c r="AC53" i="6"/>
  <c r="AB108" i="6"/>
  <c r="AB107" i="6"/>
  <c r="AB36" i="6"/>
  <c r="AC51" i="6"/>
  <c r="AB85" i="6"/>
  <c r="AC101" i="6"/>
  <c r="AA17" i="6"/>
  <c r="AA102" i="6"/>
  <c r="AA101" i="6"/>
  <c r="AA54" i="6"/>
  <c r="AA53" i="6"/>
  <c r="AC23" i="6"/>
  <c r="AC24" i="6"/>
  <c r="AA23" i="6"/>
  <c r="AC56" i="6"/>
  <c r="AA66" i="6"/>
  <c r="AC57" i="6"/>
  <c r="AC69" i="6"/>
  <c r="Z139" i="15"/>
  <c r="BC139" i="15" s="1"/>
  <c r="V139" i="15"/>
  <c r="AY139" i="15" s="1"/>
  <c r="R139" i="15"/>
  <c r="AU139" i="15" s="1"/>
  <c r="AL139" i="15"/>
  <c r="Y139" i="15"/>
  <c r="BB139" i="15" s="1"/>
  <c r="U139" i="15"/>
  <c r="AX139" i="15" s="1"/>
  <c r="X139" i="15"/>
  <c r="BA139" i="15" s="1"/>
  <c r="T139" i="15"/>
  <c r="AW139" i="15" s="1"/>
  <c r="W139" i="15"/>
  <c r="AZ139" i="15" s="1"/>
  <c r="S139" i="15"/>
  <c r="AV139" i="15" s="1"/>
  <c r="J143" i="14"/>
  <c r="CK111" i="17"/>
  <c r="Q140" i="15"/>
  <c r="P141" i="15"/>
  <c r="U111" i="17"/>
  <c r="CZ112" i="14"/>
  <c r="CK112" i="17" l="1"/>
  <c r="CZ113" i="14"/>
  <c r="P142" i="15"/>
  <c r="Q141" i="15"/>
  <c r="W140" i="15"/>
  <c r="AZ140" i="15" s="1"/>
  <c r="S140" i="15"/>
  <c r="AV140" i="15" s="1"/>
  <c r="Z140" i="15"/>
  <c r="BC140" i="15" s="1"/>
  <c r="V140" i="15"/>
  <c r="AY140" i="15" s="1"/>
  <c r="R140" i="15"/>
  <c r="AU140" i="15" s="1"/>
  <c r="AL140" i="15"/>
  <c r="Y140" i="15"/>
  <c r="BB140" i="15" s="1"/>
  <c r="U140" i="15"/>
  <c r="AX140" i="15" s="1"/>
  <c r="X140" i="15"/>
  <c r="BA140" i="15" s="1"/>
  <c r="T140" i="15"/>
  <c r="AW140" i="15" s="1"/>
  <c r="J144" i="14"/>
  <c r="U112" i="17"/>
  <c r="CK113" i="17" l="1"/>
  <c r="J145" i="14"/>
  <c r="W141" i="15"/>
  <c r="AZ141" i="15" s="1"/>
  <c r="S141" i="15"/>
  <c r="AV141" i="15" s="1"/>
  <c r="Z141" i="15"/>
  <c r="BC141" i="15" s="1"/>
  <c r="V141" i="15"/>
  <c r="AY141" i="15" s="1"/>
  <c r="R141" i="15"/>
  <c r="AU141" i="15" s="1"/>
  <c r="AL141" i="15"/>
  <c r="Y141" i="15"/>
  <c r="BB141" i="15" s="1"/>
  <c r="U141" i="15"/>
  <c r="AX141" i="15" s="1"/>
  <c r="X141" i="15"/>
  <c r="BA141" i="15" s="1"/>
  <c r="T141" i="15"/>
  <c r="AW141" i="15" s="1"/>
  <c r="U113" i="17"/>
  <c r="P143" i="15"/>
  <c r="Q142" i="15"/>
  <c r="CZ114" i="14"/>
  <c r="X142" i="15" l="1"/>
  <c r="BA142" i="15" s="1"/>
  <c r="T142" i="15"/>
  <c r="AW142" i="15" s="1"/>
  <c r="W142" i="15"/>
  <c r="AZ142" i="15" s="1"/>
  <c r="S142" i="15"/>
  <c r="AV142" i="15" s="1"/>
  <c r="Z142" i="15"/>
  <c r="BC142" i="15" s="1"/>
  <c r="V142" i="15"/>
  <c r="AY142" i="15" s="1"/>
  <c r="R142" i="15"/>
  <c r="AU142" i="15" s="1"/>
  <c r="AL142" i="15"/>
  <c r="Y142" i="15"/>
  <c r="BB142" i="15" s="1"/>
  <c r="U142" i="15"/>
  <c r="AX142" i="15" s="1"/>
  <c r="U114" i="17"/>
  <c r="P144" i="15"/>
  <c r="Q143" i="15"/>
  <c r="J146" i="14"/>
  <c r="CK114" i="17"/>
  <c r="CZ115" i="14"/>
  <c r="P145" i="15" l="1"/>
  <c r="Q144" i="15"/>
  <c r="CK115" i="17"/>
  <c r="J147" i="14"/>
  <c r="CZ116" i="14"/>
  <c r="X143" i="15"/>
  <c r="BA143" i="15" s="1"/>
  <c r="T143" i="15"/>
  <c r="AW143" i="15" s="1"/>
  <c r="W143" i="15"/>
  <c r="AZ143" i="15" s="1"/>
  <c r="S143" i="15"/>
  <c r="AV143" i="15" s="1"/>
  <c r="Z143" i="15"/>
  <c r="BC143" i="15" s="1"/>
  <c r="V143" i="15"/>
  <c r="AY143" i="15" s="1"/>
  <c r="R143" i="15"/>
  <c r="AU143" i="15" s="1"/>
  <c r="AL143" i="15"/>
  <c r="Y143" i="15"/>
  <c r="BB143" i="15" s="1"/>
  <c r="U143" i="15"/>
  <c r="AX143" i="15" s="1"/>
  <c r="U115" i="17"/>
  <c r="CZ117" i="14" l="1"/>
  <c r="U116" i="17"/>
  <c r="X144" i="15"/>
  <c r="BA144" i="15" s="1"/>
  <c r="T144" i="15"/>
  <c r="AW144" i="15" s="1"/>
  <c r="W144" i="15"/>
  <c r="AZ144" i="15" s="1"/>
  <c r="S144" i="15"/>
  <c r="AV144" i="15" s="1"/>
  <c r="Z144" i="15"/>
  <c r="BC144" i="15" s="1"/>
  <c r="V144" i="15"/>
  <c r="AY144" i="15" s="1"/>
  <c r="R144" i="15"/>
  <c r="AU144" i="15" s="1"/>
  <c r="AL144" i="15"/>
  <c r="Y144" i="15"/>
  <c r="BB144" i="15" s="1"/>
  <c r="U144" i="15"/>
  <c r="AX144" i="15" s="1"/>
  <c r="J148" i="14"/>
  <c r="CK116" i="17"/>
  <c r="P146" i="15"/>
  <c r="Q145" i="15"/>
  <c r="J149" i="14" l="1"/>
  <c r="Q146" i="15"/>
  <c r="P147" i="15"/>
  <c r="U117" i="17"/>
  <c r="X145" i="15"/>
  <c r="BA145" i="15" s="1"/>
  <c r="T145" i="15"/>
  <c r="AW145" i="15" s="1"/>
  <c r="W145" i="15"/>
  <c r="AZ145" i="15" s="1"/>
  <c r="S145" i="15"/>
  <c r="AV145" i="15" s="1"/>
  <c r="Z145" i="15"/>
  <c r="BC145" i="15" s="1"/>
  <c r="V145" i="15"/>
  <c r="AY145" i="15" s="1"/>
  <c r="R145" i="15"/>
  <c r="AU145" i="15" s="1"/>
  <c r="AL145" i="15"/>
  <c r="Y145" i="15"/>
  <c r="BB145" i="15" s="1"/>
  <c r="U145" i="15"/>
  <c r="AX145" i="15" s="1"/>
  <c r="CK117" i="17"/>
  <c r="CZ118" i="14"/>
  <c r="U118" i="17" l="1"/>
  <c r="Q147" i="15"/>
  <c r="P148" i="15"/>
  <c r="AL146" i="15"/>
  <c r="Y146" i="15"/>
  <c r="BB146" i="15" s="1"/>
  <c r="U146" i="15"/>
  <c r="AX146" i="15" s="1"/>
  <c r="X146" i="15"/>
  <c r="BA146" i="15" s="1"/>
  <c r="T146" i="15"/>
  <c r="AW146" i="15" s="1"/>
  <c r="W146" i="15"/>
  <c r="AZ146" i="15" s="1"/>
  <c r="S146" i="15"/>
  <c r="AV146" i="15" s="1"/>
  <c r="Z146" i="15"/>
  <c r="BC146" i="15" s="1"/>
  <c r="V146" i="15"/>
  <c r="AY146" i="15" s="1"/>
  <c r="R146" i="15"/>
  <c r="AU146" i="15" s="1"/>
  <c r="CZ119" i="14"/>
  <c r="CK118" i="17"/>
  <c r="J150" i="14"/>
  <c r="CK119" i="17" l="1"/>
  <c r="CZ120" i="14"/>
  <c r="AL147" i="15"/>
  <c r="Y147" i="15"/>
  <c r="BB147" i="15" s="1"/>
  <c r="U147" i="15"/>
  <c r="AX147" i="15" s="1"/>
  <c r="X147" i="15"/>
  <c r="BA147" i="15" s="1"/>
  <c r="T147" i="15"/>
  <c r="AW147" i="15" s="1"/>
  <c r="W147" i="15"/>
  <c r="AZ147" i="15" s="1"/>
  <c r="S147" i="15"/>
  <c r="AV147" i="15" s="1"/>
  <c r="Z147" i="15"/>
  <c r="BC147" i="15" s="1"/>
  <c r="V147" i="15"/>
  <c r="AY147" i="15" s="1"/>
  <c r="R147" i="15"/>
  <c r="AU147" i="15" s="1"/>
  <c r="U119" i="17"/>
  <c r="J151" i="14"/>
  <c r="Q148" i="15"/>
  <c r="P149" i="15"/>
  <c r="J152" i="14" l="1"/>
  <c r="Q149" i="15"/>
  <c r="P150" i="15"/>
  <c r="AL148" i="15"/>
  <c r="Y148" i="15"/>
  <c r="BB148" i="15" s="1"/>
  <c r="U148" i="15"/>
  <c r="AX148" i="15" s="1"/>
  <c r="X148" i="15"/>
  <c r="BA148" i="15" s="1"/>
  <c r="T148" i="15"/>
  <c r="AW148" i="15" s="1"/>
  <c r="W148" i="15"/>
  <c r="AZ148" i="15" s="1"/>
  <c r="S148" i="15"/>
  <c r="AV148" i="15" s="1"/>
  <c r="Z148" i="15"/>
  <c r="BC148" i="15" s="1"/>
  <c r="V148" i="15"/>
  <c r="AY148" i="15" s="1"/>
  <c r="R148" i="15"/>
  <c r="AU148" i="15" s="1"/>
  <c r="U120" i="17"/>
  <c r="CZ121" i="14"/>
  <c r="CK120" i="17"/>
  <c r="U121" i="17" l="1"/>
  <c r="CZ122" i="14"/>
  <c r="Q150" i="15"/>
  <c r="P151" i="15"/>
  <c r="J153" i="14"/>
  <c r="CK121" i="17"/>
  <c r="AL149" i="15"/>
  <c r="Y149" i="15"/>
  <c r="BB149" i="15" s="1"/>
  <c r="U149" i="15"/>
  <c r="AX149" i="15" s="1"/>
  <c r="X149" i="15"/>
  <c r="BA149" i="15" s="1"/>
  <c r="T149" i="15"/>
  <c r="AW149" i="15" s="1"/>
  <c r="W149" i="15"/>
  <c r="AZ149" i="15" s="1"/>
  <c r="S149" i="15"/>
  <c r="AV149" i="15" s="1"/>
  <c r="Z149" i="15"/>
  <c r="BC149" i="15" s="1"/>
  <c r="V149" i="15"/>
  <c r="AY149" i="15" s="1"/>
  <c r="R149" i="15"/>
  <c r="AU149" i="15" s="1"/>
  <c r="J154" i="14" l="1"/>
  <c r="AL150" i="15"/>
  <c r="Y150" i="15"/>
  <c r="BB150" i="15" s="1"/>
  <c r="U150" i="15"/>
  <c r="AX150" i="15" s="1"/>
  <c r="X150" i="15"/>
  <c r="BA150" i="15" s="1"/>
  <c r="T150" i="15"/>
  <c r="AW150" i="15" s="1"/>
  <c r="W150" i="15"/>
  <c r="AZ150" i="15" s="1"/>
  <c r="S150" i="15"/>
  <c r="AV150" i="15" s="1"/>
  <c r="Z150" i="15"/>
  <c r="BC150" i="15" s="1"/>
  <c r="V150" i="15"/>
  <c r="AY150" i="15" s="1"/>
  <c r="R150" i="15"/>
  <c r="AU150" i="15" s="1"/>
  <c r="CK122" i="17"/>
  <c r="Q151" i="15"/>
  <c r="P152" i="15"/>
  <c r="CZ123" i="14"/>
  <c r="U122" i="17"/>
  <c r="J155" i="14" l="1"/>
  <c r="CZ124" i="14"/>
  <c r="U123" i="17"/>
  <c r="CK123" i="17"/>
  <c r="Z151" i="15"/>
  <c r="BC151" i="15" s="1"/>
  <c r="V151" i="15"/>
  <c r="AY151" i="15" s="1"/>
  <c r="R151" i="15"/>
  <c r="AU151" i="15" s="1"/>
  <c r="AL151" i="15"/>
  <c r="Y151" i="15"/>
  <c r="BB151" i="15" s="1"/>
  <c r="U151" i="15"/>
  <c r="AX151" i="15" s="1"/>
  <c r="X151" i="15"/>
  <c r="BA151" i="15" s="1"/>
  <c r="T151" i="15"/>
  <c r="AW151" i="15" s="1"/>
  <c r="W151" i="15"/>
  <c r="AZ151" i="15" s="1"/>
  <c r="S151" i="15"/>
  <c r="AV151" i="15" s="1"/>
  <c r="Q152" i="15"/>
  <c r="P153" i="15"/>
  <c r="Q153" i="15" l="1"/>
  <c r="P154" i="15"/>
  <c r="Z152" i="15"/>
  <c r="BC152" i="15" s="1"/>
  <c r="V152" i="15"/>
  <c r="AY152" i="15" s="1"/>
  <c r="R152" i="15"/>
  <c r="AU152" i="15" s="1"/>
  <c r="AL152" i="15"/>
  <c r="Y152" i="15"/>
  <c r="BB152" i="15" s="1"/>
  <c r="U152" i="15"/>
  <c r="AX152" i="15" s="1"/>
  <c r="X152" i="15"/>
  <c r="BA152" i="15" s="1"/>
  <c r="T152" i="15"/>
  <c r="AW152" i="15" s="1"/>
  <c r="W152" i="15"/>
  <c r="AZ152" i="15" s="1"/>
  <c r="S152" i="15"/>
  <c r="AV152" i="15" s="1"/>
  <c r="CK124" i="17"/>
  <c r="U124" i="17"/>
  <c r="CZ125" i="14"/>
  <c r="J156" i="14"/>
  <c r="CZ126" i="14" l="1"/>
  <c r="Q154" i="15"/>
  <c r="P155" i="15"/>
  <c r="J157" i="14"/>
  <c r="AI156" i="14" s="1"/>
  <c r="U125" i="17"/>
  <c r="CK125" i="17"/>
  <c r="Z153" i="15"/>
  <c r="BC153" i="15" s="1"/>
  <c r="V153" i="15"/>
  <c r="AY153" i="15" s="1"/>
  <c r="R153" i="15"/>
  <c r="AU153" i="15" s="1"/>
  <c r="AL153" i="15"/>
  <c r="Y153" i="15"/>
  <c r="BB153" i="15" s="1"/>
  <c r="U153" i="15"/>
  <c r="AX153" i="15" s="1"/>
  <c r="X153" i="15"/>
  <c r="BA153" i="15" s="1"/>
  <c r="T153" i="15"/>
  <c r="AW153" i="15" s="1"/>
  <c r="W153" i="15"/>
  <c r="AZ153" i="15" s="1"/>
  <c r="S153" i="15"/>
  <c r="AV153" i="15" s="1"/>
  <c r="W156" i="14" l="1"/>
  <c r="CK126" i="17"/>
  <c r="CL125" i="17"/>
  <c r="DW125" i="17"/>
  <c r="U126" i="17"/>
  <c r="BJ125" i="17" s="1"/>
  <c r="K157" i="14"/>
  <c r="W157" i="14"/>
  <c r="BZ157" i="14"/>
  <c r="AI157" i="14"/>
  <c r="AI37" i="14"/>
  <c r="BZ36" i="14"/>
  <c r="W37" i="14"/>
  <c r="K37" i="14"/>
  <c r="BZ38" i="14"/>
  <c r="AI38" i="14"/>
  <c r="BZ37" i="14"/>
  <c r="K38" i="14"/>
  <c r="BZ39" i="14"/>
  <c r="K39" i="14"/>
  <c r="AI39" i="14"/>
  <c r="W39" i="14"/>
  <c r="W38" i="14"/>
  <c r="BZ40" i="14"/>
  <c r="AI40" i="14"/>
  <c r="W40" i="14"/>
  <c r="K40" i="14"/>
  <c r="K41" i="14"/>
  <c r="AI41" i="14"/>
  <c r="BZ41" i="14"/>
  <c r="W41" i="14"/>
  <c r="AI42" i="14"/>
  <c r="BZ42" i="14"/>
  <c r="K42" i="14"/>
  <c r="W42" i="14"/>
  <c r="W43" i="14"/>
  <c r="K43" i="14"/>
  <c r="AI43" i="14"/>
  <c r="BZ43" i="14"/>
  <c r="W44" i="14"/>
  <c r="K44" i="14"/>
  <c r="AI44" i="14"/>
  <c r="BZ44" i="14"/>
  <c r="AI45" i="14"/>
  <c r="BZ45" i="14"/>
  <c r="W45" i="14"/>
  <c r="K45" i="14"/>
  <c r="AI46" i="14"/>
  <c r="BZ46" i="14"/>
  <c r="K46" i="14"/>
  <c r="W46" i="14"/>
  <c r="W47" i="14"/>
  <c r="K47" i="14"/>
  <c r="AI47" i="14"/>
  <c r="BZ47" i="14"/>
  <c r="W48" i="14"/>
  <c r="BZ48" i="14"/>
  <c r="AI48" i="14"/>
  <c r="K48" i="14"/>
  <c r="BZ49" i="14"/>
  <c r="W49" i="14"/>
  <c r="K49" i="14"/>
  <c r="AI49" i="14"/>
  <c r="K50" i="14"/>
  <c r="BZ50" i="14"/>
  <c r="AI50" i="14"/>
  <c r="W50" i="14"/>
  <c r="AI51" i="14"/>
  <c r="W51" i="14"/>
  <c r="BZ51" i="14"/>
  <c r="K51" i="14"/>
  <c r="W52" i="14"/>
  <c r="K52" i="14"/>
  <c r="BZ52" i="14"/>
  <c r="AI52" i="14"/>
  <c r="AI53" i="14"/>
  <c r="BZ53" i="14"/>
  <c r="W53" i="14"/>
  <c r="K53" i="14"/>
  <c r="BZ54" i="14"/>
  <c r="AI54" i="14"/>
  <c r="W54" i="14"/>
  <c r="K54" i="14"/>
  <c r="W55" i="14"/>
  <c r="BZ55" i="14"/>
  <c r="K55" i="14"/>
  <c r="AI55" i="14"/>
  <c r="K56" i="14"/>
  <c r="BZ56" i="14"/>
  <c r="W56" i="14"/>
  <c r="AI56" i="14"/>
  <c r="BZ57" i="14"/>
  <c r="W57" i="14"/>
  <c r="K57" i="14"/>
  <c r="AI57" i="14"/>
  <c r="AI58" i="14"/>
  <c r="K58" i="14"/>
  <c r="W58" i="14"/>
  <c r="BZ58" i="14"/>
  <c r="AI59" i="14"/>
  <c r="BZ59" i="14"/>
  <c r="K59" i="14"/>
  <c r="W59" i="14"/>
  <c r="W60" i="14"/>
  <c r="AI60" i="14"/>
  <c r="K60" i="14"/>
  <c r="BZ60" i="14"/>
  <c r="BZ61" i="14"/>
  <c r="AI61" i="14"/>
  <c r="K61" i="14"/>
  <c r="W61" i="14"/>
  <c r="AI62" i="14"/>
  <c r="BZ62" i="14"/>
  <c r="K62" i="14"/>
  <c r="W62" i="14"/>
  <c r="K63" i="14"/>
  <c r="W63" i="14"/>
  <c r="AI63" i="14"/>
  <c r="BZ63" i="14"/>
  <c r="AI64" i="14"/>
  <c r="K64" i="14"/>
  <c r="BZ64" i="14"/>
  <c r="W64" i="14"/>
  <c r="W65" i="14"/>
  <c r="AI65" i="14"/>
  <c r="BZ65" i="14"/>
  <c r="K65" i="14"/>
  <c r="W66" i="14"/>
  <c r="BZ66" i="14"/>
  <c r="AI66" i="14"/>
  <c r="K66" i="14"/>
  <c r="AI67" i="14"/>
  <c r="K67" i="14"/>
  <c r="BZ67" i="14"/>
  <c r="W67" i="14"/>
  <c r="AI68" i="14"/>
  <c r="BZ68" i="14"/>
  <c r="K68" i="14"/>
  <c r="W68" i="14"/>
  <c r="K69" i="14"/>
  <c r="W69" i="14"/>
  <c r="AI69" i="14"/>
  <c r="BZ69" i="14"/>
  <c r="W70" i="14"/>
  <c r="AI70" i="14"/>
  <c r="BZ70" i="14"/>
  <c r="K70" i="14"/>
  <c r="BZ71" i="14"/>
  <c r="W71" i="14"/>
  <c r="AI71" i="14"/>
  <c r="K71" i="14"/>
  <c r="AI72" i="14"/>
  <c r="BZ72" i="14"/>
  <c r="K72" i="14"/>
  <c r="W72" i="14"/>
  <c r="K73" i="14"/>
  <c r="AI73" i="14"/>
  <c r="W73" i="14"/>
  <c r="BZ73" i="14"/>
  <c r="K74" i="14"/>
  <c r="W74" i="14"/>
  <c r="AI74" i="14"/>
  <c r="BZ74" i="14"/>
  <c r="W75" i="14"/>
  <c r="K75" i="14"/>
  <c r="BZ75" i="14"/>
  <c r="AI75" i="14"/>
  <c r="AI76" i="14"/>
  <c r="K76" i="14"/>
  <c r="W76" i="14"/>
  <c r="BZ76" i="14"/>
  <c r="K77" i="14"/>
  <c r="AI77" i="14"/>
  <c r="W77" i="14"/>
  <c r="BZ77" i="14"/>
  <c r="AI78" i="14"/>
  <c r="BZ78" i="14"/>
  <c r="K78" i="14"/>
  <c r="W78" i="14"/>
  <c r="AI79" i="14"/>
  <c r="BZ79" i="14"/>
  <c r="W79" i="14"/>
  <c r="K79" i="14"/>
  <c r="K80" i="14"/>
  <c r="AI80" i="14"/>
  <c r="BZ80" i="14"/>
  <c r="W80" i="14"/>
  <c r="W81" i="14"/>
  <c r="K81" i="14"/>
  <c r="AI81" i="14"/>
  <c r="BZ81" i="14"/>
  <c r="W82" i="14"/>
  <c r="K82" i="14"/>
  <c r="AI82" i="14"/>
  <c r="BZ82" i="14"/>
  <c r="W83" i="14"/>
  <c r="K83" i="14"/>
  <c r="AI83" i="14"/>
  <c r="BZ83" i="14"/>
  <c r="W84" i="14"/>
  <c r="K84" i="14"/>
  <c r="AI84" i="14"/>
  <c r="BZ84" i="14"/>
  <c r="W85" i="14"/>
  <c r="K85" i="14"/>
  <c r="AI85" i="14"/>
  <c r="BZ85" i="14"/>
  <c r="BZ86" i="14"/>
  <c r="W86" i="14"/>
  <c r="K86" i="14"/>
  <c r="AI86" i="14"/>
  <c r="AI87" i="14"/>
  <c r="BZ87" i="14"/>
  <c r="K87" i="14"/>
  <c r="W87" i="14"/>
  <c r="AI88" i="14"/>
  <c r="BZ88" i="14"/>
  <c r="K88" i="14"/>
  <c r="W88" i="14"/>
  <c r="W89" i="14"/>
  <c r="K89" i="14"/>
  <c r="AI89" i="14"/>
  <c r="BZ89" i="14"/>
  <c r="W90" i="14"/>
  <c r="AI90" i="14"/>
  <c r="K90" i="14"/>
  <c r="BZ90" i="14"/>
  <c r="AI91" i="14"/>
  <c r="BZ91" i="14"/>
  <c r="W91" i="14"/>
  <c r="K91" i="14"/>
  <c r="K92" i="14"/>
  <c r="BZ92" i="14"/>
  <c r="AI92" i="14"/>
  <c r="W92" i="14"/>
  <c r="BZ93" i="14"/>
  <c r="W93" i="14"/>
  <c r="K93" i="14"/>
  <c r="AI93" i="14"/>
  <c r="BZ94" i="14"/>
  <c r="W94" i="14"/>
  <c r="K94" i="14"/>
  <c r="AI94" i="14"/>
  <c r="K95" i="14"/>
  <c r="W95" i="14"/>
  <c r="AI95" i="14"/>
  <c r="BZ95" i="14"/>
  <c r="AI96" i="14"/>
  <c r="BZ96" i="14"/>
  <c r="K96" i="14"/>
  <c r="W96" i="14"/>
  <c r="W97" i="14"/>
  <c r="K97" i="14"/>
  <c r="AI97" i="14"/>
  <c r="BZ97" i="14"/>
  <c r="K98" i="14"/>
  <c r="BZ98" i="14"/>
  <c r="W98" i="14"/>
  <c r="AI98" i="14"/>
  <c r="K99" i="14"/>
  <c r="BZ99" i="14"/>
  <c r="AI99" i="14"/>
  <c r="W99" i="14"/>
  <c r="W100" i="14"/>
  <c r="AI100" i="14"/>
  <c r="BZ100" i="14"/>
  <c r="K100" i="14"/>
  <c r="K101" i="14"/>
  <c r="BZ101" i="14"/>
  <c r="AI101" i="14"/>
  <c r="W101" i="14"/>
  <c r="K102" i="14"/>
  <c r="BZ102" i="14"/>
  <c r="W102" i="14"/>
  <c r="AI102" i="14"/>
  <c r="K103" i="14"/>
  <c r="BZ103" i="14"/>
  <c r="AI103" i="14"/>
  <c r="W103" i="14"/>
  <c r="BZ104" i="14"/>
  <c r="W104" i="14"/>
  <c r="AI104" i="14"/>
  <c r="K104" i="14"/>
  <c r="AI105" i="14"/>
  <c r="W105" i="14"/>
  <c r="K105" i="14"/>
  <c r="BZ105" i="14"/>
  <c r="AI106" i="14"/>
  <c r="BZ106" i="14"/>
  <c r="K106" i="14"/>
  <c r="W106" i="14"/>
  <c r="K107" i="14"/>
  <c r="BZ107" i="14"/>
  <c r="AI107" i="14"/>
  <c r="W107" i="14"/>
  <c r="K108" i="14"/>
  <c r="BZ108" i="14"/>
  <c r="W108" i="14"/>
  <c r="AI108" i="14"/>
  <c r="K109" i="14"/>
  <c r="W109" i="14"/>
  <c r="AI109" i="14"/>
  <c r="BZ109" i="14"/>
  <c r="K110" i="14"/>
  <c r="BZ110" i="14"/>
  <c r="W110" i="14"/>
  <c r="AI110" i="14"/>
  <c r="K111" i="14"/>
  <c r="W111" i="14"/>
  <c r="AI111" i="14"/>
  <c r="BZ111" i="14"/>
  <c r="K112" i="14"/>
  <c r="BZ112" i="14"/>
  <c r="W112" i="14"/>
  <c r="AI112" i="14"/>
  <c r="K113" i="14"/>
  <c r="BZ113" i="14"/>
  <c r="AI113" i="14"/>
  <c r="W113" i="14"/>
  <c r="W114" i="14"/>
  <c r="AI114" i="14"/>
  <c r="K114" i="14"/>
  <c r="BZ114" i="14"/>
  <c r="K115" i="14"/>
  <c r="BZ115" i="14"/>
  <c r="AI115" i="14"/>
  <c r="W115" i="14"/>
  <c r="K116" i="14"/>
  <c r="BZ116" i="14"/>
  <c r="W116" i="14"/>
  <c r="AI116" i="14"/>
  <c r="BZ117" i="14"/>
  <c r="AI117" i="14"/>
  <c r="W117" i="14"/>
  <c r="K117" i="14"/>
  <c r="K118" i="14"/>
  <c r="BZ118" i="14"/>
  <c r="W118" i="14"/>
  <c r="AI118" i="14"/>
  <c r="W119" i="14"/>
  <c r="K119" i="14"/>
  <c r="BZ119" i="14"/>
  <c r="AI119" i="14"/>
  <c r="AI120" i="14"/>
  <c r="BZ120" i="14"/>
  <c r="K120" i="14"/>
  <c r="W120" i="14"/>
  <c r="K121" i="14"/>
  <c r="BZ121" i="14"/>
  <c r="AI121" i="14"/>
  <c r="W121" i="14"/>
  <c r="K122" i="14"/>
  <c r="BZ122" i="14"/>
  <c r="W122" i="14"/>
  <c r="AI122" i="14"/>
  <c r="AI123" i="14"/>
  <c r="K123" i="14"/>
  <c r="BZ123" i="14"/>
  <c r="W123" i="14"/>
  <c r="W124" i="14"/>
  <c r="AI124" i="14"/>
  <c r="BZ124" i="14"/>
  <c r="K124" i="14"/>
  <c r="K125" i="14"/>
  <c r="BZ125" i="14"/>
  <c r="AI125" i="14"/>
  <c r="W125" i="14"/>
  <c r="K126" i="14"/>
  <c r="BZ126" i="14"/>
  <c r="W126" i="14"/>
  <c r="AI126" i="14"/>
  <c r="AI127" i="14"/>
  <c r="K127" i="14"/>
  <c r="BZ127" i="14"/>
  <c r="W127" i="14"/>
  <c r="AI128" i="14"/>
  <c r="W128" i="14"/>
  <c r="BZ128" i="14"/>
  <c r="K128" i="14"/>
  <c r="W129" i="14"/>
  <c r="AI129" i="14"/>
  <c r="BZ129" i="14"/>
  <c r="K129" i="14"/>
  <c r="AI130" i="14"/>
  <c r="W130" i="14"/>
  <c r="K130" i="14"/>
  <c r="BZ130" i="14"/>
  <c r="K131" i="14"/>
  <c r="W131" i="14"/>
  <c r="AI131" i="14"/>
  <c r="BZ131" i="14"/>
  <c r="AI132" i="14"/>
  <c r="W132" i="14"/>
  <c r="K132" i="14"/>
  <c r="BZ132" i="14"/>
  <c r="W133" i="14"/>
  <c r="K133" i="14"/>
  <c r="AI133" i="14"/>
  <c r="BZ133" i="14"/>
  <c r="BZ134" i="14"/>
  <c r="W134" i="14"/>
  <c r="K134" i="14"/>
  <c r="AI134" i="14"/>
  <c r="W135" i="14"/>
  <c r="AI135" i="14"/>
  <c r="BZ135" i="14"/>
  <c r="K135" i="14"/>
  <c r="AI136" i="14"/>
  <c r="W136" i="14"/>
  <c r="K136" i="14"/>
  <c r="BZ136" i="14"/>
  <c r="K137" i="14"/>
  <c r="BZ137" i="14"/>
  <c r="W137" i="14"/>
  <c r="AI137" i="14"/>
  <c r="W138" i="14"/>
  <c r="AI138" i="14"/>
  <c r="BZ138" i="14"/>
  <c r="K138" i="14"/>
  <c r="BZ139" i="14"/>
  <c r="AI139" i="14"/>
  <c r="W139" i="14"/>
  <c r="K139" i="14"/>
  <c r="AI140" i="14"/>
  <c r="BZ140" i="14"/>
  <c r="W140" i="14"/>
  <c r="K140" i="14"/>
  <c r="BZ141" i="14"/>
  <c r="K141" i="14"/>
  <c r="W141" i="14"/>
  <c r="AI141" i="14"/>
  <c r="W142" i="14"/>
  <c r="AI142" i="14"/>
  <c r="BZ142" i="14"/>
  <c r="K142" i="14"/>
  <c r="K143" i="14"/>
  <c r="W143" i="14"/>
  <c r="AI143" i="14"/>
  <c r="BZ143" i="14"/>
  <c r="BZ144" i="14"/>
  <c r="W144" i="14"/>
  <c r="K144" i="14"/>
  <c r="AI144" i="14"/>
  <c r="BZ145" i="14"/>
  <c r="W145" i="14"/>
  <c r="K145" i="14"/>
  <c r="AI145" i="14"/>
  <c r="K146" i="14"/>
  <c r="BZ146" i="14"/>
  <c r="AI146" i="14"/>
  <c r="W146" i="14"/>
  <c r="K147" i="14"/>
  <c r="W147" i="14"/>
  <c r="AI147" i="14"/>
  <c r="BZ147" i="14"/>
  <c r="W148" i="14"/>
  <c r="K148" i="14"/>
  <c r="BZ148" i="14"/>
  <c r="AI148" i="14"/>
  <c r="K149" i="14"/>
  <c r="AI149" i="14"/>
  <c r="W149" i="14"/>
  <c r="BZ149" i="14"/>
  <c r="K150" i="14"/>
  <c r="BZ150" i="14"/>
  <c r="W150" i="14"/>
  <c r="AI150" i="14"/>
  <c r="BZ151" i="14"/>
  <c r="AI151" i="14"/>
  <c r="K151" i="14"/>
  <c r="W151" i="14"/>
  <c r="W152" i="14"/>
  <c r="BZ152" i="14"/>
  <c r="AI152" i="14"/>
  <c r="K152" i="14"/>
  <c r="BZ153" i="14"/>
  <c r="AI153" i="14"/>
  <c r="K153" i="14"/>
  <c r="W153" i="14"/>
  <c r="W154" i="14"/>
  <c r="AI154" i="14"/>
  <c r="BZ154" i="14"/>
  <c r="K154" i="14"/>
  <c r="W155" i="14"/>
  <c r="K155" i="14"/>
  <c r="AI155" i="14"/>
  <c r="BZ155" i="14"/>
  <c r="BZ156" i="14"/>
  <c r="K156" i="14"/>
  <c r="BD156" i="14"/>
  <c r="BC156" i="14"/>
  <c r="P156" i="15"/>
  <c r="Q155" i="15"/>
  <c r="CZ127" i="14"/>
  <c r="DB126" i="14" s="1"/>
  <c r="AG156" i="14"/>
  <c r="AC156" i="14"/>
  <c r="AF156" i="14"/>
  <c r="AE156" i="14"/>
  <c r="Y156" i="14"/>
  <c r="AB156" i="14"/>
  <c r="AA156" i="14"/>
  <c r="X156" i="14"/>
  <c r="AD156" i="14"/>
  <c r="Z156" i="14"/>
  <c r="W154" i="15"/>
  <c r="AZ154" i="15" s="1"/>
  <c r="S154" i="15"/>
  <c r="AV154" i="15" s="1"/>
  <c r="Z154" i="15"/>
  <c r="BC154" i="15" s="1"/>
  <c r="V154" i="15"/>
  <c r="AY154" i="15" s="1"/>
  <c r="R154" i="15"/>
  <c r="AU154" i="15" s="1"/>
  <c r="AL154" i="15"/>
  <c r="Y154" i="15"/>
  <c r="BB154" i="15" s="1"/>
  <c r="U154" i="15"/>
  <c r="AX154" i="15" s="1"/>
  <c r="X154" i="15"/>
  <c r="BA154" i="15" s="1"/>
  <c r="T154" i="15"/>
  <c r="AW154" i="15" s="1"/>
  <c r="EN126" i="14" l="1"/>
  <c r="W125" i="17"/>
  <c r="BP125" i="17"/>
  <c r="BG125" i="17"/>
  <c r="BH125" i="17"/>
  <c r="BI125" i="17"/>
  <c r="BF125" i="17"/>
  <c r="BB125" i="17"/>
  <c r="BE125" i="17"/>
  <c r="BC125" i="17"/>
  <c r="BD125" i="17"/>
  <c r="FA126" i="14"/>
  <c r="EW126" i="14"/>
  <c r="EO126" i="14"/>
  <c r="EP126" i="14"/>
  <c r="EQ126" i="14"/>
  <c r="EX126" i="14"/>
  <c r="EY126" i="14"/>
  <c r="EZ126" i="14"/>
  <c r="AE155" i="14"/>
  <c r="AD155" i="14"/>
  <c r="AC155" i="14"/>
  <c r="AA155" i="14"/>
  <c r="Z155" i="14"/>
  <c r="Y155" i="14"/>
  <c r="X155" i="14"/>
  <c r="AB155" i="14"/>
  <c r="AG155" i="14"/>
  <c r="AF155" i="14"/>
  <c r="BW153" i="14"/>
  <c r="BS153" i="14"/>
  <c r="BV153" i="14"/>
  <c r="BR153" i="14"/>
  <c r="CL153" i="14"/>
  <c r="BY153" i="14"/>
  <c r="BU153" i="14"/>
  <c r="BQ153" i="14"/>
  <c r="BX153" i="14"/>
  <c r="BT153" i="14"/>
  <c r="BF153" i="14"/>
  <c r="BP153" i="14" s="1"/>
  <c r="CA153" i="14" s="1"/>
  <c r="BL153" i="14"/>
  <c r="BO153" i="14"/>
  <c r="BM153" i="14"/>
  <c r="BK153" i="14"/>
  <c r="BI153" i="14"/>
  <c r="BJ153" i="14"/>
  <c r="BH153" i="14"/>
  <c r="BN153" i="14"/>
  <c r="BG153" i="14"/>
  <c r="O150" i="14"/>
  <c r="P150" i="14"/>
  <c r="U150" i="14"/>
  <c r="R150" i="14"/>
  <c r="Q150" i="14"/>
  <c r="S150" i="14"/>
  <c r="L150" i="14"/>
  <c r="T150" i="14"/>
  <c r="M150" i="14"/>
  <c r="N150" i="14"/>
  <c r="Q147" i="14"/>
  <c r="O147" i="14"/>
  <c r="L147" i="14"/>
  <c r="S147" i="14"/>
  <c r="R147" i="14"/>
  <c r="U147" i="14"/>
  <c r="P147" i="14"/>
  <c r="N147" i="14"/>
  <c r="T147" i="14"/>
  <c r="M147" i="14"/>
  <c r="U146" i="14"/>
  <c r="P146" i="14"/>
  <c r="S146" i="14"/>
  <c r="O146" i="14"/>
  <c r="L146" i="14"/>
  <c r="R146" i="14"/>
  <c r="Q146" i="14"/>
  <c r="T146" i="14"/>
  <c r="M146" i="14"/>
  <c r="N146" i="14"/>
  <c r="Q143" i="14"/>
  <c r="R143" i="14"/>
  <c r="P143" i="14"/>
  <c r="O143" i="14"/>
  <c r="L143" i="14"/>
  <c r="U143" i="14"/>
  <c r="S143" i="14"/>
  <c r="N143" i="14"/>
  <c r="T143" i="14"/>
  <c r="M143" i="14"/>
  <c r="BC140" i="14"/>
  <c r="BD140" i="14"/>
  <c r="AE138" i="14"/>
  <c r="X138" i="14"/>
  <c r="AD138" i="14"/>
  <c r="Z138" i="14"/>
  <c r="AF138" i="14"/>
  <c r="AC138" i="14"/>
  <c r="AB138" i="14"/>
  <c r="AG138" i="14"/>
  <c r="Y138" i="14"/>
  <c r="AA138" i="14"/>
  <c r="AF135" i="14"/>
  <c r="AB135" i="14"/>
  <c r="AE135" i="14"/>
  <c r="X135" i="14"/>
  <c r="AC135" i="14"/>
  <c r="AD135" i="14"/>
  <c r="AG135" i="14"/>
  <c r="Z135" i="14"/>
  <c r="AA135" i="14"/>
  <c r="Y135" i="14"/>
  <c r="AA133" i="14"/>
  <c r="AE133" i="14"/>
  <c r="AD133" i="14"/>
  <c r="AG133" i="14"/>
  <c r="Z133" i="14"/>
  <c r="Y133" i="14"/>
  <c r="AC133" i="14"/>
  <c r="AB133" i="14"/>
  <c r="X133" i="14"/>
  <c r="AF133" i="14"/>
  <c r="BD130" i="14"/>
  <c r="BC130" i="14"/>
  <c r="BD127" i="14"/>
  <c r="BC127" i="14"/>
  <c r="BD123" i="14"/>
  <c r="BC123" i="14"/>
  <c r="BD120" i="14"/>
  <c r="BC120" i="14"/>
  <c r="O118" i="14"/>
  <c r="R118" i="14"/>
  <c r="U118" i="14"/>
  <c r="P118" i="14"/>
  <c r="L118" i="14"/>
  <c r="Q118" i="14"/>
  <c r="S118" i="14"/>
  <c r="T118" i="14"/>
  <c r="M118" i="14"/>
  <c r="N118" i="14"/>
  <c r="R115" i="14"/>
  <c r="P115" i="14"/>
  <c r="U115" i="14"/>
  <c r="L115" i="14"/>
  <c r="S115" i="14"/>
  <c r="Q115" i="14"/>
  <c r="O115" i="14"/>
  <c r="T115" i="14"/>
  <c r="M115" i="14"/>
  <c r="N115" i="14"/>
  <c r="Q113" i="14"/>
  <c r="O113" i="14"/>
  <c r="R113" i="14"/>
  <c r="P113" i="14"/>
  <c r="U113" i="14"/>
  <c r="L113" i="14"/>
  <c r="S113" i="14"/>
  <c r="N113" i="14"/>
  <c r="T113" i="14"/>
  <c r="M113" i="14"/>
  <c r="O110" i="14"/>
  <c r="L110" i="14"/>
  <c r="R110" i="14"/>
  <c r="U110" i="14"/>
  <c r="Q110" i="14"/>
  <c r="S110" i="14"/>
  <c r="P110" i="14"/>
  <c r="T110" i="14"/>
  <c r="M110" i="14"/>
  <c r="N110" i="14"/>
  <c r="Q108" i="14"/>
  <c r="S108" i="14"/>
  <c r="L108" i="14"/>
  <c r="O108" i="14"/>
  <c r="R108" i="14"/>
  <c r="U108" i="14"/>
  <c r="P108" i="14"/>
  <c r="N108" i="14"/>
  <c r="M108" i="14"/>
  <c r="T108" i="14"/>
  <c r="BD105" i="14"/>
  <c r="BC105" i="14"/>
  <c r="P103" i="14"/>
  <c r="U103" i="14"/>
  <c r="L103" i="14"/>
  <c r="S103" i="14"/>
  <c r="Q103" i="14"/>
  <c r="O103" i="14"/>
  <c r="R103" i="14"/>
  <c r="N103" i="14"/>
  <c r="T103" i="14"/>
  <c r="M103" i="14"/>
  <c r="Q101" i="14"/>
  <c r="O101" i="14"/>
  <c r="P101" i="14"/>
  <c r="R101" i="14"/>
  <c r="U101" i="14"/>
  <c r="L101" i="14"/>
  <c r="S101" i="14"/>
  <c r="T101" i="14"/>
  <c r="N101" i="14"/>
  <c r="M101" i="14"/>
  <c r="R99" i="14"/>
  <c r="P99" i="14"/>
  <c r="U99" i="14"/>
  <c r="L99" i="14"/>
  <c r="S99" i="14"/>
  <c r="Q99" i="14"/>
  <c r="O99" i="14"/>
  <c r="T99" i="14"/>
  <c r="M99" i="14"/>
  <c r="N99" i="14"/>
  <c r="AB97" i="14"/>
  <c r="AA97" i="14"/>
  <c r="AE97" i="14"/>
  <c r="Z97" i="14"/>
  <c r="AG97" i="14"/>
  <c r="AC97" i="14"/>
  <c r="AD97" i="14"/>
  <c r="Y97" i="14"/>
  <c r="X97" i="14"/>
  <c r="AF97" i="14"/>
  <c r="BC96" i="14"/>
  <c r="BD96" i="14"/>
  <c r="Q95" i="14"/>
  <c r="O95" i="14"/>
  <c r="R95" i="14"/>
  <c r="S95" i="14"/>
  <c r="P95" i="14"/>
  <c r="U95" i="14"/>
  <c r="L95" i="14"/>
  <c r="T95" i="14"/>
  <c r="M95" i="14"/>
  <c r="N95" i="14"/>
  <c r="BY93" i="14"/>
  <c r="BU93" i="14"/>
  <c r="BW93" i="14"/>
  <c r="BS93" i="14"/>
  <c r="BV93" i="14"/>
  <c r="BT93" i="14"/>
  <c r="BX93" i="14"/>
  <c r="CL93" i="14"/>
  <c r="BJ93" i="14"/>
  <c r="BO93" i="14"/>
  <c r="BM93" i="14"/>
  <c r="BK93" i="14"/>
  <c r="BL93" i="14"/>
  <c r="BI93" i="14"/>
  <c r="BF93" i="14"/>
  <c r="BP93" i="14" s="1"/>
  <c r="CA93" i="14" s="1"/>
  <c r="BN93" i="14"/>
  <c r="BH93" i="14"/>
  <c r="BR93" i="14" s="1"/>
  <c r="BG93" i="14"/>
  <c r="BQ93" i="14" s="1"/>
  <c r="CB93" i="14" s="1"/>
  <c r="Q92" i="14"/>
  <c r="R92" i="14"/>
  <c r="U92" i="14"/>
  <c r="P92" i="14"/>
  <c r="S92" i="14"/>
  <c r="L92" i="14"/>
  <c r="O92" i="14"/>
  <c r="T92" i="14"/>
  <c r="N92" i="14"/>
  <c r="M92" i="14"/>
  <c r="AA90" i="14"/>
  <c r="AB90" i="14"/>
  <c r="AG90" i="14"/>
  <c r="X90" i="14"/>
  <c r="AC90" i="14"/>
  <c r="AF90" i="14"/>
  <c r="AD90" i="14"/>
  <c r="Y90" i="14"/>
  <c r="Z90" i="14"/>
  <c r="AE90" i="14"/>
  <c r="EN127" i="14"/>
  <c r="DA127" i="14"/>
  <c r="DB127" i="14"/>
  <c r="DA6" i="14"/>
  <c r="DB7" i="14"/>
  <c r="EN6" i="14"/>
  <c r="EN7" i="14"/>
  <c r="DA7" i="14"/>
  <c r="DB6" i="14"/>
  <c r="DA8" i="14"/>
  <c r="DB8" i="14"/>
  <c r="EN8" i="14"/>
  <c r="DB9" i="14"/>
  <c r="EN9" i="14"/>
  <c r="DA9" i="14"/>
  <c r="EN10" i="14"/>
  <c r="DA10" i="14"/>
  <c r="DB10" i="14"/>
  <c r="EN11" i="14"/>
  <c r="DA11" i="14"/>
  <c r="DB11" i="14"/>
  <c r="EN12" i="14"/>
  <c r="DA12" i="14"/>
  <c r="DB12" i="14"/>
  <c r="DB13" i="14"/>
  <c r="EN13" i="14"/>
  <c r="DA13" i="14"/>
  <c r="DB14" i="14"/>
  <c r="EN14" i="14"/>
  <c r="DA14" i="14"/>
  <c r="DB15" i="14"/>
  <c r="EN15" i="14"/>
  <c r="DA15" i="14"/>
  <c r="EN16" i="14"/>
  <c r="DA16" i="14"/>
  <c r="DB16" i="14"/>
  <c r="DB17" i="14"/>
  <c r="EN17" i="14"/>
  <c r="DA17" i="14"/>
  <c r="DA18" i="14"/>
  <c r="EN18" i="14"/>
  <c r="DB18" i="14"/>
  <c r="DA19" i="14"/>
  <c r="DB19" i="14"/>
  <c r="EN19" i="14"/>
  <c r="DB20" i="14"/>
  <c r="EN20" i="14"/>
  <c r="DA20" i="14"/>
  <c r="DB21" i="14"/>
  <c r="EN21" i="14"/>
  <c r="DA21" i="14"/>
  <c r="DA22" i="14"/>
  <c r="DB22" i="14"/>
  <c r="EN22" i="14"/>
  <c r="EN23" i="14"/>
  <c r="DB23" i="14"/>
  <c r="DA23" i="14"/>
  <c r="DA24" i="14"/>
  <c r="DB24" i="14"/>
  <c r="EN24" i="14"/>
  <c r="DB25" i="14"/>
  <c r="EN25" i="14"/>
  <c r="DA25" i="14"/>
  <c r="DB26" i="14"/>
  <c r="EN26" i="14"/>
  <c r="DA26" i="14"/>
  <c r="DA27" i="14"/>
  <c r="DB27" i="14"/>
  <c r="EN27" i="14"/>
  <c r="DB28" i="14"/>
  <c r="EN28" i="14"/>
  <c r="DA28" i="14"/>
  <c r="DA29" i="14"/>
  <c r="DB29" i="14"/>
  <c r="EN29" i="14"/>
  <c r="EN30" i="14"/>
  <c r="DA30" i="14"/>
  <c r="DB30" i="14"/>
  <c r="DA31" i="14"/>
  <c r="DB31" i="14"/>
  <c r="EN31" i="14"/>
  <c r="DA32" i="14"/>
  <c r="DB32" i="14"/>
  <c r="EN32" i="14"/>
  <c r="EN33" i="14"/>
  <c r="DA33" i="14"/>
  <c r="DB33" i="14"/>
  <c r="DA34" i="14"/>
  <c r="EN34" i="14"/>
  <c r="DB34" i="14"/>
  <c r="DB35" i="14"/>
  <c r="EN35" i="14"/>
  <c r="DA35" i="14"/>
  <c r="EN36" i="14"/>
  <c r="DA36" i="14"/>
  <c r="DB36" i="14"/>
  <c r="DA37" i="14"/>
  <c r="EN37" i="14"/>
  <c r="DB37" i="14"/>
  <c r="DB38" i="14"/>
  <c r="EN38" i="14"/>
  <c r="DA38" i="14"/>
  <c r="DB39" i="14"/>
  <c r="DA39" i="14"/>
  <c r="EN39" i="14"/>
  <c r="DB40" i="14"/>
  <c r="EN40" i="14"/>
  <c r="DA40" i="14"/>
  <c r="DB41" i="14"/>
  <c r="EN41" i="14"/>
  <c r="DA41" i="14"/>
  <c r="DB42" i="14"/>
  <c r="EN42" i="14"/>
  <c r="DA42" i="14"/>
  <c r="DB43" i="14"/>
  <c r="DA43" i="14"/>
  <c r="EN43" i="14"/>
  <c r="EN44" i="14"/>
  <c r="DB44" i="14"/>
  <c r="DA44" i="14"/>
  <c r="EN45" i="14"/>
  <c r="DA45" i="14"/>
  <c r="DB45" i="14"/>
  <c r="EN46" i="14"/>
  <c r="DA46" i="14"/>
  <c r="DB46" i="14"/>
  <c r="EN47" i="14"/>
  <c r="DB47" i="14"/>
  <c r="DA47" i="14"/>
  <c r="DB48" i="14"/>
  <c r="EN48" i="14"/>
  <c r="DA48" i="14"/>
  <c r="DA49" i="14"/>
  <c r="DB49" i="14"/>
  <c r="EN49" i="14"/>
  <c r="DB50" i="14"/>
  <c r="EN50" i="14"/>
  <c r="DA50" i="14"/>
  <c r="DB51" i="14"/>
  <c r="DA51" i="14"/>
  <c r="EN51" i="14"/>
  <c r="DB52" i="14"/>
  <c r="DA52" i="14"/>
  <c r="EN52" i="14"/>
  <c r="EN53" i="14"/>
  <c r="DA53" i="14"/>
  <c r="DB53" i="14"/>
  <c r="DB54" i="14"/>
  <c r="EN54" i="14"/>
  <c r="DA54" i="14"/>
  <c r="EN55" i="14"/>
  <c r="DB55" i="14"/>
  <c r="DA55" i="14"/>
  <c r="DB56" i="14"/>
  <c r="EN56" i="14"/>
  <c r="DA56" i="14"/>
  <c r="DB57" i="14"/>
  <c r="EN57" i="14"/>
  <c r="DA57" i="14"/>
  <c r="EN58" i="14"/>
  <c r="DA58" i="14"/>
  <c r="DB58" i="14"/>
  <c r="EN59" i="14"/>
  <c r="DA59" i="14"/>
  <c r="DB59" i="14"/>
  <c r="DB60" i="14"/>
  <c r="EN60" i="14"/>
  <c r="DA60" i="14"/>
  <c r="DB61" i="14"/>
  <c r="EN61" i="14"/>
  <c r="DA61" i="14"/>
  <c r="EN62" i="14"/>
  <c r="DA62" i="14"/>
  <c r="DB62" i="14"/>
  <c r="DB63" i="14"/>
  <c r="EN63" i="14"/>
  <c r="DA63" i="14"/>
  <c r="EN64" i="14"/>
  <c r="DA64" i="14"/>
  <c r="DB64" i="14"/>
  <c r="EN65" i="14"/>
  <c r="DA65" i="14"/>
  <c r="DB65" i="14"/>
  <c r="DB66" i="14"/>
  <c r="EN66" i="14"/>
  <c r="DA66" i="14"/>
  <c r="DB67" i="14"/>
  <c r="DA67" i="14"/>
  <c r="EN67" i="14"/>
  <c r="EN68" i="14"/>
  <c r="DB68" i="14"/>
  <c r="DA68" i="14"/>
  <c r="EN69" i="14"/>
  <c r="DB69" i="14"/>
  <c r="DA69" i="14"/>
  <c r="DB70" i="14"/>
  <c r="DA70" i="14"/>
  <c r="EN70" i="14"/>
  <c r="DA71" i="14"/>
  <c r="EN71" i="14"/>
  <c r="DB71" i="14"/>
  <c r="DB72" i="14"/>
  <c r="EN72" i="14"/>
  <c r="DA72" i="14"/>
  <c r="EN73" i="14"/>
  <c r="DA73" i="14"/>
  <c r="DB73" i="14"/>
  <c r="EN74" i="14"/>
  <c r="DB74" i="14"/>
  <c r="DA74" i="14"/>
  <c r="EN75" i="14"/>
  <c r="DA75" i="14"/>
  <c r="DB75" i="14"/>
  <c r="DB76" i="14"/>
  <c r="EN76" i="14"/>
  <c r="DA76" i="14"/>
  <c r="EN77" i="14"/>
  <c r="DA77" i="14"/>
  <c r="DB77" i="14"/>
  <c r="DA78" i="14"/>
  <c r="DB78" i="14"/>
  <c r="EN78" i="14"/>
  <c r="DB79" i="14"/>
  <c r="DA79" i="14"/>
  <c r="EN79" i="14"/>
  <c r="DB80" i="14"/>
  <c r="EN80" i="14"/>
  <c r="DA80" i="14"/>
  <c r="DB81" i="14"/>
  <c r="DA81" i="14"/>
  <c r="EN81" i="14"/>
  <c r="DA82" i="14"/>
  <c r="DB82" i="14"/>
  <c r="EN82" i="14"/>
  <c r="DA83" i="14"/>
  <c r="EN83" i="14"/>
  <c r="DB83" i="14"/>
  <c r="DB84" i="14"/>
  <c r="DA84" i="14"/>
  <c r="EN84" i="14"/>
  <c r="DB85" i="14"/>
  <c r="DA85" i="14"/>
  <c r="EN85" i="14"/>
  <c r="DA86" i="14"/>
  <c r="DB86" i="14"/>
  <c r="EN86" i="14"/>
  <c r="DB87" i="14"/>
  <c r="DA87" i="14"/>
  <c r="EN87" i="14"/>
  <c r="DB88" i="14"/>
  <c r="DA88" i="14"/>
  <c r="EN88" i="14"/>
  <c r="DA89" i="14"/>
  <c r="EN89" i="14"/>
  <c r="DB89" i="14"/>
  <c r="DB90" i="14"/>
  <c r="DA90" i="14"/>
  <c r="EN90" i="14"/>
  <c r="EN91" i="14"/>
  <c r="DB91" i="14"/>
  <c r="DA91" i="14"/>
  <c r="DB92" i="14"/>
  <c r="EN92" i="14"/>
  <c r="DA92" i="14"/>
  <c r="DA93" i="14"/>
  <c r="EN93" i="14"/>
  <c r="DB93" i="14"/>
  <c r="EN94" i="14"/>
  <c r="DA94" i="14"/>
  <c r="DB94" i="14"/>
  <c r="DB95" i="14"/>
  <c r="EN95" i="14"/>
  <c r="DA95" i="14"/>
  <c r="EN96" i="14"/>
  <c r="DA96" i="14"/>
  <c r="DB96" i="14"/>
  <c r="EN97" i="14"/>
  <c r="DB97" i="14"/>
  <c r="DA97" i="14"/>
  <c r="EN98" i="14"/>
  <c r="DA98" i="14"/>
  <c r="DB98" i="14"/>
  <c r="EN99" i="14"/>
  <c r="DA99" i="14"/>
  <c r="DB99" i="14"/>
  <c r="DB100" i="14"/>
  <c r="DA100" i="14"/>
  <c r="EN100" i="14"/>
  <c r="DB101" i="14"/>
  <c r="EN101" i="14"/>
  <c r="DA101" i="14"/>
  <c r="EN102" i="14"/>
  <c r="DB102" i="14"/>
  <c r="DA102" i="14"/>
  <c r="DA103" i="14"/>
  <c r="DB103" i="14"/>
  <c r="EN103" i="14"/>
  <c r="DB104" i="14"/>
  <c r="DA104" i="14"/>
  <c r="EN104" i="14"/>
  <c r="EN105" i="14"/>
  <c r="DA105" i="14"/>
  <c r="DB105" i="14"/>
  <c r="DB106" i="14"/>
  <c r="DA106" i="14"/>
  <c r="EN106" i="14"/>
  <c r="DB107" i="14"/>
  <c r="EN107" i="14"/>
  <c r="DA107" i="14"/>
  <c r="EN108" i="14"/>
  <c r="DA108" i="14"/>
  <c r="DB108" i="14"/>
  <c r="EN109" i="14"/>
  <c r="DA109" i="14"/>
  <c r="DB109" i="14"/>
  <c r="EN110" i="14"/>
  <c r="DB110" i="14"/>
  <c r="DA110" i="14"/>
  <c r="EN111" i="14"/>
  <c r="DA111" i="14"/>
  <c r="DB111" i="14"/>
  <c r="DB112" i="14"/>
  <c r="DA112" i="14"/>
  <c r="EN112" i="14"/>
  <c r="DB113" i="14"/>
  <c r="EN113" i="14"/>
  <c r="DA113" i="14"/>
  <c r="DB114" i="14"/>
  <c r="EN114" i="14"/>
  <c r="DA114" i="14"/>
  <c r="DB115" i="14"/>
  <c r="EN115" i="14"/>
  <c r="DA115" i="14"/>
  <c r="DB116" i="14"/>
  <c r="EN116" i="14"/>
  <c r="DA116" i="14"/>
  <c r="DA117" i="14"/>
  <c r="DB117" i="14"/>
  <c r="EN117" i="14"/>
  <c r="DB118" i="14"/>
  <c r="DA118" i="14"/>
  <c r="EN118" i="14"/>
  <c r="DB119" i="14"/>
  <c r="EN119" i="14"/>
  <c r="DA119" i="14"/>
  <c r="DB120" i="14"/>
  <c r="DA120" i="14"/>
  <c r="EN120" i="14"/>
  <c r="EN121" i="14"/>
  <c r="DA121" i="14"/>
  <c r="DB121" i="14"/>
  <c r="DA122" i="14"/>
  <c r="DB122" i="14"/>
  <c r="EN122" i="14"/>
  <c r="DB123" i="14"/>
  <c r="EN123" i="14"/>
  <c r="DA123" i="14"/>
  <c r="EN124" i="14"/>
  <c r="DA124" i="14"/>
  <c r="DB124" i="14"/>
  <c r="DB125" i="14"/>
  <c r="EN125" i="14"/>
  <c r="DA125" i="14"/>
  <c r="BV155" i="14"/>
  <c r="BR155" i="14"/>
  <c r="CL155" i="14"/>
  <c r="BY155" i="14"/>
  <c r="BU155" i="14"/>
  <c r="BQ155" i="14"/>
  <c r="BX155" i="14"/>
  <c r="BT155" i="14"/>
  <c r="BW155" i="14"/>
  <c r="BS155" i="14"/>
  <c r="BO155" i="14"/>
  <c r="BJ155" i="14"/>
  <c r="BI155" i="14"/>
  <c r="BF155" i="14"/>
  <c r="BP155" i="14" s="1"/>
  <c r="CA155" i="14" s="1"/>
  <c r="BM155" i="14"/>
  <c r="BL155" i="14"/>
  <c r="BK155" i="14"/>
  <c r="BH155" i="14"/>
  <c r="BN155" i="14"/>
  <c r="BG155" i="14"/>
  <c r="P154" i="14"/>
  <c r="O154" i="14"/>
  <c r="L154" i="14"/>
  <c r="R154" i="14"/>
  <c r="U154" i="14"/>
  <c r="Q154" i="14"/>
  <c r="S154" i="14"/>
  <c r="N154" i="14"/>
  <c r="T154" i="14"/>
  <c r="M154" i="14"/>
  <c r="AG153" i="14"/>
  <c r="X153" i="14"/>
  <c r="AC153" i="14"/>
  <c r="Y153" i="14"/>
  <c r="AF153" i="14"/>
  <c r="AE153" i="14"/>
  <c r="AB153" i="14"/>
  <c r="AA153" i="14"/>
  <c r="AD153" i="14"/>
  <c r="Z153" i="14"/>
  <c r="L152" i="14"/>
  <c r="S152" i="14"/>
  <c r="U152" i="14"/>
  <c r="O152" i="14"/>
  <c r="R152" i="14"/>
  <c r="Q152" i="14"/>
  <c r="P152" i="14"/>
  <c r="M152" i="14"/>
  <c r="T152" i="14"/>
  <c r="N152" i="14"/>
  <c r="AG151" i="14"/>
  <c r="AF151" i="14"/>
  <c r="AC151" i="14"/>
  <c r="AB151" i="14"/>
  <c r="Y151" i="14"/>
  <c r="X151" i="14"/>
  <c r="AE151" i="14"/>
  <c r="AA151" i="14"/>
  <c r="AD151" i="14"/>
  <c r="Z151" i="14"/>
  <c r="BC150" i="14"/>
  <c r="BD150" i="14"/>
  <c r="BW149" i="14"/>
  <c r="BS149" i="14"/>
  <c r="CL149" i="14"/>
  <c r="BY149" i="14"/>
  <c r="BU149" i="14"/>
  <c r="BQ149" i="14"/>
  <c r="BV149" i="14"/>
  <c r="BT149" i="14"/>
  <c r="BR149" i="14"/>
  <c r="BX149" i="14"/>
  <c r="BF149" i="14"/>
  <c r="BP149" i="14" s="1"/>
  <c r="CA149" i="14" s="1"/>
  <c r="BO149" i="14"/>
  <c r="BM149" i="14"/>
  <c r="BL149" i="14"/>
  <c r="BK149" i="14"/>
  <c r="BI149" i="14"/>
  <c r="BJ149" i="14"/>
  <c r="BH149" i="14"/>
  <c r="BN149" i="14"/>
  <c r="BG149" i="14"/>
  <c r="BC148" i="14"/>
  <c r="BD148" i="14"/>
  <c r="CL147" i="14"/>
  <c r="BY147" i="14"/>
  <c r="BU147" i="14"/>
  <c r="BQ147" i="14"/>
  <c r="BW147" i="14"/>
  <c r="BS147" i="14"/>
  <c r="BR147" i="14"/>
  <c r="BX147" i="14"/>
  <c r="BV147" i="14"/>
  <c r="BT147" i="14"/>
  <c r="BO147" i="14"/>
  <c r="BJ147" i="14"/>
  <c r="BL147" i="14"/>
  <c r="BK147" i="14"/>
  <c r="BF147" i="14"/>
  <c r="BP147" i="14" s="1"/>
  <c r="CA147" i="14" s="1"/>
  <c r="BM147" i="14"/>
  <c r="BI147" i="14"/>
  <c r="BG147" i="14"/>
  <c r="BH147" i="14"/>
  <c r="BN147" i="14"/>
  <c r="AA146" i="14"/>
  <c r="AC146" i="14"/>
  <c r="Y146" i="14"/>
  <c r="AB146" i="14"/>
  <c r="AE146" i="14"/>
  <c r="AG146" i="14"/>
  <c r="Z146" i="14"/>
  <c r="AF146" i="14"/>
  <c r="AD146" i="14"/>
  <c r="X146" i="14"/>
  <c r="BC145" i="14"/>
  <c r="BD145" i="14"/>
  <c r="BC144" i="14"/>
  <c r="BD144" i="14"/>
  <c r="CL143" i="14"/>
  <c r="BY143" i="14"/>
  <c r="BU143" i="14"/>
  <c r="BQ143" i="14"/>
  <c r="BW143" i="14"/>
  <c r="BS143" i="14"/>
  <c r="BX143" i="14"/>
  <c r="BV143" i="14"/>
  <c r="BT143" i="14"/>
  <c r="BR143" i="14"/>
  <c r="BJ143" i="14"/>
  <c r="BO143" i="14"/>
  <c r="BK143" i="14"/>
  <c r="BF143" i="14"/>
  <c r="BP143" i="14" s="1"/>
  <c r="CA143" i="14" s="1"/>
  <c r="BM143" i="14"/>
  <c r="BL143" i="14"/>
  <c r="BI143" i="14"/>
  <c r="BN143" i="14"/>
  <c r="BG143" i="14"/>
  <c r="BH143" i="14"/>
  <c r="U142" i="14"/>
  <c r="L142" i="14"/>
  <c r="Q142" i="14"/>
  <c r="S142" i="14"/>
  <c r="R142" i="14"/>
  <c r="P142" i="14"/>
  <c r="O142" i="14"/>
  <c r="T142" i="14"/>
  <c r="M142" i="14"/>
  <c r="N142" i="14"/>
  <c r="BD141" i="14"/>
  <c r="BC141" i="14"/>
  <c r="S140" i="14"/>
  <c r="O140" i="14"/>
  <c r="U140" i="14"/>
  <c r="P140" i="14"/>
  <c r="Q140" i="14"/>
  <c r="L140" i="14"/>
  <c r="R140" i="14"/>
  <c r="N140" i="14"/>
  <c r="M140" i="14"/>
  <c r="T140" i="14"/>
  <c r="Q139" i="14"/>
  <c r="R139" i="14"/>
  <c r="P139" i="14"/>
  <c r="O139" i="14"/>
  <c r="L139" i="14"/>
  <c r="U139" i="14"/>
  <c r="S139" i="14"/>
  <c r="N139" i="14"/>
  <c r="T139" i="14"/>
  <c r="M139" i="14"/>
  <c r="U138" i="14"/>
  <c r="L138" i="14"/>
  <c r="AJ138" i="14" s="1"/>
  <c r="Q138" i="14"/>
  <c r="AO138" i="14" s="1"/>
  <c r="S138" i="14"/>
  <c r="R138" i="14"/>
  <c r="P138" i="14"/>
  <c r="AN138" i="14" s="1"/>
  <c r="O138" i="14"/>
  <c r="AM138" i="14" s="1"/>
  <c r="N138" i="14"/>
  <c r="AL138" i="14" s="1"/>
  <c r="T138" i="14"/>
  <c r="M138" i="14"/>
  <c r="BD137" i="14"/>
  <c r="BC137" i="14"/>
  <c r="CL136" i="14"/>
  <c r="BY136" i="14"/>
  <c r="BU136" i="14"/>
  <c r="BQ136" i="14"/>
  <c r="BW136" i="14"/>
  <c r="BS136" i="14"/>
  <c r="BX136" i="14"/>
  <c r="BV136" i="14"/>
  <c r="BT136" i="14"/>
  <c r="BR136" i="14"/>
  <c r="BJ136" i="14"/>
  <c r="BK136" i="14"/>
  <c r="BL136" i="14"/>
  <c r="BM136" i="14"/>
  <c r="BI136" i="14"/>
  <c r="BO136" i="14"/>
  <c r="BF136" i="14"/>
  <c r="BP136" i="14" s="1"/>
  <c r="CA136" i="14" s="1"/>
  <c r="BH136" i="14"/>
  <c r="BG136" i="14"/>
  <c r="BN136" i="14"/>
  <c r="U135" i="14"/>
  <c r="Q135" i="14"/>
  <c r="AO135" i="14" s="1"/>
  <c r="S135" i="14"/>
  <c r="R135" i="14"/>
  <c r="AP135" i="14" s="1"/>
  <c r="O135" i="14"/>
  <c r="AM135" i="14" s="1"/>
  <c r="P135" i="14"/>
  <c r="AN135" i="14" s="1"/>
  <c r="L135" i="14"/>
  <c r="AJ135" i="14" s="1"/>
  <c r="T135" i="14"/>
  <c r="N135" i="14"/>
  <c r="AL135" i="14" s="1"/>
  <c r="M135" i="14"/>
  <c r="AK135" i="14" s="1"/>
  <c r="BC134" i="14"/>
  <c r="BD134" i="14"/>
  <c r="BW133" i="14"/>
  <c r="BS133" i="14"/>
  <c r="BV133" i="14"/>
  <c r="BR133" i="14"/>
  <c r="CL133" i="14"/>
  <c r="BY133" i="14"/>
  <c r="BU133" i="14"/>
  <c r="BQ133" i="14"/>
  <c r="BX133" i="14"/>
  <c r="BT133" i="14"/>
  <c r="BO133" i="14"/>
  <c r="BF133" i="14"/>
  <c r="BP133" i="14" s="1"/>
  <c r="CA133" i="14" s="1"/>
  <c r="BK133" i="14"/>
  <c r="BM133" i="14"/>
  <c r="BI133" i="14"/>
  <c r="BL133" i="14"/>
  <c r="BJ133" i="14"/>
  <c r="BH133" i="14"/>
  <c r="BG133" i="14"/>
  <c r="BN133" i="14"/>
  <c r="BW132" i="14"/>
  <c r="BS132" i="14"/>
  <c r="BV132" i="14"/>
  <c r="BR132" i="14"/>
  <c r="CL132" i="14"/>
  <c r="BY132" i="14"/>
  <c r="BU132" i="14"/>
  <c r="BQ132" i="14"/>
  <c r="BX132" i="14"/>
  <c r="BT132" i="14"/>
  <c r="BJ132" i="14"/>
  <c r="BM132" i="14"/>
  <c r="BL132" i="14"/>
  <c r="BO132" i="14"/>
  <c r="BF132" i="14"/>
  <c r="BP132" i="14" s="1"/>
  <c r="CA132" i="14" s="1"/>
  <c r="BI132" i="14"/>
  <c r="BK132" i="14"/>
  <c r="BH132" i="14"/>
  <c r="BN132" i="14"/>
  <c r="BG132" i="14"/>
  <c r="CL131" i="14"/>
  <c r="BY131" i="14"/>
  <c r="BU131" i="14"/>
  <c r="BQ131" i="14"/>
  <c r="BX131" i="14"/>
  <c r="BT131" i="14"/>
  <c r="BW131" i="14"/>
  <c r="BS131" i="14"/>
  <c r="BV131" i="14"/>
  <c r="BR131" i="14"/>
  <c r="BJ131" i="14"/>
  <c r="BI131" i="14"/>
  <c r="BF131" i="14"/>
  <c r="BP131" i="14" s="1"/>
  <c r="CA131" i="14" s="1"/>
  <c r="BL131" i="14"/>
  <c r="BO131" i="14"/>
  <c r="BM131" i="14"/>
  <c r="BK131" i="14"/>
  <c r="BH131" i="14"/>
  <c r="BN131" i="14"/>
  <c r="BG131" i="14"/>
  <c r="BW130" i="14"/>
  <c r="BS130" i="14"/>
  <c r="BV130" i="14"/>
  <c r="BR130" i="14"/>
  <c r="CL130" i="14"/>
  <c r="BY130" i="14"/>
  <c r="BU130" i="14"/>
  <c r="BQ130" i="14"/>
  <c r="BX130" i="14"/>
  <c r="BT130" i="14"/>
  <c r="BL130" i="14"/>
  <c r="BO130" i="14"/>
  <c r="BF130" i="14"/>
  <c r="BP130" i="14" s="1"/>
  <c r="CA130" i="14" s="1"/>
  <c r="BI130" i="14"/>
  <c r="BK130" i="14"/>
  <c r="BJ130" i="14"/>
  <c r="BM130" i="14"/>
  <c r="BN130" i="14"/>
  <c r="BH130" i="14"/>
  <c r="BG130" i="14"/>
  <c r="Q129" i="14"/>
  <c r="U129" i="14"/>
  <c r="P129" i="14"/>
  <c r="L129" i="14"/>
  <c r="S129" i="14"/>
  <c r="O129" i="14"/>
  <c r="R129" i="14"/>
  <c r="T129" i="14"/>
  <c r="N129" i="14"/>
  <c r="M129" i="14"/>
  <c r="S128" i="14"/>
  <c r="O128" i="14"/>
  <c r="P128" i="14"/>
  <c r="R128" i="14"/>
  <c r="L128" i="14"/>
  <c r="U128" i="14"/>
  <c r="Q128" i="14"/>
  <c r="M128" i="14"/>
  <c r="N128" i="14"/>
  <c r="T128" i="14"/>
  <c r="Y127" i="14"/>
  <c r="AC127" i="14"/>
  <c r="AF127" i="14"/>
  <c r="AE127" i="14"/>
  <c r="AB127" i="14"/>
  <c r="X127" i="14"/>
  <c r="AA127" i="14"/>
  <c r="AD127" i="14"/>
  <c r="Z127" i="14"/>
  <c r="AG127" i="14"/>
  <c r="BC126" i="14"/>
  <c r="BD126" i="14"/>
  <c r="AD125" i="14"/>
  <c r="Z125" i="14"/>
  <c r="AG125" i="14"/>
  <c r="X125" i="14"/>
  <c r="AC125" i="14"/>
  <c r="AA125" i="14"/>
  <c r="Y125" i="14"/>
  <c r="AF125" i="14"/>
  <c r="AE125" i="14"/>
  <c r="AB125" i="14"/>
  <c r="O124" i="14"/>
  <c r="P124" i="14"/>
  <c r="R124" i="14"/>
  <c r="L124" i="14"/>
  <c r="S124" i="14"/>
  <c r="U124" i="14"/>
  <c r="Q124" i="14"/>
  <c r="M124" i="14"/>
  <c r="N124" i="14"/>
  <c r="T124" i="14"/>
  <c r="AF123" i="14"/>
  <c r="AB123" i="14"/>
  <c r="X123" i="14"/>
  <c r="Y123" i="14"/>
  <c r="AD123" i="14"/>
  <c r="AC123" i="14"/>
  <c r="AE123" i="14"/>
  <c r="Z123" i="14"/>
  <c r="AA123" i="14"/>
  <c r="AG123" i="14"/>
  <c r="BC122" i="14"/>
  <c r="BD122" i="14"/>
  <c r="AE121" i="14"/>
  <c r="Z121" i="14"/>
  <c r="AD121" i="14"/>
  <c r="AC121" i="14"/>
  <c r="Y121" i="14"/>
  <c r="AF121" i="14"/>
  <c r="AB121" i="14"/>
  <c r="AG121" i="14"/>
  <c r="X121" i="14"/>
  <c r="AA121" i="14"/>
  <c r="AF120" i="14"/>
  <c r="AB120" i="14"/>
  <c r="X120" i="14"/>
  <c r="AA120" i="14"/>
  <c r="AD120" i="14"/>
  <c r="Z120" i="14"/>
  <c r="Y120" i="14"/>
  <c r="AC120" i="14"/>
  <c r="AE120" i="14"/>
  <c r="AG120" i="14"/>
  <c r="BD119" i="14"/>
  <c r="BC119" i="14"/>
  <c r="BD118" i="14"/>
  <c r="BC118" i="14"/>
  <c r="Q117" i="14"/>
  <c r="O117" i="14"/>
  <c r="P117" i="14"/>
  <c r="R117" i="14"/>
  <c r="U117" i="14"/>
  <c r="L117" i="14"/>
  <c r="S117" i="14"/>
  <c r="T117" i="14"/>
  <c r="M117" i="14"/>
  <c r="N117" i="14"/>
  <c r="BD116" i="14"/>
  <c r="BC116" i="14"/>
  <c r="AD115" i="14"/>
  <c r="Z115" i="14"/>
  <c r="AF115" i="14"/>
  <c r="AA115" i="14"/>
  <c r="AG115" i="14"/>
  <c r="AB115" i="14"/>
  <c r="AC115" i="14"/>
  <c r="X115" i="14"/>
  <c r="Y115" i="14"/>
  <c r="AE115" i="14"/>
  <c r="BW114" i="14"/>
  <c r="BS114" i="14"/>
  <c r="CL114" i="14"/>
  <c r="BV114" i="14"/>
  <c r="BR114" i="14"/>
  <c r="BY114" i="14"/>
  <c r="BU114" i="14"/>
  <c r="BX114" i="14"/>
  <c r="BT114" i="14"/>
  <c r="BO114" i="14"/>
  <c r="BF114" i="14"/>
  <c r="BP114" i="14" s="1"/>
  <c r="CA114" i="14" s="1"/>
  <c r="BI114" i="14"/>
  <c r="BL114" i="14"/>
  <c r="BK114" i="14"/>
  <c r="BJ114" i="14"/>
  <c r="BM114" i="14"/>
  <c r="BH114" i="14"/>
  <c r="BG114" i="14"/>
  <c r="BQ114" i="14" s="1"/>
  <c r="CB114" i="14" s="1"/>
  <c r="BN114" i="14"/>
  <c r="AA113" i="14"/>
  <c r="Z113" i="14"/>
  <c r="AD113" i="14"/>
  <c r="AC113" i="14"/>
  <c r="Y113" i="14"/>
  <c r="AF113" i="14"/>
  <c r="AE113" i="14"/>
  <c r="AB113" i="14"/>
  <c r="AG113" i="14"/>
  <c r="X113" i="14"/>
  <c r="BD112" i="14"/>
  <c r="BC112" i="14"/>
  <c r="BY111" i="14"/>
  <c r="BU111" i="14"/>
  <c r="BX111" i="14"/>
  <c r="BT111" i="14"/>
  <c r="BW111" i="14"/>
  <c r="BS111" i="14"/>
  <c r="BV111" i="14"/>
  <c r="CL111" i="14"/>
  <c r="BR111" i="14"/>
  <c r="BJ111" i="14"/>
  <c r="BI111" i="14"/>
  <c r="BL111" i="14"/>
  <c r="BF111" i="14"/>
  <c r="BP111" i="14" s="1"/>
  <c r="CA111" i="14" s="1"/>
  <c r="BO111" i="14"/>
  <c r="BM111" i="14"/>
  <c r="BK111" i="14"/>
  <c r="BH111" i="14"/>
  <c r="BG111" i="14"/>
  <c r="BQ111" i="14" s="1"/>
  <c r="CB111" i="14" s="1"/>
  <c r="BN111" i="14"/>
  <c r="BD110" i="14"/>
  <c r="BC110" i="14"/>
  <c r="BY109" i="14"/>
  <c r="BU109" i="14"/>
  <c r="BX109" i="14"/>
  <c r="BT109" i="14"/>
  <c r="BW109" i="14"/>
  <c r="BS109" i="14"/>
  <c r="CL109" i="14"/>
  <c r="BR109" i="14"/>
  <c r="BV109" i="14"/>
  <c r="BJ109" i="14"/>
  <c r="BO109" i="14"/>
  <c r="BM109" i="14"/>
  <c r="BK109" i="14"/>
  <c r="BI109" i="14"/>
  <c r="BL109" i="14"/>
  <c r="BF109" i="14"/>
  <c r="BP109" i="14" s="1"/>
  <c r="CA109" i="14" s="1"/>
  <c r="BH109" i="14"/>
  <c r="BN109" i="14"/>
  <c r="BG109" i="14"/>
  <c r="BQ109" i="14" s="1"/>
  <c r="CB109" i="14" s="1"/>
  <c r="BD108" i="14"/>
  <c r="BC108" i="14"/>
  <c r="AE107" i="14"/>
  <c r="AD107" i="14"/>
  <c r="Z107" i="14"/>
  <c r="AF107" i="14"/>
  <c r="AG107" i="14"/>
  <c r="AB107" i="14"/>
  <c r="AC107" i="14"/>
  <c r="X107" i="14"/>
  <c r="AA107" i="14"/>
  <c r="Y107" i="14"/>
  <c r="AG106" i="14"/>
  <c r="AF106" i="14"/>
  <c r="AB106" i="14"/>
  <c r="X106" i="14"/>
  <c r="Z106" i="14"/>
  <c r="AC106" i="14"/>
  <c r="AE106" i="14"/>
  <c r="AA106" i="14"/>
  <c r="AD106" i="14"/>
  <c r="Y106" i="14"/>
  <c r="BY105" i="14"/>
  <c r="BU105" i="14"/>
  <c r="BX105" i="14"/>
  <c r="BT105" i="14"/>
  <c r="BW105" i="14"/>
  <c r="BS105" i="14"/>
  <c r="BV105" i="14"/>
  <c r="CL105" i="14"/>
  <c r="BR105" i="14"/>
  <c r="BO105" i="14"/>
  <c r="BF105" i="14"/>
  <c r="BP105" i="14" s="1"/>
  <c r="CA105" i="14" s="1"/>
  <c r="BM105" i="14"/>
  <c r="BK105" i="14"/>
  <c r="BJ105" i="14"/>
  <c r="BI105" i="14"/>
  <c r="BL105" i="14"/>
  <c r="BN105" i="14"/>
  <c r="BG105" i="14"/>
  <c r="BQ105" i="14" s="1"/>
  <c r="CB105" i="14" s="1"/>
  <c r="BH105" i="14"/>
  <c r="Q104" i="14"/>
  <c r="S104" i="14"/>
  <c r="O104" i="14"/>
  <c r="R104" i="14"/>
  <c r="U104" i="14"/>
  <c r="P104" i="14"/>
  <c r="L104" i="14"/>
  <c r="N104" i="14"/>
  <c r="T104" i="14"/>
  <c r="M104" i="14"/>
  <c r="AD103" i="14"/>
  <c r="AA103" i="14"/>
  <c r="Z103" i="14"/>
  <c r="X103" i="14"/>
  <c r="AE103" i="14"/>
  <c r="AG103" i="14"/>
  <c r="AC103" i="14"/>
  <c r="AF103" i="14"/>
  <c r="Y103" i="14"/>
  <c r="AB103" i="14"/>
  <c r="BD102" i="14"/>
  <c r="BC102" i="14"/>
  <c r="AD101" i="14"/>
  <c r="Z101" i="14"/>
  <c r="AC101" i="14"/>
  <c r="AB101" i="14"/>
  <c r="Y101" i="14"/>
  <c r="X101" i="14"/>
  <c r="AE101" i="14"/>
  <c r="AA101" i="14"/>
  <c r="AG101" i="14"/>
  <c r="AF101" i="14"/>
  <c r="Q100" i="14"/>
  <c r="L100" i="14"/>
  <c r="S100" i="14"/>
  <c r="O100" i="14"/>
  <c r="R100" i="14"/>
  <c r="U100" i="14"/>
  <c r="P100" i="14"/>
  <c r="N100" i="14"/>
  <c r="M100" i="14"/>
  <c r="T100" i="14"/>
  <c r="AD99" i="14"/>
  <c r="Z99" i="14"/>
  <c r="AF99" i="14"/>
  <c r="AA99" i="14"/>
  <c r="AG99" i="14"/>
  <c r="AB99" i="14"/>
  <c r="AE99" i="14"/>
  <c r="AC99" i="14"/>
  <c r="X99" i="14"/>
  <c r="Y99" i="14"/>
  <c r="BD98" i="14"/>
  <c r="BC98" i="14"/>
  <c r="BY97" i="14"/>
  <c r="BU97" i="14"/>
  <c r="BX97" i="14"/>
  <c r="BT97" i="14"/>
  <c r="BW97" i="14"/>
  <c r="BS97" i="14"/>
  <c r="BV97" i="14"/>
  <c r="BR97" i="14"/>
  <c r="CL97" i="14"/>
  <c r="BF97" i="14"/>
  <c r="BP97" i="14" s="1"/>
  <c r="CA97" i="14" s="1"/>
  <c r="BO97" i="14"/>
  <c r="BJ97" i="14"/>
  <c r="BM97" i="14"/>
  <c r="BK97" i="14"/>
  <c r="BI97" i="14"/>
  <c r="BL97" i="14"/>
  <c r="BN97" i="14"/>
  <c r="BG97" i="14"/>
  <c r="BQ97" i="14" s="1"/>
  <c r="CB97" i="14" s="1"/>
  <c r="BH97" i="14"/>
  <c r="AD96" i="14"/>
  <c r="Z96" i="14"/>
  <c r="Y96" i="14"/>
  <c r="AC96" i="14"/>
  <c r="AF96" i="14"/>
  <c r="AA96" i="14"/>
  <c r="AG96" i="14"/>
  <c r="AB96" i="14"/>
  <c r="AE96" i="14"/>
  <c r="X96" i="14"/>
  <c r="BW95" i="14"/>
  <c r="BS95" i="14"/>
  <c r="BY95" i="14"/>
  <c r="BU95" i="14"/>
  <c r="BR95" i="14"/>
  <c r="CL95" i="14"/>
  <c r="BX95" i="14"/>
  <c r="BT95" i="14"/>
  <c r="BL95" i="14"/>
  <c r="BV95" i="14"/>
  <c r="BI95" i="14"/>
  <c r="BO95" i="14"/>
  <c r="BK95" i="14"/>
  <c r="BM95" i="14"/>
  <c r="BJ95" i="14"/>
  <c r="BF95" i="14"/>
  <c r="BP95" i="14" s="1"/>
  <c r="CA95" i="14" s="1"/>
  <c r="BH95" i="14"/>
  <c r="BN95" i="14"/>
  <c r="BG95" i="14"/>
  <c r="BQ95" i="14" s="1"/>
  <c r="CB95" i="14" s="1"/>
  <c r="BC94" i="14"/>
  <c r="BD94" i="14"/>
  <c r="BD93" i="14"/>
  <c r="BC93" i="14"/>
  <c r="AB92" i="14"/>
  <c r="AD92" i="14"/>
  <c r="AG92" i="14"/>
  <c r="AC92" i="14"/>
  <c r="Y92" i="14"/>
  <c r="AF92" i="14"/>
  <c r="AE92" i="14"/>
  <c r="X92" i="14"/>
  <c r="AA92" i="14"/>
  <c r="Z92" i="14"/>
  <c r="R91" i="14"/>
  <c r="S91" i="14"/>
  <c r="O91" i="14"/>
  <c r="L91" i="14"/>
  <c r="U91" i="14"/>
  <c r="Q91" i="14"/>
  <c r="P91" i="14"/>
  <c r="M91" i="14"/>
  <c r="T91" i="14"/>
  <c r="N91" i="14"/>
  <c r="BX90" i="14"/>
  <c r="BT90" i="14"/>
  <c r="CL90" i="14"/>
  <c r="BW90" i="14"/>
  <c r="BS90" i="14"/>
  <c r="BU90" i="14"/>
  <c r="BY90" i="14"/>
  <c r="BV90" i="14"/>
  <c r="BI90" i="14"/>
  <c r="BJ90" i="14"/>
  <c r="BK90" i="14"/>
  <c r="BL90" i="14"/>
  <c r="BM90" i="14"/>
  <c r="BO90" i="14"/>
  <c r="BF90" i="14"/>
  <c r="BP90" i="14" s="1"/>
  <c r="CA90" i="14" s="1"/>
  <c r="BH90" i="14"/>
  <c r="BR90" i="14" s="1"/>
  <c r="CC90" i="14" s="1"/>
  <c r="BN90" i="14"/>
  <c r="BG90" i="14"/>
  <c r="BQ90" i="14" s="1"/>
  <c r="CB90" i="14" s="1"/>
  <c r="BX89" i="14"/>
  <c r="BT89" i="14"/>
  <c r="CL89" i="14"/>
  <c r="BW89" i="14"/>
  <c r="BS89" i="14"/>
  <c r="BU89" i="14"/>
  <c r="BY89" i="14"/>
  <c r="BV89" i="14"/>
  <c r="BI89" i="14"/>
  <c r="BJ89" i="14"/>
  <c r="BL89" i="14"/>
  <c r="BK89" i="14"/>
  <c r="BM89" i="14"/>
  <c r="BO89" i="14"/>
  <c r="BF89" i="14"/>
  <c r="BP89" i="14" s="1"/>
  <c r="CA89" i="14" s="1"/>
  <c r="BN89" i="14"/>
  <c r="BG89" i="14"/>
  <c r="BQ89" i="14" s="1"/>
  <c r="CB89" i="14" s="1"/>
  <c r="BH89" i="14"/>
  <c r="BR89" i="14" s="1"/>
  <c r="CC89" i="14" s="1"/>
  <c r="AA88" i="14"/>
  <c r="AB88" i="14"/>
  <c r="AG88" i="14"/>
  <c r="AC88" i="14"/>
  <c r="AE88" i="14"/>
  <c r="AD88" i="14"/>
  <c r="Y88" i="14"/>
  <c r="X88" i="14"/>
  <c r="Z88" i="14"/>
  <c r="AF88" i="14"/>
  <c r="AA87" i="14"/>
  <c r="AB87" i="14"/>
  <c r="AD87" i="14"/>
  <c r="AG87" i="14"/>
  <c r="AF87" i="14"/>
  <c r="Z87" i="14"/>
  <c r="AC87" i="14"/>
  <c r="Y87" i="14"/>
  <c r="AE87" i="14"/>
  <c r="X87" i="14"/>
  <c r="BC86" i="14"/>
  <c r="BD86" i="14"/>
  <c r="BX85" i="14"/>
  <c r="BT85" i="14"/>
  <c r="CL85" i="14"/>
  <c r="BW85" i="14"/>
  <c r="BS85" i="14"/>
  <c r="BU85" i="14"/>
  <c r="BY85" i="14"/>
  <c r="BV85" i="14"/>
  <c r="BI85" i="14"/>
  <c r="BJ85" i="14"/>
  <c r="BL85" i="14"/>
  <c r="BK85" i="14"/>
  <c r="BM85" i="14"/>
  <c r="BO85" i="14"/>
  <c r="BF85" i="14"/>
  <c r="BP85" i="14" s="1"/>
  <c r="CA85" i="14" s="1"/>
  <c r="BG85" i="14"/>
  <c r="BQ85" i="14" s="1"/>
  <c r="CB85" i="14" s="1"/>
  <c r="BH85" i="14"/>
  <c r="BR85" i="14" s="1"/>
  <c r="CC85" i="14" s="1"/>
  <c r="BN85" i="14"/>
  <c r="BX84" i="14"/>
  <c r="BT84" i="14"/>
  <c r="CL84" i="14"/>
  <c r="BW84" i="14"/>
  <c r="BS84" i="14"/>
  <c r="BU84" i="14"/>
  <c r="BY84" i="14"/>
  <c r="BV84" i="14"/>
  <c r="BI84" i="14"/>
  <c r="BJ84" i="14"/>
  <c r="BO84" i="14"/>
  <c r="BM84" i="14"/>
  <c r="BK84" i="14"/>
  <c r="BL84" i="14"/>
  <c r="BF84" i="14"/>
  <c r="BP84" i="14" s="1"/>
  <c r="CA84" i="14" s="1"/>
  <c r="BG84" i="14"/>
  <c r="BQ84" i="14" s="1"/>
  <c r="CB84" i="14" s="1"/>
  <c r="BN84" i="14"/>
  <c r="BH84" i="14"/>
  <c r="BR84" i="14" s="1"/>
  <c r="CC84" i="14" s="1"/>
  <c r="BX83" i="14"/>
  <c r="BT83" i="14"/>
  <c r="CL83" i="14"/>
  <c r="BW83" i="14"/>
  <c r="BS83" i="14"/>
  <c r="BU83" i="14"/>
  <c r="BY83" i="14"/>
  <c r="BV83" i="14"/>
  <c r="BJ83" i="14"/>
  <c r="BI83" i="14"/>
  <c r="BK83" i="14"/>
  <c r="BO83" i="14"/>
  <c r="BM83" i="14"/>
  <c r="BL83" i="14"/>
  <c r="BF83" i="14"/>
  <c r="BP83" i="14" s="1"/>
  <c r="CA83" i="14" s="1"/>
  <c r="BH83" i="14"/>
  <c r="BR83" i="14" s="1"/>
  <c r="CC83" i="14" s="1"/>
  <c r="BN83" i="14"/>
  <c r="BG83" i="14"/>
  <c r="BQ83" i="14" s="1"/>
  <c r="CB83" i="14" s="1"/>
  <c r="BX82" i="14"/>
  <c r="BT82" i="14"/>
  <c r="CL82" i="14"/>
  <c r="BW82" i="14"/>
  <c r="BS82" i="14"/>
  <c r="BU82" i="14"/>
  <c r="BY82" i="14"/>
  <c r="BV82" i="14"/>
  <c r="BI82" i="14"/>
  <c r="BJ82" i="14"/>
  <c r="BK82" i="14"/>
  <c r="BL82" i="14"/>
  <c r="BO82" i="14"/>
  <c r="BM82" i="14"/>
  <c r="BF82" i="14"/>
  <c r="BP82" i="14" s="1"/>
  <c r="CA82" i="14" s="1"/>
  <c r="BH82" i="14"/>
  <c r="BR82" i="14" s="1"/>
  <c r="CC82" i="14" s="1"/>
  <c r="BG82" i="14"/>
  <c r="BQ82" i="14" s="1"/>
  <c r="CB82" i="14" s="1"/>
  <c r="BN82" i="14"/>
  <c r="BX81" i="14"/>
  <c r="BT81" i="14"/>
  <c r="CL81" i="14"/>
  <c r="BW81" i="14"/>
  <c r="BS81" i="14"/>
  <c r="BU81" i="14"/>
  <c r="BY81" i="14"/>
  <c r="BV81" i="14"/>
  <c r="BI81" i="14"/>
  <c r="BJ81" i="14"/>
  <c r="BM81" i="14"/>
  <c r="BL81" i="14"/>
  <c r="BK81" i="14"/>
  <c r="BO81" i="14"/>
  <c r="BF81" i="14"/>
  <c r="BP81" i="14" s="1"/>
  <c r="CA81" i="14" s="1"/>
  <c r="BG81" i="14"/>
  <c r="BQ81" i="14" s="1"/>
  <c r="CB81" i="14" s="1"/>
  <c r="BH81" i="14"/>
  <c r="BR81" i="14" s="1"/>
  <c r="CC81" i="14" s="1"/>
  <c r="BN81" i="14"/>
  <c r="AA80" i="14"/>
  <c r="AB80" i="14"/>
  <c r="AG80" i="14"/>
  <c r="AF80" i="14"/>
  <c r="AC80" i="14"/>
  <c r="AE80" i="14"/>
  <c r="AD80" i="14"/>
  <c r="Y80" i="14"/>
  <c r="Z80" i="14"/>
  <c r="X80" i="14"/>
  <c r="R79" i="14"/>
  <c r="S79" i="14"/>
  <c r="O79" i="14"/>
  <c r="L79" i="14"/>
  <c r="U79" i="14"/>
  <c r="Q79" i="14"/>
  <c r="P79" i="14"/>
  <c r="M79" i="14"/>
  <c r="N79" i="14"/>
  <c r="T79" i="14"/>
  <c r="AG78" i="14"/>
  <c r="Y78" i="14"/>
  <c r="AB78" i="14"/>
  <c r="AD78" i="14"/>
  <c r="Z78" i="14"/>
  <c r="AE78" i="14"/>
  <c r="X78" i="14"/>
  <c r="AA78" i="14"/>
  <c r="AC78" i="14"/>
  <c r="AF78" i="14"/>
  <c r="BV77" i="14"/>
  <c r="BY77" i="14"/>
  <c r="BU77" i="14"/>
  <c r="BT77" i="14"/>
  <c r="BL77" i="14"/>
  <c r="CL77" i="14"/>
  <c r="BX77" i="14"/>
  <c r="BW77" i="14"/>
  <c r="BK77" i="14"/>
  <c r="BO77" i="14"/>
  <c r="BI77" i="14"/>
  <c r="BS77" i="14" s="1"/>
  <c r="CD77" i="14" s="1"/>
  <c r="BJ77" i="14"/>
  <c r="BM77" i="14"/>
  <c r="BF77" i="14"/>
  <c r="BP77" i="14" s="1"/>
  <c r="CA77" i="14" s="1"/>
  <c r="BG77" i="14"/>
  <c r="BQ77" i="14" s="1"/>
  <c r="CB77" i="14" s="1"/>
  <c r="BH77" i="14"/>
  <c r="BR77" i="14" s="1"/>
  <c r="CC77" i="14" s="1"/>
  <c r="BN77" i="14"/>
  <c r="BW76" i="14"/>
  <c r="BV76" i="14"/>
  <c r="BT76" i="14"/>
  <c r="BL76" i="14"/>
  <c r="CL76" i="14"/>
  <c r="BY76" i="14"/>
  <c r="BX76" i="14"/>
  <c r="BU76" i="14"/>
  <c r="BM76" i="14"/>
  <c r="BJ76" i="14"/>
  <c r="BO76" i="14"/>
  <c r="BI76" i="14"/>
  <c r="BS76" i="14" s="1"/>
  <c r="CD76" i="14" s="1"/>
  <c r="BF76" i="14"/>
  <c r="BP76" i="14" s="1"/>
  <c r="CA76" i="14" s="1"/>
  <c r="BK76" i="14"/>
  <c r="BH76" i="14"/>
  <c r="BR76" i="14" s="1"/>
  <c r="CC76" i="14" s="1"/>
  <c r="BG76" i="14"/>
  <c r="BQ76" i="14" s="1"/>
  <c r="CB76" i="14" s="1"/>
  <c r="BN76" i="14"/>
  <c r="BC75" i="14"/>
  <c r="BD75" i="14"/>
  <c r="BY74" i="14"/>
  <c r="BU74" i="14"/>
  <c r="CL74" i="14"/>
  <c r="BX74" i="14"/>
  <c r="BT74" i="14"/>
  <c r="BV74" i="14"/>
  <c r="BW74" i="14"/>
  <c r="BO74" i="14"/>
  <c r="BK74" i="14"/>
  <c r="BJ74" i="14"/>
  <c r="BM74" i="14"/>
  <c r="BL74" i="14"/>
  <c r="BI74" i="14"/>
  <c r="BS74" i="14" s="1"/>
  <c r="CD74" i="14" s="1"/>
  <c r="BF74" i="14"/>
  <c r="BP74" i="14" s="1"/>
  <c r="CA74" i="14" s="1"/>
  <c r="BH74" i="14"/>
  <c r="BR74" i="14" s="1"/>
  <c r="CC74" i="14" s="1"/>
  <c r="BN74" i="14"/>
  <c r="BG74" i="14"/>
  <c r="BQ74" i="14" s="1"/>
  <c r="CB74" i="14" s="1"/>
  <c r="BV73" i="14"/>
  <c r="BY73" i="14"/>
  <c r="BU73" i="14"/>
  <c r="BT73" i="14"/>
  <c r="BL73" i="14"/>
  <c r="CL73" i="14"/>
  <c r="BX73" i="14"/>
  <c r="BW73" i="14"/>
  <c r="BO73" i="14"/>
  <c r="BK73" i="14"/>
  <c r="BM73" i="14"/>
  <c r="BF73" i="14"/>
  <c r="BP73" i="14" s="1"/>
  <c r="CA73" i="14" s="1"/>
  <c r="BI73" i="14"/>
  <c r="BS73" i="14" s="1"/>
  <c r="CD73" i="14" s="1"/>
  <c r="BJ73" i="14"/>
  <c r="BH73" i="14"/>
  <c r="BR73" i="14" s="1"/>
  <c r="CC73" i="14" s="1"/>
  <c r="BN73" i="14"/>
  <c r="BG73" i="14"/>
  <c r="BQ73" i="14" s="1"/>
  <c r="CB73" i="14" s="1"/>
  <c r="Z72" i="14"/>
  <c r="AA72" i="14"/>
  <c r="Y72" i="14"/>
  <c r="AB72" i="14"/>
  <c r="X72" i="14"/>
  <c r="AG72" i="14"/>
  <c r="AE72" i="14"/>
  <c r="AC72" i="14"/>
  <c r="AF72" i="14"/>
  <c r="AD72" i="14"/>
  <c r="R71" i="14"/>
  <c r="O71" i="14"/>
  <c r="S71" i="14"/>
  <c r="Q71" i="14"/>
  <c r="L71" i="14"/>
  <c r="U71" i="14"/>
  <c r="P71" i="14"/>
  <c r="N71" i="14"/>
  <c r="T71" i="14"/>
  <c r="M71" i="14"/>
  <c r="O70" i="14"/>
  <c r="S70" i="14"/>
  <c r="Q70" i="14"/>
  <c r="R70" i="14"/>
  <c r="U70" i="14"/>
  <c r="P70" i="14"/>
  <c r="L70" i="14"/>
  <c r="N70" i="14"/>
  <c r="T70" i="14"/>
  <c r="M70" i="14"/>
  <c r="BV69" i="14"/>
  <c r="BY69" i="14"/>
  <c r="BU69" i="14"/>
  <c r="BT69" i="14"/>
  <c r="BL69" i="14"/>
  <c r="CL69" i="14"/>
  <c r="BX69" i="14"/>
  <c r="BW69" i="14"/>
  <c r="BO69" i="14"/>
  <c r="BK69" i="14"/>
  <c r="BF69" i="14"/>
  <c r="BP69" i="14" s="1"/>
  <c r="CA69" i="14" s="1"/>
  <c r="BI69" i="14"/>
  <c r="BS69" i="14" s="1"/>
  <c r="CD69" i="14" s="1"/>
  <c r="BJ69" i="14"/>
  <c r="BM69" i="14"/>
  <c r="BG69" i="14"/>
  <c r="BQ69" i="14" s="1"/>
  <c r="CB69" i="14" s="1"/>
  <c r="BN69" i="14"/>
  <c r="BH69" i="14"/>
  <c r="BR69" i="14" s="1"/>
  <c r="CC69" i="14" s="1"/>
  <c r="Z68" i="14"/>
  <c r="AA68" i="14"/>
  <c r="X68" i="14"/>
  <c r="AG68" i="14"/>
  <c r="AD68" i="14"/>
  <c r="AE68" i="14"/>
  <c r="AC68" i="14"/>
  <c r="AF68" i="14"/>
  <c r="Y68" i="14"/>
  <c r="AB68" i="14"/>
  <c r="AA67" i="14"/>
  <c r="AB67" i="14"/>
  <c r="AE67" i="14"/>
  <c r="AD67" i="14"/>
  <c r="AG67" i="14"/>
  <c r="X67" i="14"/>
  <c r="Z67" i="14"/>
  <c r="AC67" i="14"/>
  <c r="AF67" i="14"/>
  <c r="Y67" i="14"/>
  <c r="Q66" i="14"/>
  <c r="S66" i="14"/>
  <c r="O66" i="14"/>
  <c r="U66" i="14"/>
  <c r="R66" i="14"/>
  <c r="P66" i="14"/>
  <c r="L66" i="14"/>
  <c r="M66" i="14"/>
  <c r="N66" i="14"/>
  <c r="T66" i="14"/>
  <c r="Q65" i="14"/>
  <c r="U65" i="14"/>
  <c r="R65" i="14"/>
  <c r="O65" i="14"/>
  <c r="S65" i="14"/>
  <c r="P65" i="14"/>
  <c r="L65" i="14"/>
  <c r="N65" i="14"/>
  <c r="T65" i="14"/>
  <c r="M65" i="14"/>
  <c r="AA64" i="14"/>
  <c r="AB64" i="14"/>
  <c r="AD64" i="14"/>
  <c r="AE64" i="14"/>
  <c r="Z64" i="14"/>
  <c r="AG64" i="14"/>
  <c r="AC64" i="14"/>
  <c r="X64" i="14"/>
  <c r="Y64" i="14"/>
  <c r="AF64" i="14"/>
  <c r="BV63" i="14"/>
  <c r="CL63" i="14"/>
  <c r="BY63" i="14"/>
  <c r="BU63" i="14"/>
  <c r="BX63" i="14"/>
  <c r="BW63" i="14"/>
  <c r="BL63" i="14"/>
  <c r="BK63" i="14"/>
  <c r="BO63" i="14"/>
  <c r="BI63" i="14"/>
  <c r="BS63" i="14" s="1"/>
  <c r="CD63" i="14" s="1"/>
  <c r="BM63" i="14"/>
  <c r="BF63" i="14"/>
  <c r="BP63" i="14" s="1"/>
  <c r="CA63" i="14" s="1"/>
  <c r="BJ63" i="14"/>
  <c r="BT63" i="14" s="1"/>
  <c r="CE63" i="14" s="1"/>
  <c r="BN63" i="14"/>
  <c r="BG63" i="14"/>
  <c r="BQ63" i="14" s="1"/>
  <c r="CB63" i="14" s="1"/>
  <c r="BH63" i="14"/>
  <c r="BR63" i="14" s="1"/>
  <c r="CC63" i="14" s="1"/>
  <c r="AE62" i="14"/>
  <c r="AF62" i="14"/>
  <c r="X62" i="14"/>
  <c r="AC62" i="14"/>
  <c r="AD62" i="14"/>
  <c r="Y62" i="14"/>
  <c r="AA62" i="14"/>
  <c r="Z62" i="14"/>
  <c r="AG62" i="14"/>
  <c r="AB62" i="14"/>
  <c r="Y61" i="14"/>
  <c r="AG61" i="14"/>
  <c r="Z61" i="14"/>
  <c r="AB61" i="14"/>
  <c r="AA61" i="14"/>
  <c r="X61" i="14"/>
  <c r="AD61" i="14"/>
  <c r="AF61" i="14"/>
  <c r="AE61" i="14"/>
  <c r="AC61" i="14"/>
  <c r="BX60" i="14"/>
  <c r="BW60" i="14"/>
  <c r="CL60" i="14"/>
  <c r="BY60" i="14"/>
  <c r="BV60" i="14"/>
  <c r="BO60" i="14"/>
  <c r="BK60" i="14"/>
  <c r="BU60" i="14" s="1"/>
  <c r="BJ60" i="14"/>
  <c r="BT60" i="14" s="1"/>
  <c r="CE60" i="14" s="1"/>
  <c r="BI60" i="14"/>
  <c r="BS60" i="14" s="1"/>
  <c r="CD60" i="14" s="1"/>
  <c r="BL60" i="14"/>
  <c r="BM60" i="14"/>
  <c r="BF60" i="14"/>
  <c r="BP60" i="14" s="1"/>
  <c r="CA60" i="14" s="1"/>
  <c r="BN60" i="14"/>
  <c r="BG60" i="14"/>
  <c r="BQ60" i="14" s="1"/>
  <c r="CB60" i="14" s="1"/>
  <c r="BH60" i="14"/>
  <c r="BR60" i="14" s="1"/>
  <c r="CC60" i="14" s="1"/>
  <c r="AG59" i="14"/>
  <c r="Y59" i="14"/>
  <c r="Z59" i="14"/>
  <c r="AF59" i="14"/>
  <c r="AD59" i="14"/>
  <c r="AB59" i="14"/>
  <c r="AE59" i="14"/>
  <c r="AC59" i="14"/>
  <c r="X59" i="14"/>
  <c r="AA59" i="14"/>
  <c r="BY58" i="14"/>
  <c r="CL58" i="14"/>
  <c r="BX58" i="14"/>
  <c r="BW58" i="14"/>
  <c r="BL58" i="14"/>
  <c r="BV58" i="14"/>
  <c r="BJ58" i="14"/>
  <c r="BT58" i="14" s="1"/>
  <c r="CE58" i="14" s="1"/>
  <c r="BO58" i="14"/>
  <c r="BK58" i="14"/>
  <c r="BU58" i="14" s="1"/>
  <c r="CF58" i="14" s="1"/>
  <c r="BI58" i="14"/>
  <c r="BS58" i="14" s="1"/>
  <c r="CD58" i="14" s="1"/>
  <c r="BM58" i="14"/>
  <c r="BF58" i="14"/>
  <c r="BP58" i="14" s="1"/>
  <c r="CA58" i="14" s="1"/>
  <c r="BN58" i="14"/>
  <c r="BG58" i="14"/>
  <c r="BQ58" i="14" s="1"/>
  <c r="CB58" i="14" s="1"/>
  <c r="BH58" i="14"/>
  <c r="BR58" i="14" s="1"/>
  <c r="CC58" i="14" s="1"/>
  <c r="BC57" i="14"/>
  <c r="BD57" i="14"/>
  <c r="BD56" i="14"/>
  <c r="BC56" i="14"/>
  <c r="BD55" i="14"/>
  <c r="BC55" i="14"/>
  <c r="O54" i="14"/>
  <c r="U54" i="14"/>
  <c r="Q54" i="14"/>
  <c r="S54" i="14"/>
  <c r="L54" i="14"/>
  <c r="R54" i="14"/>
  <c r="P54" i="14"/>
  <c r="N54" i="14"/>
  <c r="T54" i="14"/>
  <c r="M54" i="14"/>
  <c r="S53" i="14"/>
  <c r="O53" i="14"/>
  <c r="R53" i="14"/>
  <c r="Q53" i="14"/>
  <c r="U53" i="14"/>
  <c r="P53" i="14"/>
  <c r="L53" i="14"/>
  <c r="N53" i="14"/>
  <c r="T53" i="14"/>
  <c r="M53" i="14"/>
  <c r="BD52" i="14"/>
  <c r="BC52" i="14"/>
  <c r="U51" i="14"/>
  <c r="Q51" i="14"/>
  <c r="S51" i="14"/>
  <c r="R51" i="14"/>
  <c r="O51" i="14"/>
  <c r="P51" i="14"/>
  <c r="L51" i="14"/>
  <c r="T51" i="14"/>
  <c r="N51" i="14"/>
  <c r="M51" i="14"/>
  <c r="X50" i="14"/>
  <c r="AC50" i="14"/>
  <c r="AE50" i="14"/>
  <c r="Y50" i="14"/>
  <c r="Z50" i="14"/>
  <c r="AA50" i="14"/>
  <c r="AB50" i="14"/>
  <c r="AF50" i="14"/>
  <c r="AG50" i="14"/>
  <c r="AD50" i="14"/>
  <c r="BD49" i="14"/>
  <c r="BC49" i="14"/>
  <c r="S48" i="14"/>
  <c r="U48" i="14"/>
  <c r="Q48" i="14"/>
  <c r="O48" i="14"/>
  <c r="R48" i="14"/>
  <c r="P48" i="14"/>
  <c r="L48" i="14"/>
  <c r="M48" i="14"/>
  <c r="T48" i="14"/>
  <c r="N48" i="14"/>
  <c r="CL47" i="14"/>
  <c r="BY47" i="14"/>
  <c r="BK47" i="14"/>
  <c r="BU47" i="14" s="1"/>
  <c r="CF47" i="14" s="1"/>
  <c r="BO47" i="14"/>
  <c r="BJ47" i="14"/>
  <c r="BT47" i="14" s="1"/>
  <c r="CE47" i="14" s="1"/>
  <c r="BM47" i="14"/>
  <c r="BW47" i="14" s="1"/>
  <c r="CH47" i="14" s="1"/>
  <c r="BI47" i="14"/>
  <c r="BS47" i="14" s="1"/>
  <c r="CD47" i="14" s="1"/>
  <c r="BL47" i="14"/>
  <c r="BV47" i="14" s="1"/>
  <c r="CG47" i="14" s="1"/>
  <c r="BF47" i="14"/>
  <c r="BP47" i="14" s="1"/>
  <c r="CA47" i="14" s="1"/>
  <c r="BN47" i="14"/>
  <c r="BX47" i="14" s="1"/>
  <c r="BH47" i="14"/>
  <c r="BR47" i="14" s="1"/>
  <c r="CC47" i="14" s="1"/>
  <c r="BG47" i="14"/>
  <c r="BQ47" i="14" s="1"/>
  <c r="CB47" i="14" s="1"/>
  <c r="AF46" i="14"/>
  <c r="AA46" i="14"/>
  <c r="AB46" i="14"/>
  <c r="AG46" i="14"/>
  <c r="AD46" i="14"/>
  <c r="AE46" i="14"/>
  <c r="Z46" i="14"/>
  <c r="X46" i="14"/>
  <c r="AC46" i="14"/>
  <c r="Y46" i="14"/>
  <c r="O45" i="14"/>
  <c r="Q45" i="14"/>
  <c r="R45" i="14"/>
  <c r="S45" i="14"/>
  <c r="U45" i="14"/>
  <c r="L45" i="14"/>
  <c r="P45" i="14"/>
  <c r="T45" i="14"/>
  <c r="N45" i="14"/>
  <c r="M45" i="14"/>
  <c r="BY44" i="14"/>
  <c r="CL44" i="14"/>
  <c r="BK44" i="14"/>
  <c r="BU44" i="14" s="1"/>
  <c r="CF44" i="14" s="1"/>
  <c r="BM44" i="14"/>
  <c r="BW44" i="14" s="1"/>
  <c r="CH44" i="14" s="1"/>
  <c r="BO44" i="14"/>
  <c r="BJ44" i="14"/>
  <c r="BT44" i="14" s="1"/>
  <c r="CE44" i="14" s="1"/>
  <c r="BL44" i="14"/>
  <c r="BV44" i="14" s="1"/>
  <c r="CG44" i="14" s="1"/>
  <c r="BI44" i="14"/>
  <c r="BS44" i="14" s="1"/>
  <c r="CD44" i="14" s="1"/>
  <c r="BF44" i="14"/>
  <c r="BP44" i="14" s="1"/>
  <c r="CA44" i="14" s="1"/>
  <c r="BG44" i="14"/>
  <c r="BQ44" i="14" s="1"/>
  <c r="CB44" i="14" s="1"/>
  <c r="BH44" i="14"/>
  <c r="BR44" i="14" s="1"/>
  <c r="CC44" i="14" s="1"/>
  <c r="BN44" i="14"/>
  <c r="BX44" i="14" s="1"/>
  <c r="CI44" i="14" s="1"/>
  <c r="BY43" i="14"/>
  <c r="CL43" i="14"/>
  <c r="BO43" i="14"/>
  <c r="BJ43" i="14"/>
  <c r="BT43" i="14" s="1"/>
  <c r="CE43" i="14" s="1"/>
  <c r="BK43" i="14"/>
  <c r="BU43" i="14" s="1"/>
  <c r="CF43" i="14" s="1"/>
  <c r="BM43" i="14"/>
  <c r="BW43" i="14" s="1"/>
  <c r="CH43" i="14" s="1"/>
  <c r="BI43" i="14"/>
  <c r="BS43" i="14" s="1"/>
  <c r="CD43" i="14" s="1"/>
  <c r="BL43" i="14"/>
  <c r="BV43" i="14" s="1"/>
  <c r="CG43" i="14" s="1"/>
  <c r="BF43" i="14"/>
  <c r="BP43" i="14" s="1"/>
  <c r="CA43" i="14" s="1"/>
  <c r="BN43" i="14"/>
  <c r="BX43" i="14" s="1"/>
  <c r="CI43" i="14" s="1"/>
  <c r="BH43" i="14"/>
  <c r="BR43" i="14" s="1"/>
  <c r="CC43" i="14" s="1"/>
  <c r="BG43" i="14"/>
  <c r="BQ43" i="14" s="1"/>
  <c r="CB43" i="14" s="1"/>
  <c r="AF42" i="14"/>
  <c r="AA42" i="14"/>
  <c r="AB42" i="14"/>
  <c r="AG42" i="14"/>
  <c r="AD42" i="14"/>
  <c r="AE42" i="14"/>
  <c r="Z42" i="14"/>
  <c r="X42" i="14"/>
  <c r="AC42" i="14"/>
  <c r="Y42" i="14"/>
  <c r="AF41" i="14"/>
  <c r="AA41" i="14"/>
  <c r="AG41" i="14"/>
  <c r="AB41" i="14"/>
  <c r="X41" i="14"/>
  <c r="Y41" i="14"/>
  <c r="AC41" i="14"/>
  <c r="AE41" i="14"/>
  <c r="AD41" i="14"/>
  <c r="Z41" i="14"/>
  <c r="U40" i="14"/>
  <c r="O40" i="14"/>
  <c r="Q40" i="14"/>
  <c r="R40" i="14"/>
  <c r="S40" i="14"/>
  <c r="P40" i="14"/>
  <c r="L40" i="14"/>
  <c r="N40" i="14"/>
  <c r="T40" i="14"/>
  <c r="M40" i="14"/>
  <c r="X38" i="14"/>
  <c r="AG38" i="14"/>
  <c r="AC38" i="14"/>
  <c r="AB38" i="14"/>
  <c r="Y38" i="14"/>
  <c r="AD38" i="14"/>
  <c r="AE38" i="14"/>
  <c r="Z38" i="14"/>
  <c r="AA38" i="14"/>
  <c r="AF38" i="14"/>
  <c r="CL39" i="14"/>
  <c r="BL39" i="14"/>
  <c r="BV39" i="14" s="1"/>
  <c r="CG39" i="14" s="1"/>
  <c r="BK39" i="14"/>
  <c r="BU39" i="14" s="1"/>
  <c r="CF39" i="14" s="1"/>
  <c r="BM39" i="14"/>
  <c r="BW39" i="14" s="1"/>
  <c r="CH39" i="14" s="1"/>
  <c r="BO39" i="14"/>
  <c r="BY39" i="14" s="1"/>
  <c r="CJ39" i="14" s="1"/>
  <c r="BI39" i="14"/>
  <c r="BS39" i="14" s="1"/>
  <c r="CD39" i="14" s="1"/>
  <c r="BF39" i="14"/>
  <c r="BP39" i="14" s="1"/>
  <c r="CA39" i="14" s="1"/>
  <c r="BJ39" i="14"/>
  <c r="BT39" i="14" s="1"/>
  <c r="CE39" i="14" s="1"/>
  <c r="BH39" i="14"/>
  <c r="BR39" i="14" s="1"/>
  <c r="CC39" i="14" s="1"/>
  <c r="BN39" i="14"/>
  <c r="BX39" i="14" s="1"/>
  <c r="CI39" i="14" s="1"/>
  <c r="BG39" i="14"/>
  <c r="BQ39" i="14" s="1"/>
  <c r="CB39" i="14" s="1"/>
  <c r="CL38" i="14"/>
  <c r="BL38" i="14"/>
  <c r="BV38" i="14" s="1"/>
  <c r="CG38" i="14" s="1"/>
  <c r="BK38" i="14"/>
  <c r="BU38" i="14" s="1"/>
  <c r="CF38" i="14" s="1"/>
  <c r="BJ38" i="14"/>
  <c r="BT38" i="14" s="1"/>
  <c r="CE38" i="14" s="1"/>
  <c r="BO38" i="14"/>
  <c r="BY38" i="14" s="1"/>
  <c r="CJ38" i="14" s="1"/>
  <c r="BI38" i="14"/>
  <c r="BS38" i="14" s="1"/>
  <c r="CD38" i="14" s="1"/>
  <c r="BM38" i="14"/>
  <c r="BW38" i="14" s="1"/>
  <c r="CH38" i="14" s="1"/>
  <c r="BF38" i="14"/>
  <c r="BP38" i="14" s="1"/>
  <c r="CA38" i="14" s="1"/>
  <c r="BG38" i="14"/>
  <c r="BQ38" i="14" s="1"/>
  <c r="CB38" i="14" s="1"/>
  <c r="BH38" i="14"/>
  <c r="BR38" i="14" s="1"/>
  <c r="CC38" i="14" s="1"/>
  <c r="BN38" i="14"/>
  <c r="BX38" i="14" s="1"/>
  <c r="CI38" i="14" s="1"/>
  <c r="BC37" i="14"/>
  <c r="BD37" i="14"/>
  <c r="Q157" i="14"/>
  <c r="P157" i="14"/>
  <c r="R157" i="14"/>
  <c r="U157" i="14"/>
  <c r="L157" i="14"/>
  <c r="S157" i="14"/>
  <c r="O157" i="14"/>
  <c r="T157" i="14"/>
  <c r="M157" i="14"/>
  <c r="N157" i="14"/>
  <c r="EH125" i="17"/>
  <c r="EF125" i="17"/>
  <c r="DZ125" i="17"/>
  <c r="DY125" i="17"/>
  <c r="DX125" i="17"/>
  <c r="EK125" i="17"/>
  <c r="EI125" i="17"/>
  <c r="EJ125" i="17"/>
  <c r="P157" i="15"/>
  <c r="Q156" i="15"/>
  <c r="AG152" i="14"/>
  <c r="AE152" i="14"/>
  <c r="Z152" i="14"/>
  <c r="AC152" i="14"/>
  <c r="AF152" i="14"/>
  <c r="AA152" i="14"/>
  <c r="Y152" i="14"/>
  <c r="AB152" i="14"/>
  <c r="X152" i="14"/>
  <c r="AD152" i="14"/>
  <c r="R149" i="14"/>
  <c r="P149" i="14"/>
  <c r="O149" i="14"/>
  <c r="L149" i="14"/>
  <c r="S149" i="14"/>
  <c r="Q149" i="14"/>
  <c r="U149" i="14"/>
  <c r="N149" i="14"/>
  <c r="T149" i="14"/>
  <c r="M149" i="14"/>
  <c r="BV144" i="14"/>
  <c r="BR144" i="14"/>
  <c r="BX144" i="14"/>
  <c r="BT144" i="14"/>
  <c r="CL144" i="14"/>
  <c r="BW144" i="14"/>
  <c r="BU144" i="14"/>
  <c r="BS144" i="14"/>
  <c r="BY144" i="14"/>
  <c r="BQ144" i="14"/>
  <c r="BI144" i="14"/>
  <c r="BK144" i="14"/>
  <c r="BJ144" i="14"/>
  <c r="BM144" i="14"/>
  <c r="BF144" i="14"/>
  <c r="BP144" i="14" s="1"/>
  <c r="CA144" i="14" s="1"/>
  <c r="BL144" i="14"/>
  <c r="BO144" i="14"/>
  <c r="BN144" i="14"/>
  <c r="BG144" i="14"/>
  <c r="BH144" i="14"/>
  <c r="BW141" i="14"/>
  <c r="BS141" i="14"/>
  <c r="CL141" i="14"/>
  <c r="BY141" i="14"/>
  <c r="BU141" i="14"/>
  <c r="BQ141" i="14"/>
  <c r="BX141" i="14"/>
  <c r="BV141" i="14"/>
  <c r="BT141" i="14"/>
  <c r="BR141" i="14"/>
  <c r="BJ141" i="14"/>
  <c r="BK141" i="14"/>
  <c r="BI141" i="14"/>
  <c r="BL141" i="14"/>
  <c r="BO141" i="14"/>
  <c r="BM141" i="14"/>
  <c r="BF141" i="14"/>
  <c r="BP141" i="14" s="1"/>
  <c r="CA141" i="14" s="1"/>
  <c r="BN141" i="14"/>
  <c r="BH141" i="14"/>
  <c r="BG141" i="14"/>
  <c r="BD136" i="14"/>
  <c r="BC136" i="14"/>
  <c r="BD132" i="14"/>
  <c r="BC132" i="14"/>
  <c r="BD128" i="14"/>
  <c r="BC128" i="14"/>
  <c r="R125" i="14"/>
  <c r="AP125" i="14" s="1"/>
  <c r="Q125" i="14"/>
  <c r="AO125" i="14" s="1"/>
  <c r="O125" i="14"/>
  <c r="AM125" i="14" s="1"/>
  <c r="P125" i="14"/>
  <c r="AN125" i="14" s="1"/>
  <c r="U125" i="14"/>
  <c r="L125" i="14"/>
  <c r="S125" i="14"/>
  <c r="AQ125" i="14" s="1"/>
  <c r="M125" i="14"/>
  <c r="AK125" i="14" s="1"/>
  <c r="N125" i="14"/>
  <c r="AL125" i="14" s="1"/>
  <c r="T125" i="14"/>
  <c r="Q121" i="14"/>
  <c r="O121" i="14"/>
  <c r="AM121" i="14" s="1"/>
  <c r="R121" i="14"/>
  <c r="AP121" i="14" s="1"/>
  <c r="P121" i="14"/>
  <c r="AN121" i="14" s="1"/>
  <c r="U121" i="14"/>
  <c r="L121" i="14"/>
  <c r="AJ121" i="14" s="1"/>
  <c r="S121" i="14"/>
  <c r="AQ121" i="14" s="1"/>
  <c r="T121" i="14"/>
  <c r="AR121" i="14" s="1"/>
  <c r="M121" i="14"/>
  <c r="AK121" i="14" s="1"/>
  <c r="N121" i="14"/>
  <c r="AL121" i="14" s="1"/>
  <c r="BY117" i="14"/>
  <c r="BU117" i="14"/>
  <c r="BX117" i="14"/>
  <c r="BT117" i="14"/>
  <c r="BW117" i="14"/>
  <c r="BS117" i="14"/>
  <c r="CL117" i="14"/>
  <c r="BR117" i="14"/>
  <c r="BV117" i="14"/>
  <c r="BJ117" i="14"/>
  <c r="BO117" i="14"/>
  <c r="BM117" i="14"/>
  <c r="BK117" i="14"/>
  <c r="BI117" i="14"/>
  <c r="BL117" i="14"/>
  <c r="BF117" i="14"/>
  <c r="BP117" i="14" s="1"/>
  <c r="CA117" i="14" s="1"/>
  <c r="BG117" i="14"/>
  <c r="BQ117" i="14" s="1"/>
  <c r="CB117" i="14" s="1"/>
  <c r="BH117" i="14"/>
  <c r="BN117" i="14"/>
  <c r="P112" i="14"/>
  <c r="Q112" i="14"/>
  <c r="S112" i="14"/>
  <c r="O112" i="14"/>
  <c r="R112" i="14"/>
  <c r="U112" i="14"/>
  <c r="L112" i="14"/>
  <c r="N112" i="14"/>
  <c r="T112" i="14"/>
  <c r="M112" i="14"/>
  <c r="BD106" i="14"/>
  <c r="BC106" i="14"/>
  <c r="CL94" i="14"/>
  <c r="BV94" i="14"/>
  <c r="BX94" i="14"/>
  <c r="BT94" i="14"/>
  <c r="BW94" i="14"/>
  <c r="BU94" i="14"/>
  <c r="BY94" i="14"/>
  <c r="BS94" i="14"/>
  <c r="BK94" i="14"/>
  <c r="BI94" i="14"/>
  <c r="BO94" i="14"/>
  <c r="BM94" i="14"/>
  <c r="BJ94" i="14"/>
  <c r="BF94" i="14"/>
  <c r="BP94" i="14" s="1"/>
  <c r="CA94" i="14" s="1"/>
  <c r="BL94" i="14"/>
  <c r="BH94" i="14"/>
  <c r="BR94" i="14" s="1"/>
  <c r="BG94" i="14"/>
  <c r="BQ94" i="14" s="1"/>
  <c r="CB94" i="14" s="1"/>
  <c r="BN94" i="14"/>
  <c r="DZ126" i="14"/>
  <c r="DQ126" i="14"/>
  <c r="DD126" i="14"/>
  <c r="DT126" i="14"/>
  <c r="DS126" i="14"/>
  <c r="DR126" i="14"/>
  <c r="DC126" i="14"/>
  <c r="DE126" i="14"/>
  <c r="DH126" i="14"/>
  <c r="DF126" i="14"/>
  <c r="DG126" i="14"/>
  <c r="BD155" i="14"/>
  <c r="BC155" i="14"/>
  <c r="BX154" i="14"/>
  <c r="BT154" i="14"/>
  <c r="BW154" i="14"/>
  <c r="BS154" i="14"/>
  <c r="BV154" i="14"/>
  <c r="BR154" i="14"/>
  <c r="BU154" i="14"/>
  <c r="CL154" i="14"/>
  <c r="BQ154" i="14"/>
  <c r="BY154" i="14"/>
  <c r="BI154" i="14"/>
  <c r="BL154" i="14"/>
  <c r="BO154" i="14"/>
  <c r="BM154" i="14"/>
  <c r="BK154" i="14"/>
  <c r="BJ154" i="14"/>
  <c r="BF154" i="14"/>
  <c r="BP154" i="14" s="1"/>
  <c r="CA154" i="14" s="1"/>
  <c r="BN154" i="14"/>
  <c r="BH154" i="14"/>
  <c r="BG154" i="14"/>
  <c r="U153" i="14"/>
  <c r="S153" i="14"/>
  <c r="Q153" i="14"/>
  <c r="L153" i="14"/>
  <c r="AJ153" i="14" s="1"/>
  <c r="O153" i="14"/>
  <c r="R153" i="14"/>
  <c r="P153" i="14"/>
  <c r="N153" i="14"/>
  <c r="T153" i="14"/>
  <c r="M153" i="14"/>
  <c r="AK153" i="14" s="1"/>
  <c r="BD152" i="14"/>
  <c r="BC152" i="14"/>
  <c r="U151" i="14"/>
  <c r="Q151" i="14"/>
  <c r="S151" i="14"/>
  <c r="L151" i="14"/>
  <c r="AJ151" i="14" s="1"/>
  <c r="O151" i="14"/>
  <c r="R151" i="14"/>
  <c r="P151" i="14"/>
  <c r="M151" i="14"/>
  <c r="AK151" i="14" s="1"/>
  <c r="N151" i="14"/>
  <c r="AL151" i="14" s="1"/>
  <c r="T151" i="14"/>
  <c r="AD150" i="14"/>
  <c r="AF150" i="14"/>
  <c r="AG150" i="14"/>
  <c r="Z150" i="14"/>
  <c r="AB150" i="14"/>
  <c r="AA150" i="14"/>
  <c r="Y150" i="14"/>
  <c r="X150" i="14"/>
  <c r="AE150" i="14"/>
  <c r="AC150" i="14"/>
  <c r="AC149" i="14"/>
  <c r="Y149" i="14"/>
  <c r="AE149" i="14"/>
  <c r="AB149" i="14"/>
  <c r="AA149" i="14"/>
  <c r="AG149" i="14"/>
  <c r="Z149" i="14"/>
  <c r="AF149" i="14"/>
  <c r="AD149" i="14"/>
  <c r="X149" i="14"/>
  <c r="BX148" i="14"/>
  <c r="BT148" i="14"/>
  <c r="BV148" i="14"/>
  <c r="BR148" i="14"/>
  <c r="BS148" i="14"/>
  <c r="BY148" i="14"/>
  <c r="BQ148" i="14"/>
  <c r="CL148" i="14"/>
  <c r="BW148" i="14"/>
  <c r="BU148" i="14"/>
  <c r="BF148" i="14"/>
  <c r="BP148" i="14" s="1"/>
  <c r="CA148" i="14" s="1"/>
  <c r="BO148" i="14"/>
  <c r="BM148" i="14"/>
  <c r="BL148" i="14"/>
  <c r="BK148" i="14"/>
  <c r="BJ148" i="14"/>
  <c r="BI148" i="14"/>
  <c r="BG148" i="14"/>
  <c r="BN148" i="14"/>
  <c r="BH148" i="14"/>
  <c r="BD147" i="14"/>
  <c r="BC147" i="14"/>
  <c r="BC146" i="14"/>
  <c r="BD146" i="14"/>
  <c r="Q145" i="14"/>
  <c r="L145" i="14"/>
  <c r="U145" i="14"/>
  <c r="R145" i="14"/>
  <c r="O145" i="14"/>
  <c r="S145" i="14"/>
  <c r="P145" i="14"/>
  <c r="M145" i="14"/>
  <c r="N145" i="14"/>
  <c r="T145" i="14"/>
  <c r="S144" i="14"/>
  <c r="O144" i="14"/>
  <c r="U144" i="14"/>
  <c r="P144" i="14"/>
  <c r="Q144" i="14"/>
  <c r="L144" i="14"/>
  <c r="R144" i="14"/>
  <c r="M144" i="14"/>
  <c r="T144" i="14"/>
  <c r="N144" i="14"/>
  <c r="BD143" i="14"/>
  <c r="BC143" i="14"/>
  <c r="BX142" i="14"/>
  <c r="BT142" i="14"/>
  <c r="BV142" i="14"/>
  <c r="BR142" i="14"/>
  <c r="CL142" i="14"/>
  <c r="BW142" i="14"/>
  <c r="BU142" i="14"/>
  <c r="BS142" i="14"/>
  <c r="BY142" i="14"/>
  <c r="BQ142" i="14"/>
  <c r="BI142" i="14"/>
  <c r="BF142" i="14"/>
  <c r="BP142" i="14" s="1"/>
  <c r="CA142" i="14" s="1"/>
  <c r="BM142" i="14"/>
  <c r="BK142" i="14"/>
  <c r="BO142" i="14"/>
  <c r="BL142" i="14"/>
  <c r="BJ142" i="14"/>
  <c r="BH142" i="14"/>
  <c r="BN142" i="14"/>
  <c r="BG142" i="14"/>
  <c r="Z141" i="14"/>
  <c r="AG141" i="14"/>
  <c r="AC141" i="14"/>
  <c r="AF141" i="14"/>
  <c r="Y141" i="14"/>
  <c r="AE141" i="14"/>
  <c r="X141" i="14"/>
  <c r="AA141" i="14"/>
  <c r="AD141" i="14"/>
  <c r="AB141" i="14"/>
  <c r="AF140" i="14"/>
  <c r="AD140" i="14"/>
  <c r="AA140" i="14"/>
  <c r="AB140" i="14"/>
  <c r="Z140" i="14"/>
  <c r="X140" i="14"/>
  <c r="AC140" i="14"/>
  <c r="AG140" i="14"/>
  <c r="Y140" i="14"/>
  <c r="AE140" i="14"/>
  <c r="AA139" i="14"/>
  <c r="Y139" i="14"/>
  <c r="AF139" i="14"/>
  <c r="X139" i="14"/>
  <c r="AD139" i="14"/>
  <c r="AG139" i="14"/>
  <c r="AE139" i="14"/>
  <c r="AC139" i="14"/>
  <c r="AB139" i="14"/>
  <c r="Z139" i="14"/>
  <c r="BX138" i="14"/>
  <c r="BT138" i="14"/>
  <c r="BV138" i="14"/>
  <c r="BR138" i="14"/>
  <c r="CL138" i="14"/>
  <c r="BW138" i="14"/>
  <c r="BU138" i="14"/>
  <c r="BS138" i="14"/>
  <c r="BY138" i="14"/>
  <c r="BQ138" i="14"/>
  <c r="BF138" i="14"/>
  <c r="BP138" i="14" s="1"/>
  <c r="CA138" i="14" s="1"/>
  <c r="BM138" i="14"/>
  <c r="BK138" i="14"/>
  <c r="BO138" i="14"/>
  <c r="BI138" i="14"/>
  <c r="BL138" i="14"/>
  <c r="BJ138" i="14"/>
  <c r="BH138" i="14"/>
  <c r="BN138" i="14"/>
  <c r="BG138" i="14"/>
  <c r="Z137" i="14"/>
  <c r="AC137" i="14"/>
  <c r="X137" i="14"/>
  <c r="Y137" i="14"/>
  <c r="AE137" i="14"/>
  <c r="AA137" i="14"/>
  <c r="AG137" i="14"/>
  <c r="AF137" i="14"/>
  <c r="AD137" i="14"/>
  <c r="AB137" i="14"/>
  <c r="O136" i="14"/>
  <c r="P136" i="14"/>
  <c r="R136" i="14"/>
  <c r="U136" i="14"/>
  <c r="L136" i="14"/>
  <c r="S136" i="14"/>
  <c r="Q136" i="14"/>
  <c r="N136" i="14"/>
  <c r="M136" i="14"/>
  <c r="T136" i="14"/>
  <c r="BX135" i="14"/>
  <c r="BT135" i="14"/>
  <c r="BV135" i="14"/>
  <c r="BR135" i="14"/>
  <c r="BU135" i="14"/>
  <c r="BS135" i="14"/>
  <c r="BY135" i="14"/>
  <c r="BQ135" i="14"/>
  <c r="BW135" i="14"/>
  <c r="CL135" i="14"/>
  <c r="BO135" i="14"/>
  <c r="BL135" i="14"/>
  <c r="BM135" i="14"/>
  <c r="BK135" i="14"/>
  <c r="BJ135" i="14"/>
  <c r="BF135" i="14"/>
  <c r="BP135" i="14" s="1"/>
  <c r="CA135" i="14" s="1"/>
  <c r="BI135" i="14"/>
  <c r="BG135" i="14"/>
  <c r="BH135" i="14"/>
  <c r="BN135" i="14"/>
  <c r="O134" i="14"/>
  <c r="S134" i="14"/>
  <c r="Q134" i="14"/>
  <c r="L134" i="14"/>
  <c r="R134" i="14"/>
  <c r="U134" i="14"/>
  <c r="P134" i="14"/>
  <c r="N134" i="14"/>
  <c r="T134" i="14"/>
  <c r="M134" i="14"/>
  <c r="BD133" i="14"/>
  <c r="BC133" i="14"/>
  <c r="O132" i="14"/>
  <c r="S132" i="14"/>
  <c r="Q132" i="14"/>
  <c r="P132" i="14"/>
  <c r="R132" i="14"/>
  <c r="L132" i="14"/>
  <c r="U132" i="14"/>
  <c r="N132" i="14"/>
  <c r="M132" i="14"/>
  <c r="T132" i="14"/>
  <c r="BD131" i="14"/>
  <c r="BC131" i="14"/>
  <c r="U130" i="14"/>
  <c r="S130" i="14"/>
  <c r="O130" i="14"/>
  <c r="Q130" i="14"/>
  <c r="P130" i="14"/>
  <c r="R130" i="14"/>
  <c r="L130" i="14"/>
  <c r="M130" i="14"/>
  <c r="N130" i="14"/>
  <c r="T130" i="14"/>
  <c r="CL129" i="14"/>
  <c r="BY129" i="14"/>
  <c r="BU129" i="14"/>
  <c r="BQ129" i="14"/>
  <c r="BX129" i="14"/>
  <c r="BT129" i="14"/>
  <c r="BW129" i="14"/>
  <c r="BS129" i="14"/>
  <c r="BR129" i="14"/>
  <c r="BV129" i="14"/>
  <c r="BJ129" i="14"/>
  <c r="BL129" i="14"/>
  <c r="BO129" i="14"/>
  <c r="BM129" i="14"/>
  <c r="BK129" i="14"/>
  <c r="BI129" i="14"/>
  <c r="BF129" i="14"/>
  <c r="BP129" i="14" s="1"/>
  <c r="CA129" i="14" s="1"/>
  <c r="BH129" i="14"/>
  <c r="BG129" i="14"/>
  <c r="BN129" i="14"/>
  <c r="BV128" i="14"/>
  <c r="BR128" i="14"/>
  <c r="CL128" i="14"/>
  <c r="BY128" i="14"/>
  <c r="BU128" i="14"/>
  <c r="BQ128" i="14"/>
  <c r="BX128" i="14"/>
  <c r="BT128" i="14"/>
  <c r="BS128" i="14"/>
  <c r="BW128" i="14"/>
  <c r="BK128" i="14"/>
  <c r="BO128" i="14"/>
  <c r="BF128" i="14"/>
  <c r="BP128" i="14" s="1"/>
  <c r="CA128" i="14" s="1"/>
  <c r="BM128" i="14"/>
  <c r="BI128" i="14"/>
  <c r="BL128" i="14"/>
  <c r="BJ128" i="14"/>
  <c r="BH128" i="14"/>
  <c r="BN128" i="14"/>
  <c r="BG128" i="14"/>
  <c r="BW127" i="14"/>
  <c r="BS127" i="14"/>
  <c r="BV127" i="14"/>
  <c r="BR127" i="14"/>
  <c r="CL127" i="14"/>
  <c r="BY127" i="14"/>
  <c r="BU127" i="14"/>
  <c r="BQ127" i="14"/>
  <c r="BX127" i="14"/>
  <c r="BT127" i="14"/>
  <c r="BL127" i="14"/>
  <c r="BK127" i="14"/>
  <c r="BJ127" i="14"/>
  <c r="BM127" i="14"/>
  <c r="BO127" i="14"/>
  <c r="BF127" i="14"/>
  <c r="BP127" i="14" s="1"/>
  <c r="CA127" i="14" s="1"/>
  <c r="BI127" i="14"/>
  <c r="BN127" i="14"/>
  <c r="BH127" i="14"/>
  <c r="BG127" i="14"/>
  <c r="AG126" i="14"/>
  <c r="AC126" i="14"/>
  <c r="Y126" i="14"/>
  <c r="AE126" i="14"/>
  <c r="AD126" i="14"/>
  <c r="AF126" i="14"/>
  <c r="AA126" i="14"/>
  <c r="Z126" i="14"/>
  <c r="AB126" i="14"/>
  <c r="X126" i="14"/>
  <c r="BD125" i="14"/>
  <c r="BC125" i="14"/>
  <c r="BV124" i="14"/>
  <c r="BR124" i="14"/>
  <c r="CL124" i="14"/>
  <c r="BY124" i="14"/>
  <c r="BU124" i="14"/>
  <c r="BQ124" i="14"/>
  <c r="BX124" i="14"/>
  <c r="BT124" i="14"/>
  <c r="BW124" i="14"/>
  <c r="BS124" i="14"/>
  <c r="BF124" i="14"/>
  <c r="BP124" i="14" s="1"/>
  <c r="CA124" i="14" s="1"/>
  <c r="BM124" i="14"/>
  <c r="BI124" i="14"/>
  <c r="BL124" i="14"/>
  <c r="BK124" i="14"/>
  <c r="BJ124" i="14"/>
  <c r="BO124" i="14"/>
  <c r="BH124" i="14"/>
  <c r="BG124" i="14"/>
  <c r="BN124" i="14"/>
  <c r="BW123" i="14"/>
  <c r="BS123" i="14"/>
  <c r="BV123" i="14"/>
  <c r="BR123" i="14"/>
  <c r="CL123" i="14"/>
  <c r="BY123" i="14"/>
  <c r="BU123" i="14"/>
  <c r="BQ123" i="14"/>
  <c r="BT123" i="14"/>
  <c r="BL123" i="14"/>
  <c r="BX123" i="14"/>
  <c r="BK123" i="14"/>
  <c r="BJ123" i="14"/>
  <c r="BM123" i="14"/>
  <c r="BO123" i="14"/>
  <c r="BF123" i="14"/>
  <c r="BP123" i="14" s="1"/>
  <c r="CA123" i="14" s="1"/>
  <c r="BI123" i="14"/>
  <c r="BG123" i="14"/>
  <c r="BN123" i="14"/>
  <c r="BH123" i="14"/>
  <c r="AC122" i="14"/>
  <c r="Y122" i="14"/>
  <c r="AG122" i="14"/>
  <c r="AF122" i="14"/>
  <c r="AA122" i="14"/>
  <c r="AD122" i="14"/>
  <c r="AB122" i="14"/>
  <c r="X122" i="14"/>
  <c r="Z122" i="14"/>
  <c r="AE122" i="14"/>
  <c r="BD121" i="14"/>
  <c r="BC121" i="14"/>
  <c r="P120" i="14"/>
  <c r="Q120" i="14"/>
  <c r="AO120" i="14" s="1"/>
  <c r="S120" i="14"/>
  <c r="AQ120" i="14" s="1"/>
  <c r="O120" i="14"/>
  <c r="AM120" i="14" s="1"/>
  <c r="R120" i="14"/>
  <c r="AP120" i="14" s="1"/>
  <c r="U120" i="14"/>
  <c r="L120" i="14"/>
  <c r="AJ120" i="14" s="1"/>
  <c r="N120" i="14"/>
  <c r="M120" i="14"/>
  <c r="AK120" i="14" s="1"/>
  <c r="T120" i="14"/>
  <c r="AR120" i="14" s="1"/>
  <c r="BY119" i="14"/>
  <c r="BU119" i="14"/>
  <c r="BX119" i="14"/>
  <c r="BT119" i="14"/>
  <c r="BW119" i="14"/>
  <c r="BS119" i="14"/>
  <c r="BV119" i="14"/>
  <c r="CL119" i="14"/>
  <c r="BR119" i="14"/>
  <c r="BJ119" i="14"/>
  <c r="BI119" i="14"/>
  <c r="BL119" i="14"/>
  <c r="BO119" i="14"/>
  <c r="BM119" i="14"/>
  <c r="BK119" i="14"/>
  <c r="BF119" i="14"/>
  <c r="BP119" i="14" s="1"/>
  <c r="CA119" i="14" s="1"/>
  <c r="BH119" i="14"/>
  <c r="BN119" i="14"/>
  <c r="BG119" i="14"/>
  <c r="BQ119" i="14" s="1"/>
  <c r="CB119" i="14" s="1"/>
  <c r="X118" i="14"/>
  <c r="AF118" i="14"/>
  <c r="AB118" i="14"/>
  <c r="Y118" i="14"/>
  <c r="AE118" i="14"/>
  <c r="AD118" i="14"/>
  <c r="AG118" i="14"/>
  <c r="AC118" i="14"/>
  <c r="AA118" i="14"/>
  <c r="Z118" i="14"/>
  <c r="AD117" i="14"/>
  <c r="Z117" i="14"/>
  <c r="AC117" i="14"/>
  <c r="AB117" i="14"/>
  <c r="Y117" i="14"/>
  <c r="X117" i="14"/>
  <c r="AE117" i="14"/>
  <c r="AA117" i="14"/>
  <c r="AG117" i="14"/>
  <c r="AF117" i="14"/>
  <c r="AB116" i="14"/>
  <c r="X116" i="14"/>
  <c r="AF116" i="14"/>
  <c r="AA116" i="14"/>
  <c r="AD116" i="14"/>
  <c r="AG116" i="14"/>
  <c r="AE116" i="14"/>
  <c r="Z116" i="14"/>
  <c r="AC116" i="14"/>
  <c r="Y116" i="14"/>
  <c r="BD115" i="14"/>
  <c r="BC115" i="14"/>
  <c r="O114" i="14"/>
  <c r="R114" i="14"/>
  <c r="U114" i="14"/>
  <c r="Q114" i="14"/>
  <c r="S114" i="14"/>
  <c r="P114" i="14"/>
  <c r="L114" i="14"/>
  <c r="N114" i="14"/>
  <c r="T114" i="14"/>
  <c r="M114" i="14"/>
  <c r="BD113" i="14"/>
  <c r="BC113" i="14"/>
  <c r="Y112" i="14"/>
  <c r="AF112" i="14"/>
  <c r="AB112" i="14"/>
  <c r="AC112" i="14"/>
  <c r="X112" i="14"/>
  <c r="AA112" i="14"/>
  <c r="AD112" i="14"/>
  <c r="Z112" i="14"/>
  <c r="AG112" i="14"/>
  <c r="AE112" i="14"/>
  <c r="BD111" i="14"/>
  <c r="BC111" i="14"/>
  <c r="X110" i="14"/>
  <c r="Y110" i="14"/>
  <c r="AF110" i="14"/>
  <c r="AB110" i="14"/>
  <c r="AE110" i="14"/>
  <c r="AD110" i="14"/>
  <c r="AA110" i="14"/>
  <c r="Z110" i="14"/>
  <c r="AG110" i="14"/>
  <c r="AC110" i="14"/>
  <c r="BD109" i="14"/>
  <c r="BC109" i="14"/>
  <c r="AB108" i="14"/>
  <c r="X108" i="14"/>
  <c r="AG108" i="14"/>
  <c r="AF108" i="14"/>
  <c r="AA108" i="14"/>
  <c r="AC108" i="14"/>
  <c r="Y108" i="14"/>
  <c r="AD108" i="14"/>
  <c r="AE108" i="14"/>
  <c r="Z108" i="14"/>
  <c r="BD107" i="14"/>
  <c r="BC107" i="14"/>
  <c r="O106" i="14"/>
  <c r="AM106" i="14" s="1"/>
  <c r="R106" i="14"/>
  <c r="AP106" i="14" s="1"/>
  <c r="U106" i="14"/>
  <c r="Q106" i="14"/>
  <c r="AO106" i="14" s="1"/>
  <c r="S106" i="14"/>
  <c r="AQ106" i="14" s="1"/>
  <c r="P106" i="14"/>
  <c r="L106" i="14"/>
  <c r="AJ106" i="14" s="1"/>
  <c r="T106" i="14"/>
  <c r="AR106" i="14" s="1"/>
  <c r="M106" i="14"/>
  <c r="AK106" i="14" s="1"/>
  <c r="N106" i="14"/>
  <c r="AL106" i="14" s="1"/>
  <c r="R105" i="14"/>
  <c r="Q105" i="14"/>
  <c r="O105" i="14"/>
  <c r="P105" i="14"/>
  <c r="U105" i="14"/>
  <c r="L105" i="14"/>
  <c r="S105" i="14"/>
  <c r="T105" i="14"/>
  <c r="N105" i="14"/>
  <c r="M105" i="14"/>
  <c r="BD104" i="14"/>
  <c r="BC104" i="14"/>
  <c r="BD103" i="14"/>
  <c r="BC103" i="14"/>
  <c r="X102" i="14"/>
  <c r="AF102" i="14"/>
  <c r="AB102" i="14"/>
  <c r="Y102" i="14"/>
  <c r="AE102" i="14"/>
  <c r="AD102" i="14"/>
  <c r="AG102" i="14"/>
  <c r="AC102" i="14"/>
  <c r="AA102" i="14"/>
  <c r="Z102" i="14"/>
  <c r="BD101" i="14"/>
  <c r="BC101" i="14"/>
  <c r="BW100" i="14"/>
  <c r="BS100" i="14"/>
  <c r="CL100" i="14"/>
  <c r="BV100" i="14"/>
  <c r="BR100" i="14"/>
  <c r="BY100" i="14"/>
  <c r="BU100" i="14"/>
  <c r="BP100" i="14"/>
  <c r="CA100" i="14" s="1"/>
  <c r="BX100" i="14"/>
  <c r="BT100" i="14"/>
  <c r="BJ100" i="14"/>
  <c r="BM100" i="14"/>
  <c r="BO100" i="14"/>
  <c r="BF100" i="14"/>
  <c r="BI100" i="14"/>
  <c r="BL100" i="14"/>
  <c r="BK100" i="14"/>
  <c r="BH100" i="14"/>
  <c r="BN100" i="14"/>
  <c r="BG100" i="14"/>
  <c r="BQ100" i="14" s="1"/>
  <c r="CB100" i="14" s="1"/>
  <c r="BD99" i="14"/>
  <c r="BC99" i="14"/>
  <c r="AF98" i="14"/>
  <c r="AC98" i="14"/>
  <c r="AB98" i="14"/>
  <c r="X98" i="14"/>
  <c r="Z98" i="14"/>
  <c r="AG98" i="14"/>
  <c r="AE98" i="14"/>
  <c r="Y98" i="14"/>
  <c r="AA98" i="14"/>
  <c r="AD98" i="14"/>
  <c r="BD97" i="14"/>
  <c r="BC97" i="14"/>
  <c r="R96" i="14"/>
  <c r="Q96" i="14"/>
  <c r="AO96" i="14" s="1"/>
  <c r="S96" i="14"/>
  <c r="AQ96" i="14" s="1"/>
  <c r="L96" i="14"/>
  <c r="AJ96" i="14" s="1"/>
  <c r="O96" i="14"/>
  <c r="AM96" i="14" s="1"/>
  <c r="U96" i="14"/>
  <c r="AS96" i="14" s="1"/>
  <c r="P96" i="14"/>
  <c r="AN96" i="14" s="1"/>
  <c r="T96" i="14"/>
  <c r="N96" i="14"/>
  <c r="AL96" i="14" s="1"/>
  <c r="M96" i="14"/>
  <c r="AK96" i="14" s="1"/>
  <c r="BD95" i="14"/>
  <c r="BC95" i="14"/>
  <c r="R94" i="14"/>
  <c r="O94" i="14"/>
  <c r="U94" i="14"/>
  <c r="Q94" i="14"/>
  <c r="P94" i="14"/>
  <c r="S94" i="14"/>
  <c r="L94" i="14"/>
  <c r="N94" i="14"/>
  <c r="T94" i="14"/>
  <c r="M94" i="14"/>
  <c r="U93" i="14"/>
  <c r="S93" i="14"/>
  <c r="P93" i="14"/>
  <c r="O93" i="14"/>
  <c r="L93" i="14"/>
  <c r="Q93" i="14"/>
  <c r="R93" i="14"/>
  <c r="T93" i="14"/>
  <c r="M93" i="14"/>
  <c r="N93" i="14"/>
  <c r="BD92" i="14"/>
  <c r="BC92" i="14"/>
  <c r="AA91" i="14"/>
  <c r="AB91" i="14"/>
  <c r="AD91" i="14"/>
  <c r="AG91" i="14"/>
  <c r="AF91" i="14"/>
  <c r="Z91" i="14"/>
  <c r="AC91" i="14"/>
  <c r="Y91" i="14"/>
  <c r="AE91" i="14"/>
  <c r="X91" i="14"/>
  <c r="R90" i="14"/>
  <c r="O90" i="14"/>
  <c r="AM90" i="14" s="1"/>
  <c r="S90" i="14"/>
  <c r="AQ90" i="14" s="1"/>
  <c r="L90" i="14"/>
  <c r="AJ90" i="14" s="1"/>
  <c r="P90" i="14"/>
  <c r="AN90" i="14" s="1"/>
  <c r="Q90" i="14"/>
  <c r="AO90" i="14" s="1"/>
  <c r="U90" i="14"/>
  <c r="AS90" i="14" s="1"/>
  <c r="N90" i="14"/>
  <c r="AL90" i="14" s="1"/>
  <c r="M90" i="14"/>
  <c r="AK90" i="14" s="1"/>
  <c r="T90" i="14"/>
  <c r="AR90" i="14" s="1"/>
  <c r="BC89" i="14"/>
  <c r="BD89" i="14"/>
  <c r="R88" i="14"/>
  <c r="AP88" i="14" s="1"/>
  <c r="S88" i="14"/>
  <c r="AQ88" i="14" s="1"/>
  <c r="O88" i="14"/>
  <c r="AM88" i="14" s="1"/>
  <c r="P88" i="14"/>
  <c r="AN88" i="14" s="1"/>
  <c r="Q88" i="14"/>
  <c r="U88" i="14"/>
  <c r="AS88" i="14" s="1"/>
  <c r="L88" i="14"/>
  <c r="AJ88" i="14" s="1"/>
  <c r="N88" i="14"/>
  <c r="AL88" i="14" s="1"/>
  <c r="T88" i="14"/>
  <c r="AR88" i="14" s="1"/>
  <c r="M88" i="14"/>
  <c r="AK88" i="14" s="1"/>
  <c r="R87" i="14"/>
  <c r="AP87" i="14" s="1"/>
  <c r="S87" i="14"/>
  <c r="AQ87" i="14" s="1"/>
  <c r="O87" i="14"/>
  <c r="AM87" i="14" s="1"/>
  <c r="L87" i="14"/>
  <c r="U87" i="14"/>
  <c r="AS87" i="14" s="1"/>
  <c r="Q87" i="14"/>
  <c r="AO87" i="14" s="1"/>
  <c r="P87" i="14"/>
  <c r="M87" i="14"/>
  <c r="AK87" i="14" s="1"/>
  <c r="T87" i="14"/>
  <c r="AR87" i="14" s="1"/>
  <c r="N87" i="14"/>
  <c r="R86" i="14"/>
  <c r="O86" i="14"/>
  <c r="S86" i="14"/>
  <c r="L86" i="14"/>
  <c r="P86" i="14"/>
  <c r="Q86" i="14"/>
  <c r="U86" i="14"/>
  <c r="N86" i="14"/>
  <c r="T86" i="14"/>
  <c r="M86" i="14"/>
  <c r="BC85" i="14"/>
  <c r="BD85" i="14"/>
  <c r="BC84" i="14"/>
  <c r="BD84" i="14"/>
  <c r="BC83" i="14"/>
  <c r="BD83" i="14"/>
  <c r="BC82" i="14"/>
  <c r="BD82" i="14"/>
  <c r="BC81" i="14"/>
  <c r="BD81" i="14"/>
  <c r="BX80" i="14"/>
  <c r="BT80" i="14"/>
  <c r="CL80" i="14"/>
  <c r="BW80" i="14"/>
  <c r="BS80" i="14"/>
  <c r="BU80" i="14"/>
  <c r="BY80" i="14"/>
  <c r="BV80" i="14"/>
  <c r="BI80" i="14"/>
  <c r="BJ80" i="14"/>
  <c r="BO80" i="14"/>
  <c r="BM80" i="14"/>
  <c r="BK80" i="14"/>
  <c r="BL80" i="14"/>
  <c r="BF80" i="14"/>
  <c r="BP80" i="14" s="1"/>
  <c r="CA80" i="14" s="1"/>
  <c r="BN80" i="14"/>
  <c r="BG80" i="14"/>
  <c r="BQ80" i="14" s="1"/>
  <c r="CB80" i="14" s="1"/>
  <c r="BH80" i="14"/>
  <c r="BR80" i="14" s="1"/>
  <c r="CC80" i="14" s="1"/>
  <c r="AA79" i="14"/>
  <c r="AB79" i="14"/>
  <c r="AD79" i="14"/>
  <c r="AG79" i="14"/>
  <c r="X79" i="14"/>
  <c r="Z79" i="14"/>
  <c r="AC79" i="14"/>
  <c r="AF79" i="14"/>
  <c r="Y79" i="14"/>
  <c r="AE79" i="14"/>
  <c r="O78" i="14"/>
  <c r="AM78" i="14" s="1"/>
  <c r="S78" i="14"/>
  <c r="AQ78" i="14" s="1"/>
  <c r="U78" i="14"/>
  <c r="AS78" i="14" s="1"/>
  <c r="Q78" i="14"/>
  <c r="AO78" i="14" s="1"/>
  <c r="R78" i="14"/>
  <c r="AP78" i="14" s="1"/>
  <c r="L78" i="14"/>
  <c r="P78" i="14"/>
  <c r="AN78" i="14" s="1"/>
  <c r="N78" i="14"/>
  <c r="AL78" i="14" s="1"/>
  <c r="T78" i="14"/>
  <c r="AR78" i="14" s="1"/>
  <c r="M78" i="14"/>
  <c r="AK78" i="14" s="1"/>
  <c r="Y77" i="14"/>
  <c r="AG77" i="14"/>
  <c r="Z77" i="14"/>
  <c r="AF77" i="14"/>
  <c r="AB77" i="14"/>
  <c r="AC77" i="14"/>
  <c r="AD77" i="14"/>
  <c r="X77" i="14"/>
  <c r="AE77" i="14"/>
  <c r="AA77" i="14"/>
  <c r="Z76" i="14"/>
  <c r="AA76" i="14"/>
  <c r="AC76" i="14"/>
  <c r="AF76" i="14"/>
  <c r="Y76" i="14"/>
  <c r="AB76" i="14"/>
  <c r="AD76" i="14"/>
  <c r="X76" i="14"/>
  <c r="AG76" i="14"/>
  <c r="AE76" i="14"/>
  <c r="CL75" i="14"/>
  <c r="BX75" i="14"/>
  <c r="BT75" i="14"/>
  <c r="BW75" i="14"/>
  <c r="BU75" i="14"/>
  <c r="BY75" i="14"/>
  <c r="BV75" i="14"/>
  <c r="BJ75" i="14"/>
  <c r="BI75" i="14"/>
  <c r="BS75" i="14" s="1"/>
  <c r="CD75" i="14" s="1"/>
  <c r="BO75" i="14"/>
  <c r="BM75" i="14"/>
  <c r="BL75" i="14"/>
  <c r="BK75" i="14"/>
  <c r="BF75" i="14"/>
  <c r="BP75" i="14" s="1"/>
  <c r="CA75" i="14" s="1"/>
  <c r="BH75" i="14"/>
  <c r="BR75" i="14" s="1"/>
  <c r="CC75" i="14" s="1"/>
  <c r="BN75" i="14"/>
  <c r="BG75" i="14"/>
  <c r="BQ75" i="14" s="1"/>
  <c r="CB75" i="14" s="1"/>
  <c r="BD74" i="14"/>
  <c r="BC74" i="14"/>
  <c r="Y73" i="14"/>
  <c r="AG73" i="14"/>
  <c r="Z73" i="14"/>
  <c r="AB73" i="14"/>
  <c r="AD73" i="14"/>
  <c r="X73" i="14"/>
  <c r="AE73" i="14"/>
  <c r="AA73" i="14"/>
  <c r="AF73" i="14"/>
  <c r="AC73" i="14"/>
  <c r="U72" i="14"/>
  <c r="AS72" i="14" s="1"/>
  <c r="Q72" i="14"/>
  <c r="AO72" i="14" s="1"/>
  <c r="R72" i="14"/>
  <c r="AP72" i="14" s="1"/>
  <c r="O72" i="14"/>
  <c r="AM72" i="14" s="1"/>
  <c r="S72" i="14"/>
  <c r="L72" i="14"/>
  <c r="AJ72" i="14" s="1"/>
  <c r="P72" i="14"/>
  <c r="AN72" i="14" s="1"/>
  <c r="N72" i="14"/>
  <c r="AL72" i="14" s="1"/>
  <c r="M72" i="14"/>
  <c r="T72" i="14"/>
  <c r="AR72" i="14" s="1"/>
  <c r="BC71" i="14"/>
  <c r="BD71" i="14"/>
  <c r="BY70" i="14"/>
  <c r="BU70" i="14"/>
  <c r="CL70" i="14"/>
  <c r="BX70" i="14"/>
  <c r="BT70" i="14"/>
  <c r="BV70" i="14"/>
  <c r="BW70" i="14"/>
  <c r="BK70" i="14"/>
  <c r="BJ70" i="14"/>
  <c r="BO70" i="14"/>
  <c r="BL70" i="14"/>
  <c r="BI70" i="14"/>
  <c r="BS70" i="14" s="1"/>
  <c r="CD70" i="14" s="1"/>
  <c r="BM70" i="14"/>
  <c r="BF70" i="14"/>
  <c r="BP70" i="14" s="1"/>
  <c r="CA70" i="14" s="1"/>
  <c r="BG70" i="14"/>
  <c r="BQ70" i="14" s="1"/>
  <c r="CB70" i="14" s="1"/>
  <c r="BH70" i="14"/>
  <c r="BR70" i="14" s="1"/>
  <c r="CC70" i="14" s="1"/>
  <c r="BN70" i="14"/>
  <c r="BD69" i="14"/>
  <c r="BC69" i="14"/>
  <c r="O68" i="14"/>
  <c r="AM68" i="14" s="1"/>
  <c r="U68" i="14"/>
  <c r="R68" i="14"/>
  <c r="AP68" i="14" s="1"/>
  <c r="Q68" i="14"/>
  <c r="AO68" i="14" s="1"/>
  <c r="L68" i="14"/>
  <c r="AJ68" i="14" s="1"/>
  <c r="P68" i="14"/>
  <c r="AN68" i="14" s="1"/>
  <c r="S68" i="14"/>
  <c r="AQ68" i="14" s="1"/>
  <c r="N68" i="14"/>
  <c r="AL68" i="14" s="1"/>
  <c r="T68" i="14"/>
  <c r="AR68" i="14" s="1"/>
  <c r="M68" i="14"/>
  <c r="AK68" i="14" s="1"/>
  <c r="CL67" i="14"/>
  <c r="BX67" i="14"/>
  <c r="BT67" i="14"/>
  <c r="BW67" i="14"/>
  <c r="BU67" i="14"/>
  <c r="BY67" i="14"/>
  <c r="BV67" i="14"/>
  <c r="BI67" i="14"/>
  <c r="BS67" i="14" s="1"/>
  <c r="CD67" i="14" s="1"/>
  <c r="BO67" i="14"/>
  <c r="BK67" i="14"/>
  <c r="BJ67" i="14"/>
  <c r="BM67" i="14"/>
  <c r="BL67" i="14"/>
  <c r="BF67" i="14"/>
  <c r="BP67" i="14" s="1"/>
  <c r="CA67" i="14" s="1"/>
  <c r="BH67" i="14"/>
  <c r="BR67" i="14" s="1"/>
  <c r="CC67" i="14" s="1"/>
  <c r="BN67" i="14"/>
  <c r="BG67" i="14"/>
  <c r="BQ67" i="14" s="1"/>
  <c r="CB67" i="14" s="1"/>
  <c r="BD66" i="14"/>
  <c r="BC66" i="14"/>
  <c r="BV65" i="14"/>
  <c r="BY65" i="14"/>
  <c r="BU65" i="14"/>
  <c r="BL65" i="14"/>
  <c r="CL65" i="14"/>
  <c r="BX65" i="14"/>
  <c r="BW65" i="14"/>
  <c r="BK65" i="14"/>
  <c r="BO65" i="14"/>
  <c r="BI65" i="14"/>
  <c r="BS65" i="14" s="1"/>
  <c r="CD65" i="14" s="1"/>
  <c r="BM65" i="14"/>
  <c r="BF65" i="14"/>
  <c r="BP65" i="14" s="1"/>
  <c r="CA65" i="14" s="1"/>
  <c r="BJ65" i="14"/>
  <c r="BT65" i="14" s="1"/>
  <c r="BH65" i="14"/>
  <c r="BR65" i="14" s="1"/>
  <c r="CC65" i="14" s="1"/>
  <c r="BN65" i="14"/>
  <c r="BG65" i="14"/>
  <c r="BQ65" i="14" s="1"/>
  <c r="CB65" i="14" s="1"/>
  <c r="BX64" i="14"/>
  <c r="BW64" i="14"/>
  <c r="BU64" i="14"/>
  <c r="CL64" i="14"/>
  <c r="BY64" i="14"/>
  <c r="BV64" i="14"/>
  <c r="BJ64" i="14"/>
  <c r="BT64" i="14" s="1"/>
  <c r="CE64" i="14" s="1"/>
  <c r="BO64" i="14"/>
  <c r="BI64" i="14"/>
  <c r="BS64" i="14" s="1"/>
  <c r="CD64" i="14" s="1"/>
  <c r="BK64" i="14"/>
  <c r="BM64" i="14"/>
  <c r="BL64" i="14"/>
  <c r="BF64" i="14"/>
  <c r="BP64" i="14" s="1"/>
  <c r="CA64" i="14" s="1"/>
  <c r="BN64" i="14"/>
  <c r="BH64" i="14"/>
  <c r="BR64" i="14" s="1"/>
  <c r="CC64" i="14" s="1"/>
  <c r="BG64" i="14"/>
  <c r="BQ64" i="14" s="1"/>
  <c r="CB64" i="14" s="1"/>
  <c r="BD63" i="14"/>
  <c r="BC63" i="14"/>
  <c r="O62" i="14"/>
  <c r="AM62" i="14" s="1"/>
  <c r="R62" i="14"/>
  <c r="AP62" i="14" s="1"/>
  <c r="Q62" i="14"/>
  <c r="AO62" i="14" s="1"/>
  <c r="U62" i="14"/>
  <c r="AS62" i="14" s="1"/>
  <c r="S62" i="14"/>
  <c r="AQ62" i="14" s="1"/>
  <c r="P62" i="14"/>
  <c r="AN62" i="14" s="1"/>
  <c r="L62" i="14"/>
  <c r="AJ62" i="14" s="1"/>
  <c r="N62" i="14"/>
  <c r="AL62" i="14" s="1"/>
  <c r="T62" i="14"/>
  <c r="M62" i="14"/>
  <c r="AK62" i="14" s="1"/>
  <c r="Q61" i="14"/>
  <c r="AO61" i="14" s="1"/>
  <c r="U61" i="14"/>
  <c r="AS61" i="14" s="1"/>
  <c r="R61" i="14"/>
  <c r="AP61" i="14" s="1"/>
  <c r="O61" i="14"/>
  <c r="AM61" i="14" s="1"/>
  <c r="S61" i="14"/>
  <c r="AQ61" i="14" s="1"/>
  <c r="L61" i="14"/>
  <c r="AJ61" i="14" s="1"/>
  <c r="P61" i="14"/>
  <c r="T61" i="14"/>
  <c r="AR61" i="14" s="1"/>
  <c r="N61" i="14"/>
  <c r="AL61" i="14" s="1"/>
  <c r="M61" i="14"/>
  <c r="AK61" i="14" s="1"/>
  <c r="R60" i="14"/>
  <c r="O60" i="14"/>
  <c r="S60" i="14"/>
  <c r="Q60" i="14"/>
  <c r="U60" i="14"/>
  <c r="L60" i="14"/>
  <c r="P60" i="14"/>
  <c r="N60" i="14"/>
  <c r="T60" i="14"/>
  <c r="M60" i="14"/>
  <c r="R59" i="14"/>
  <c r="AP59" i="14" s="1"/>
  <c r="U59" i="14"/>
  <c r="AS59" i="14" s="1"/>
  <c r="Q59" i="14"/>
  <c r="AO59" i="14" s="1"/>
  <c r="S59" i="14"/>
  <c r="AQ59" i="14" s="1"/>
  <c r="O59" i="14"/>
  <c r="AM59" i="14" s="1"/>
  <c r="P59" i="14"/>
  <c r="AN59" i="14" s="1"/>
  <c r="L59" i="14"/>
  <c r="AJ59" i="14" s="1"/>
  <c r="N59" i="14"/>
  <c r="AL59" i="14" s="1"/>
  <c r="T59" i="14"/>
  <c r="AR59" i="14" s="1"/>
  <c r="M59" i="14"/>
  <c r="AK59" i="14" s="1"/>
  <c r="AD58" i="14"/>
  <c r="Y58" i="14"/>
  <c r="Z58" i="14"/>
  <c r="AF58" i="14"/>
  <c r="AA58" i="14"/>
  <c r="AB58" i="14"/>
  <c r="AG58" i="14"/>
  <c r="X58" i="14"/>
  <c r="AE58" i="14"/>
  <c r="AC58" i="14"/>
  <c r="O57" i="14"/>
  <c r="U57" i="14"/>
  <c r="S57" i="14"/>
  <c r="R57" i="14"/>
  <c r="Q57" i="14"/>
  <c r="L57" i="14"/>
  <c r="P57" i="14"/>
  <c r="M57" i="14"/>
  <c r="T57" i="14"/>
  <c r="N57" i="14"/>
  <c r="AC56" i="14"/>
  <c r="X56" i="14"/>
  <c r="Y56" i="14"/>
  <c r="AD56" i="14"/>
  <c r="AA56" i="14"/>
  <c r="Z56" i="14"/>
  <c r="AB56" i="14"/>
  <c r="AF56" i="14"/>
  <c r="AG56" i="14"/>
  <c r="AE56" i="14"/>
  <c r="R55" i="14"/>
  <c r="Q55" i="14"/>
  <c r="U55" i="14"/>
  <c r="O55" i="14"/>
  <c r="S55" i="14"/>
  <c r="P55" i="14"/>
  <c r="L55" i="14"/>
  <c r="T55" i="14"/>
  <c r="N55" i="14"/>
  <c r="M55" i="14"/>
  <c r="AF54" i="14"/>
  <c r="AA54" i="14"/>
  <c r="AB54" i="14"/>
  <c r="AG54" i="14"/>
  <c r="X54" i="14"/>
  <c r="AC54" i="14"/>
  <c r="AD54" i="14"/>
  <c r="Z54" i="14"/>
  <c r="Y54" i="14"/>
  <c r="AE54" i="14"/>
  <c r="AE53" i="14"/>
  <c r="Y53" i="14"/>
  <c r="AA53" i="14"/>
  <c r="AF53" i="14"/>
  <c r="AD53" i="14"/>
  <c r="AG53" i="14"/>
  <c r="AC53" i="14"/>
  <c r="Z53" i="14"/>
  <c r="AB53" i="14"/>
  <c r="X53" i="14"/>
  <c r="BY52" i="14"/>
  <c r="CL52" i="14"/>
  <c r="BX52" i="14"/>
  <c r="BL52" i="14"/>
  <c r="BV52" i="14" s="1"/>
  <c r="BW52" i="14"/>
  <c r="BK52" i="14"/>
  <c r="BU52" i="14" s="1"/>
  <c r="CF52" i="14" s="1"/>
  <c r="BJ52" i="14"/>
  <c r="BT52" i="14" s="1"/>
  <c r="CE52" i="14" s="1"/>
  <c r="BO52" i="14"/>
  <c r="BM52" i="14"/>
  <c r="BI52" i="14"/>
  <c r="BS52" i="14" s="1"/>
  <c r="CD52" i="14" s="1"/>
  <c r="BF52" i="14"/>
  <c r="BP52" i="14" s="1"/>
  <c r="CA52" i="14" s="1"/>
  <c r="BH52" i="14"/>
  <c r="BR52" i="14" s="1"/>
  <c r="CC52" i="14" s="1"/>
  <c r="BG52" i="14"/>
  <c r="BQ52" i="14" s="1"/>
  <c r="CB52" i="14" s="1"/>
  <c r="BN52" i="14"/>
  <c r="CL51" i="14"/>
  <c r="BY51" i="14"/>
  <c r="BX51" i="14"/>
  <c r="BL51" i="14"/>
  <c r="BV51" i="14" s="1"/>
  <c r="BW51" i="14"/>
  <c r="BO51" i="14"/>
  <c r="BK51" i="14"/>
  <c r="BU51" i="14" s="1"/>
  <c r="CF51" i="14" s="1"/>
  <c r="BM51" i="14"/>
  <c r="BI51" i="14"/>
  <c r="BS51" i="14" s="1"/>
  <c r="CD51" i="14" s="1"/>
  <c r="BF51" i="14"/>
  <c r="BP51" i="14" s="1"/>
  <c r="CA51" i="14" s="1"/>
  <c r="BJ51" i="14"/>
  <c r="BT51" i="14" s="1"/>
  <c r="CE51" i="14" s="1"/>
  <c r="BH51" i="14"/>
  <c r="BR51" i="14" s="1"/>
  <c r="CC51" i="14" s="1"/>
  <c r="BG51" i="14"/>
  <c r="BQ51" i="14" s="1"/>
  <c r="CB51" i="14" s="1"/>
  <c r="BN51" i="14"/>
  <c r="BC50" i="14"/>
  <c r="BD50" i="14"/>
  <c r="U49" i="14"/>
  <c r="Q49" i="14"/>
  <c r="O49" i="14"/>
  <c r="S49" i="14"/>
  <c r="R49" i="14"/>
  <c r="P49" i="14"/>
  <c r="L49" i="14"/>
  <c r="T49" i="14"/>
  <c r="N49" i="14"/>
  <c r="M49" i="14"/>
  <c r="BD48" i="14"/>
  <c r="BC48" i="14"/>
  <c r="BC47" i="14"/>
  <c r="BD47" i="14"/>
  <c r="O46" i="14"/>
  <c r="R46" i="14"/>
  <c r="AP46" i="14" s="1"/>
  <c r="U46" i="14"/>
  <c r="AS46" i="14" s="1"/>
  <c r="S46" i="14"/>
  <c r="Q46" i="14"/>
  <c r="AO46" i="14" s="1"/>
  <c r="P46" i="14"/>
  <c r="AN46" i="14" s="1"/>
  <c r="L46" i="14"/>
  <c r="AJ46" i="14" s="1"/>
  <c r="N46" i="14"/>
  <c r="AL46" i="14" s="1"/>
  <c r="T46" i="14"/>
  <c r="AR46" i="14" s="1"/>
  <c r="M46" i="14"/>
  <c r="AK46" i="14" s="1"/>
  <c r="AF45" i="14"/>
  <c r="AA45" i="14"/>
  <c r="AG45" i="14"/>
  <c r="AB45" i="14"/>
  <c r="X45" i="14"/>
  <c r="Y45" i="14"/>
  <c r="AC45" i="14"/>
  <c r="AE45" i="14"/>
  <c r="AD45" i="14"/>
  <c r="Z45" i="14"/>
  <c r="BC44" i="14"/>
  <c r="BD44" i="14"/>
  <c r="BC43" i="14"/>
  <c r="BD43" i="14"/>
  <c r="O42" i="14"/>
  <c r="R42" i="14"/>
  <c r="AP42" i="14" s="1"/>
  <c r="U42" i="14"/>
  <c r="AS42" i="14" s="1"/>
  <c r="S42" i="14"/>
  <c r="Q42" i="14"/>
  <c r="AO42" i="14" s="1"/>
  <c r="P42" i="14"/>
  <c r="AN42" i="14" s="1"/>
  <c r="L42" i="14"/>
  <c r="AJ42" i="14" s="1"/>
  <c r="N42" i="14"/>
  <c r="AL42" i="14" s="1"/>
  <c r="M42" i="14"/>
  <c r="T42" i="14"/>
  <c r="AR42" i="14" s="1"/>
  <c r="CL41" i="14"/>
  <c r="BO41" i="14"/>
  <c r="BY41" i="14" s="1"/>
  <c r="BJ41" i="14"/>
  <c r="BT41" i="14" s="1"/>
  <c r="CE41" i="14" s="1"/>
  <c r="BK41" i="14"/>
  <c r="BU41" i="14" s="1"/>
  <c r="CF41" i="14" s="1"/>
  <c r="BM41" i="14"/>
  <c r="BW41" i="14" s="1"/>
  <c r="CH41" i="14" s="1"/>
  <c r="BL41" i="14"/>
  <c r="BV41" i="14" s="1"/>
  <c r="CG41" i="14" s="1"/>
  <c r="BI41" i="14"/>
  <c r="BS41" i="14" s="1"/>
  <c r="CD41" i="14" s="1"/>
  <c r="BF41" i="14"/>
  <c r="BP41" i="14" s="1"/>
  <c r="CA41" i="14" s="1"/>
  <c r="BG41" i="14"/>
  <c r="BQ41" i="14" s="1"/>
  <c r="CB41" i="14" s="1"/>
  <c r="BH41" i="14"/>
  <c r="BR41" i="14" s="1"/>
  <c r="CC41" i="14" s="1"/>
  <c r="BN41" i="14"/>
  <c r="BX41" i="14" s="1"/>
  <c r="CI41" i="14" s="1"/>
  <c r="AB40" i="14"/>
  <c r="AG40" i="14"/>
  <c r="AC40" i="14"/>
  <c r="X40" i="14"/>
  <c r="AE40" i="14"/>
  <c r="Y40" i="14"/>
  <c r="AA40" i="14"/>
  <c r="AD40" i="14"/>
  <c r="Z40" i="14"/>
  <c r="AF40" i="14"/>
  <c r="AA39" i="14"/>
  <c r="AG39" i="14"/>
  <c r="AC39" i="14"/>
  <c r="X39" i="14"/>
  <c r="AF39" i="14"/>
  <c r="Y39" i="14"/>
  <c r="Z39" i="14"/>
  <c r="AB39" i="14"/>
  <c r="AD39" i="14"/>
  <c r="AE39" i="14"/>
  <c r="Q38" i="14"/>
  <c r="AO38" i="14" s="1"/>
  <c r="O38" i="14"/>
  <c r="AM38" i="14" s="1"/>
  <c r="S38" i="14"/>
  <c r="AQ38" i="14" s="1"/>
  <c r="U38" i="14"/>
  <c r="AS38" i="14" s="1"/>
  <c r="R38" i="14"/>
  <c r="AP38" i="14" s="1"/>
  <c r="P38" i="14"/>
  <c r="L38" i="14"/>
  <c r="AJ38" i="14" s="1"/>
  <c r="N38" i="14"/>
  <c r="T38" i="14"/>
  <c r="AR38" i="14" s="1"/>
  <c r="M38" i="14"/>
  <c r="AK38" i="14" s="1"/>
  <c r="S37" i="14"/>
  <c r="R37" i="14"/>
  <c r="O37" i="14"/>
  <c r="Q37" i="14"/>
  <c r="U37" i="14"/>
  <c r="L37" i="14"/>
  <c r="P37" i="14"/>
  <c r="N37" i="14"/>
  <c r="T37" i="14"/>
  <c r="M37" i="14"/>
  <c r="BD157" i="14"/>
  <c r="BC157" i="14"/>
  <c r="AX125" i="17"/>
  <c r="AJ125" i="17"/>
  <c r="AB125" i="17"/>
  <c r="AS125" i="17"/>
  <c r="AI125" i="17"/>
  <c r="X125" i="17"/>
  <c r="BY156" i="14"/>
  <c r="BU156" i="14"/>
  <c r="BQ156" i="14"/>
  <c r="CL156" i="14"/>
  <c r="BX156" i="14"/>
  <c r="BT156" i="14"/>
  <c r="BW156" i="14"/>
  <c r="BS156" i="14"/>
  <c r="BR156" i="14"/>
  <c r="BV156" i="14"/>
  <c r="BJ156" i="14"/>
  <c r="BM156" i="14"/>
  <c r="BO156" i="14"/>
  <c r="BI156" i="14"/>
  <c r="BL156" i="14"/>
  <c r="BK156" i="14"/>
  <c r="BF156" i="14"/>
  <c r="BP156" i="14" s="1"/>
  <c r="BH156" i="14"/>
  <c r="BN156" i="14"/>
  <c r="BG156" i="14"/>
  <c r="Y154" i="14"/>
  <c r="AB154" i="14"/>
  <c r="X154" i="14"/>
  <c r="AD154" i="14"/>
  <c r="AG154" i="14"/>
  <c r="Z154" i="14"/>
  <c r="AC154" i="14"/>
  <c r="AF154" i="14"/>
  <c r="AA154" i="14"/>
  <c r="AE154" i="14"/>
  <c r="BV151" i="14"/>
  <c r="BR151" i="14"/>
  <c r="CL151" i="14"/>
  <c r="BY151" i="14"/>
  <c r="BU151" i="14"/>
  <c r="BQ151" i="14"/>
  <c r="BX151" i="14"/>
  <c r="BT151" i="14"/>
  <c r="BW151" i="14"/>
  <c r="BS151" i="14"/>
  <c r="BI151" i="14"/>
  <c r="BL151" i="14"/>
  <c r="BJ151" i="14"/>
  <c r="BK151" i="14"/>
  <c r="BF151" i="14"/>
  <c r="BP151" i="14" s="1"/>
  <c r="CA151" i="14" s="1"/>
  <c r="BM151" i="14"/>
  <c r="BO151" i="14"/>
  <c r="BN151" i="14"/>
  <c r="BH151" i="14"/>
  <c r="BG151" i="14"/>
  <c r="AF148" i="14"/>
  <c r="Z148" i="14"/>
  <c r="AC148" i="14"/>
  <c r="AB148" i="14"/>
  <c r="X148" i="14"/>
  <c r="AD148" i="14"/>
  <c r="AE148" i="14"/>
  <c r="AG148" i="14"/>
  <c r="AA148" i="14"/>
  <c r="Y148" i="14"/>
  <c r="BX145" i="14"/>
  <c r="BT145" i="14"/>
  <c r="BV145" i="14"/>
  <c r="BR145" i="14"/>
  <c r="BS145" i="14"/>
  <c r="BY145" i="14"/>
  <c r="BQ145" i="14"/>
  <c r="CL145" i="14"/>
  <c r="BW145" i="14"/>
  <c r="BU145" i="14"/>
  <c r="BL145" i="14"/>
  <c r="BF145" i="14"/>
  <c r="BP145" i="14" s="1"/>
  <c r="CA145" i="14" s="1"/>
  <c r="BK145" i="14"/>
  <c r="BO145" i="14"/>
  <c r="BM145" i="14"/>
  <c r="BJ145" i="14"/>
  <c r="BI145" i="14"/>
  <c r="BH145" i="14"/>
  <c r="BG145" i="14"/>
  <c r="BN145" i="14"/>
  <c r="AB142" i="14"/>
  <c r="AC142" i="14"/>
  <c r="X142" i="14"/>
  <c r="AE142" i="14"/>
  <c r="AD142" i="14"/>
  <c r="Z142" i="14"/>
  <c r="AF142" i="14"/>
  <c r="AG142" i="14"/>
  <c r="AA142" i="14"/>
  <c r="Y142" i="14"/>
  <c r="CL139" i="14"/>
  <c r="BY139" i="14"/>
  <c r="BU139" i="14"/>
  <c r="BQ139" i="14"/>
  <c r="BW139" i="14"/>
  <c r="BS139" i="14"/>
  <c r="BX139" i="14"/>
  <c r="BV139" i="14"/>
  <c r="BT139" i="14"/>
  <c r="BR139" i="14"/>
  <c r="BJ139" i="14"/>
  <c r="BO139" i="14"/>
  <c r="BK139" i="14"/>
  <c r="BF139" i="14"/>
  <c r="BP139" i="14" s="1"/>
  <c r="CA139" i="14" s="1"/>
  <c r="BM139" i="14"/>
  <c r="BL139" i="14"/>
  <c r="BI139" i="14"/>
  <c r="BN139" i="14"/>
  <c r="BG139" i="14"/>
  <c r="BH139" i="14"/>
  <c r="Q137" i="14"/>
  <c r="AO137" i="14" s="1"/>
  <c r="L137" i="14"/>
  <c r="AJ137" i="14" s="1"/>
  <c r="U137" i="14"/>
  <c r="R137" i="14"/>
  <c r="O137" i="14"/>
  <c r="AM137" i="14" s="1"/>
  <c r="S137" i="14"/>
  <c r="P137" i="14"/>
  <c r="AN137" i="14" s="1"/>
  <c r="T137" i="14"/>
  <c r="M137" i="14"/>
  <c r="N137" i="14"/>
  <c r="AL137" i="14" s="1"/>
  <c r="BX134" i="14"/>
  <c r="BT134" i="14"/>
  <c r="BW134" i="14"/>
  <c r="BS134" i="14"/>
  <c r="BV134" i="14"/>
  <c r="BR134" i="14"/>
  <c r="CL134" i="14"/>
  <c r="BQ134" i="14"/>
  <c r="BY134" i="14"/>
  <c r="BU134" i="14"/>
  <c r="BI134" i="14"/>
  <c r="BL134" i="14"/>
  <c r="BO134" i="14"/>
  <c r="BJ134" i="14"/>
  <c r="BK134" i="14"/>
  <c r="BF134" i="14"/>
  <c r="BP134" i="14" s="1"/>
  <c r="CA134" i="14" s="1"/>
  <c r="BM134" i="14"/>
  <c r="BH134" i="14"/>
  <c r="BN134" i="14"/>
  <c r="BG134" i="14"/>
  <c r="U131" i="14"/>
  <c r="S131" i="14"/>
  <c r="O131" i="14"/>
  <c r="R131" i="14"/>
  <c r="P131" i="14"/>
  <c r="L131" i="14"/>
  <c r="Q131" i="14"/>
  <c r="T131" i="14"/>
  <c r="N131" i="14"/>
  <c r="M131" i="14"/>
  <c r="AC129" i="14"/>
  <c r="Y129" i="14"/>
  <c r="AB129" i="14"/>
  <c r="AG129" i="14"/>
  <c r="AE129" i="14"/>
  <c r="AF129" i="14"/>
  <c r="AA129" i="14"/>
  <c r="Z129" i="14"/>
  <c r="X129" i="14"/>
  <c r="AD129" i="14"/>
  <c r="U126" i="14"/>
  <c r="L126" i="14"/>
  <c r="S126" i="14"/>
  <c r="AQ126" i="14" s="1"/>
  <c r="Q126" i="14"/>
  <c r="O126" i="14"/>
  <c r="AM126" i="14" s="1"/>
  <c r="R126" i="14"/>
  <c r="AP126" i="14" s="1"/>
  <c r="P126" i="14"/>
  <c r="AN126" i="14" s="1"/>
  <c r="T126" i="14"/>
  <c r="M126" i="14"/>
  <c r="AK126" i="14" s="1"/>
  <c r="N126" i="14"/>
  <c r="AL126" i="14" s="1"/>
  <c r="AB124" i="14"/>
  <c r="AE124" i="14"/>
  <c r="AF124" i="14"/>
  <c r="AA124" i="14"/>
  <c r="AD124" i="14"/>
  <c r="Z124" i="14"/>
  <c r="AG124" i="14"/>
  <c r="AC124" i="14"/>
  <c r="X124" i="14"/>
  <c r="Y124" i="14"/>
  <c r="U122" i="14"/>
  <c r="Q122" i="14"/>
  <c r="AO122" i="14" s="1"/>
  <c r="L122" i="14"/>
  <c r="AJ122" i="14" s="1"/>
  <c r="S122" i="14"/>
  <c r="O122" i="14"/>
  <c r="AM122" i="14" s="1"/>
  <c r="R122" i="14"/>
  <c r="P122" i="14"/>
  <c r="AN122" i="14" s="1"/>
  <c r="T122" i="14"/>
  <c r="AR122" i="14" s="1"/>
  <c r="M122" i="14"/>
  <c r="AK122" i="14" s="1"/>
  <c r="N122" i="14"/>
  <c r="AL122" i="14" s="1"/>
  <c r="AD119" i="14"/>
  <c r="AA119" i="14"/>
  <c r="Z119" i="14"/>
  <c r="X119" i="14"/>
  <c r="AE119" i="14"/>
  <c r="AG119" i="14"/>
  <c r="AC119" i="14"/>
  <c r="AF119" i="14"/>
  <c r="Y119" i="14"/>
  <c r="AB119" i="14"/>
  <c r="Q116" i="14"/>
  <c r="AO116" i="14" s="1"/>
  <c r="S116" i="14"/>
  <c r="AQ116" i="14" s="1"/>
  <c r="O116" i="14"/>
  <c r="L116" i="14"/>
  <c r="AJ116" i="14" s="1"/>
  <c r="R116" i="14"/>
  <c r="AP116" i="14" s="1"/>
  <c r="U116" i="14"/>
  <c r="P116" i="14"/>
  <c r="T116" i="14"/>
  <c r="AR116" i="14" s="1"/>
  <c r="N116" i="14"/>
  <c r="AL116" i="14" s="1"/>
  <c r="M116" i="14"/>
  <c r="AK116" i="14" s="1"/>
  <c r="AF114" i="14"/>
  <c r="AC114" i="14"/>
  <c r="AB114" i="14"/>
  <c r="X114" i="14"/>
  <c r="Z114" i="14"/>
  <c r="AE114" i="14"/>
  <c r="Y114" i="14"/>
  <c r="AA114" i="14"/>
  <c r="AG114" i="14"/>
  <c r="AD114" i="14"/>
  <c r="P111" i="14"/>
  <c r="R111" i="14"/>
  <c r="U111" i="14"/>
  <c r="L111" i="14"/>
  <c r="S111" i="14"/>
  <c r="Q111" i="14"/>
  <c r="O111" i="14"/>
  <c r="T111" i="14"/>
  <c r="M111" i="14"/>
  <c r="N111" i="14"/>
  <c r="R109" i="14"/>
  <c r="Q109" i="14"/>
  <c r="O109" i="14"/>
  <c r="P109" i="14"/>
  <c r="U109" i="14"/>
  <c r="L109" i="14"/>
  <c r="S109" i="14"/>
  <c r="M109" i="14"/>
  <c r="N109" i="14"/>
  <c r="T109" i="14"/>
  <c r="P107" i="14"/>
  <c r="AN107" i="14" s="1"/>
  <c r="R107" i="14"/>
  <c r="AP107" i="14" s="1"/>
  <c r="U107" i="14"/>
  <c r="L107" i="14"/>
  <c r="AJ107" i="14" s="1"/>
  <c r="S107" i="14"/>
  <c r="AQ107" i="14" s="1"/>
  <c r="Q107" i="14"/>
  <c r="AO107" i="14" s="1"/>
  <c r="O107" i="14"/>
  <c r="N107" i="14"/>
  <c r="AL107" i="14" s="1"/>
  <c r="T107" i="14"/>
  <c r="AR107" i="14" s="1"/>
  <c r="M107" i="14"/>
  <c r="AK107" i="14" s="1"/>
  <c r="BW104" i="14"/>
  <c r="BS104" i="14"/>
  <c r="CL104" i="14"/>
  <c r="BV104" i="14"/>
  <c r="BR104" i="14"/>
  <c r="BY104" i="14"/>
  <c r="BU104" i="14"/>
  <c r="BX104" i="14"/>
  <c r="BT104" i="14"/>
  <c r="BL104" i="14"/>
  <c r="BJ104" i="14"/>
  <c r="BM104" i="14"/>
  <c r="BO104" i="14"/>
  <c r="BF104" i="14"/>
  <c r="BP104" i="14" s="1"/>
  <c r="CA104" i="14" s="1"/>
  <c r="BI104" i="14"/>
  <c r="BK104" i="14"/>
  <c r="BH104" i="14"/>
  <c r="BN104" i="14"/>
  <c r="BG104" i="14"/>
  <c r="BQ104" i="14" s="1"/>
  <c r="CB104" i="14" s="1"/>
  <c r="O102" i="14"/>
  <c r="L102" i="14"/>
  <c r="R102" i="14"/>
  <c r="AP102" i="14" s="1"/>
  <c r="U102" i="14"/>
  <c r="Q102" i="14"/>
  <c r="AO102" i="14" s="1"/>
  <c r="P102" i="14"/>
  <c r="AN102" i="14" s="1"/>
  <c r="S102" i="14"/>
  <c r="T102" i="14"/>
  <c r="AR102" i="14" s="1"/>
  <c r="M102" i="14"/>
  <c r="AK102" i="14" s="1"/>
  <c r="N102" i="14"/>
  <c r="AL102" i="14" s="1"/>
  <c r="AB100" i="14"/>
  <c r="X100" i="14"/>
  <c r="AF100" i="14"/>
  <c r="AA100" i="14"/>
  <c r="AD100" i="14"/>
  <c r="AG100" i="14"/>
  <c r="AE100" i="14"/>
  <c r="Z100" i="14"/>
  <c r="AC100" i="14"/>
  <c r="Y100" i="14"/>
  <c r="O98" i="14"/>
  <c r="AM98" i="14" s="1"/>
  <c r="R98" i="14"/>
  <c r="U98" i="14"/>
  <c r="Q98" i="14"/>
  <c r="AO98" i="14" s="1"/>
  <c r="S98" i="14"/>
  <c r="L98" i="14"/>
  <c r="AJ98" i="14" s="1"/>
  <c r="P98" i="14"/>
  <c r="N98" i="14"/>
  <c r="AL98" i="14" s="1"/>
  <c r="T98" i="14"/>
  <c r="AR98" i="14" s="1"/>
  <c r="M98" i="14"/>
  <c r="AK98" i="14" s="1"/>
  <c r="BC91" i="14"/>
  <c r="BD91" i="14"/>
  <c r="DA126" i="14"/>
  <c r="W155" i="15"/>
  <c r="AZ155" i="15" s="1"/>
  <c r="S155" i="15"/>
  <c r="AV155" i="15" s="1"/>
  <c r="Z155" i="15"/>
  <c r="BC155" i="15" s="1"/>
  <c r="V155" i="15"/>
  <c r="AY155" i="15" s="1"/>
  <c r="R155" i="15"/>
  <c r="AU155" i="15" s="1"/>
  <c r="AL155" i="15"/>
  <c r="Y155" i="15"/>
  <c r="BB155" i="15" s="1"/>
  <c r="U155" i="15"/>
  <c r="AX155" i="15" s="1"/>
  <c r="X155" i="15"/>
  <c r="BA155" i="15" s="1"/>
  <c r="T155" i="15"/>
  <c r="AW155" i="15" s="1"/>
  <c r="S156" i="14"/>
  <c r="R156" i="14"/>
  <c r="Q156" i="14"/>
  <c r="L156" i="14"/>
  <c r="O156" i="14"/>
  <c r="U156" i="14"/>
  <c r="P156" i="14"/>
  <c r="N156" i="14"/>
  <c r="T156" i="14"/>
  <c r="M156" i="14"/>
  <c r="O155" i="14"/>
  <c r="U155" i="14"/>
  <c r="R155" i="14"/>
  <c r="Q155" i="14"/>
  <c r="P155" i="14"/>
  <c r="L155" i="14"/>
  <c r="AJ155" i="14" s="1"/>
  <c r="S155" i="14"/>
  <c r="N155" i="14"/>
  <c r="T155" i="14"/>
  <c r="M155" i="14"/>
  <c r="BC154" i="14"/>
  <c r="BD154" i="14"/>
  <c r="BD153" i="14"/>
  <c r="BC153" i="14"/>
  <c r="BV152" i="14"/>
  <c r="BR152" i="14"/>
  <c r="CL152" i="14"/>
  <c r="BY152" i="14"/>
  <c r="BU152" i="14"/>
  <c r="BQ152" i="14"/>
  <c r="BX152" i="14"/>
  <c r="BT152" i="14"/>
  <c r="BW152" i="14"/>
  <c r="BS152" i="14"/>
  <c r="BJ152" i="14"/>
  <c r="BI152" i="14"/>
  <c r="BF152" i="14"/>
  <c r="BP152" i="14" s="1"/>
  <c r="CA152" i="14" s="1"/>
  <c r="BL152" i="14"/>
  <c r="BO152" i="14"/>
  <c r="BK152" i="14"/>
  <c r="BM152" i="14"/>
  <c r="BH152" i="14"/>
  <c r="BN152" i="14"/>
  <c r="BG152" i="14"/>
  <c r="BD151" i="14"/>
  <c r="BC151" i="14"/>
  <c r="BV150" i="14"/>
  <c r="BR150" i="14"/>
  <c r="CL150" i="14"/>
  <c r="BY150" i="14"/>
  <c r="BU150" i="14"/>
  <c r="BQ150" i="14"/>
  <c r="BX150" i="14"/>
  <c r="BT150" i="14"/>
  <c r="BW150" i="14"/>
  <c r="BS150" i="14"/>
  <c r="BJ150" i="14"/>
  <c r="BI150" i="14"/>
  <c r="BF150" i="14"/>
  <c r="BP150" i="14" s="1"/>
  <c r="CA150" i="14" s="1"/>
  <c r="BL150" i="14"/>
  <c r="BO150" i="14"/>
  <c r="BK150" i="14"/>
  <c r="BM150" i="14"/>
  <c r="BN150" i="14"/>
  <c r="BH150" i="14"/>
  <c r="BG150" i="14"/>
  <c r="BD149" i="14"/>
  <c r="BC149" i="14"/>
  <c r="S148" i="14"/>
  <c r="O148" i="14"/>
  <c r="AM148" i="14" s="1"/>
  <c r="U148" i="14"/>
  <c r="L148" i="14"/>
  <c r="AJ148" i="14" s="1"/>
  <c r="Q148" i="14"/>
  <c r="R148" i="14"/>
  <c r="P148" i="14"/>
  <c r="M148" i="14"/>
  <c r="AK148" i="14" s="1"/>
  <c r="T148" i="14"/>
  <c r="N148" i="14"/>
  <c r="AC147" i="14"/>
  <c r="AF147" i="14"/>
  <c r="Y147" i="14"/>
  <c r="AE147" i="14"/>
  <c r="X147" i="14"/>
  <c r="AD147" i="14"/>
  <c r="AA147" i="14"/>
  <c r="AG147" i="14"/>
  <c r="AB147" i="14"/>
  <c r="Z147" i="14"/>
  <c r="BV146" i="14"/>
  <c r="BR146" i="14"/>
  <c r="BX146" i="14"/>
  <c r="BT146" i="14"/>
  <c r="CL146" i="14"/>
  <c r="BW146" i="14"/>
  <c r="BU146" i="14"/>
  <c r="BS146" i="14"/>
  <c r="BY146" i="14"/>
  <c r="BQ146" i="14"/>
  <c r="BI146" i="14"/>
  <c r="BJ146" i="14"/>
  <c r="BF146" i="14"/>
  <c r="BP146" i="14" s="1"/>
  <c r="CA146" i="14" s="1"/>
  <c r="BL146" i="14"/>
  <c r="BM146" i="14"/>
  <c r="BO146" i="14"/>
  <c r="BK146" i="14"/>
  <c r="BG146" i="14"/>
  <c r="BN146" i="14"/>
  <c r="BH146" i="14"/>
  <c r="Z145" i="14"/>
  <c r="AA145" i="14"/>
  <c r="X145" i="14"/>
  <c r="AG145" i="14"/>
  <c r="AC145" i="14"/>
  <c r="Y145" i="14"/>
  <c r="AE145" i="14"/>
  <c r="AF145" i="14"/>
  <c r="AD145" i="14"/>
  <c r="AB145" i="14"/>
  <c r="AA144" i="14"/>
  <c r="AF144" i="14"/>
  <c r="AD144" i="14"/>
  <c r="AC144" i="14"/>
  <c r="AB144" i="14"/>
  <c r="Z144" i="14"/>
  <c r="X144" i="14"/>
  <c r="AG144" i="14"/>
  <c r="Y144" i="14"/>
  <c r="AE144" i="14"/>
  <c r="AE143" i="14"/>
  <c r="AC143" i="14"/>
  <c r="AA143" i="14"/>
  <c r="Y143" i="14"/>
  <c r="AD143" i="14"/>
  <c r="AF143" i="14"/>
  <c r="AG143" i="14"/>
  <c r="X143" i="14"/>
  <c r="Z143" i="14"/>
  <c r="AB143" i="14"/>
  <c r="BC142" i="14"/>
  <c r="BD142" i="14"/>
  <c r="Q141" i="14"/>
  <c r="AO141" i="14" s="1"/>
  <c r="L141" i="14"/>
  <c r="AJ141" i="14" s="1"/>
  <c r="U141" i="14"/>
  <c r="R141" i="14"/>
  <c r="O141" i="14"/>
  <c r="AM141" i="14" s="1"/>
  <c r="S141" i="14"/>
  <c r="P141" i="14"/>
  <c r="M141" i="14"/>
  <c r="AK141" i="14" s="1"/>
  <c r="N141" i="14"/>
  <c r="AL141" i="14" s="1"/>
  <c r="T141" i="14"/>
  <c r="BV140" i="14"/>
  <c r="BR140" i="14"/>
  <c r="BX140" i="14"/>
  <c r="BT140" i="14"/>
  <c r="CL140" i="14"/>
  <c r="BW140" i="14"/>
  <c r="BU140" i="14"/>
  <c r="BS140" i="14"/>
  <c r="BY140" i="14"/>
  <c r="BQ140" i="14"/>
  <c r="BI140" i="14"/>
  <c r="BK140" i="14"/>
  <c r="BJ140" i="14"/>
  <c r="BM140" i="14"/>
  <c r="BF140" i="14"/>
  <c r="BP140" i="14" s="1"/>
  <c r="CA140" i="14" s="1"/>
  <c r="BL140" i="14"/>
  <c r="BO140" i="14"/>
  <c r="BN140" i="14"/>
  <c r="BG140" i="14"/>
  <c r="BH140" i="14"/>
  <c r="BD139" i="14"/>
  <c r="BC139" i="14"/>
  <c r="BC138" i="14"/>
  <c r="BD138" i="14"/>
  <c r="BW137" i="14"/>
  <c r="BS137" i="14"/>
  <c r="CL137" i="14"/>
  <c r="BY137" i="14"/>
  <c r="BU137" i="14"/>
  <c r="BQ137" i="14"/>
  <c r="BX137" i="14"/>
  <c r="BV137" i="14"/>
  <c r="BT137" i="14"/>
  <c r="BR137" i="14"/>
  <c r="BJ137" i="14"/>
  <c r="BK137" i="14"/>
  <c r="BI137" i="14"/>
  <c r="BL137" i="14"/>
  <c r="BO137" i="14"/>
  <c r="BM137" i="14"/>
  <c r="BF137" i="14"/>
  <c r="BP137" i="14" s="1"/>
  <c r="CA137" i="14" s="1"/>
  <c r="BG137" i="14"/>
  <c r="BN137" i="14"/>
  <c r="BH137" i="14"/>
  <c r="AB136" i="14"/>
  <c r="Z136" i="14"/>
  <c r="AE136" i="14"/>
  <c r="X136" i="14"/>
  <c r="AG136" i="14"/>
  <c r="Y136" i="14"/>
  <c r="AF136" i="14"/>
  <c r="AD136" i="14"/>
  <c r="AC136" i="14"/>
  <c r="AA136" i="14"/>
  <c r="BC135" i="14"/>
  <c r="BD135" i="14"/>
  <c r="AF134" i="14"/>
  <c r="AA134" i="14"/>
  <c r="Z134" i="14"/>
  <c r="AE134" i="14"/>
  <c r="AD134" i="14"/>
  <c r="AC134" i="14"/>
  <c r="Y134" i="14"/>
  <c r="AB134" i="14"/>
  <c r="X134" i="14"/>
  <c r="AG134" i="14"/>
  <c r="Q133" i="14"/>
  <c r="AO133" i="14" s="1"/>
  <c r="O133" i="14"/>
  <c r="P133" i="14"/>
  <c r="AN133" i="14" s="1"/>
  <c r="R133" i="14"/>
  <c r="AP133" i="14" s="1"/>
  <c r="U133" i="14"/>
  <c r="L133" i="14"/>
  <c r="S133" i="14"/>
  <c r="T133" i="14"/>
  <c r="N133" i="14"/>
  <c r="AL133" i="14" s="1"/>
  <c r="M133" i="14"/>
  <c r="AK133" i="14" s="1"/>
  <c r="AF132" i="14"/>
  <c r="AA132" i="14"/>
  <c r="AD132" i="14"/>
  <c r="AE132" i="14"/>
  <c r="Y132" i="14"/>
  <c r="Z132" i="14"/>
  <c r="AG132" i="14"/>
  <c r="X132" i="14"/>
  <c r="AC132" i="14"/>
  <c r="AB132" i="14"/>
  <c r="Z131" i="14"/>
  <c r="AG131" i="14"/>
  <c r="X131" i="14"/>
  <c r="AC131" i="14"/>
  <c r="Y131" i="14"/>
  <c r="AF131" i="14"/>
  <c r="AE131" i="14"/>
  <c r="AB131" i="14"/>
  <c r="AA131" i="14"/>
  <c r="AD131" i="14"/>
  <c r="X130" i="14"/>
  <c r="AE130" i="14"/>
  <c r="AA130" i="14"/>
  <c r="AB130" i="14"/>
  <c r="Z130" i="14"/>
  <c r="AD130" i="14"/>
  <c r="AG130" i="14"/>
  <c r="AF130" i="14"/>
  <c r="AC130" i="14"/>
  <c r="Y130" i="14"/>
  <c r="BD129" i="14"/>
  <c r="BC129" i="14"/>
  <c r="AA128" i="14"/>
  <c r="AF128" i="14"/>
  <c r="AE128" i="14"/>
  <c r="AD128" i="14"/>
  <c r="Y128" i="14"/>
  <c r="AB128" i="14"/>
  <c r="AG128" i="14"/>
  <c r="X128" i="14"/>
  <c r="Z128" i="14"/>
  <c r="AC128" i="14"/>
  <c r="R127" i="14"/>
  <c r="AP127" i="14" s="1"/>
  <c r="U127" i="14"/>
  <c r="Q127" i="14"/>
  <c r="AO127" i="14" s="1"/>
  <c r="S127" i="14"/>
  <c r="O127" i="14"/>
  <c r="AM127" i="14" s="1"/>
  <c r="L127" i="14"/>
  <c r="AJ127" i="14" s="1"/>
  <c r="P127" i="14"/>
  <c r="AN127" i="14" s="1"/>
  <c r="N127" i="14"/>
  <c r="AL127" i="14" s="1"/>
  <c r="M127" i="14"/>
  <c r="AK127" i="14" s="1"/>
  <c r="T127" i="14"/>
  <c r="AR127" i="14" s="1"/>
  <c r="BX126" i="14"/>
  <c r="BT126" i="14"/>
  <c r="BW126" i="14"/>
  <c r="BS126" i="14"/>
  <c r="BV126" i="14"/>
  <c r="BR126" i="14"/>
  <c r="BU126" i="14"/>
  <c r="CL126" i="14"/>
  <c r="BQ126" i="14"/>
  <c r="BY126" i="14"/>
  <c r="BM126" i="14"/>
  <c r="BL126" i="14"/>
  <c r="BJ126" i="14"/>
  <c r="BF126" i="14"/>
  <c r="BP126" i="14" s="1"/>
  <c r="CA126" i="14" s="1"/>
  <c r="BI126" i="14"/>
  <c r="BO126" i="14"/>
  <c r="BK126" i="14"/>
  <c r="BH126" i="14"/>
  <c r="BN126" i="14"/>
  <c r="BG126" i="14"/>
  <c r="CL125" i="14"/>
  <c r="BY125" i="14"/>
  <c r="BU125" i="14"/>
  <c r="BQ125" i="14"/>
  <c r="BX125" i="14"/>
  <c r="BT125" i="14"/>
  <c r="BW125" i="14"/>
  <c r="BS125" i="14"/>
  <c r="BV125" i="14"/>
  <c r="BR125" i="14"/>
  <c r="BJ125" i="14"/>
  <c r="BO125" i="14"/>
  <c r="BM125" i="14"/>
  <c r="BK125" i="14"/>
  <c r="BI125" i="14"/>
  <c r="BL125" i="14"/>
  <c r="BF125" i="14"/>
  <c r="BP125" i="14" s="1"/>
  <c r="CA125" i="14" s="1"/>
  <c r="BH125" i="14"/>
  <c r="BN125" i="14"/>
  <c r="BG125" i="14"/>
  <c r="BD124" i="14"/>
  <c r="BC124" i="14"/>
  <c r="L123" i="14"/>
  <c r="AJ123" i="14" s="1"/>
  <c r="R123" i="14"/>
  <c r="AP123" i="14" s="1"/>
  <c r="U123" i="14"/>
  <c r="Q123" i="14"/>
  <c r="AO123" i="14" s="1"/>
  <c r="S123" i="14"/>
  <c r="AQ123" i="14" s="1"/>
  <c r="P123" i="14"/>
  <c r="AN123" i="14" s="1"/>
  <c r="O123" i="14"/>
  <c r="AM123" i="14" s="1"/>
  <c r="N123" i="14"/>
  <c r="T123" i="14"/>
  <c r="AR123" i="14" s="1"/>
  <c r="M123" i="14"/>
  <c r="BX122" i="14"/>
  <c r="BT122" i="14"/>
  <c r="BW122" i="14"/>
  <c r="BS122" i="14"/>
  <c r="BV122" i="14"/>
  <c r="BR122" i="14"/>
  <c r="CL122" i="14"/>
  <c r="BY122" i="14"/>
  <c r="BU122" i="14"/>
  <c r="BI122" i="14"/>
  <c r="BL122" i="14"/>
  <c r="BJ122" i="14"/>
  <c r="BF122" i="14"/>
  <c r="BP122" i="14" s="1"/>
  <c r="CA122" i="14" s="1"/>
  <c r="BO122" i="14"/>
  <c r="BM122" i="14"/>
  <c r="BK122" i="14"/>
  <c r="BG122" i="14"/>
  <c r="BQ122" i="14" s="1"/>
  <c r="BH122" i="14"/>
  <c r="BN122" i="14"/>
  <c r="CL121" i="14"/>
  <c r="BY121" i="14"/>
  <c r="BU121" i="14"/>
  <c r="BX121" i="14"/>
  <c r="BT121" i="14"/>
  <c r="BW121" i="14"/>
  <c r="BS121" i="14"/>
  <c r="BV121" i="14"/>
  <c r="BR121" i="14"/>
  <c r="BO121" i="14"/>
  <c r="BJ121" i="14"/>
  <c r="BM121" i="14"/>
  <c r="BK121" i="14"/>
  <c r="BF121" i="14"/>
  <c r="BP121" i="14" s="1"/>
  <c r="CA121" i="14" s="1"/>
  <c r="BI121" i="14"/>
  <c r="BL121" i="14"/>
  <c r="BG121" i="14"/>
  <c r="BQ121" i="14" s="1"/>
  <c r="BH121" i="14"/>
  <c r="BN121" i="14"/>
  <c r="BW120" i="14"/>
  <c r="BS120" i="14"/>
  <c r="CL120" i="14"/>
  <c r="BV120" i="14"/>
  <c r="BR120" i="14"/>
  <c r="BY120" i="14"/>
  <c r="BU120" i="14"/>
  <c r="BX120" i="14"/>
  <c r="BT120" i="14"/>
  <c r="BL120" i="14"/>
  <c r="BJ120" i="14"/>
  <c r="BM120" i="14"/>
  <c r="BO120" i="14"/>
  <c r="BF120" i="14"/>
  <c r="BP120" i="14" s="1"/>
  <c r="CA120" i="14" s="1"/>
  <c r="BI120" i="14"/>
  <c r="BK120" i="14"/>
  <c r="BN120" i="14"/>
  <c r="BG120" i="14"/>
  <c r="BQ120" i="14" s="1"/>
  <c r="CB120" i="14" s="1"/>
  <c r="BH120" i="14"/>
  <c r="P119" i="14"/>
  <c r="AN119" i="14" s="1"/>
  <c r="U119" i="14"/>
  <c r="L119" i="14"/>
  <c r="AJ119" i="14" s="1"/>
  <c r="S119" i="14"/>
  <c r="AQ119" i="14" s="1"/>
  <c r="Q119" i="14"/>
  <c r="O119" i="14"/>
  <c r="AM119" i="14" s="1"/>
  <c r="R119" i="14"/>
  <c r="AP119" i="14" s="1"/>
  <c r="N119" i="14"/>
  <c r="T119" i="14"/>
  <c r="AR119" i="14" s="1"/>
  <c r="M119" i="14"/>
  <c r="AK119" i="14" s="1"/>
  <c r="BW118" i="14"/>
  <c r="BS118" i="14"/>
  <c r="CL118" i="14"/>
  <c r="BV118" i="14"/>
  <c r="BR118" i="14"/>
  <c r="BY118" i="14"/>
  <c r="BU118" i="14"/>
  <c r="BT118" i="14"/>
  <c r="BX118" i="14"/>
  <c r="BL118" i="14"/>
  <c r="BO118" i="14"/>
  <c r="BF118" i="14"/>
  <c r="BP118" i="14" s="1"/>
  <c r="CA118" i="14" s="1"/>
  <c r="BI118" i="14"/>
  <c r="BK118" i="14"/>
  <c r="BJ118" i="14"/>
  <c r="BM118" i="14"/>
  <c r="BG118" i="14"/>
  <c r="BQ118" i="14" s="1"/>
  <c r="CB118" i="14" s="1"/>
  <c r="BN118" i="14"/>
  <c r="BH118" i="14"/>
  <c r="BD117" i="14"/>
  <c r="BC117" i="14"/>
  <c r="BW116" i="14"/>
  <c r="BS116" i="14"/>
  <c r="CL116" i="14"/>
  <c r="BV116" i="14"/>
  <c r="BR116" i="14"/>
  <c r="BY116" i="14"/>
  <c r="BU116" i="14"/>
  <c r="BX116" i="14"/>
  <c r="BT116" i="14"/>
  <c r="BL116" i="14"/>
  <c r="BJ116" i="14"/>
  <c r="BM116" i="14"/>
  <c r="BO116" i="14"/>
  <c r="BF116" i="14"/>
  <c r="BP116" i="14" s="1"/>
  <c r="CA116" i="14" s="1"/>
  <c r="BI116" i="14"/>
  <c r="BK116" i="14"/>
  <c r="BN116" i="14"/>
  <c r="BG116" i="14"/>
  <c r="BQ116" i="14" s="1"/>
  <c r="CB116" i="14" s="1"/>
  <c r="BH116" i="14"/>
  <c r="BY115" i="14"/>
  <c r="BU115" i="14"/>
  <c r="BX115" i="14"/>
  <c r="BT115" i="14"/>
  <c r="BW115" i="14"/>
  <c r="BS115" i="14"/>
  <c r="BV115" i="14"/>
  <c r="BR115" i="14"/>
  <c r="CL115" i="14"/>
  <c r="BI115" i="14"/>
  <c r="BL115" i="14"/>
  <c r="BO115" i="14"/>
  <c r="BJ115" i="14"/>
  <c r="BM115" i="14"/>
  <c r="BK115" i="14"/>
  <c r="BF115" i="14"/>
  <c r="BP115" i="14" s="1"/>
  <c r="CA115" i="14" s="1"/>
  <c r="BN115" i="14"/>
  <c r="BG115" i="14"/>
  <c r="BQ115" i="14" s="1"/>
  <c r="CB115" i="14" s="1"/>
  <c r="BH115" i="14"/>
  <c r="BD114" i="14"/>
  <c r="BC114" i="14"/>
  <c r="BY113" i="14"/>
  <c r="BU113" i="14"/>
  <c r="BX113" i="14"/>
  <c r="BT113" i="14"/>
  <c r="BW113" i="14"/>
  <c r="BS113" i="14"/>
  <c r="BV113" i="14"/>
  <c r="BR113" i="14"/>
  <c r="CL113" i="14"/>
  <c r="BO113" i="14"/>
  <c r="BM113" i="14"/>
  <c r="BK113" i="14"/>
  <c r="BF113" i="14"/>
  <c r="BP113" i="14" s="1"/>
  <c r="CA113" i="14" s="1"/>
  <c r="BI113" i="14"/>
  <c r="BJ113" i="14"/>
  <c r="BL113" i="14"/>
  <c r="BG113" i="14"/>
  <c r="BQ113" i="14" s="1"/>
  <c r="CB113" i="14" s="1"/>
  <c r="BH113" i="14"/>
  <c r="BN113" i="14"/>
  <c r="BW112" i="14"/>
  <c r="BS112" i="14"/>
  <c r="CL112" i="14"/>
  <c r="BV112" i="14"/>
  <c r="BR112" i="14"/>
  <c r="BY112" i="14"/>
  <c r="BU112" i="14"/>
  <c r="BX112" i="14"/>
  <c r="BT112" i="14"/>
  <c r="BL112" i="14"/>
  <c r="BJ112" i="14"/>
  <c r="BM112" i="14"/>
  <c r="BO112" i="14"/>
  <c r="BF112" i="14"/>
  <c r="BP112" i="14" s="1"/>
  <c r="CA112" i="14" s="1"/>
  <c r="BI112" i="14"/>
  <c r="BK112" i="14"/>
  <c r="BN112" i="14"/>
  <c r="BG112" i="14"/>
  <c r="BQ112" i="14" s="1"/>
  <c r="CB112" i="14" s="1"/>
  <c r="BH112" i="14"/>
  <c r="AD111" i="14"/>
  <c r="Z111" i="14"/>
  <c r="X111" i="14"/>
  <c r="AA111" i="14"/>
  <c r="AG111" i="14"/>
  <c r="AC111" i="14"/>
  <c r="AF111" i="14"/>
  <c r="AE111" i="14"/>
  <c r="Y111" i="14"/>
  <c r="AB111" i="14"/>
  <c r="BW110" i="14"/>
  <c r="BS110" i="14"/>
  <c r="CL110" i="14"/>
  <c r="BV110" i="14"/>
  <c r="BR110" i="14"/>
  <c r="BY110" i="14"/>
  <c r="BU110" i="14"/>
  <c r="BT110" i="14"/>
  <c r="BX110" i="14"/>
  <c r="BL110" i="14"/>
  <c r="BO110" i="14"/>
  <c r="BF110" i="14"/>
  <c r="BP110" i="14" s="1"/>
  <c r="CA110" i="14" s="1"/>
  <c r="BI110" i="14"/>
  <c r="BK110" i="14"/>
  <c r="BJ110" i="14"/>
  <c r="BM110" i="14"/>
  <c r="BH110" i="14"/>
  <c r="BG110" i="14"/>
  <c r="BQ110" i="14" s="1"/>
  <c r="CB110" i="14" s="1"/>
  <c r="BN110" i="14"/>
  <c r="AD109" i="14"/>
  <c r="Z109" i="14"/>
  <c r="AC109" i="14"/>
  <c r="AB109" i="14"/>
  <c r="AE109" i="14"/>
  <c r="AA109" i="14"/>
  <c r="Y109" i="14"/>
  <c r="X109" i="14"/>
  <c r="AG109" i="14"/>
  <c r="AF109" i="14"/>
  <c r="BW108" i="14"/>
  <c r="BS108" i="14"/>
  <c r="CL108" i="14"/>
  <c r="BV108" i="14"/>
  <c r="BR108" i="14"/>
  <c r="BY108" i="14"/>
  <c r="BU108" i="14"/>
  <c r="BX108" i="14"/>
  <c r="BT108" i="14"/>
  <c r="BJ108" i="14"/>
  <c r="BM108" i="14"/>
  <c r="BO108" i="14"/>
  <c r="BF108" i="14"/>
  <c r="BP108" i="14" s="1"/>
  <c r="CA108" i="14" s="1"/>
  <c r="BI108" i="14"/>
  <c r="BL108" i="14"/>
  <c r="BK108" i="14"/>
  <c r="BH108" i="14"/>
  <c r="BN108" i="14"/>
  <c r="BG108" i="14"/>
  <c r="BQ108" i="14" s="1"/>
  <c r="CB108" i="14" s="1"/>
  <c r="BY107" i="14"/>
  <c r="BU107" i="14"/>
  <c r="BX107" i="14"/>
  <c r="BT107" i="14"/>
  <c r="BW107" i="14"/>
  <c r="BS107" i="14"/>
  <c r="CL107" i="14"/>
  <c r="BV107" i="14"/>
  <c r="BR107" i="14"/>
  <c r="BI107" i="14"/>
  <c r="BJ107" i="14"/>
  <c r="BL107" i="14"/>
  <c r="BO107" i="14"/>
  <c r="BM107" i="14"/>
  <c r="BK107" i="14"/>
  <c r="BF107" i="14"/>
  <c r="BP107" i="14" s="1"/>
  <c r="CA107" i="14" s="1"/>
  <c r="BH107" i="14"/>
  <c r="BG107" i="14"/>
  <c r="BQ107" i="14" s="1"/>
  <c r="CB107" i="14" s="1"/>
  <c r="BN107" i="14"/>
  <c r="BW106" i="14"/>
  <c r="BS106" i="14"/>
  <c r="CL106" i="14"/>
  <c r="BV106" i="14"/>
  <c r="BR106" i="14"/>
  <c r="BY106" i="14"/>
  <c r="BU106" i="14"/>
  <c r="BX106" i="14"/>
  <c r="BT106" i="14"/>
  <c r="BO106" i="14"/>
  <c r="BF106" i="14"/>
  <c r="BP106" i="14" s="1"/>
  <c r="CA106" i="14" s="1"/>
  <c r="BI106" i="14"/>
  <c r="BK106" i="14"/>
  <c r="BJ106" i="14"/>
  <c r="BM106" i="14"/>
  <c r="BL106" i="14"/>
  <c r="BN106" i="14"/>
  <c r="BH106" i="14"/>
  <c r="BG106" i="14"/>
  <c r="BQ106" i="14" s="1"/>
  <c r="CB106" i="14" s="1"/>
  <c r="AE105" i="14"/>
  <c r="Z105" i="14"/>
  <c r="AD105" i="14"/>
  <c r="AC105" i="14"/>
  <c r="Y105" i="14"/>
  <c r="AF105" i="14"/>
  <c r="AB105" i="14"/>
  <c r="AG105" i="14"/>
  <c r="X105" i="14"/>
  <c r="AA105" i="14"/>
  <c r="AF104" i="14"/>
  <c r="AB104" i="14"/>
  <c r="X104" i="14"/>
  <c r="AA104" i="14"/>
  <c r="AD104" i="14"/>
  <c r="Y104" i="14"/>
  <c r="Z104" i="14"/>
  <c r="AC104" i="14"/>
  <c r="AE104" i="14"/>
  <c r="AG104" i="14"/>
  <c r="BY103" i="14"/>
  <c r="BU103" i="14"/>
  <c r="BX103" i="14"/>
  <c r="BT103" i="14"/>
  <c r="BW103" i="14"/>
  <c r="BS103" i="14"/>
  <c r="BV103" i="14"/>
  <c r="CL103" i="14"/>
  <c r="BR103" i="14"/>
  <c r="BJ103" i="14"/>
  <c r="BI103" i="14"/>
  <c r="BF103" i="14"/>
  <c r="BP103" i="14" s="1"/>
  <c r="CA103" i="14" s="1"/>
  <c r="BL103" i="14"/>
  <c r="BO103" i="14"/>
  <c r="BM103" i="14"/>
  <c r="BK103" i="14"/>
  <c r="BN103" i="14"/>
  <c r="BH103" i="14"/>
  <c r="BG103" i="14"/>
  <c r="BQ103" i="14" s="1"/>
  <c r="CB103" i="14" s="1"/>
  <c r="BW102" i="14"/>
  <c r="BS102" i="14"/>
  <c r="CL102" i="14"/>
  <c r="BV102" i="14"/>
  <c r="BR102" i="14"/>
  <c r="BY102" i="14"/>
  <c r="BU102" i="14"/>
  <c r="BT102" i="14"/>
  <c r="BX102" i="14"/>
  <c r="BL102" i="14"/>
  <c r="BO102" i="14"/>
  <c r="BF102" i="14"/>
  <c r="BP102" i="14" s="1"/>
  <c r="CA102" i="14" s="1"/>
  <c r="BI102" i="14"/>
  <c r="BK102" i="14"/>
  <c r="BJ102" i="14"/>
  <c r="BM102" i="14"/>
  <c r="BH102" i="14"/>
  <c r="BG102" i="14"/>
  <c r="BQ102" i="14" s="1"/>
  <c r="CB102" i="14" s="1"/>
  <c r="BN102" i="14"/>
  <c r="BY101" i="14"/>
  <c r="BU101" i="14"/>
  <c r="BX101" i="14"/>
  <c r="BT101" i="14"/>
  <c r="BW101" i="14"/>
  <c r="BS101" i="14"/>
  <c r="CL101" i="14"/>
  <c r="BR101" i="14"/>
  <c r="BV101" i="14"/>
  <c r="BJ101" i="14"/>
  <c r="BO101" i="14"/>
  <c r="BM101" i="14"/>
  <c r="BK101" i="14"/>
  <c r="BI101" i="14"/>
  <c r="BL101" i="14"/>
  <c r="BF101" i="14"/>
  <c r="BP101" i="14" s="1"/>
  <c r="CA101" i="14" s="1"/>
  <c r="BN101" i="14"/>
  <c r="BG101" i="14"/>
  <c r="BQ101" i="14" s="1"/>
  <c r="CB101" i="14" s="1"/>
  <c r="BH101" i="14"/>
  <c r="BD100" i="14"/>
  <c r="BC100" i="14"/>
  <c r="BY99" i="14"/>
  <c r="BU99" i="14"/>
  <c r="BX99" i="14"/>
  <c r="BT99" i="14"/>
  <c r="BW99" i="14"/>
  <c r="BS99" i="14"/>
  <c r="BV99" i="14"/>
  <c r="BR99" i="14"/>
  <c r="CL99" i="14"/>
  <c r="BI99" i="14"/>
  <c r="BJ99" i="14"/>
  <c r="BL99" i="14"/>
  <c r="BO99" i="14"/>
  <c r="BM99" i="14"/>
  <c r="BK99" i="14"/>
  <c r="BF99" i="14"/>
  <c r="BP99" i="14" s="1"/>
  <c r="CA99" i="14" s="1"/>
  <c r="BG99" i="14"/>
  <c r="BQ99" i="14" s="1"/>
  <c r="CB99" i="14" s="1"/>
  <c r="BN99" i="14"/>
  <c r="BH99" i="14"/>
  <c r="BW98" i="14"/>
  <c r="BS98" i="14"/>
  <c r="CL98" i="14"/>
  <c r="BV98" i="14"/>
  <c r="BR98" i="14"/>
  <c r="BY98" i="14"/>
  <c r="BU98" i="14"/>
  <c r="BX98" i="14"/>
  <c r="BT98" i="14"/>
  <c r="BO98" i="14"/>
  <c r="BF98" i="14"/>
  <c r="BP98" i="14" s="1"/>
  <c r="CA98" i="14" s="1"/>
  <c r="BI98" i="14"/>
  <c r="BK98" i="14"/>
  <c r="BL98" i="14"/>
  <c r="BJ98" i="14"/>
  <c r="BM98" i="14"/>
  <c r="BH98" i="14"/>
  <c r="BG98" i="14"/>
  <c r="BQ98" i="14" s="1"/>
  <c r="CB98" i="14" s="1"/>
  <c r="BN98" i="14"/>
  <c r="O97" i="14"/>
  <c r="AM97" i="14" s="1"/>
  <c r="P97" i="14"/>
  <c r="U97" i="14"/>
  <c r="AS97" i="14" s="1"/>
  <c r="L97" i="14"/>
  <c r="AJ97" i="14" s="1"/>
  <c r="Q97" i="14"/>
  <c r="AO97" i="14" s="1"/>
  <c r="S97" i="14"/>
  <c r="AQ97" i="14" s="1"/>
  <c r="R97" i="14"/>
  <c r="AP97" i="14" s="1"/>
  <c r="T97" i="14"/>
  <c r="AR97" i="14" s="1"/>
  <c r="M97" i="14"/>
  <c r="AK97" i="14" s="1"/>
  <c r="N97" i="14"/>
  <c r="AL97" i="14" s="1"/>
  <c r="BX96" i="14"/>
  <c r="BT96" i="14"/>
  <c r="CL96" i="14"/>
  <c r="BV96" i="14"/>
  <c r="BR96" i="14"/>
  <c r="BS96" i="14"/>
  <c r="BY96" i="14"/>
  <c r="BU96" i="14"/>
  <c r="BW96" i="14"/>
  <c r="BM96" i="14"/>
  <c r="BO96" i="14"/>
  <c r="BF96" i="14"/>
  <c r="BP96" i="14" s="1"/>
  <c r="CA96" i="14" s="1"/>
  <c r="BI96" i="14"/>
  <c r="BL96" i="14"/>
  <c r="BJ96" i="14"/>
  <c r="BK96" i="14"/>
  <c r="BH96" i="14"/>
  <c r="BN96" i="14"/>
  <c r="BG96" i="14"/>
  <c r="BQ96" i="14" s="1"/>
  <c r="CB96" i="14" s="1"/>
  <c r="X95" i="14"/>
  <c r="Z95" i="14"/>
  <c r="AC95" i="14"/>
  <c r="Y95" i="14"/>
  <c r="AG95" i="14"/>
  <c r="AE95" i="14"/>
  <c r="AA95" i="14"/>
  <c r="AD95" i="14"/>
  <c r="AF95" i="14"/>
  <c r="AB95" i="14"/>
  <c r="AC94" i="14"/>
  <c r="AB94" i="14"/>
  <c r="X94" i="14"/>
  <c r="AF94" i="14"/>
  <c r="AD94" i="14"/>
  <c r="AG94" i="14"/>
  <c r="Z94" i="14"/>
  <c r="Y94" i="14"/>
  <c r="AE94" i="14"/>
  <c r="AA94" i="14"/>
  <c r="AB93" i="14"/>
  <c r="AD93" i="14"/>
  <c r="AE93" i="14"/>
  <c r="AA93" i="14"/>
  <c r="AG93" i="14"/>
  <c r="AF93" i="14"/>
  <c r="AC93" i="14"/>
  <c r="Z93" i="14"/>
  <c r="X93" i="14"/>
  <c r="Y93" i="14"/>
  <c r="BY92" i="14"/>
  <c r="BU92" i="14"/>
  <c r="CL92" i="14"/>
  <c r="BW92" i="14"/>
  <c r="BS92" i="14"/>
  <c r="BT92" i="14"/>
  <c r="BV92" i="14"/>
  <c r="BX92" i="14"/>
  <c r="BJ92" i="14"/>
  <c r="BM92" i="14"/>
  <c r="BL92" i="14"/>
  <c r="BI92" i="14"/>
  <c r="BO92" i="14"/>
  <c r="BK92" i="14"/>
  <c r="BF92" i="14"/>
  <c r="BP92" i="14" s="1"/>
  <c r="CA92" i="14" s="1"/>
  <c r="BN92" i="14"/>
  <c r="BG92" i="14"/>
  <c r="BQ92" i="14" s="1"/>
  <c r="CB92" i="14" s="1"/>
  <c r="BH92" i="14"/>
  <c r="BR92" i="14" s="1"/>
  <c r="CC92" i="14" s="1"/>
  <c r="BX91" i="14"/>
  <c r="BT91" i="14"/>
  <c r="CL91" i="14"/>
  <c r="BW91" i="14"/>
  <c r="BS91" i="14"/>
  <c r="BU91" i="14"/>
  <c r="BY91" i="14"/>
  <c r="BV91" i="14"/>
  <c r="BJ91" i="14"/>
  <c r="BI91" i="14"/>
  <c r="BK91" i="14"/>
  <c r="BM91" i="14"/>
  <c r="BO91" i="14"/>
  <c r="BL91" i="14"/>
  <c r="BF91" i="14"/>
  <c r="BP91" i="14" s="1"/>
  <c r="CA91" i="14" s="1"/>
  <c r="BN91" i="14"/>
  <c r="BG91" i="14"/>
  <c r="BQ91" i="14" s="1"/>
  <c r="CB91" i="14" s="1"/>
  <c r="BH91" i="14"/>
  <c r="BR91" i="14" s="1"/>
  <c r="CC91" i="14" s="1"/>
  <c r="BC90" i="14"/>
  <c r="BD90" i="14"/>
  <c r="R89" i="14"/>
  <c r="O89" i="14"/>
  <c r="S89" i="14"/>
  <c r="Q89" i="14"/>
  <c r="L89" i="14"/>
  <c r="U89" i="14"/>
  <c r="P89" i="14"/>
  <c r="N89" i="14"/>
  <c r="T89" i="14"/>
  <c r="M89" i="14"/>
  <c r="BX88" i="14"/>
  <c r="BT88" i="14"/>
  <c r="CL88" i="14"/>
  <c r="BW88" i="14"/>
  <c r="BS88" i="14"/>
  <c r="BU88" i="14"/>
  <c r="BY88" i="14"/>
  <c r="BQ88" i="14"/>
  <c r="CB88" i="14" s="1"/>
  <c r="BV88" i="14"/>
  <c r="BI88" i="14"/>
  <c r="BJ88" i="14"/>
  <c r="BM88" i="14"/>
  <c r="BO88" i="14"/>
  <c r="BK88" i="14"/>
  <c r="BL88" i="14"/>
  <c r="BF88" i="14"/>
  <c r="BP88" i="14" s="1"/>
  <c r="CA88" i="14" s="1"/>
  <c r="BH88" i="14"/>
  <c r="BR88" i="14" s="1"/>
  <c r="CC88" i="14" s="1"/>
  <c r="BN88" i="14"/>
  <c r="BG88" i="14"/>
  <c r="BX87" i="14"/>
  <c r="BT87" i="14"/>
  <c r="CL87" i="14"/>
  <c r="BW87" i="14"/>
  <c r="BS87" i="14"/>
  <c r="BU87" i="14"/>
  <c r="BY87" i="14"/>
  <c r="BV87" i="14"/>
  <c r="BJ87" i="14"/>
  <c r="BI87" i="14"/>
  <c r="BK87" i="14"/>
  <c r="BM87" i="14"/>
  <c r="BO87" i="14"/>
  <c r="BL87" i="14"/>
  <c r="BF87" i="14"/>
  <c r="BP87" i="14" s="1"/>
  <c r="CA87" i="14" s="1"/>
  <c r="BH87" i="14"/>
  <c r="BR87" i="14" s="1"/>
  <c r="CC87" i="14" s="1"/>
  <c r="BN87" i="14"/>
  <c r="BG87" i="14"/>
  <c r="BQ87" i="14" s="1"/>
  <c r="CB87" i="14" s="1"/>
  <c r="AA86" i="14"/>
  <c r="AB86" i="14"/>
  <c r="AG86" i="14"/>
  <c r="X86" i="14"/>
  <c r="AC86" i="14"/>
  <c r="AF86" i="14"/>
  <c r="AD86" i="14"/>
  <c r="Y86" i="14"/>
  <c r="Z86" i="14"/>
  <c r="AE86" i="14"/>
  <c r="R85" i="14"/>
  <c r="O85" i="14"/>
  <c r="S85" i="14"/>
  <c r="Q85" i="14"/>
  <c r="L85" i="14"/>
  <c r="U85" i="14"/>
  <c r="P85" i="14"/>
  <c r="N85" i="14"/>
  <c r="T85" i="14"/>
  <c r="M85" i="14"/>
  <c r="R84" i="14"/>
  <c r="S84" i="14"/>
  <c r="O84" i="14"/>
  <c r="P84" i="14"/>
  <c r="Q84" i="14"/>
  <c r="U84" i="14"/>
  <c r="L84" i="14"/>
  <c r="N84" i="14"/>
  <c r="T84" i="14"/>
  <c r="M84" i="14"/>
  <c r="R83" i="14"/>
  <c r="S83" i="14"/>
  <c r="O83" i="14"/>
  <c r="L83" i="14"/>
  <c r="U83" i="14"/>
  <c r="Q83" i="14"/>
  <c r="P83" i="14"/>
  <c r="T83" i="14"/>
  <c r="N83" i="14"/>
  <c r="M83" i="14"/>
  <c r="R82" i="14"/>
  <c r="O82" i="14"/>
  <c r="S82" i="14"/>
  <c r="L82" i="14"/>
  <c r="P82" i="14"/>
  <c r="Q82" i="14"/>
  <c r="U82" i="14"/>
  <c r="N82" i="14"/>
  <c r="M82" i="14"/>
  <c r="T82" i="14"/>
  <c r="R81" i="14"/>
  <c r="O81" i="14"/>
  <c r="S81" i="14"/>
  <c r="Q81" i="14"/>
  <c r="L81" i="14"/>
  <c r="U81" i="14"/>
  <c r="P81" i="14"/>
  <c r="T81" i="14"/>
  <c r="M81" i="14"/>
  <c r="N81" i="14"/>
  <c r="BC80" i="14"/>
  <c r="BD80" i="14"/>
  <c r="BX79" i="14"/>
  <c r="BT79" i="14"/>
  <c r="CL79" i="14"/>
  <c r="BW79" i="14"/>
  <c r="BU79" i="14"/>
  <c r="BY79" i="14"/>
  <c r="BV79" i="14"/>
  <c r="BJ79" i="14"/>
  <c r="BI79" i="14"/>
  <c r="BS79" i="14" s="1"/>
  <c r="BK79" i="14"/>
  <c r="BO79" i="14"/>
  <c r="BM79" i="14"/>
  <c r="BL79" i="14"/>
  <c r="BF79" i="14"/>
  <c r="BP79" i="14" s="1"/>
  <c r="CA79" i="14" s="1"/>
  <c r="BG79" i="14"/>
  <c r="BQ79" i="14" s="1"/>
  <c r="CB79" i="14" s="1"/>
  <c r="BN79" i="14"/>
  <c r="BH79" i="14"/>
  <c r="BR79" i="14" s="1"/>
  <c r="CC79" i="14" s="1"/>
  <c r="BY78" i="14"/>
  <c r="BU78" i="14"/>
  <c r="CL78" i="14"/>
  <c r="BX78" i="14"/>
  <c r="BT78" i="14"/>
  <c r="BV78" i="14"/>
  <c r="BW78" i="14"/>
  <c r="BK78" i="14"/>
  <c r="BJ78" i="14"/>
  <c r="BO78" i="14"/>
  <c r="BI78" i="14"/>
  <c r="BS78" i="14" s="1"/>
  <c r="CD78" i="14" s="1"/>
  <c r="BM78" i="14"/>
  <c r="BL78" i="14"/>
  <c r="BF78" i="14"/>
  <c r="BP78" i="14" s="1"/>
  <c r="CA78" i="14" s="1"/>
  <c r="BH78" i="14"/>
  <c r="BR78" i="14" s="1"/>
  <c r="CC78" i="14" s="1"/>
  <c r="BN78" i="14"/>
  <c r="BG78" i="14"/>
  <c r="BQ78" i="14" s="1"/>
  <c r="CB78" i="14" s="1"/>
  <c r="BD77" i="14"/>
  <c r="BC77" i="14"/>
  <c r="R76" i="14"/>
  <c r="U76" i="14"/>
  <c r="AS76" i="14" s="1"/>
  <c r="Q76" i="14"/>
  <c r="P76" i="14"/>
  <c r="AN76" i="14" s="1"/>
  <c r="O76" i="14"/>
  <c r="AM76" i="14" s="1"/>
  <c r="S76" i="14"/>
  <c r="AQ76" i="14" s="1"/>
  <c r="L76" i="14"/>
  <c r="AJ76" i="14" s="1"/>
  <c r="N76" i="14"/>
  <c r="AL76" i="14" s="1"/>
  <c r="M76" i="14"/>
  <c r="AK76" i="14" s="1"/>
  <c r="T76" i="14"/>
  <c r="AR76" i="14" s="1"/>
  <c r="R75" i="14"/>
  <c r="S75" i="14"/>
  <c r="O75" i="14"/>
  <c r="P75" i="14"/>
  <c r="Q75" i="14"/>
  <c r="L75" i="14"/>
  <c r="U75" i="14"/>
  <c r="N75" i="14"/>
  <c r="T75" i="14"/>
  <c r="M75" i="14"/>
  <c r="AG74" i="14"/>
  <c r="Y74" i="14"/>
  <c r="AB74" i="14"/>
  <c r="Z74" i="14"/>
  <c r="AE74" i="14"/>
  <c r="AC74" i="14"/>
  <c r="X74" i="14"/>
  <c r="AA74" i="14"/>
  <c r="AF74" i="14"/>
  <c r="AD74" i="14"/>
  <c r="BD73" i="14"/>
  <c r="BC73" i="14"/>
  <c r="BW72" i="14"/>
  <c r="BV72" i="14"/>
  <c r="BT72" i="14"/>
  <c r="BL72" i="14"/>
  <c r="CL72" i="14"/>
  <c r="BY72" i="14"/>
  <c r="BX72" i="14"/>
  <c r="BU72" i="14"/>
  <c r="BM72" i="14"/>
  <c r="BI72" i="14"/>
  <c r="BS72" i="14" s="1"/>
  <c r="CD72" i="14" s="1"/>
  <c r="BF72" i="14"/>
  <c r="BP72" i="14" s="1"/>
  <c r="CA72" i="14" s="1"/>
  <c r="BK72" i="14"/>
  <c r="BJ72" i="14"/>
  <c r="BO72" i="14"/>
  <c r="BH72" i="14"/>
  <c r="BR72" i="14" s="1"/>
  <c r="CC72" i="14" s="1"/>
  <c r="BG72" i="14"/>
  <c r="BQ72" i="14" s="1"/>
  <c r="CB72" i="14" s="1"/>
  <c r="BN72" i="14"/>
  <c r="AA71" i="14"/>
  <c r="AB71" i="14"/>
  <c r="Y71" i="14"/>
  <c r="AD71" i="14"/>
  <c r="AG71" i="14"/>
  <c r="AE71" i="14"/>
  <c r="X71" i="14"/>
  <c r="Z71" i="14"/>
  <c r="AC71" i="14"/>
  <c r="AF71" i="14"/>
  <c r="BD70" i="14"/>
  <c r="BC70" i="14"/>
  <c r="Y69" i="14"/>
  <c r="AG69" i="14"/>
  <c r="Z69" i="14"/>
  <c r="X69" i="14"/>
  <c r="AE69" i="14"/>
  <c r="AA69" i="14"/>
  <c r="AC69" i="14"/>
  <c r="AF69" i="14"/>
  <c r="AB69" i="14"/>
  <c r="AD69" i="14"/>
  <c r="BW68" i="14"/>
  <c r="BV68" i="14"/>
  <c r="BT68" i="14"/>
  <c r="BL68" i="14"/>
  <c r="CL68" i="14"/>
  <c r="BY68" i="14"/>
  <c r="BX68" i="14"/>
  <c r="BU68" i="14"/>
  <c r="BM68" i="14"/>
  <c r="BJ68" i="14"/>
  <c r="BK68" i="14"/>
  <c r="BI68" i="14"/>
  <c r="BS68" i="14" s="1"/>
  <c r="CD68" i="14" s="1"/>
  <c r="BO68" i="14"/>
  <c r="BF68" i="14"/>
  <c r="BP68" i="14" s="1"/>
  <c r="CA68" i="14" s="1"/>
  <c r="BH68" i="14"/>
  <c r="BR68" i="14" s="1"/>
  <c r="CC68" i="14" s="1"/>
  <c r="BN68" i="14"/>
  <c r="BG68" i="14"/>
  <c r="BQ68" i="14" s="1"/>
  <c r="CB68" i="14" s="1"/>
  <c r="R67" i="14"/>
  <c r="AP67" i="14" s="1"/>
  <c r="O67" i="14"/>
  <c r="AM67" i="14" s="1"/>
  <c r="S67" i="14"/>
  <c r="AQ67" i="14" s="1"/>
  <c r="Q67" i="14"/>
  <c r="AO67" i="14" s="1"/>
  <c r="U67" i="14"/>
  <c r="AS67" i="14" s="1"/>
  <c r="L67" i="14"/>
  <c r="P67" i="14"/>
  <c r="M67" i="14"/>
  <c r="AK67" i="14" s="1"/>
  <c r="N67" i="14"/>
  <c r="AL67" i="14" s="1"/>
  <c r="T67" i="14"/>
  <c r="AR67" i="14" s="1"/>
  <c r="BY66" i="14"/>
  <c r="BU66" i="14"/>
  <c r="CL66" i="14"/>
  <c r="BX66" i="14"/>
  <c r="BT66" i="14"/>
  <c r="BL66" i="14"/>
  <c r="BV66" i="14"/>
  <c r="BW66" i="14"/>
  <c r="BO66" i="14"/>
  <c r="BJ66" i="14"/>
  <c r="BK66" i="14"/>
  <c r="BI66" i="14"/>
  <c r="BS66" i="14" s="1"/>
  <c r="CD66" i="14" s="1"/>
  <c r="BM66" i="14"/>
  <c r="BF66" i="14"/>
  <c r="BP66" i="14" s="1"/>
  <c r="CA66" i="14" s="1"/>
  <c r="BN66" i="14"/>
  <c r="BH66" i="14"/>
  <c r="BR66" i="14" s="1"/>
  <c r="CC66" i="14" s="1"/>
  <c r="BG66" i="14"/>
  <c r="BQ66" i="14" s="1"/>
  <c r="CB66" i="14" s="1"/>
  <c r="BD65" i="14"/>
  <c r="BC65" i="14"/>
  <c r="R64" i="14"/>
  <c r="AP64" i="14" s="1"/>
  <c r="S64" i="14"/>
  <c r="O64" i="14"/>
  <c r="AM64" i="14" s="1"/>
  <c r="Q64" i="14"/>
  <c r="AO64" i="14" s="1"/>
  <c r="U64" i="14"/>
  <c r="AS64" i="14" s="1"/>
  <c r="P64" i="14"/>
  <c r="AN64" i="14" s="1"/>
  <c r="L64" i="14"/>
  <c r="AJ64" i="14" s="1"/>
  <c r="T64" i="14"/>
  <c r="AR64" i="14" s="1"/>
  <c r="M64" i="14"/>
  <c r="AK64" i="14" s="1"/>
  <c r="N64" i="14"/>
  <c r="AL64" i="14" s="1"/>
  <c r="AC63" i="14"/>
  <c r="AD63" i="14"/>
  <c r="X63" i="14"/>
  <c r="Y63" i="14"/>
  <c r="AE63" i="14"/>
  <c r="AG63" i="14"/>
  <c r="Z63" i="14"/>
  <c r="AF63" i="14"/>
  <c r="AA63" i="14"/>
  <c r="AB63" i="14"/>
  <c r="BX62" i="14"/>
  <c r="BW62" i="14"/>
  <c r="BY62" i="14"/>
  <c r="BV62" i="14"/>
  <c r="BU62" i="14"/>
  <c r="CL62" i="14"/>
  <c r="BK62" i="14"/>
  <c r="BM62" i="14"/>
  <c r="BJ62" i="14"/>
  <c r="BT62" i="14" s="1"/>
  <c r="CE62" i="14" s="1"/>
  <c r="BO62" i="14"/>
  <c r="BI62" i="14"/>
  <c r="BS62" i="14" s="1"/>
  <c r="CD62" i="14" s="1"/>
  <c r="BL62" i="14"/>
  <c r="BF62" i="14"/>
  <c r="BP62" i="14" s="1"/>
  <c r="CA62" i="14" s="1"/>
  <c r="BH62" i="14"/>
  <c r="BR62" i="14" s="1"/>
  <c r="CC62" i="14" s="1"/>
  <c r="BN62" i="14"/>
  <c r="BG62" i="14"/>
  <c r="BQ62" i="14" s="1"/>
  <c r="CB62" i="14" s="1"/>
  <c r="BD61" i="14"/>
  <c r="BC61" i="14"/>
  <c r="BC60" i="14"/>
  <c r="BD60" i="14"/>
  <c r="CL59" i="14"/>
  <c r="BV59" i="14"/>
  <c r="BY59" i="14"/>
  <c r="BL59" i="14"/>
  <c r="BX59" i="14"/>
  <c r="BW59" i="14"/>
  <c r="BK59" i="14"/>
  <c r="BU59" i="14" s="1"/>
  <c r="CF59" i="14" s="1"/>
  <c r="BO59" i="14"/>
  <c r="BF59" i="14"/>
  <c r="BP59" i="14" s="1"/>
  <c r="CA59" i="14" s="1"/>
  <c r="BJ59" i="14"/>
  <c r="BT59" i="14" s="1"/>
  <c r="CE59" i="14" s="1"/>
  <c r="BI59" i="14"/>
  <c r="BS59" i="14" s="1"/>
  <c r="CD59" i="14" s="1"/>
  <c r="BM59" i="14"/>
  <c r="BN59" i="14"/>
  <c r="BG59" i="14"/>
  <c r="BQ59" i="14" s="1"/>
  <c r="CB59" i="14" s="1"/>
  <c r="BH59" i="14"/>
  <c r="BR59" i="14" s="1"/>
  <c r="CC59" i="14" s="1"/>
  <c r="S58" i="14"/>
  <c r="AQ58" i="14" s="1"/>
  <c r="U58" i="14"/>
  <c r="AS58" i="14" s="1"/>
  <c r="Q58" i="14"/>
  <c r="O58" i="14"/>
  <c r="AM58" i="14" s="1"/>
  <c r="R58" i="14"/>
  <c r="AP58" i="14" s="1"/>
  <c r="P58" i="14"/>
  <c r="L58" i="14"/>
  <c r="AJ58" i="14" s="1"/>
  <c r="N58" i="14"/>
  <c r="AL58" i="14" s="1"/>
  <c r="M58" i="14"/>
  <c r="T58" i="14"/>
  <c r="AR58" i="14" s="1"/>
  <c r="AF57" i="14"/>
  <c r="AA57" i="14"/>
  <c r="AB57" i="14"/>
  <c r="AG57" i="14"/>
  <c r="X57" i="14"/>
  <c r="AE57" i="14"/>
  <c r="AD57" i="14"/>
  <c r="AC57" i="14"/>
  <c r="Z57" i="14"/>
  <c r="Y57" i="14"/>
  <c r="BY56" i="14"/>
  <c r="BW56" i="14"/>
  <c r="BL56" i="14"/>
  <c r="BV56" i="14"/>
  <c r="BX56" i="14"/>
  <c r="CL56" i="14"/>
  <c r="BO56" i="14"/>
  <c r="BK56" i="14"/>
  <c r="BU56" i="14" s="1"/>
  <c r="CF56" i="14" s="1"/>
  <c r="BJ56" i="14"/>
  <c r="BT56" i="14" s="1"/>
  <c r="CE56" i="14" s="1"/>
  <c r="BI56" i="14"/>
  <c r="BS56" i="14" s="1"/>
  <c r="CD56" i="14" s="1"/>
  <c r="BM56" i="14"/>
  <c r="BF56" i="14"/>
  <c r="BP56" i="14" s="1"/>
  <c r="CA56" i="14" s="1"/>
  <c r="BH56" i="14"/>
  <c r="BR56" i="14" s="1"/>
  <c r="CC56" i="14" s="1"/>
  <c r="BN56" i="14"/>
  <c r="BG56" i="14"/>
  <c r="BQ56" i="14" s="1"/>
  <c r="CB56" i="14" s="1"/>
  <c r="CL55" i="14"/>
  <c r="BV55" i="14"/>
  <c r="BX55" i="14"/>
  <c r="BW55" i="14"/>
  <c r="BL55" i="14"/>
  <c r="BI55" i="14"/>
  <c r="BS55" i="14" s="1"/>
  <c r="CD55" i="14" s="1"/>
  <c r="BY55" i="14"/>
  <c r="BO55" i="14"/>
  <c r="BK55" i="14"/>
  <c r="BU55" i="14" s="1"/>
  <c r="CF55" i="14" s="1"/>
  <c r="BM55" i="14"/>
  <c r="BF55" i="14"/>
  <c r="BP55" i="14" s="1"/>
  <c r="CA55" i="14" s="1"/>
  <c r="BJ55" i="14"/>
  <c r="BT55" i="14" s="1"/>
  <c r="CE55" i="14" s="1"/>
  <c r="BH55" i="14"/>
  <c r="BR55" i="14" s="1"/>
  <c r="CC55" i="14" s="1"/>
  <c r="BG55" i="14"/>
  <c r="BQ55" i="14" s="1"/>
  <c r="CB55" i="14" s="1"/>
  <c r="BN55" i="14"/>
  <c r="BC54" i="14"/>
  <c r="BD54" i="14"/>
  <c r="BX53" i="14"/>
  <c r="BY53" i="14"/>
  <c r="CL53" i="14"/>
  <c r="BW53" i="14"/>
  <c r="BV53" i="14"/>
  <c r="BK53" i="14"/>
  <c r="BU53" i="14" s="1"/>
  <c r="CF53" i="14" s="1"/>
  <c r="BO53" i="14"/>
  <c r="BJ53" i="14"/>
  <c r="BT53" i="14" s="1"/>
  <c r="CE53" i="14" s="1"/>
  <c r="BM53" i="14"/>
  <c r="BI53" i="14"/>
  <c r="BS53" i="14" s="1"/>
  <c r="CD53" i="14" s="1"/>
  <c r="BL53" i="14"/>
  <c r="BF53" i="14"/>
  <c r="BP53" i="14" s="1"/>
  <c r="CA53" i="14" s="1"/>
  <c r="BH53" i="14"/>
  <c r="BR53" i="14" s="1"/>
  <c r="CC53" i="14" s="1"/>
  <c r="BN53" i="14"/>
  <c r="BG53" i="14"/>
  <c r="BQ53" i="14" s="1"/>
  <c r="CB53" i="14" s="1"/>
  <c r="U52" i="14"/>
  <c r="Q52" i="14"/>
  <c r="O52" i="14"/>
  <c r="S52" i="14"/>
  <c r="R52" i="14"/>
  <c r="L52" i="14"/>
  <c r="P52" i="14"/>
  <c r="N52" i="14"/>
  <c r="M52" i="14"/>
  <c r="T52" i="14"/>
  <c r="AG51" i="14"/>
  <c r="AA51" i="14"/>
  <c r="AC51" i="14"/>
  <c r="AF51" i="14"/>
  <c r="Z51" i="14"/>
  <c r="AB51" i="14"/>
  <c r="AE51" i="14"/>
  <c r="X51" i="14"/>
  <c r="Y51" i="14"/>
  <c r="AD51" i="14"/>
  <c r="BX50" i="14"/>
  <c r="BW50" i="14"/>
  <c r="CL50" i="14"/>
  <c r="BY50" i="14"/>
  <c r="BI50" i="14"/>
  <c r="BS50" i="14" s="1"/>
  <c r="CD50" i="14" s="1"/>
  <c r="BO50" i="14"/>
  <c r="BK50" i="14"/>
  <c r="BU50" i="14" s="1"/>
  <c r="CF50" i="14" s="1"/>
  <c r="BJ50" i="14"/>
  <c r="BT50" i="14" s="1"/>
  <c r="CE50" i="14" s="1"/>
  <c r="BM50" i="14"/>
  <c r="BL50" i="14"/>
  <c r="BV50" i="14" s="1"/>
  <c r="CG50" i="14" s="1"/>
  <c r="BF50" i="14"/>
  <c r="BP50" i="14" s="1"/>
  <c r="CA50" i="14" s="1"/>
  <c r="BH50" i="14"/>
  <c r="BR50" i="14" s="1"/>
  <c r="CC50" i="14" s="1"/>
  <c r="BN50" i="14"/>
  <c r="BG50" i="14"/>
  <c r="BQ50" i="14" s="1"/>
  <c r="CB50" i="14" s="1"/>
  <c r="AG49" i="14"/>
  <c r="AA49" i="14"/>
  <c r="AC49" i="14"/>
  <c r="Y49" i="14"/>
  <c r="Z49" i="14"/>
  <c r="AF49" i="14"/>
  <c r="AD49" i="14"/>
  <c r="AE49" i="14"/>
  <c r="AB49" i="14"/>
  <c r="X49" i="14"/>
  <c r="BY48" i="14"/>
  <c r="BX48" i="14"/>
  <c r="BL48" i="14"/>
  <c r="BV48" i="14" s="1"/>
  <c r="CG48" i="14" s="1"/>
  <c r="CL48" i="14"/>
  <c r="BT48" i="14"/>
  <c r="CE48" i="14" s="1"/>
  <c r="BK48" i="14"/>
  <c r="BU48" i="14" s="1"/>
  <c r="CF48" i="14" s="1"/>
  <c r="BJ48" i="14"/>
  <c r="BO48" i="14"/>
  <c r="BM48" i="14"/>
  <c r="BW48" i="14" s="1"/>
  <c r="CH48" i="14" s="1"/>
  <c r="BI48" i="14"/>
  <c r="BS48" i="14" s="1"/>
  <c r="CD48" i="14" s="1"/>
  <c r="BF48" i="14"/>
  <c r="BP48" i="14" s="1"/>
  <c r="CA48" i="14" s="1"/>
  <c r="BN48" i="14"/>
  <c r="BG48" i="14"/>
  <c r="BQ48" i="14" s="1"/>
  <c r="CB48" i="14" s="1"/>
  <c r="BH48" i="14"/>
  <c r="BR48" i="14" s="1"/>
  <c r="CC48" i="14" s="1"/>
  <c r="O47" i="14"/>
  <c r="Q47" i="14"/>
  <c r="R47" i="14"/>
  <c r="S47" i="14"/>
  <c r="U47" i="14"/>
  <c r="L47" i="14"/>
  <c r="P47" i="14"/>
  <c r="M47" i="14"/>
  <c r="N47" i="14"/>
  <c r="T47" i="14"/>
  <c r="BY46" i="14"/>
  <c r="CL46" i="14"/>
  <c r="BK46" i="14"/>
  <c r="BU46" i="14" s="1"/>
  <c r="CF46" i="14" s="1"/>
  <c r="BM46" i="14"/>
  <c r="BW46" i="14" s="1"/>
  <c r="CH46" i="14" s="1"/>
  <c r="BO46" i="14"/>
  <c r="BJ46" i="14"/>
  <c r="BT46" i="14" s="1"/>
  <c r="CE46" i="14" s="1"/>
  <c r="BL46" i="14"/>
  <c r="BV46" i="14" s="1"/>
  <c r="CG46" i="14" s="1"/>
  <c r="BI46" i="14"/>
  <c r="BS46" i="14" s="1"/>
  <c r="CD46" i="14" s="1"/>
  <c r="BF46" i="14"/>
  <c r="BP46" i="14" s="1"/>
  <c r="CA46" i="14" s="1"/>
  <c r="BH46" i="14"/>
  <c r="BR46" i="14" s="1"/>
  <c r="CC46" i="14" s="1"/>
  <c r="BG46" i="14"/>
  <c r="BQ46" i="14" s="1"/>
  <c r="CB46" i="14" s="1"/>
  <c r="BN46" i="14"/>
  <c r="BX46" i="14" s="1"/>
  <c r="CI46" i="14" s="1"/>
  <c r="BY45" i="14"/>
  <c r="BR45" i="14"/>
  <c r="CC45" i="14" s="1"/>
  <c r="CL45" i="14"/>
  <c r="BK45" i="14"/>
  <c r="BU45" i="14" s="1"/>
  <c r="CF45" i="14" s="1"/>
  <c r="BO45" i="14"/>
  <c r="BJ45" i="14"/>
  <c r="BT45" i="14" s="1"/>
  <c r="CE45" i="14" s="1"/>
  <c r="BM45" i="14"/>
  <c r="BW45" i="14" s="1"/>
  <c r="CH45" i="14" s="1"/>
  <c r="BL45" i="14"/>
  <c r="BV45" i="14" s="1"/>
  <c r="CG45" i="14" s="1"/>
  <c r="BI45" i="14"/>
  <c r="BS45" i="14" s="1"/>
  <c r="CD45" i="14" s="1"/>
  <c r="BF45" i="14"/>
  <c r="BP45" i="14" s="1"/>
  <c r="CA45" i="14" s="1"/>
  <c r="BG45" i="14"/>
  <c r="BQ45" i="14" s="1"/>
  <c r="CB45" i="14" s="1"/>
  <c r="BN45" i="14"/>
  <c r="BX45" i="14" s="1"/>
  <c r="CI45" i="14" s="1"/>
  <c r="BH45" i="14"/>
  <c r="O44" i="14"/>
  <c r="S44" i="14"/>
  <c r="Q44" i="14"/>
  <c r="R44" i="14"/>
  <c r="U44" i="14"/>
  <c r="L44" i="14"/>
  <c r="P44" i="14"/>
  <c r="N44" i="14"/>
  <c r="T44" i="14"/>
  <c r="M44" i="14"/>
  <c r="O43" i="14"/>
  <c r="Q43" i="14"/>
  <c r="R43" i="14"/>
  <c r="S43" i="14"/>
  <c r="U43" i="14"/>
  <c r="L43" i="14"/>
  <c r="P43" i="14"/>
  <c r="T43" i="14"/>
  <c r="M43" i="14"/>
  <c r="N43" i="14"/>
  <c r="BS42" i="14"/>
  <c r="CD42" i="14" s="1"/>
  <c r="CL42" i="14"/>
  <c r="BK42" i="14"/>
  <c r="BU42" i="14" s="1"/>
  <c r="CF42" i="14" s="1"/>
  <c r="BM42" i="14"/>
  <c r="BW42" i="14" s="1"/>
  <c r="CH42" i="14" s="1"/>
  <c r="BO42" i="14"/>
  <c r="BY42" i="14" s="1"/>
  <c r="BJ42" i="14"/>
  <c r="BT42" i="14" s="1"/>
  <c r="CE42" i="14" s="1"/>
  <c r="BL42" i="14"/>
  <c r="BV42" i="14" s="1"/>
  <c r="CG42" i="14" s="1"/>
  <c r="BI42" i="14"/>
  <c r="BF42" i="14"/>
  <c r="BP42" i="14" s="1"/>
  <c r="CA42" i="14" s="1"/>
  <c r="BG42" i="14"/>
  <c r="BQ42" i="14" s="1"/>
  <c r="CB42" i="14" s="1"/>
  <c r="BN42" i="14"/>
  <c r="BX42" i="14" s="1"/>
  <c r="CI42" i="14" s="1"/>
  <c r="BH42" i="14"/>
  <c r="BR42" i="14" s="1"/>
  <c r="CC42" i="14" s="1"/>
  <c r="BC41" i="14"/>
  <c r="BD41" i="14"/>
  <c r="BD40" i="14"/>
  <c r="BC40" i="14"/>
  <c r="BD39" i="14"/>
  <c r="BC39" i="14"/>
  <c r="CL37" i="14"/>
  <c r="BI37" i="14"/>
  <c r="BS37" i="14" s="1"/>
  <c r="CD37" i="14" s="1"/>
  <c r="BK37" i="14"/>
  <c r="BU37" i="14" s="1"/>
  <c r="CF37" i="14" s="1"/>
  <c r="BJ37" i="14"/>
  <c r="BT37" i="14" s="1"/>
  <c r="CE37" i="14" s="1"/>
  <c r="BO37" i="14"/>
  <c r="BY37" i="14" s="1"/>
  <c r="CJ37" i="14" s="1"/>
  <c r="BL37" i="14"/>
  <c r="BV37" i="14" s="1"/>
  <c r="CG37" i="14" s="1"/>
  <c r="BM37" i="14"/>
  <c r="BW37" i="14" s="1"/>
  <c r="CH37" i="14" s="1"/>
  <c r="BF37" i="14"/>
  <c r="BP37" i="14" s="1"/>
  <c r="CA37" i="14" s="1"/>
  <c r="BH37" i="14"/>
  <c r="BR37" i="14" s="1"/>
  <c r="CC37" i="14" s="1"/>
  <c r="BG37" i="14"/>
  <c r="BQ37" i="14" s="1"/>
  <c r="CB37" i="14" s="1"/>
  <c r="BN37" i="14"/>
  <c r="BX37" i="14" s="1"/>
  <c r="CI37" i="14" s="1"/>
  <c r="Y37" i="14"/>
  <c r="X37" i="14"/>
  <c r="AC37" i="14"/>
  <c r="AE37" i="14"/>
  <c r="AA37" i="14"/>
  <c r="AF37" i="14"/>
  <c r="Z37" i="14"/>
  <c r="AB37" i="14"/>
  <c r="AG37" i="14"/>
  <c r="AD37" i="14"/>
  <c r="BY157" i="14"/>
  <c r="BU157" i="14"/>
  <c r="BQ157" i="14"/>
  <c r="CL157" i="14"/>
  <c r="BX157" i="14"/>
  <c r="BT157" i="14"/>
  <c r="BW157" i="14"/>
  <c r="BS157" i="14"/>
  <c r="BV157" i="14"/>
  <c r="BR157" i="14"/>
  <c r="BJ157" i="14"/>
  <c r="BM157" i="14"/>
  <c r="BO157" i="14"/>
  <c r="BI157" i="14"/>
  <c r="BK157" i="14"/>
  <c r="BL157" i="14"/>
  <c r="BF157" i="14"/>
  <c r="BP157" i="14" s="1"/>
  <c r="BN157" i="14"/>
  <c r="BH157" i="14"/>
  <c r="BG157" i="14"/>
  <c r="CL126" i="17"/>
  <c r="DW126" i="17"/>
  <c r="CM126" i="17"/>
  <c r="CL6" i="17"/>
  <c r="DW6" i="17"/>
  <c r="CM6" i="17"/>
  <c r="DW5" i="17"/>
  <c r="CM5" i="17"/>
  <c r="CL5" i="17"/>
  <c r="DW7" i="17"/>
  <c r="CM7" i="17"/>
  <c r="CL7" i="17"/>
  <c r="DW8" i="17"/>
  <c r="CM8" i="17"/>
  <c r="CL8" i="17"/>
  <c r="DW9" i="17"/>
  <c r="CM9" i="17"/>
  <c r="CL9" i="17"/>
  <c r="CM10" i="17"/>
  <c r="CL10" i="17"/>
  <c r="DW10" i="17"/>
  <c r="DW11" i="17"/>
  <c r="CM11" i="17"/>
  <c r="CL11" i="17"/>
  <c r="DW12" i="17"/>
  <c r="CM12" i="17"/>
  <c r="CL12" i="17"/>
  <c r="DW13" i="17"/>
  <c r="CM13" i="17"/>
  <c r="CL13" i="17"/>
  <c r="DW14" i="17"/>
  <c r="CL14" i="17"/>
  <c r="CM14" i="17"/>
  <c r="CL15" i="17"/>
  <c r="DW15" i="17"/>
  <c r="CM15" i="17"/>
  <c r="DW16" i="17"/>
  <c r="CM16" i="17"/>
  <c r="CL16" i="17"/>
  <c r="CM17" i="17"/>
  <c r="CL17" i="17"/>
  <c r="DW17" i="17"/>
  <c r="CL18" i="17"/>
  <c r="DW18" i="17"/>
  <c r="CM18" i="17"/>
  <c r="DW19" i="17"/>
  <c r="CL19" i="17"/>
  <c r="CM19" i="17"/>
  <c r="CL20" i="17"/>
  <c r="DW20" i="17"/>
  <c r="CM20" i="17"/>
  <c r="CL21" i="17"/>
  <c r="DW21" i="17"/>
  <c r="CM21" i="17"/>
  <c r="CM22" i="17"/>
  <c r="CL22" i="17"/>
  <c r="DW22" i="17"/>
  <c r="CL23" i="17"/>
  <c r="DW23" i="17"/>
  <c r="CM23" i="17"/>
  <c r="CM24" i="17"/>
  <c r="CL24" i="17"/>
  <c r="DW24" i="17"/>
  <c r="CM25" i="17"/>
  <c r="CL25" i="17"/>
  <c r="DW25" i="17"/>
  <c r="DW26" i="17"/>
  <c r="CM26" i="17"/>
  <c r="CL26" i="17"/>
  <c r="DW27" i="17"/>
  <c r="CM27" i="17"/>
  <c r="CL27" i="17"/>
  <c r="CM28" i="17"/>
  <c r="DW28" i="17"/>
  <c r="CL28" i="17"/>
  <c r="DW29" i="17"/>
  <c r="CM29" i="17"/>
  <c r="CL29" i="17"/>
  <c r="CL30" i="17"/>
  <c r="DW30" i="17"/>
  <c r="CM30" i="17"/>
  <c r="CL31" i="17"/>
  <c r="DW31" i="17"/>
  <c r="CM31" i="17"/>
  <c r="DW32" i="17"/>
  <c r="CM32" i="17"/>
  <c r="CL32" i="17"/>
  <c r="CL33" i="17"/>
  <c r="DW33" i="17"/>
  <c r="CM33" i="17"/>
  <c r="CM34" i="17"/>
  <c r="CL34" i="17"/>
  <c r="DW34" i="17"/>
  <c r="CM35" i="17"/>
  <c r="CL35" i="17"/>
  <c r="DW35" i="17"/>
  <c r="CL36" i="17"/>
  <c r="DW36" i="17"/>
  <c r="CM36" i="17"/>
  <c r="DW37" i="17"/>
  <c r="CL37" i="17"/>
  <c r="CM37" i="17"/>
  <c r="DW38" i="17"/>
  <c r="CM38" i="17"/>
  <c r="CL38" i="17"/>
  <c r="DW39" i="17"/>
  <c r="CM39" i="17"/>
  <c r="CL39" i="17"/>
  <c r="DW40" i="17"/>
  <c r="CM40" i="17"/>
  <c r="CL40" i="17"/>
  <c r="CL41" i="17"/>
  <c r="DW41" i="17"/>
  <c r="CM41" i="17"/>
  <c r="DW42" i="17"/>
  <c r="CM42" i="17"/>
  <c r="CL42" i="17"/>
  <c r="CM43" i="17"/>
  <c r="DW43" i="17"/>
  <c r="CL43" i="17"/>
  <c r="CM44" i="17"/>
  <c r="CL44" i="17"/>
  <c r="DW44" i="17"/>
  <c r="DW45" i="17"/>
  <c r="CM45" i="17"/>
  <c r="CL45" i="17"/>
  <c r="CM46" i="17"/>
  <c r="CL46" i="17"/>
  <c r="DW46" i="17"/>
  <c r="CM47" i="17"/>
  <c r="CL47" i="17"/>
  <c r="DW47" i="17"/>
  <c r="CL48" i="17"/>
  <c r="DW48" i="17"/>
  <c r="CM48" i="17"/>
  <c r="DW49" i="17"/>
  <c r="CM49" i="17"/>
  <c r="CL49" i="17"/>
  <c r="CM50" i="17"/>
  <c r="CL50" i="17"/>
  <c r="DW50" i="17"/>
  <c r="CL51" i="17"/>
  <c r="DW51" i="17"/>
  <c r="CM51" i="17"/>
  <c r="DW52" i="17"/>
  <c r="CM52" i="17"/>
  <c r="CL52" i="17"/>
  <c r="CL53" i="17"/>
  <c r="CM53" i="17"/>
  <c r="DW53" i="17"/>
  <c r="CM54" i="17"/>
  <c r="CL54" i="17"/>
  <c r="DW54" i="17"/>
  <c r="CL55" i="17"/>
  <c r="DW55" i="17"/>
  <c r="CM55" i="17"/>
  <c r="DW56" i="17"/>
  <c r="CM56" i="17"/>
  <c r="CL56" i="17"/>
  <c r="CM57" i="17"/>
  <c r="CL57" i="17"/>
  <c r="DW57" i="17"/>
  <c r="CL58" i="17"/>
  <c r="CM58" i="17"/>
  <c r="DW58" i="17"/>
  <c r="CM59" i="17"/>
  <c r="CL59" i="17"/>
  <c r="DW59" i="17"/>
  <c r="CL60" i="17"/>
  <c r="DW60" i="17"/>
  <c r="CM60" i="17"/>
  <c r="DW61" i="17"/>
  <c r="CM61" i="17"/>
  <c r="CL61" i="17"/>
  <c r="CM62" i="17"/>
  <c r="CL62" i="17"/>
  <c r="DW62" i="17"/>
  <c r="CM63" i="17"/>
  <c r="CL63" i="17"/>
  <c r="DW63" i="17"/>
  <c r="CM64" i="17"/>
  <c r="CL64" i="17"/>
  <c r="DW64" i="17"/>
  <c r="DW65" i="17"/>
  <c r="CM65" i="17"/>
  <c r="CL65" i="17"/>
  <c r="CM66" i="17"/>
  <c r="CL66" i="17"/>
  <c r="DW66" i="17"/>
  <c r="DW67" i="17"/>
  <c r="CM67" i="17"/>
  <c r="CL67" i="17"/>
  <c r="DW68" i="17"/>
  <c r="CM68" i="17"/>
  <c r="CL68" i="17"/>
  <c r="CL69" i="17"/>
  <c r="DW69" i="17"/>
  <c r="CM69" i="17"/>
  <c r="DW70" i="17"/>
  <c r="CL70" i="17"/>
  <c r="CM70" i="17"/>
  <c r="CL71" i="17"/>
  <c r="DW71" i="17"/>
  <c r="CM71" i="17"/>
  <c r="CL72" i="17"/>
  <c r="DW72" i="17"/>
  <c r="CM72" i="17"/>
  <c r="DW73" i="17"/>
  <c r="CM73" i="17"/>
  <c r="CL73" i="17"/>
  <c r="CM74" i="17"/>
  <c r="CL74" i="17"/>
  <c r="DW74" i="17"/>
  <c r="CL75" i="17"/>
  <c r="DW75" i="17"/>
  <c r="CM75" i="17"/>
  <c r="DW76" i="17"/>
  <c r="CM76" i="17"/>
  <c r="CL76" i="17"/>
  <c r="DW77" i="17"/>
  <c r="CM77" i="17"/>
  <c r="CL77" i="17"/>
  <c r="DW78" i="17"/>
  <c r="CM78" i="17"/>
  <c r="CL78" i="17"/>
  <c r="DW79" i="17"/>
  <c r="CM79" i="17"/>
  <c r="CL79" i="17"/>
  <c r="DW80" i="17"/>
  <c r="CM80" i="17"/>
  <c r="CL80" i="17"/>
  <c r="DW81" i="17"/>
  <c r="CM81" i="17"/>
  <c r="CL81" i="17"/>
  <c r="CM82" i="17"/>
  <c r="CL82" i="17"/>
  <c r="DW82" i="17"/>
  <c r="CL83" i="17"/>
  <c r="DW83" i="17"/>
  <c r="CM83" i="17"/>
  <c r="DW84" i="17"/>
  <c r="CM84" i="17"/>
  <c r="CL84" i="17"/>
  <c r="CM85" i="17"/>
  <c r="CL85" i="17"/>
  <c r="DW85" i="17"/>
  <c r="DW86" i="17"/>
  <c r="CL86" i="17"/>
  <c r="CM86" i="17"/>
  <c r="CM87" i="17"/>
  <c r="CL87" i="17"/>
  <c r="DW87" i="17"/>
  <c r="CM88" i="17"/>
  <c r="DW88" i="17"/>
  <c r="CL88" i="17"/>
  <c r="CL89" i="17"/>
  <c r="CM89" i="17"/>
  <c r="DW89" i="17"/>
  <c r="CL90" i="17"/>
  <c r="CM90" i="17"/>
  <c r="DW90" i="17"/>
  <c r="CL91" i="17"/>
  <c r="DW91" i="17"/>
  <c r="CM91" i="17"/>
  <c r="CM92" i="17"/>
  <c r="CL92" i="17"/>
  <c r="DW92" i="17"/>
  <c r="CL93" i="17"/>
  <c r="DW93" i="17"/>
  <c r="CM93" i="17"/>
  <c r="CL94" i="17"/>
  <c r="DW94" i="17"/>
  <c r="CM94" i="17"/>
  <c r="CL95" i="17"/>
  <c r="DW95" i="17"/>
  <c r="CM95" i="17"/>
  <c r="CL96" i="17"/>
  <c r="DW96" i="17"/>
  <c r="CM96" i="17"/>
  <c r="CL97" i="17"/>
  <c r="DW97" i="17"/>
  <c r="CM97" i="17"/>
  <c r="CM98" i="17"/>
  <c r="CL98" i="17"/>
  <c r="DW98" i="17"/>
  <c r="CL99" i="17"/>
  <c r="DW99" i="17"/>
  <c r="CM99" i="17"/>
  <c r="CM100" i="17"/>
  <c r="CL100" i="17"/>
  <c r="DW100" i="17"/>
  <c r="DW101" i="17"/>
  <c r="CL101" i="17"/>
  <c r="CM101" i="17"/>
  <c r="CM102" i="17"/>
  <c r="CL102" i="17"/>
  <c r="DW102" i="17"/>
  <c r="DW103" i="17"/>
  <c r="CM103" i="17"/>
  <c r="CL103" i="17"/>
  <c r="CM104" i="17"/>
  <c r="CL104" i="17"/>
  <c r="DW104" i="17"/>
  <c r="CM105" i="17"/>
  <c r="CL105" i="17"/>
  <c r="DW105" i="17"/>
  <c r="CL106" i="17"/>
  <c r="DW106" i="17"/>
  <c r="CM106" i="17"/>
  <c r="DW107" i="17"/>
  <c r="CM107" i="17"/>
  <c r="CL107" i="17"/>
  <c r="CL108" i="17"/>
  <c r="DW108" i="17"/>
  <c r="CM108" i="17"/>
  <c r="CM109" i="17"/>
  <c r="CL109" i="17"/>
  <c r="DW109" i="17"/>
  <c r="DW110" i="17"/>
  <c r="CM110" i="17"/>
  <c r="CL110" i="17"/>
  <c r="DW111" i="17"/>
  <c r="CM111" i="17"/>
  <c r="CL111" i="17"/>
  <c r="CM112" i="17"/>
  <c r="CL112" i="17"/>
  <c r="DW112" i="17"/>
  <c r="DW113" i="17"/>
  <c r="CM113" i="17"/>
  <c r="CL113" i="17"/>
  <c r="CL114" i="17"/>
  <c r="DW114" i="17"/>
  <c r="CM114" i="17"/>
  <c r="CL115" i="17"/>
  <c r="DW115" i="17"/>
  <c r="CM115" i="17"/>
  <c r="CM116" i="17"/>
  <c r="CL116" i="17"/>
  <c r="DW116" i="17"/>
  <c r="DW117" i="17"/>
  <c r="CL117" i="17"/>
  <c r="CM117" i="17"/>
  <c r="DW118" i="17"/>
  <c r="CM118" i="17"/>
  <c r="CL118" i="17"/>
  <c r="DW119" i="17"/>
  <c r="CM119" i="17"/>
  <c r="CL119" i="17"/>
  <c r="CL120" i="17"/>
  <c r="DW120" i="17"/>
  <c r="CM120" i="17"/>
  <c r="CM121" i="17"/>
  <c r="CL121" i="17"/>
  <c r="DW121" i="17"/>
  <c r="DW122" i="17"/>
  <c r="CM122" i="17"/>
  <c r="CL122" i="17"/>
  <c r="CM123" i="17"/>
  <c r="CL123" i="17"/>
  <c r="DW123" i="17"/>
  <c r="CL124" i="17"/>
  <c r="CM124" i="17"/>
  <c r="DW124" i="17"/>
  <c r="AA89" i="14"/>
  <c r="AB89" i="14"/>
  <c r="AD89" i="14"/>
  <c r="AG89" i="14"/>
  <c r="AE89" i="14"/>
  <c r="Z89" i="14"/>
  <c r="AC89" i="14"/>
  <c r="X89" i="14"/>
  <c r="Y89" i="14"/>
  <c r="AF89" i="14"/>
  <c r="BC88" i="14"/>
  <c r="BD88" i="14"/>
  <c r="BC87" i="14"/>
  <c r="BD87" i="14"/>
  <c r="BX86" i="14"/>
  <c r="BT86" i="14"/>
  <c r="CL86" i="14"/>
  <c r="BW86" i="14"/>
  <c r="BS86" i="14"/>
  <c r="BU86" i="14"/>
  <c r="BY86" i="14"/>
  <c r="BV86" i="14"/>
  <c r="BI86" i="14"/>
  <c r="BJ86" i="14"/>
  <c r="BK86" i="14"/>
  <c r="BL86" i="14"/>
  <c r="BM86" i="14"/>
  <c r="BO86" i="14"/>
  <c r="BF86" i="14"/>
  <c r="BP86" i="14" s="1"/>
  <c r="CA86" i="14" s="1"/>
  <c r="BH86" i="14"/>
  <c r="BR86" i="14" s="1"/>
  <c r="CC86" i="14" s="1"/>
  <c r="BN86" i="14"/>
  <c r="BG86" i="14"/>
  <c r="BQ86" i="14" s="1"/>
  <c r="CB86" i="14" s="1"/>
  <c r="AA85" i="14"/>
  <c r="AB85" i="14"/>
  <c r="AD85" i="14"/>
  <c r="AG85" i="14"/>
  <c r="AE85" i="14"/>
  <c r="Z85" i="14"/>
  <c r="AC85" i="14"/>
  <c r="X85" i="14"/>
  <c r="Y85" i="14"/>
  <c r="AF85" i="14"/>
  <c r="AA84" i="14"/>
  <c r="AB84" i="14"/>
  <c r="AG84" i="14"/>
  <c r="AF84" i="14"/>
  <c r="AC84" i="14"/>
  <c r="AE84" i="14"/>
  <c r="AD84" i="14"/>
  <c r="Y84" i="14"/>
  <c r="Z84" i="14"/>
  <c r="X84" i="14"/>
  <c r="AA83" i="14"/>
  <c r="AB83" i="14"/>
  <c r="AD83" i="14"/>
  <c r="AG83" i="14"/>
  <c r="X83" i="14"/>
  <c r="Z83" i="14"/>
  <c r="AC83" i="14"/>
  <c r="AF83" i="14"/>
  <c r="Y83" i="14"/>
  <c r="AE83" i="14"/>
  <c r="AA82" i="14"/>
  <c r="AB82" i="14"/>
  <c r="AG82" i="14"/>
  <c r="AC82" i="14"/>
  <c r="X82" i="14"/>
  <c r="AD82" i="14"/>
  <c r="Y82" i="14"/>
  <c r="AF82" i="14"/>
  <c r="Z82" i="14"/>
  <c r="AE82" i="14"/>
  <c r="AA81" i="14"/>
  <c r="AB81" i="14"/>
  <c r="AD81" i="14"/>
  <c r="AG81" i="14"/>
  <c r="AE81" i="14"/>
  <c r="Z81" i="14"/>
  <c r="AC81" i="14"/>
  <c r="Y81" i="14"/>
  <c r="X81" i="14"/>
  <c r="AF81" i="14"/>
  <c r="R80" i="14"/>
  <c r="S80" i="14"/>
  <c r="AQ80" i="14" s="1"/>
  <c r="O80" i="14"/>
  <c r="AM80" i="14" s="1"/>
  <c r="P80" i="14"/>
  <c r="AN80" i="14" s="1"/>
  <c r="Q80" i="14"/>
  <c r="AO80" i="14" s="1"/>
  <c r="U80" i="14"/>
  <c r="L80" i="14"/>
  <c r="AJ80" i="14" s="1"/>
  <c r="T80" i="14"/>
  <c r="AR80" i="14" s="1"/>
  <c r="M80" i="14"/>
  <c r="AK80" i="14" s="1"/>
  <c r="N80" i="14"/>
  <c r="AL80" i="14" s="1"/>
  <c r="BC79" i="14"/>
  <c r="BD79" i="14"/>
  <c r="BD78" i="14"/>
  <c r="BC78" i="14"/>
  <c r="Q77" i="14"/>
  <c r="AO77" i="14" s="1"/>
  <c r="U77" i="14"/>
  <c r="AS77" i="14" s="1"/>
  <c r="O77" i="14"/>
  <c r="AM77" i="14" s="1"/>
  <c r="S77" i="14"/>
  <c r="R77" i="14"/>
  <c r="AP77" i="14" s="1"/>
  <c r="L77" i="14"/>
  <c r="AJ77" i="14" s="1"/>
  <c r="P77" i="14"/>
  <c r="N77" i="14"/>
  <c r="AL77" i="14" s="1"/>
  <c r="T77" i="14"/>
  <c r="AR77" i="14" s="1"/>
  <c r="M77" i="14"/>
  <c r="AK77" i="14" s="1"/>
  <c r="BC76" i="14"/>
  <c r="BD76" i="14"/>
  <c r="AA75" i="14"/>
  <c r="AB75" i="14"/>
  <c r="Z75" i="14"/>
  <c r="AC75" i="14"/>
  <c r="AE75" i="14"/>
  <c r="AF75" i="14"/>
  <c r="Y75" i="14"/>
  <c r="AD75" i="14"/>
  <c r="AG75" i="14"/>
  <c r="X75" i="14"/>
  <c r="O74" i="14"/>
  <c r="S74" i="14"/>
  <c r="AQ74" i="14" s="1"/>
  <c r="Q74" i="14"/>
  <c r="AO74" i="14" s="1"/>
  <c r="R74" i="14"/>
  <c r="AP74" i="14" s="1"/>
  <c r="U74" i="14"/>
  <c r="AS74" i="14" s="1"/>
  <c r="L74" i="14"/>
  <c r="P74" i="14"/>
  <c r="AN74" i="14" s="1"/>
  <c r="M74" i="14"/>
  <c r="AK74" i="14" s="1"/>
  <c r="N74" i="14"/>
  <c r="T74" i="14"/>
  <c r="AR74" i="14" s="1"/>
  <c r="Q73" i="14"/>
  <c r="U73" i="14"/>
  <c r="AS73" i="14" s="1"/>
  <c r="O73" i="14"/>
  <c r="AM73" i="14" s="1"/>
  <c r="S73" i="14"/>
  <c r="AQ73" i="14" s="1"/>
  <c r="R73" i="14"/>
  <c r="AP73" i="14" s="1"/>
  <c r="P73" i="14"/>
  <c r="AN73" i="14" s="1"/>
  <c r="L73" i="14"/>
  <c r="T73" i="14"/>
  <c r="AR73" i="14" s="1"/>
  <c r="N73" i="14"/>
  <c r="AL73" i="14" s="1"/>
  <c r="M73" i="14"/>
  <c r="AK73" i="14" s="1"/>
  <c r="BC72" i="14"/>
  <c r="BD72" i="14"/>
  <c r="CL71" i="14"/>
  <c r="BX71" i="14"/>
  <c r="BT71" i="14"/>
  <c r="BW71" i="14"/>
  <c r="BU71" i="14"/>
  <c r="BY71" i="14"/>
  <c r="BV71" i="14"/>
  <c r="BI71" i="14"/>
  <c r="BS71" i="14" s="1"/>
  <c r="CD71" i="14" s="1"/>
  <c r="BJ71" i="14"/>
  <c r="BM71" i="14"/>
  <c r="BL71" i="14"/>
  <c r="BK71" i="14"/>
  <c r="BO71" i="14"/>
  <c r="BF71" i="14"/>
  <c r="BP71" i="14" s="1"/>
  <c r="CA71" i="14" s="1"/>
  <c r="BH71" i="14"/>
  <c r="BR71" i="14" s="1"/>
  <c r="CC71" i="14" s="1"/>
  <c r="BN71" i="14"/>
  <c r="BG71" i="14"/>
  <c r="BQ71" i="14" s="1"/>
  <c r="CB71" i="14" s="1"/>
  <c r="Y70" i="14"/>
  <c r="AG70" i="14"/>
  <c r="AB70" i="14"/>
  <c r="AE70" i="14"/>
  <c r="X70" i="14"/>
  <c r="AA70" i="14"/>
  <c r="AF70" i="14"/>
  <c r="AD70" i="14"/>
  <c r="Z70" i="14"/>
  <c r="AC70" i="14"/>
  <c r="Q69" i="14"/>
  <c r="U69" i="14"/>
  <c r="AS69" i="14" s="1"/>
  <c r="S69" i="14"/>
  <c r="AQ69" i="14" s="1"/>
  <c r="R69" i="14"/>
  <c r="O69" i="14"/>
  <c r="P69" i="14"/>
  <c r="AN69" i="14" s="1"/>
  <c r="L69" i="14"/>
  <c r="AJ69" i="14" s="1"/>
  <c r="M69" i="14"/>
  <c r="AK69" i="14" s="1"/>
  <c r="T69" i="14"/>
  <c r="AR69" i="14" s="1"/>
  <c r="N69" i="14"/>
  <c r="BC68" i="14"/>
  <c r="BD68" i="14"/>
  <c r="BC67" i="14"/>
  <c r="BD67" i="14"/>
  <c r="Y66" i="14"/>
  <c r="AG66" i="14"/>
  <c r="AB66" i="14"/>
  <c r="AA66" i="14"/>
  <c r="AF66" i="14"/>
  <c r="AD66" i="14"/>
  <c r="AC66" i="14"/>
  <c r="Z66" i="14"/>
  <c r="AE66" i="14"/>
  <c r="X66" i="14"/>
  <c r="Y65" i="14"/>
  <c r="AG65" i="14"/>
  <c r="Z65" i="14"/>
  <c r="AA65" i="14"/>
  <c r="AF65" i="14"/>
  <c r="AB65" i="14"/>
  <c r="AD65" i="14"/>
  <c r="X65" i="14"/>
  <c r="AE65" i="14"/>
  <c r="AC65" i="14"/>
  <c r="BC64" i="14"/>
  <c r="BD64" i="14"/>
  <c r="U63" i="14"/>
  <c r="AS63" i="14" s="1"/>
  <c r="Q63" i="14"/>
  <c r="R63" i="14"/>
  <c r="AP63" i="14" s="1"/>
  <c r="O63" i="14"/>
  <c r="S63" i="14"/>
  <c r="P63" i="14"/>
  <c r="AN63" i="14" s="1"/>
  <c r="L63" i="14"/>
  <c r="AJ63" i="14" s="1"/>
  <c r="T63" i="14"/>
  <c r="N63" i="14"/>
  <c r="AL63" i="14" s="1"/>
  <c r="M63" i="14"/>
  <c r="AK63" i="14" s="1"/>
  <c r="BC62" i="14"/>
  <c r="BD62" i="14"/>
  <c r="BV61" i="14"/>
  <c r="BR61" i="14"/>
  <c r="CC61" i="14" s="1"/>
  <c r="CL61" i="14"/>
  <c r="BY61" i="14"/>
  <c r="BL61" i="14"/>
  <c r="BX61" i="14"/>
  <c r="BW61" i="14"/>
  <c r="BK61" i="14"/>
  <c r="BU61" i="14" s="1"/>
  <c r="BO61" i="14"/>
  <c r="BF61" i="14"/>
  <c r="BP61" i="14" s="1"/>
  <c r="CA61" i="14" s="1"/>
  <c r="BJ61" i="14"/>
  <c r="BT61" i="14" s="1"/>
  <c r="CE61" i="14" s="1"/>
  <c r="BI61" i="14"/>
  <c r="BS61" i="14" s="1"/>
  <c r="CD61" i="14" s="1"/>
  <c r="BM61" i="14"/>
  <c r="BN61" i="14"/>
  <c r="BH61" i="14"/>
  <c r="BG61" i="14"/>
  <c r="BQ61" i="14" s="1"/>
  <c r="CB61" i="14" s="1"/>
  <c r="AA60" i="14"/>
  <c r="AB60" i="14"/>
  <c r="AE60" i="14"/>
  <c r="AG60" i="14"/>
  <c r="X60" i="14"/>
  <c r="AD60" i="14"/>
  <c r="AC60" i="14"/>
  <c r="AF60" i="14"/>
  <c r="Z60" i="14"/>
  <c r="Y60" i="14"/>
  <c r="BD59" i="14"/>
  <c r="BC59" i="14"/>
  <c r="BD58" i="14"/>
  <c r="BC58" i="14"/>
  <c r="BX57" i="14"/>
  <c r="BY57" i="14"/>
  <c r="CL57" i="14"/>
  <c r="BW57" i="14"/>
  <c r="BV57" i="14"/>
  <c r="BM57" i="14"/>
  <c r="BO57" i="14"/>
  <c r="BK57" i="14"/>
  <c r="BU57" i="14" s="1"/>
  <c r="CF57" i="14" s="1"/>
  <c r="BJ57" i="14"/>
  <c r="BT57" i="14" s="1"/>
  <c r="CE57" i="14" s="1"/>
  <c r="BI57" i="14"/>
  <c r="BS57" i="14" s="1"/>
  <c r="CD57" i="14" s="1"/>
  <c r="BL57" i="14"/>
  <c r="BF57" i="14"/>
  <c r="BP57" i="14" s="1"/>
  <c r="CA57" i="14" s="1"/>
  <c r="BH57" i="14"/>
  <c r="BR57" i="14" s="1"/>
  <c r="CC57" i="14" s="1"/>
  <c r="BG57" i="14"/>
  <c r="BQ57" i="14" s="1"/>
  <c r="CB57" i="14" s="1"/>
  <c r="BN57" i="14"/>
  <c r="Q56" i="14"/>
  <c r="AO56" i="14" s="1"/>
  <c r="S56" i="14"/>
  <c r="O56" i="14"/>
  <c r="AM56" i="14" s="1"/>
  <c r="U56" i="14"/>
  <c r="AS56" i="14" s="1"/>
  <c r="R56" i="14"/>
  <c r="AP56" i="14" s="1"/>
  <c r="P56" i="14"/>
  <c r="AN56" i="14" s="1"/>
  <c r="L56" i="14"/>
  <c r="N56" i="14"/>
  <c r="M56" i="14"/>
  <c r="AK56" i="14" s="1"/>
  <c r="T56" i="14"/>
  <c r="AR56" i="14" s="1"/>
  <c r="Y55" i="14"/>
  <c r="AD55" i="14"/>
  <c r="Z55" i="14"/>
  <c r="AE55" i="14"/>
  <c r="AF55" i="14"/>
  <c r="AA55" i="14"/>
  <c r="AC55" i="14"/>
  <c r="AB55" i="14"/>
  <c r="AG55" i="14"/>
  <c r="X55" i="14"/>
  <c r="BW54" i="14"/>
  <c r="BY54" i="14"/>
  <c r="CL54" i="14"/>
  <c r="BX54" i="14"/>
  <c r="BV54" i="14"/>
  <c r="BL54" i="14"/>
  <c r="BJ54" i="14"/>
  <c r="BT54" i="14" s="1"/>
  <c r="CE54" i="14" s="1"/>
  <c r="BM54" i="14"/>
  <c r="BK54" i="14"/>
  <c r="BU54" i="14" s="1"/>
  <c r="CF54" i="14" s="1"/>
  <c r="BI54" i="14"/>
  <c r="BS54" i="14" s="1"/>
  <c r="CD54" i="14" s="1"/>
  <c r="BO54" i="14"/>
  <c r="BF54" i="14"/>
  <c r="BP54" i="14" s="1"/>
  <c r="CA54" i="14" s="1"/>
  <c r="BH54" i="14"/>
  <c r="BR54" i="14" s="1"/>
  <c r="CC54" i="14" s="1"/>
  <c r="BG54" i="14"/>
  <c r="BQ54" i="14" s="1"/>
  <c r="CB54" i="14" s="1"/>
  <c r="BN54" i="14"/>
  <c r="BC53" i="14"/>
  <c r="BD53" i="14"/>
  <c r="AG52" i="14"/>
  <c r="AB52" i="14"/>
  <c r="X52" i="14"/>
  <c r="AC52" i="14"/>
  <c r="AD52" i="14"/>
  <c r="AF52" i="14"/>
  <c r="AE52" i="14"/>
  <c r="AA52" i="14"/>
  <c r="Y52" i="14"/>
  <c r="Z52" i="14"/>
  <c r="BD51" i="14"/>
  <c r="BC51" i="14"/>
  <c r="R50" i="14"/>
  <c r="AP50" i="14" s="1"/>
  <c r="O50" i="14"/>
  <c r="AM50" i="14" s="1"/>
  <c r="S50" i="14"/>
  <c r="AQ50" i="14" s="1"/>
  <c r="U50" i="14"/>
  <c r="AS50" i="14" s="1"/>
  <c r="Q50" i="14"/>
  <c r="AO50" i="14" s="1"/>
  <c r="L50" i="14"/>
  <c r="AJ50" i="14" s="1"/>
  <c r="P50" i="14"/>
  <c r="AN50" i="14" s="1"/>
  <c r="M50" i="14"/>
  <c r="AK50" i="14" s="1"/>
  <c r="N50" i="14"/>
  <c r="AL50" i="14" s="1"/>
  <c r="T50" i="14"/>
  <c r="CL49" i="14"/>
  <c r="BY49" i="14"/>
  <c r="BX49" i="14"/>
  <c r="BL49" i="14"/>
  <c r="BV49" i="14" s="1"/>
  <c r="CG49" i="14" s="1"/>
  <c r="BK49" i="14"/>
  <c r="BU49" i="14" s="1"/>
  <c r="CF49" i="14" s="1"/>
  <c r="BO49" i="14"/>
  <c r="BM49" i="14"/>
  <c r="BW49" i="14" s="1"/>
  <c r="BJ49" i="14"/>
  <c r="BT49" i="14" s="1"/>
  <c r="CE49" i="14" s="1"/>
  <c r="BI49" i="14"/>
  <c r="BS49" i="14" s="1"/>
  <c r="CD49" i="14" s="1"/>
  <c r="BF49" i="14"/>
  <c r="BP49" i="14" s="1"/>
  <c r="CA49" i="14" s="1"/>
  <c r="BH49" i="14"/>
  <c r="BR49" i="14" s="1"/>
  <c r="CC49" i="14" s="1"/>
  <c r="BN49" i="14"/>
  <c r="BG49" i="14"/>
  <c r="BQ49" i="14" s="1"/>
  <c r="CB49" i="14" s="1"/>
  <c r="Y48" i="14"/>
  <c r="AD48" i="14"/>
  <c r="Z48" i="14"/>
  <c r="AF48" i="14"/>
  <c r="AE48" i="14"/>
  <c r="AA48" i="14"/>
  <c r="X48" i="14"/>
  <c r="AB48" i="14"/>
  <c r="AC48" i="14"/>
  <c r="AG48" i="14"/>
  <c r="AF47" i="14"/>
  <c r="AA47" i="14"/>
  <c r="AB47" i="14"/>
  <c r="AG47" i="14"/>
  <c r="AD47" i="14"/>
  <c r="X47" i="14"/>
  <c r="Y47" i="14"/>
  <c r="Z47" i="14"/>
  <c r="AC47" i="14"/>
  <c r="AE47" i="14"/>
  <c r="BC46" i="14"/>
  <c r="BD46" i="14"/>
  <c r="BC45" i="14"/>
  <c r="BD45" i="14"/>
  <c r="AF44" i="14"/>
  <c r="AA44" i="14"/>
  <c r="AB44" i="14"/>
  <c r="AG44" i="14"/>
  <c r="AD44" i="14"/>
  <c r="AC44" i="14"/>
  <c r="Z44" i="14"/>
  <c r="Y44" i="14"/>
  <c r="AE44" i="14"/>
  <c r="X44" i="14"/>
  <c r="AF43" i="14"/>
  <c r="AA43" i="14"/>
  <c r="AB43" i="14"/>
  <c r="AG43" i="14"/>
  <c r="AD43" i="14"/>
  <c r="X43" i="14"/>
  <c r="Y43" i="14"/>
  <c r="Z43" i="14"/>
  <c r="AC43" i="14"/>
  <c r="AE43" i="14"/>
  <c r="BC42" i="14"/>
  <c r="BD42" i="14"/>
  <c r="O41" i="14"/>
  <c r="AM41" i="14" s="1"/>
  <c r="Q41" i="14"/>
  <c r="AO41" i="14" s="1"/>
  <c r="R41" i="14"/>
  <c r="AP41" i="14" s="1"/>
  <c r="S41" i="14"/>
  <c r="U41" i="14"/>
  <c r="AS41" i="14" s="1"/>
  <c r="L41" i="14"/>
  <c r="AJ41" i="14" s="1"/>
  <c r="P41" i="14"/>
  <c r="M41" i="14"/>
  <c r="AK41" i="14" s="1"/>
  <c r="N41" i="14"/>
  <c r="AL41" i="14" s="1"/>
  <c r="T41" i="14"/>
  <c r="AR41" i="14" s="1"/>
  <c r="BL40" i="14"/>
  <c r="BV40" i="14" s="1"/>
  <c r="CG40" i="14" s="1"/>
  <c r="CL40" i="14"/>
  <c r="BK40" i="14"/>
  <c r="BU40" i="14" s="1"/>
  <c r="CF40" i="14" s="1"/>
  <c r="BO40" i="14"/>
  <c r="BY40" i="14" s="1"/>
  <c r="CJ40" i="14" s="1"/>
  <c r="BJ40" i="14"/>
  <c r="BT40" i="14" s="1"/>
  <c r="CE40" i="14" s="1"/>
  <c r="BM40" i="14"/>
  <c r="BW40" i="14" s="1"/>
  <c r="CH40" i="14" s="1"/>
  <c r="BI40" i="14"/>
  <c r="BS40" i="14" s="1"/>
  <c r="CD40" i="14" s="1"/>
  <c r="BF40" i="14"/>
  <c r="BP40" i="14" s="1"/>
  <c r="CA40" i="14" s="1"/>
  <c r="BG40" i="14"/>
  <c r="BQ40" i="14" s="1"/>
  <c r="CB40" i="14" s="1"/>
  <c r="BH40" i="14"/>
  <c r="BR40" i="14" s="1"/>
  <c r="CC40" i="14" s="1"/>
  <c r="BN40" i="14"/>
  <c r="BX40" i="14" s="1"/>
  <c r="CI40" i="14" s="1"/>
  <c r="Q39" i="14"/>
  <c r="U39" i="14"/>
  <c r="AS39" i="14" s="1"/>
  <c r="S39" i="14"/>
  <c r="AQ39" i="14" s="1"/>
  <c r="R39" i="14"/>
  <c r="AP39" i="14" s="1"/>
  <c r="O39" i="14"/>
  <c r="AM39" i="14" s="1"/>
  <c r="L39" i="14"/>
  <c r="AJ39" i="14" s="1"/>
  <c r="P39" i="14"/>
  <c r="AN39" i="14" s="1"/>
  <c r="M39" i="14"/>
  <c r="AK39" i="14" s="1"/>
  <c r="N39" i="14"/>
  <c r="T39" i="14"/>
  <c r="AR39" i="14" s="1"/>
  <c r="BD38" i="14"/>
  <c r="BC38" i="14"/>
  <c r="CL36" i="14"/>
  <c r="BV36" i="14"/>
  <c r="CG36" i="14" s="1"/>
  <c r="BR36" i="14"/>
  <c r="CC36" i="14" s="1"/>
  <c r="BU36" i="14"/>
  <c r="CF36" i="14" s="1"/>
  <c r="BP36" i="14"/>
  <c r="CA36" i="14" s="1"/>
  <c r="BY36" i="14"/>
  <c r="CJ36" i="14" s="1"/>
  <c r="BT36" i="14"/>
  <c r="CE36" i="14" s="1"/>
  <c r="BS36" i="14"/>
  <c r="CD36" i="14" s="1"/>
  <c r="BQ36" i="14"/>
  <c r="CB36" i="14" s="1"/>
  <c r="BW36" i="14"/>
  <c r="CH36" i="14" s="1"/>
  <c r="BX36" i="14"/>
  <c r="CI36" i="14" s="1"/>
  <c r="AG157" i="14"/>
  <c r="X157" i="14"/>
  <c r="AA157" i="14"/>
  <c r="Z157" i="14"/>
  <c r="AC157" i="14"/>
  <c r="AD157" i="14"/>
  <c r="Y157" i="14"/>
  <c r="AF157" i="14"/>
  <c r="AB157" i="14"/>
  <c r="AE157" i="14"/>
  <c r="BJ126" i="17"/>
  <c r="W126" i="17"/>
  <c r="BJ6" i="17"/>
  <c r="W6" i="17"/>
  <c r="BJ5" i="17"/>
  <c r="W5" i="17"/>
  <c r="BJ7" i="17"/>
  <c r="W7" i="17"/>
  <c r="BJ8" i="17"/>
  <c r="W8" i="17"/>
  <c r="BJ9" i="17"/>
  <c r="W9" i="17"/>
  <c r="BJ10" i="17"/>
  <c r="W10" i="17"/>
  <c r="BJ11" i="17"/>
  <c r="W11" i="17"/>
  <c r="BJ12" i="17"/>
  <c r="W12" i="17"/>
  <c r="W13" i="17"/>
  <c r="BJ13" i="17"/>
  <c r="BJ14" i="17"/>
  <c r="W14" i="17"/>
  <c r="W15" i="17"/>
  <c r="BJ15" i="17"/>
  <c r="W16" i="17"/>
  <c r="BJ16" i="17"/>
  <c r="W17" i="17"/>
  <c r="BJ17" i="17"/>
  <c r="W18" i="17"/>
  <c r="BJ18" i="17"/>
  <c r="BJ19" i="17"/>
  <c r="W19" i="17"/>
  <c r="BJ20" i="17"/>
  <c r="W20" i="17"/>
  <c r="BJ21" i="17"/>
  <c r="W21" i="17"/>
  <c r="BJ22" i="17"/>
  <c r="W22" i="17"/>
  <c r="BJ23" i="17"/>
  <c r="W23" i="17"/>
  <c r="BJ24" i="17"/>
  <c r="W24" i="17"/>
  <c r="BJ25" i="17"/>
  <c r="W25" i="17"/>
  <c r="BJ26" i="17"/>
  <c r="W26" i="17"/>
  <c r="W27" i="17"/>
  <c r="BJ27" i="17"/>
  <c r="BJ28" i="17"/>
  <c r="W28" i="17"/>
  <c r="BJ29" i="17"/>
  <c r="W29" i="17"/>
  <c r="BJ30" i="17"/>
  <c r="W30" i="17"/>
  <c r="BJ31" i="17"/>
  <c r="W31" i="17"/>
  <c r="BJ32" i="17"/>
  <c r="W32" i="17"/>
  <c r="BJ33" i="17"/>
  <c r="W33" i="17"/>
  <c r="BJ34" i="17"/>
  <c r="W34" i="17"/>
  <c r="BJ35" i="17"/>
  <c r="W35" i="17"/>
  <c r="BJ36" i="17"/>
  <c r="W36" i="17"/>
  <c r="BJ37" i="17"/>
  <c r="W37" i="17"/>
  <c r="BJ38" i="17"/>
  <c r="W38" i="17"/>
  <c r="BJ39" i="17"/>
  <c r="W39" i="17"/>
  <c r="BJ40" i="17"/>
  <c r="W40" i="17"/>
  <c r="W41" i="17"/>
  <c r="BJ41" i="17"/>
  <c r="W42" i="17"/>
  <c r="BJ42" i="17"/>
  <c r="BJ43" i="17"/>
  <c r="W43" i="17"/>
  <c r="W44" i="17"/>
  <c r="BJ44" i="17"/>
  <c r="BJ45" i="17"/>
  <c r="W45" i="17"/>
  <c r="W46" i="17"/>
  <c r="BJ46" i="17"/>
  <c r="BJ47" i="17"/>
  <c r="W47" i="17"/>
  <c r="BJ48" i="17"/>
  <c r="W48" i="17"/>
  <c r="BJ49" i="17"/>
  <c r="W49" i="17"/>
  <c r="W50" i="17"/>
  <c r="BJ50" i="17"/>
  <c r="BJ51" i="17"/>
  <c r="W51" i="17"/>
  <c r="BJ52" i="17"/>
  <c r="W52" i="17"/>
  <c r="W53" i="17"/>
  <c r="BJ53" i="17"/>
  <c r="W54" i="17"/>
  <c r="BJ54" i="17"/>
  <c r="W55" i="17"/>
  <c r="BJ55" i="17"/>
  <c r="BJ56" i="17"/>
  <c r="W56" i="17"/>
  <c r="W57" i="17"/>
  <c r="BJ57" i="17"/>
  <c r="BJ58" i="17"/>
  <c r="W58" i="17"/>
  <c r="BJ59" i="17"/>
  <c r="W59" i="17"/>
  <c r="W60" i="17"/>
  <c r="BJ60" i="17"/>
  <c r="BJ61" i="17"/>
  <c r="W61" i="17"/>
  <c r="BJ62" i="17"/>
  <c r="W62" i="17"/>
  <c r="W63" i="17"/>
  <c r="BJ63" i="17"/>
  <c r="W64" i="17"/>
  <c r="BJ64" i="17"/>
  <c r="W65" i="17"/>
  <c r="BJ65" i="17"/>
  <c r="BJ66" i="17"/>
  <c r="W66" i="17"/>
  <c r="W67" i="17"/>
  <c r="BJ67" i="17"/>
  <c r="W68" i="17"/>
  <c r="BJ68" i="17"/>
  <c r="BJ69" i="17"/>
  <c r="W69" i="17"/>
  <c r="BJ70" i="17"/>
  <c r="W70" i="17"/>
  <c r="W71" i="17"/>
  <c r="BJ71" i="17"/>
  <c r="W72" i="17"/>
  <c r="BJ72" i="17"/>
  <c r="BJ73" i="17"/>
  <c r="W73" i="17"/>
  <c r="BJ74" i="17"/>
  <c r="W74" i="17"/>
  <c r="BJ75" i="17"/>
  <c r="W75" i="17"/>
  <c r="BJ76" i="17"/>
  <c r="W76" i="17"/>
  <c r="BJ77" i="17"/>
  <c r="W77" i="17"/>
  <c r="BJ78" i="17"/>
  <c r="W78" i="17"/>
  <c r="BJ79" i="17"/>
  <c r="W79" i="17"/>
  <c r="BJ80" i="17"/>
  <c r="W80" i="17"/>
  <c r="W81" i="17"/>
  <c r="BJ81" i="17"/>
  <c r="BJ82" i="17"/>
  <c r="W82" i="17"/>
  <c r="BJ83" i="17"/>
  <c r="W83" i="17"/>
  <c r="BJ84" i="17"/>
  <c r="W84" i="17"/>
  <c r="W85" i="17"/>
  <c r="BJ85" i="17"/>
  <c r="BJ86" i="17"/>
  <c r="W86" i="17"/>
  <c r="BJ87" i="17"/>
  <c r="W87" i="17"/>
  <c r="W88" i="17"/>
  <c r="BJ88" i="17"/>
  <c r="W89" i="17"/>
  <c r="BJ89" i="17"/>
  <c r="BJ90" i="17"/>
  <c r="W90" i="17"/>
  <c r="BJ91" i="17"/>
  <c r="W91" i="17"/>
  <c r="BJ92" i="17"/>
  <c r="W92" i="17"/>
  <c r="BJ93" i="17"/>
  <c r="W93" i="17"/>
  <c r="BJ94" i="17"/>
  <c r="W94" i="17"/>
  <c r="W95" i="17"/>
  <c r="BJ95" i="17"/>
  <c r="W96" i="17"/>
  <c r="BJ96" i="17"/>
  <c r="BJ97" i="17"/>
  <c r="W97" i="17"/>
  <c r="BJ98" i="17"/>
  <c r="W98" i="17"/>
  <c r="W99" i="17"/>
  <c r="BJ99" i="17"/>
  <c r="BJ100" i="17"/>
  <c r="W100" i="17"/>
  <c r="BJ101" i="17"/>
  <c r="W101" i="17"/>
  <c r="BJ102" i="17"/>
  <c r="W102" i="17"/>
  <c r="BJ103" i="17"/>
  <c r="W103" i="17"/>
  <c r="BJ104" i="17"/>
  <c r="W104" i="17"/>
  <c r="BJ105" i="17"/>
  <c r="W105" i="17"/>
  <c r="BJ106" i="17"/>
  <c r="W106" i="17"/>
  <c r="BJ107" i="17"/>
  <c r="W107" i="17"/>
  <c r="BJ108" i="17"/>
  <c r="W108" i="17"/>
  <c r="W109" i="17"/>
  <c r="BJ109" i="17"/>
  <c r="BJ110" i="17"/>
  <c r="W110" i="17"/>
  <c r="BJ111" i="17"/>
  <c r="W111" i="17"/>
  <c r="BJ112" i="17"/>
  <c r="W112" i="17"/>
  <c r="BJ113" i="17"/>
  <c r="W113" i="17"/>
  <c r="BJ114" i="17"/>
  <c r="W114" i="17"/>
  <c r="W115" i="17"/>
  <c r="BJ115" i="17"/>
  <c r="BJ116" i="17"/>
  <c r="W116" i="17"/>
  <c r="BJ117" i="17"/>
  <c r="W117" i="17"/>
  <c r="BJ118" i="17"/>
  <c r="W118" i="17"/>
  <c r="BJ119" i="17"/>
  <c r="W119" i="17"/>
  <c r="BJ120" i="17"/>
  <c r="W120" i="17"/>
  <c r="W121" i="17"/>
  <c r="BJ121" i="17"/>
  <c r="BJ122" i="17"/>
  <c r="W122" i="17"/>
  <c r="BJ123" i="17"/>
  <c r="W123" i="17"/>
  <c r="BJ124" i="17"/>
  <c r="W124" i="17"/>
  <c r="CM125" i="17"/>
  <c r="AO63" i="14" l="1"/>
  <c r="AO58" i="14"/>
  <c r="AQ64" i="14"/>
  <c r="AN67" i="14"/>
  <c r="AO76" i="14"/>
  <c r="AO119" i="14"/>
  <c r="AL123" i="14"/>
  <c r="AQ127" i="14"/>
  <c r="AN98" i="14"/>
  <c r="AQ102" i="14"/>
  <c r="AQ122" i="14"/>
  <c r="AR126" i="14"/>
  <c r="AO126" i="14"/>
  <c r="AL38" i="14"/>
  <c r="AK42" i="14"/>
  <c r="AM42" i="14"/>
  <c r="AM46" i="14"/>
  <c r="AN61" i="14"/>
  <c r="AR62" i="14"/>
  <c r="AJ78" i="14"/>
  <c r="AJ87" i="14"/>
  <c r="AN120" i="14"/>
  <c r="AO121" i="14"/>
  <c r="AL56" i="14"/>
  <c r="AL39" i="14"/>
  <c r="AO39" i="14"/>
  <c r="AQ41" i="14"/>
  <c r="AR50" i="14"/>
  <c r="AJ56" i="14"/>
  <c r="AQ63" i="14"/>
  <c r="AM69" i="14"/>
  <c r="AO69" i="14"/>
  <c r="AJ74" i="14"/>
  <c r="AQ77" i="14"/>
  <c r="AS80" i="14"/>
  <c r="AN58" i="14"/>
  <c r="AJ67" i="14"/>
  <c r="AN97" i="14"/>
  <c r="AL119" i="14"/>
  <c r="AN141" i="14"/>
  <c r="AP98" i="14"/>
  <c r="AJ102" i="14"/>
  <c r="AM107" i="14"/>
  <c r="AN116" i="14"/>
  <c r="AM116" i="14"/>
  <c r="AK137" i="14"/>
  <c r="AQ42" i="14"/>
  <c r="AQ46" i="14"/>
  <c r="AN87" i="14"/>
  <c r="AO88" i="14"/>
  <c r="AP90" i="14"/>
  <c r="AP96" i="14"/>
  <c r="AL120" i="14"/>
  <c r="AR125" i="14"/>
  <c r="AJ125" i="14"/>
  <c r="AK138" i="14"/>
  <c r="AL69" i="14"/>
  <c r="AO73" i="14"/>
  <c r="AN41" i="14"/>
  <c r="AQ56" i="14"/>
  <c r="AR63" i="14"/>
  <c r="AM63" i="14"/>
  <c r="AP69" i="14"/>
  <c r="AJ73" i="14"/>
  <c r="AL74" i="14"/>
  <c r="AM74" i="14"/>
  <c r="AN77" i="14"/>
  <c r="AP80" i="14"/>
  <c r="AK58" i="14"/>
  <c r="AP76" i="14"/>
  <c r="AK123" i="14"/>
  <c r="AJ133" i="14"/>
  <c r="AM133" i="14"/>
  <c r="AL148" i="14"/>
  <c r="AQ98" i="14"/>
  <c r="AM102" i="14"/>
  <c r="AP122" i="14"/>
  <c r="AJ126" i="14"/>
  <c r="AN38" i="14"/>
  <c r="AS68" i="14"/>
  <c r="AK72" i="14"/>
  <c r="AQ72" i="14"/>
  <c r="AL87" i="14"/>
  <c r="AR96" i="14"/>
  <c r="AN106" i="14"/>
  <c r="DI126" i="14"/>
  <c r="EC125" i="17"/>
  <c r="DK126" i="14"/>
  <c r="EA125" i="17"/>
  <c r="AX120" i="17"/>
  <c r="AJ120" i="17"/>
  <c r="AS120" i="17"/>
  <c r="AI120" i="17"/>
  <c r="AB120" i="17"/>
  <c r="Y120" i="17"/>
  <c r="Z120" i="17"/>
  <c r="X120" i="17"/>
  <c r="AS114" i="17"/>
  <c r="AI114" i="17"/>
  <c r="AB114" i="17"/>
  <c r="AX114" i="17"/>
  <c r="AJ114" i="17"/>
  <c r="AA114" i="17"/>
  <c r="X114" i="17"/>
  <c r="Z114" i="17"/>
  <c r="Y114" i="17"/>
  <c r="AX108" i="17"/>
  <c r="AJ108" i="17"/>
  <c r="AB108" i="17"/>
  <c r="AS108" i="17"/>
  <c r="AI108" i="17"/>
  <c r="X108" i="17"/>
  <c r="AA108" i="17"/>
  <c r="Z108" i="17"/>
  <c r="Y108" i="17"/>
  <c r="AX102" i="17"/>
  <c r="AJ102" i="17"/>
  <c r="AB102" i="17"/>
  <c r="AS102" i="17"/>
  <c r="AI102" i="17"/>
  <c r="X102" i="17"/>
  <c r="AA102" i="17"/>
  <c r="Z102" i="17"/>
  <c r="Y102" i="17"/>
  <c r="AX98" i="17"/>
  <c r="AJ98" i="17"/>
  <c r="AB98" i="17"/>
  <c r="AI98" i="17"/>
  <c r="AS98" i="17"/>
  <c r="Y98" i="17"/>
  <c r="X98" i="17"/>
  <c r="AA98" i="17"/>
  <c r="Z98" i="17"/>
  <c r="AX94" i="17"/>
  <c r="AJ94" i="17"/>
  <c r="AB94" i="17"/>
  <c r="AS94" i="17"/>
  <c r="AI94" i="17"/>
  <c r="Y94" i="17"/>
  <c r="X94" i="17"/>
  <c r="Z94" i="17"/>
  <c r="AA94" i="17"/>
  <c r="BP88" i="17"/>
  <c r="BG88" i="17"/>
  <c r="BI88" i="17"/>
  <c r="BH88" i="17"/>
  <c r="BE88" i="17"/>
  <c r="BC88" i="17"/>
  <c r="BD88" i="17"/>
  <c r="BB88" i="17"/>
  <c r="BF88" i="17" s="1"/>
  <c r="BK88" i="17" s="1"/>
  <c r="AS84" i="17"/>
  <c r="AI84" i="17"/>
  <c r="AX84" i="17"/>
  <c r="AJ84" i="17"/>
  <c r="AB84" i="17"/>
  <c r="AA84" i="17"/>
  <c r="X84" i="17"/>
  <c r="Y84" i="17"/>
  <c r="Z84" i="17"/>
  <c r="AX78" i="17"/>
  <c r="AJ78" i="17"/>
  <c r="AB78" i="17"/>
  <c r="AS78" i="17"/>
  <c r="AI78" i="17"/>
  <c r="X78" i="17"/>
  <c r="AA78" i="17"/>
  <c r="Z78" i="17"/>
  <c r="Y78" i="17"/>
  <c r="BP72" i="17"/>
  <c r="BH72" i="17"/>
  <c r="BI72" i="17"/>
  <c r="BG72" i="17"/>
  <c r="BE72" i="17"/>
  <c r="BB72" i="17"/>
  <c r="BF72" i="17" s="1"/>
  <c r="BK72" i="17" s="1"/>
  <c r="BD72" i="17"/>
  <c r="BC72" i="17"/>
  <c r="BP64" i="17"/>
  <c r="BI64" i="17"/>
  <c r="BG64" i="17"/>
  <c r="BH64" i="17"/>
  <c r="BD64" i="17"/>
  <c r="BC64" i="17"/>
  <c r="BB64" i="17"/>
  <c r="BF64" i="17" s="1"/>
  <c r="BK64" i="17" s="1"/>
  <c r="BE64" i="17"/>
  <c r="AX58" i="17"/>
  <c r="AJ58" i="17"/>
  <c r="AB58" i="17"/>
  <c r="AS58" i="17"/>
  <c r="AI58" i="17"/>
  <c r="Z58" i="17"/>
  <c r="Y58" i="17"/>
  <c r="AA58" i="17"/>
  <c r="X58" i="17"/>
  <c r="AS52" i="17"/>
  <c r="AI52" i="17"/>
  <c r="AX52" i="17"/>
  <c r="AJ52" i="17"/>
  <c r="AB52" i="17"/>
  <c r="Y52" i="17"/>
  <c r="AA52" i="17"/>
  <c r="Z52" i="17"/>
  <c r="X52" i="17"/>
  <c r="AX48" i="17"/>
  <c r="AJ48" i="17"/>
  <c r="AB48" i="17"/>
  <c r="AS48" i="17"/>
  <c r="AI48" i="17"/>
  <c r="Z48" i="17"/>
  <c r="X48" i="17"/>
  <c r="AA48" i="17"/>
  <c r="Y48" i="17"/>
  <c r="BP42" i="17"/>
  <c r="BH42" i="17"/>
  <c r="BI42" i="17"/>
  <c r="BC42" i="17"/>
  <c r="BG42" i="17" s="1"/>
  <c r="BL42" i="17" s="1"/>
  <c r="BD42" i="17"/>
  <c r="BB42" i="17"/>
  <c r="BF42" i="17" s="1"/>
  <c r="BK42" i="17" s="1"/>
  <c r="BE42" i="17"/>
  <c r="AX36" i="17"/>
  <c r="AJ36" i="17"/>
  <c r="AB36" i="17"/>
  <c r="AS36" i="17"/>
  <c r="AI36" i="17"/>
  <c r="Z36" i="17"/>
  <c r="X36" i="17"/>
  <c r="AA36" i="17"/>
  <c r="Y36" i="17"/>
  <c r="AS30" i="17"/>
  <c r="AI30" i="17"/>
  <c r="AX30" i="17"/>
  <c r="AJ30" i="17"/>
  <c r="AB30" i="17"/>
  <c r="Z30" i="17"/>
  <c r="X30" i="17"/>
  <c r="AA30" i="17"/>
  <c r="Y30" i="17"/>
  <c r="AX24" i="17"/>
  <c r="AJ24" i="17"/>
  <c r="AB24" i="17"/>
  <c r="AS24" i="17"/>
  <c r="AI24" i="17"/>
  <c r="Y24" i="17"/>
  <c r="Z24" i="17"/>
  <c r="AA24" i="17"/>
  <c r="X24" i="17"/>
  <c r="AX20" i="17"/>
  <c r="AJ20" i="17"/>
  <c r="AB20" i="17"/>
  <c r="AS20" i="17"/>
  <c r="AI20" i="17"/>
  <c r="Y20" i="17"/>
  <c r="Z20" i="17"/>
  <c r="AA20" i="17"/>
  <c r="X20" i="17"/>
  <c r="AS12" i="17"/>
  <c r="AI12" i="17"/>
  <c r="AX12" i="17"/>
  <c r="AJ12" i="17"/>
  <c r="AB12" i="17"/>
  <c r="AA12" i="17"/>
  <c r="Y12" i="17"/>
  <c r="X12" i="17"/>
  <c r="Z12" i="17"/>
  <c r="AX8" i="17"/>
  <c r="AJ8" i="17"/>
  <c r="AB8" i="17"/>
  <c r="AS8" i="17"/>
  <c r="AI8" i="17"/>
  <c r="Z8" i="17"/>
  <c r="X8" i="17"/>
  <c r="AA8" i="17"/>
  <c r="Y8" i="17"/>
  <c r="BP124" i="17"/>
  <c r="BH124" i="17"/>
  <c r="BI124" i="17"/>
  <c r="BF124" i="17"/>
  <c r="BG124" i="17"/>
  <c r="BB124" i="17"/>
  <c r="BD124" i="17"/>
  <c r="BC124" i="17"/>
  <c r="BE124" i="17"/>
  <c r="BP122" i="17"/>
  <c r="BG122" i="17"/>
  <c r="BI122" i="17"/>
  <c r="BF122" i="17"/>
  <c r="BH122" i="17"/>
  <c r="BC122" i="17"/>
  <c r="BB122" i="17"/>
  <c r="BD122" i="17"/>
  <c r="BE122" i="17"/>
  <c r="BP120" i="17"/>
  <c r="BG120" i="17"/>
  <c r="BI120" i="17"/>
  <c r="BF120" i="17"/>
  <c r="BH120" i="17"/>
  <c r="BD120" i="17"/>
  <c r="BC120" i="17"/>
  <c r="BB120" i="17"/>
  <c r="BE120" i="17"/>
  <c r="BP118" i="17"/>
  <c r="BI118" i="17"/>
  <c r="BH118" i="17"/>
  <c r="BG118" i="17"/>
  <c r="BC118" i="17"/>
  <c r="BE118" i="17"/>
  <c r="BD118" i="17"/>
  <c r="BB118" i="17"/>
  <c r="BF118" i="17" s="1"/>
  <c r="BK118" i="17" s="1"/>
  <c r="BP116" i="17"/>
  <c r="BH116" i="17"/>
  <c r="BG116" i="17"/>
  <c r="BI116" i="17"/>
  <c r="BC116" i="17"/>
  <c r="BD116" i="17"/>
  <c r="BB116" i="17"/>
  <c r="BF116" i="17" s="1"/>
  <c r="BK116" i="17" s="1"/>
  <c r="BE116" i="17"/>
  <c r="BP114" i="17"/>
  <c r="BG114" i="17"/>
  <c r="BI114" i="17"/>
  <c r="BH114" i="17"/>
  <c r="BE114" i="17"/>
  <c r="BB114" i="17"/>
  <c r="BF114" i="17" s="1"/>
  <c r="BK114" i="17" s="1"/>
  <c r="BD114" i="17"/>
  <c r="BC114" i="17"/>
  <c r="BP112" i="17"/>
  <c r="BG112" i="17"/>
  <c r="BI112" i="17"/>
  <c r="BH112" i="17"/>
  <c r="BD112" i="17"/>
  <c r="BB112" i="17"/>
  <c r="BF112" i="17" s="1"/>
  <c r="BK112" i="17" s="1"/>
  <c r="BE112" i="17"/>
  <c r="BC112" i="17"/>
  <c r="BP110" i="17"/>
  <c r="BH110" i="17"/>
  <c r="BG110" i="17"/>
  <c r="BI110" i="17"/>
  <c r="BB110" i="17"/>
  <c r="BF110" i="17" s="1"/>
  <c r="BK110" i="17" s="1"/>
  <c r="BC110" i="17"/>
  <c r="BE110" i="17"/>
  <c r="BD110" i="17"/>
  <c r="BP108" i="17"/>
  <c r="BH108" i="17"/>
  <c r="BI108" i="17"/>
  <c r="BG108" i="17"/>
  <c r="BC108" i="17"/>
  <c r="BE108" i="17"/>
  <c r="BD108" i="17"/>
  <c r="BB108" i="17"/>
  <c r="BF108" i="17" s="1"/>
  <c r="BK108" i="17" s="1"/>
  <c r="BP106" i="17"/>
  <c r="BH106" i="17"/>
  <c r="BI106" i="17"/>
  <c r="BG106" i="17"/>
  <c r="BC106" i="17"/>
  <c r="BE106" i="17"/>
  <c r="BD106" i="17"/>
  <c r="BB106" i="17"/>
  <c r="BF106" i="17" s="1"/>
  <c r="BK106" i="17" s="1"/>
  <c r="BP104" i="17"/>
  <c r="BG104" i="17"/>
  <c r="BH104" i="17"/>
  <c r="BI104" i="17"/>
  <c r="BB104" i="17"/>
  <c r="BF104" i="17" s="1"/>
  <c r="BK104" i="17" s="1"/>
  <c r="BC104" i="17"/>
  <c r="BE104" i="17"/>
  <c r="BD104" i="17"/>
  <c r="BP102" i="17"/>
  <c r="BH102" i="17"/>
  <c r="BI102" i="17"/>
  <c r="BG102" i="17"/>
  <c r="BF102" i="17"/>
  <c r="BK102" i="17" s="1"/>
  <c r="BC102" i="17"/>
  <c r="BB102" i="17"/>
  <c r="BE102" i="17"/>
  <c r="BD102" i="17"/>
  <c r="BP100" i="17"/>
  <c r="BH100" i="17"/>
  <c r="BI100" i="17"/>
  <c r="BG100" i="17"/>
  <c r="BD100" i="17"/>
  <c r="BC100" i="17"/>
  <c r="BE100" i="17"/>
  <c r="BB100" i="17"/>
  <c r="BF100" i="17" s="1"/>
  <c r="BK100" i="17" s="1"/>
  <c r="BP98" i="17"/>
  <c r="BH98" i="17"/>
  <c r="BI98" i="17"/>
  <c r="BG98" i="17"/>
  <c r="BE98" i="17"/>
  <c r="BD98" i="17"/>
  <c r="BC98" i="17"/>
  <c r="BB98" i="17"/>
  <c r="BF98" i="17" s="1"/>
  <c r="BK98" i="17" s="1"/>
  <c r="AX96" i="17"/>
  <c r="AJ96" i="17"/>
  <c r="AB96" i="17"/>
  <c r="AI96" i="17"/>
  <c r="AS96" i="17"/>
  <c r="Z96" i="17"/>
  <c r="AA96" i="17"/>
  <c r="Y96" i="17"/>
  <c r="X96" i="17"/>
  <c r="BP94" i="17"/>
  <c r="BH94" i="17"/>
  <c r="BI94" i="17"/>
  <c r="BG94" i="17"/>
  <c r="BD94" i="17"/>
  <c r="BB94" i="17"/>
  <c r="BF94" i="17" s="1"/>
  <c r="BK94" i="17" s="1"/>
  <c r="BC94" i="17"/>
  <c r="BE94" i="17"/>
  <c r="BP92" i="17"/>
  <c r="BH92" i="17"/>
  <c r="BG92" i="17"/>
  <c r="BI92" i="17"/>
  <c r="BD92" i="17"/>
  <c r="BC92" i="17"/>
  <c r="BB92" i="17"/>
  <c r="BF92" i="17" s="1"/>
  <c r="BK92" i="17" s="1"/>
  <c r="BE92" i="17"/>
  <c r="BP90" i="17"/>
  <c r="BI90" i="17"/>
  <c r="BH90" i="17"/>
  <c r="BG90" i="17"/>
  <c r="BD90" i="17"/>
  <c r="BE90" i="17"/>
  <c r="BB90" i="17"/>
  <c r="BF90" i="17" s="1"/>
  <c r="BK90" i="17" s="1"/>
  <c r="BC90" i="17"/>
  <c r="AX88" i="17"/>
  <c r="AJ88" i="17"/>
  <c r="AB88" i="17"/>
  <c r="AS88" i="17"/>
  <c r="AI88" i="17"/>
  <c r="Z88" i="17"/>
  <c r="Y88" i="17"/>
  <c r="X88" i="17"/>
  <c r="AA88" i="17"/>
  <c r="BP86" i="17"/>
  <c r="BG86" i="17"/>
  <c r="BI86" i="17"/>
  <c r="BH86" i="17"/>
  <c r="BE86" i="17"/>
  <c r="BC86" i="17"/>
  <c r="BB86" i="17"/>
  <c r="BF86" i="17" s="1"/>
  <c r="BK86" i="17" s="1"/>
  <c r="BD86" i="17"/>
  <c r="BP84" i="17"/>
  <c r="BI84" i="17"/>
  <c r="BG84" i="17"/>
  <c r="BH84" i="17"/>
  <c r="BB84" i="17"/>
  <c r="BF84" i="17" s="1"/>
  <c r="BK84" i="17" s="1"/>
  <c r="BC84" i="17"/>
  <c r="BE84" i="17"/>
  <c r="BD84" i="17"/>
  <c r="BP82" i="17"/>
  <c r="BG82" i="17"/>
  <c r="BH82" i="17"/>
  <c r="BI82" i="17"/>
  <c r="BC82" i="17"/>
  <c r="BB82" i="17"/>
  <c r="BF82" i="17" s="1"/>
  <c r="BK82" i="17" s="1"/>
  <c r="BE82" i="17"/>
  <c r="BD82" i="17"/>
  <c r="BP80" i="17"/>
  <c r="BH80" i="17"/>
  <c r="BI80" i="17"/>
  <c r="BG80" i="17"/>
  <c r="BE80" i="17"/>
  <c r="BB80" i="17"/>
  <c r="BF80" i="17" s="1"/>
  <c r="BK80" i="17" s="1"/>
  <c r="BD80" i="17"/>
  <c r="BC80" i="17"/>
  <c r="BP78" i="17"/>
  <c r="BH78" i="17"/>
  <c r="BI78" i="17"/>
  <c r="BG78" i="17"/>
  <c r="BB78" i="17"/>
  <c r="BF78" i="17" s="1"/>
  <c r="BK78" i="17" s="1"/>
  <c r="BD78" i="17"/>
  <c r="BC78" i="17"/>
  <c r="BE78" i="17"/>
  <c r="BP76" i="17"/>
  <c r="BH76" i="17"/>
  <c r="BI76" i="17"/>
  <c r="BG76" i="17"/>
  <c r="BD76" i="17"/>
  <c r="BE76" i="17"/>
  <c r="BC76" i="17"/>
  <c r="BB76" i="17"/>
  <c r="BF76" i="17" s="1"/>
  <c r="BK76" i="17" s="1"/>
  <c r="BP74" i="17"/>
  <c r="BG74" i="17"/>
  <c r="BH74" i="17"/>
  <c r="BI74" i="17"/>
  <c r="BC74" i="17"/>
  <c r="BB74" i="17"/>
  <c r="BF74" i="17" s="1"/>
  <c r="BK74" i="17" s="1"/>
  <c r="BE74" i="17"/>
  <c r="BD74" i="17"/>
  <c r="AX72" i="17"/>
  <c r="AJ72" i="17"/>
  <c r="AB72" i="17"/>
  <c r="AS72" i="17"/>
  <c r="AI72" i="17"/>
  <c r="Z72" i="17"/>
  <c r="Y72" i="17"/>
  <c r="X72" i="17"/>
  <c r="AA72" i="17"/>
  <c r="BP70" i="17"/>
  <c r="BH70" i="17"/>
  <c r="BI70" i="17"/>
  <c r="BG70" i="17"/>
  <c r="BB70" i="17"/>
  <c r="BF70" i="17" s="1"/>
  <c r="BK70" i="17" s="1"/>
  <c r="BD70" i="17"/>
  <c r="BC70" i="17"/>
  <c r="BE70" i="17"/>
  <c r="AX68" i="17"/>
  <c r="AJ68" i="17"/>
  <c r="AB68" i="17"/>
  <c r="AS68" i="17"/>
  <c r="AI68" i="17"/>
  <c r="Z68" i="17"/>
  <c r="AA68" i="17"/>
  <c r="X68" i="17"/>
  <c r="Y68" i="17"/>
  <c r="BP66" i="17"/>
  <c r="BG66" i="17"/>
  <c r="BH66" i="17"/>
  <c r="BI66" i="17"/>
  <c r="BD66" i="17"/>
  <c r="BB66" i="17"/>
  <c r="BF66" i="17" s="1"/>
  <c r="BK66" i="17" s="1"/>
  <c r="BC66" i="17"/>
  <c r="BE66" i="17"/>
  <c r="AX64" i="17"/>
  <c r="AJ64" i="17"/>
  <c r="AB64" i="17"/>
  <c r="AS64" i="17"/>
  <c r="AI64" i="17"/>
  <c r="Y64" i="17"/>
  <c r="AA64" i="17"/>
  <c r="X64" i="17"/>
  <c r="Z64" i="17"/>
  <c r="BP62" i="17"/>
  <c r="BI62" i="17"/>
  <c r="BG62" i="17"/>
  <c r="BH62" i="17"/>
  <c r="BC62" i="17"/>
  <c r="BE62" i="17"/>
  <c r="BD62" i="17"/>
  <c r="BB62" i="17"/>
  <c r="BF62" i="17" s="1"/>
  <c r="BK62" i="17" s="1"/>
  <c r="AX60" i="17"/>
  <c r="AJ60" i="17"/>
  <c r="AB60" i="17"/>
  <c r="AS60" i="17"/>
  <c r="AI60" i="17"/>
  <c r="Y60" i="17"/>
  <c r="AA60" i="17"/>
  <c r="X60" i="17"/>
  <c r="Z60" i="17"/>
  <c r="BP58" i="17"/>
  <c r="BG58" i="17"/>
  <c r="BH58" i="17"/>
  <c r="BI58" i="17"/>
  <c r="BD58" i="17"/>
  <c r="BB58" i="17"/>
  <c r="BF58" i="17" s="1"/>
  <c r="BK58" i="17" s="1"/>
  <c r="BC58" i="17"/>
  <c r="BE58" i="17"/>
  <c r="BP56" i="17"/>
  <c r="BI56" i="17"/>
  <c r="BG56" i="17"/>
  <c r="BH56" i="17"/>
  <c r="BD56" i="17"/>
  <c r="BC56" i="17"/>
  <c r="BB56" i="17"/>
  <c r="BF56" i="17" s="1"/>
  <c r="BK56" i="17" s="1"/>
  <c r="BE56" i="17"/>
  <c r="AX54" i="17"/>
  <c r="AJ54" i="17"/>
  <c r="AB54" i="17"/>
  <c r="AS54" i="17"/>
  <c r="AI54" i="17"/>
  <c r="Z54" i="17"/>
  <c r="Y54" i="17"/>
  <c r="AA54" i="17"/>
  <c r="X54" i="17"/>
  <c r="BP52" i="17"/>
  <c r="BH52" i="17"/>
  <c r="BG52" i="17"/>
  <c r="BI52" i="17"/>
  <c r="BB52" i="17"/>
  <c r="BF52" i="17" s="1"/>
  <c r="BK52" i="17" s="1"/>
  <c r="BD52" i="17"/>
  <c r="BC52" i="17"/>
  <c r="BE52" i="17"/>
  <c r="AS50" i="17"/>
  <c r="AI50" i="17"/>
  <c r="AX50" i="17"/>
  <c r="AJ50" i="17"/>
  <c r="AB50" i="17"/>
  <c r="AA50" i="17"/>
  <c r="Z50" i="17"/>
  <c r="X50" i="17"/>
  <c r="Y50" i="17"/>
  <c r="BP48" i="17"/>
  <c r="BH48" i="17"/>
  <c r="BI48" i="17"/>
  <c r="BC48" i="17"/>
  <c r="BG48" i="17" s="1"/>
  <c r="BL48" i="17" s="1"/>
  <c r="BE48" i="17"/>
  <c r="BD48" i="17"/>
  <c r="BB48" i="17"/>
  <c r="BF48" i="17" s="1"/>
  <c r="BK48" i="17" s="1"/>
  <c r="AX46" i="17"/>
  <c r="AJ46" i="17"/>
  <c r="AB46" i="17"/>
  <c r="AS46" i="17"/>
  <c r="AI46" i="17"/>
  <c r="Z46" i="17"/>
  <c r="Y46" i="17"/>
  <c r="AA46" i="17"/>
  <c r="X46" i="17"/>
  <c r="AX44" i="17"/>
  <c r="AJ44" i="17"/>
  <c r="AB44" i="17"/>
  <c r="AS44" i="17"/>
  <c r="AI44" i="17"/>
  <c r="Z44" i="17"/>
  <c r="X44" i="17"/>
  <c r="AA44" i="17"/>
  <c r="Y44" i="17"/>
  <c r="AX42" i="17"/>
  <c r="AJ42" i="17"/>
  <c r="AB42" i="17"/>
  <c r="AS42" i="17"/>
  <c r="AI42" i="17"/>
  <c r="Z42" i="17"/>
  <c r="Y42" i="17"/>
  <c r="AA42" i="17"/>
  <c r="X42" i="17"/>
  <c r="BP40" i="17"/>
  <c r="BH40" i="17"/>
  <c r="BI40" i="17"/>
  <c r="BD40" i="17"/>
  <c r="BB40" i="17"/>
  <c r="BF40" i="17" s="1"/>
  <c r="BK40" i="17" s="1"/>
  <c r="BC40" i="17"/>
  <c r="BG40" i="17" s="1"/>
  <c r="BL40" i="17" s="1"/>
  <c r="BE40" i="17"/>
  <c r="BP38" i="17"/>
  <c r="BH38" i="17"/>
  <c r="BI38" i="17"/>
  <c r="BE38" i="17"/>
  <c r="BC38" i="17"/>
  <c r="BG38" i="17" s="1"/>
  <c r="BL38" i="17" s="1"/>
  <c r="BD38" i="17"/>
  <c r="BB38" i="17"/>
  <c r="BF38" i="17" s="1"/>
  <c r="BK38" i="17" s="1"/>
  <c r="BP36" i="17"/>
  <c r="BH36" i="17"/>
  <c r="BI36" i="17"/>
  <c r="BE36" i="17"/>
  <c r="BD36" i="17"/>
  <c r="BC36" i="17"/>
  <c r="BG36" i="17" s="1"/>
  <c r="BL36" i="17" s="1"/>
  <c r="BB36" i="17"/>
  <c r="BF36" i="17" s="1"/>
  <c r="BK36" i="17" s="1"/>
  <c r="BP34" i="17"/>
  <c r="BH34" i="17"/>
  <c r="BI34" i="17"/>
  <c r="BE34" i="17"/>
  <c r="BD34" i="17"/>
  <c r="BB34" i="17"/>
  <c r="BF34" i="17" s="1"/>
  <c r="BK34" i="17" s="1"/>
  <c r="BC34" i="17"/>
  <c r="BG34" i="17" s="1"/>
  <c r="BL34" i="17" s="1"/>
  <c r="BP32" i="17"/>
  <c r="BH32" i="17"/>
  <c r="BC32" i="17"/>
  <c r="BG32" i="17" s="1"/>
  <c r="BL32" i="17" s="1"/>
  <c r="BI32" i="17"/>
  <c r="BD32" i="17"/>
  <c r="BB32" i="17"/>
  <c r="BF32" i="17" s="1"/>
  <c r="BK32" i="17" s="1"/>
  <c r="BE32" i="17"/>
  <c r="BP30" i="17"/>
  <c r="BB30" i="17"/>
  <c r="BF30" i="17" s="1"/>
  <c r="BK30" i="17" s="1"/>
  <c r="BH30" i="17"/>
  <c r="BE30" i="17"/>
  <c r="BC30" i="17"/>
  <c r="BG30" i="17" s="1"/>
  <c r="BL30" i="17" s="1"/>
  <c r="BI30" i="17"/>
  <c r="BD30" i="17"/>
  <c r="BP28" i="17"/>
  <c r="BB28" i="17"/>
  <c r="BF28" i="17" s="1"/>
  <c r="BK28" i="17" s="1"/>
  <c r="BE28" i="17"/>
  <c r="BC28" i="17"/>
  <c r="BG28" i="17" s="1"/>
  <c r="BL28" i="17" s="1"/>
  <c r="BI28" i="17"/>
  <c r="BH28" i="17"/>
  <c r="BD28" i="17"/>
  <c r="BB26" i="17"/>
  <c r="BF26" i="17" s="1"/>
  <c r="BK26" i="17" s="1"/>
  <c r="BP26" i="17"/>
  <c r="BE26" i="17"/>
  <c r="BC26" i="17"/>
  <c r="BG26" i="17" s="1"/>
  <c r="BL26" i="17" s="1"/>
  <c r="BI26" i="17"/>
  <c r="BD26" i="17"/>
  <c r="BH26" i="17" s="1"/>
  <c r="BM26" i="17" s="1"/>
  <c r="BP24" i="17"/>
  <c r="BB24" i="17"/>
  <c r="BF24" i="17" s="1"/>
  <c r="BK24" i="17" s="1"/>
  <c r="BC24" i="17"/>
  <c r="BG24" i="17" s="1"/>
  <c r="BL24" i="17" s="1"/>
  <c r="BE24" i="17"/>
  <c r="BI24" i="17"/>
  <c r="BD24" i="17"/>
  <c r="BH24" i="17" s="1"/>
  <c r="BM24" i="17" s="1"/>
  <c r="BP22" i="17"/>
  <c r="BB22" i="17"/>
  <c r="BF22" i="17" s="1"/>
  <c r="BK22" i="17" s="1"/>
  <c r="BD22" i="17"/>
  <c r="BH22" i="17" s="1"/>
  <c r="BM22" i="17" s="1"/>
  <c r="BI22" i="17"/>
  <c r="BC22" i="17"/>
  <c r="BG22" i="17" s="1"/>
  <c r="BL22" i="17" s="1"/>
  <c r="BE22" i="17"/>
  <c r="BP20" i="17"/>
  <c r="BB20" i="17"/>
  <c r="BF20" i="17" s="1"/>
  <c r="BK20" i="17" s="1"/>
  <c r="BE20" i="17"/>
  <c r="BD20" i="17"/>
  <c r="BH20" i="17" s="1"/>
  <c r="BM20" i="17" s="1"/>
  <c r="BI20" i="17"/>
  <c r="BC20" i="17"/>
  <c r="BG20" i="17" s="1"/>
  <c r="BL20" i="17" s="1"/>
  <c r="AS18" i="17"/>
  <c r="AI18" i="17"/>
  <c r="AX18" i="17"/>
  <c r="AJ18" i="17"/>
  <c r="AB18" i="17"/>
  <c r="Z18" i="17"/>
  <c r="X18" i="17"/>
  <c r="AA18" i="17"/>
  <c r="Y18" i="17"/>
  <c r="AX16" i="17"/>
  <c r="AJ16" i="17"/>
  <c r="AB16" i="17"/>
  <c r="AS16" i="17"/>
  <c r="AI16" i="17"/>
  <c r="X16" i="17"/>
  <c r="Y16" i="17"/>
  <c r="Z16" i="17"/>
  <c r="AA16" i="17"/>
  <c r="BB14" i="17"/>
  <c r="BF14" i="17" s="1"/>
  <c r="BK14" i="17" s="1"/>
  <c r="BP14" i="17"/>
  <c r="BC14" i="17"/>
  <c r="BD14" i="17"/>
  <c r="BH14" i="17" s="1"/>
  <c r="BM14" i="17" s="1"/>
  <c r="BE14" i="17"/>
  <c r="BI14" i="17" s="1"/>
  <c r="BN14" i="17" s="1"/>
  <c r="BG14" i="17"/>
  <c r="BL14" i="17" s="1"/>
  <c r="BB12" i="17"/>
  <c r="BF12" i="17" s="1"/>
  <c r="BK12" i="17" s="1"/>
  <c r="BP12" i="17"/>
  <c r="BD12" i="17"/>
  <c r="BH12" i="17" s="1"/>
  <c r="BM12" i="17" s="1"/>
  <c r="BE12" i="17"/>
  <c r="BI12" i="17" s="1"/>
  <c r="BN12" i="17" s="1"/>
  <c r="BC12" i="17"/>
  <c r="BG12" i="17" s="1"/>
  <c r="BL12" i="17" s="1"/>
  <c r="BP10" i="17"/>
  <c r="BB10" i="17"/>
  <c r="BI10" i="17"/>
  <c r="BN10" i="17" s="1"/>
  <c r="BC10" i="17"/>
  <c r="BG10" i="17" s="1"/>
  <c r="BL10" i="17" s="1"/>
  <c r="BE10" i="17"/>
  <c r="BD10" i="17"/>
  <c r="BH10" i="17" s="1"/>
  <c r="BM10" i="17" s="1"/>
  <c r="BF10" i="17"/>
  <c r="BK10" i="17" s="1"/>
  <c r="BB8" i="17"/>
  <c r="BP8" i="17"/>
  <c r="BE8" i="17"/>
  <c r="BI8" i="17" s="1"/>
  <c r="BN8" i="17" s="1"/>
  <c r="BF8" i="17"/>
  <c r="BK8" i="17" s="1"/>
  <c r="BD8" i="17"/>
  <c r="BH8" i="17" s="1"/>
  <c r="BM8" i="17" s="1"/>
  <c r="BC8" i="17"/>
  <c r="BG8" i="17" s="1"/>
  <c r="BL8" i="17" s="1"/>
  <c r="BP5" i="17"/>
  <c r="BI5" i="17"/>
  <c r="BN5" i="17" s="1"/>
  <c r="BF5" i="17"/>
  <c r="BK5" i="17" s="1"/>
  <c r="BH5" i="17"/>
  <c r="BM5" i="17" s="1"/>
  <c r="BG5" i="17"/>
  <c r="BL5" i="17" s="1"/>
  <c r="BP126" i="17"/>
  <c r="BH126" i="17"/>
  <c r="BI126" i="17"/>
  <c r="BG126" i="17"/>
  <c r="BF126" i="17"/>
  <c r="BB126" i="17"/>
  <c r="BC126" i="17"/>
  <c r="BD126" i="17"/>
  <c r="BE126" i="17"/>
  <c r="DK124" i="17"/>
  <c r="DB124" i="17"/>
  <c r="DC124" i="17"/>
  <c r="DE124" i="17"/>
  <c r="CP124" i="17"/>
  <c r="CR124" i="17"/>
  <c r="CQ124" i="17"/>
  <c r="CN124" i="17"/>
  <c r="CS124" i="17"/>
  <c r="CO124" i="17"/>
  <c r="CU124" i="17" s="1"/>
  <c r="DD124" i="17"/>
  <c r="DK123" i="17"/>
  <c r="DB123" i="17"/>
  <c r="DC123" i="17"/>
  <c r="DE123" i="17"/>
  <c r="CR123" i="17"/>
  <c r="CP123" i="17"/>
  <c r="CO123" i="17"/>
  <c r="CS123" i="17"/>
  <c r="CN123" i="17"/>
  <c r="CQ123" i="17"/>
  <c r="DD123" i="17"/>
  <c r="EF121" i="17"/>
  <c r="EH121" i="17"/>
  <c r="DY121" i="17"/>
  <c r="DX121" i="17"/>
  <c r="DZ121" i="17"/>
  <c r="EK121" i="17"/>
  <c r="EI121" i="17"/>
  <c r="EJ121" i="17"/>
  <c r="EH120" i="17"/>
  <c r="EF120" i="17"/>
  <c r="DX120" i="17"/>
  <c r="DY120" i="17"/>
  <c r="DZ120" i="17"/>
  <c r="EK120" i="17"/>
  <c r="EI120" i="17"/>
  <c r="EJ120" i="17"/>
  <c r="EF119" i="17"/>
  <c r="EH119" i="17"/>
  <c r="DX119" i="17"/>
  <c r="DY119" i="17"/>
  <c r="DZ119" i="17"/>
  <c r="EK119" i="17"/>
  <c r="EJ119" i="17"/>
  <c r="EI119" i="17"/>
  <c r="DK117" i="17"/>
  <c r="DB117" i="17"/>
  <c r="DE117" i="17"/>
  <c r="DC117" i="17"/>
  <c r="CS117" i="17"/>
  <c r="CO117" i="17"/>
  <c r="CQ117" i="17"/>
  <c r="CR117" i="17"/>
  <c r="CN117" i="17"/>
  <c r="CP117" i="17"/>
  <c r="DD117" i="17"/>
  <c r="EH111" i="17"/>
  <c r="EF111" i="17"/>
  <c r="DX111" i="17"/>
  <c r="DY111" i="17"/>
  <c r="DZ111" i="17"/>
  <c r="EK111" i="17"/>
  <c r="EI111" i="17"/>
  <c r="EJ111" i="17"/>
  <c r="EH109" i="17"/>
  <c r="EF109" i="17"/>
  <c r="DZ109" i="17"/>
  <c r="DY109" i="17"/>
  <c r="DX109" i="17"/>
  <c r="EK109" i="17"/>
  <c r="EI109" i="17"/>
  <c r="EJ109" i="17"/>
  <c r="EH108" i="17"/>
  <c r="EF108" i="17"/>
  <c r="DX108" i="17"/>
  <c r="DZ108" i="17"/>
  <c r="DY108" i="17"/>
  <c r="EK108" i="17"/>
  <c r="EJ108" i="17"/>
  <c r="EI108" i="17"/>
  <c r="EH107" i="17"/>
  <c r="EF107" i="17"/>
  <c r="DX107" i="17"/>
  <c r="DZ107" i="17"/>
  <c r="DY107" i="17"/>
  <c r="EK107" i="17"/>
  <c r="EJ107" i="17"/>
  <c r="EI107" i="17"/>
  <c r="EH105" i="17"/>
  <c r="EF105" i="17"/>
  <c r="DY105" i="17"/>
  <c r="DX105" i="17"/>
  <c r="DZ105" i="17"/>
  <c r="EK105" i="17"/>
  <c r="EI105" i="17"/>
  <c r="EJ105" i="17"/>
  <c r="EH103" i="17"/>
  <c r="EF103" i="17"/>
  <c r="DZ103" i="17"/>
  <c r="DX103" i="17"/>
  <c r="DY103" i="17"/>
  <c r="EK103" i="17"/>
  <c r="EI103" i="17"/>
  <c r="EJ103" i="17"/>
  <c r="DB101" i="17"/>
  <c r="DK101" i="17"/>
  <c r="DE101" i="17"/>
  <c r="DC101" i="17"/>
  <c r="CS101" i="17"/>
  <c r="CO101" i="17"/>
  <c r="CN101" i="17"/>
  <c r="CT101" i="17" s="1"/>
  <c r="CR101" i="17"/>
  <c r="CQ101" i="17"/>
  <c r="CP101" i="17"/>
  <c r="DD101" i="17"/>
  <c r="DK97" i="17"/>
  <c r="DB97" i="17"/>
  <c r="DC97" i="17"/>
  <c r="DE97" i="17"/>
  <c r="CQ97" i="17"/>
  <c r="CN97" i="17"/>
  <c r="CS97" i="17"/>
  <c r="CR97" i="17"/>
  <c r="CP97" i="17"/>
  <c r="CO97" i="17"/>
  <c r="DD97" i="17"/>
  <c r="EH96" i="17"/>
  <c r="EF96" i="17"/>
  <c r="DZ96" i="17"/>
  <c r="DY96" i="17"/>
  <c r="DX96" i="17"/>
  <c r="EA96" i="17" s="1"/>
  <c r="EK96" i="17"/>
  <c r="EI96" i="17"/>
  <c r="EJ96" i="17"/>
  <c r="DK93" i="17"/>
  <c r="DB93" i="17"/>
  <c r="DC93" i="17"/>
  <c r="DE93" i="17"/>
  <c r="CR93" i="17"/>
  <c r="CO93" i="17"/>
  <c r="CS93" i="17"/>
  <c r="CQ93" i="17"/>
  <c r="CN93" i="17"/>
  <c r="CP93" i="17"/>
  <c r="DD93" i="17"/>
  <c r="EF89" i="17"/>
  <c r="EH89" i="17"/>
  <c r="DY89" i="17"/>
  <c r="DZ89" i="17"/>
  <c r="DX89" i="17"/>
  <c r="EK89" i="17"/>
  <c r="EI89" i="17"/>
  <c r="EJ89" i="17"/>
  <c r="EH88" i="17"/>
  <c r="EF88" i="17"/>
  <c r="DZ88" i="17"/>
  <c r="DY88" i="17"/>
  <c r="DX88" i="17"/>
  <c r="EK88" i="17"/>
  <c r="EJ88" i="17"/>
  <c r="EI88" i="17"/>
  <c r="DK87" i="17"/>
  <c r="DB87" i="17"/>
  <c r="DC87" i="17"/>
  <c r="DE87" i="17"/>
  <c r="CS87" i="17"/>
  <c r="CQ87" i="17"/>
  <c r="CN87" i="17"/>
  <c r="CP87" i="17"/>
  <c r="CO87" i="17"/>
  <c r="CR87" i="17"/>
  <c r="DD87" i="17"/>
  <c r="EH85" i="17"/>
  <c r="EF85" i="17"/>
  <c r="DX85" i="17"/>
  <c r="DZ85" i="17"/>
  <c r="DY85" i="17"/>
  <c r="EK85" i="17"/>
  <c r="EI85" i="17"/>
  <c r="EJ85" i="17"/>
  <c r="DK84" i="17"/>
  <c r="DB84" i="17"/>
  <c r="DE84" i="17"/>
  <c r="DC84" i="17"/>
  <c r="CP84" i="17"/>
  <c r="CR84" i="17"/>
  <c r="CS84" i="17"/>
  <c r="CN84" i="17"/>
  <c r="CO84" i="17"/>
  <c r="CQ84" i="17"/>
  <c r="DD84" i="17"/>
  <c r="DK80" i="17"/>
  <c r="DB80" i="17"/>
  <c r="DC80" i="17"/>
  <c r="DE80" i="17"/>
  <c r="CR80" i="17"/>
  <c r="CO80" i="17"/>
  <c r="CQ80" i="17"/>
  <c r="CN80" i="17"/>
  <c r="CP80" i="17"/>
  <c r="CS80" i="17"/>
  <c r="DD80" i="17"/>
  <c r="EH79" i="17"/>
  <c r="EF79" i="17"/>
  <c r="DZ79" i="17"/>
  <c r="DY79" i="17"/>
  <c r="DX79" i="17"/>
  <c r="EK79" i="17"/>
  <c r="EJ79" i="17"/>
  <c r="EI79" i="17"/>
  <c r="DK76" i="17"/>
  <c r="DB76" i="17"/>
  <c r="DE76" i="17"/>
  <c r="DC76" i="17"/>
  <c r="CN76" i="17"/>
  <c r="CP76" i="17"/>
  <c r="CR76" i="17"/>
  <c r="CQ76" i="17"/>
  <c r="CS76" i="17"/>
  <c r="CO76" i="17"/>
  <c r="DD76" i="17"/>
  <c r="EH72" i="17"/>
  <c r="EF72" i="17"/>
  <c r="DX72" i="17"/>
  <c r="DY72" i="17"/>
  <c r="DZ72" i="17"/>
  <c r="EK72" i="17"/>
  <c r="EI72" i="17"/>
  <c r="EJ72" i="17"/>
  <c r="DK69" i="17"/>
  <c r="DB69" i="17"/>
  <c r="DE69" i="17"/>
  <c r="DC69" i="17"/>
  <c r="CS69" i="17"/>
  <c r="CP69" i="17"/>
  <c r="CR69" i="17"/>
  <c r="CQ69" i="17"/>
  <c r="CN69" i="17"/>
  <c r="CO69" i="17"/>
  <c r="DD69" i="17"/>
  <c r="DK68" i="17"/>
  <c r="DB68" i="17"/>
  <c r="DE68" i="17"/>
  <c r="DC68" i="17"/>
  <c r="CN68" i="17"/>
  <c r="CP68" i="17"/>
  <c r="CO68" i="17"/>
  <c r="CR68" i="17"/>
  <c r="CQ68" i="17"/>
  <c r="CS68" i="17"/>
  <c r="DD68" i="17"/>
  <c r="EH67" i="17"/>
  <c r="EF67" i="17"/>
  <c r="DX67" i="17"/>
  <c r="DZ67" i="17"/>
  <c r="EC67" i="17" s="1"/>
  <c r="DY67" i="17"/>
  <c r="EK67" i="17"/>
  <c r="EI67" i="17"/>
  <c r="EJ67" i="17"/>
  <c r="DK63" i="17"/>
  <c r="DB63" i="17"/>
  <c r="DE63" i="17"/>
  <c r="DC63" i="17"/>
  <c r="CS63" i="17"/>
  <c r="CR63" i="17"/>
  <c r="CO63" i="17"/>
  <c r="CQ63" i="17"/>
  <c r="CN63" i="17"/>
  <c r="CP63" i="17"/>
  <c r="DD63" i="17"/>
  <c r="EH60" i="17"/>
  <c r="EF60" i="17"/>
  <c r="DX60" i="17"/>
  <c r="DZ60" i="17"/>
  <c r="DY60" i="17"/>
  <c r="EK60" i="17"/>
  <c r="EI60" i="17"/>
  <c r="EJ60" i="17"/>
  <c r="DK59" i="17"/>
  <c r="DB59" i="17"/>
  <c r="DE59" i="17"/>
  <c r="DC59" i="17"/>
  <c r="CS59" i="17"/>
  <c r="CN59" i="17"/>
  <c r="CP59" i="17"/>
  <c r="CQ59" i="17"/>
  <c r="CR59" i="17"/>
  <c r="CO59" i="17"/>
  <c r="DD59" i="17"/>
  <c r="EF57" i="17"/>
  <c r="EH57" i="17"/>
  <c r="DX57" i="17"/>
  <c r="DZ57" i="17"/>
  <c r="DY57" i="17"/>
  <c r="EK57" i="17"/>
  <c r="EI57" i="17"/>
  <c r="EJ57" i="17"/>
  <c r="DK56" i="17"/>
  <c r="DB56" i="17"/>
  <c r="DC56" i="17"/>
  <c r="DE56" i="17"/>
  <c r="CP56" i="17"/>
  <c r="CS56" i="17"/>
  <c r="CR56" i="17"/>
  <c r="CN56" i="17"/>
  <c r="CQ56" i="17"/>
  <c r="CO56" i="17"/>
  <c r="DD56" i="17"/>
  <c r="EF53" i="17"/>
  <c r="EH53" i="17"/>
  <c r="DY53" i="17"/>
  <c r="DX53" i="17"/>
  <c r="DZ53" i="17"/>
  <c r="EK53" i="17"/>
  <c r="EI53" i="17"/>
  <c r="EJ53" i="17"/>
  <c r="DK52" i="17"/>
  <c r="DB52" i="17"/>
  <c r="DE52" i="17"/>
  <c r="DC52" i="17"/>
  <c r="CO52" i="17"/>
  <c r="CR52" i="17"/>
  <c r="CN52" i="17"/>
  <c r="CT52" i="17" s="1"/>
  <c r="CS52" i="17"/>
  <c r="CQ52" i="17"/>
  <c r="CP52" i="17"/>
  <c r="DD52" i="17"/>
  <c r="EF48" i="17"/>
  <c r="EH48" i="17"/>
  <c r="DY48" i="17"/>
  <c r="DX48" i="17"/>
  <c r="DZ48" i="17"/>
  <c r="EK48" i="17"/>
  <c r="EI48" i="17"/>
  <c r="EJ48" i="17"/>
  <c r="DK47" i="17"/>
  <c r="DB47" i="17"/>
  <c r="DE47" i="17"/>
  <c r="DC47" i="17"/>
  <c r="CR47" i="17"/>
  <c r="CQ47" i="17"/>
  <c r="CS47" i="17"/>
  <c r="CN47" i="17"/>
  <c r="CT47" i="17" s="1"/>
  <c r="CP47" i="17"/>
  <c r="CO47" i="17"/>
  <c r="DD47" i="17"/>
  <c r="DK43" i="17"/>
  <c r="DB43" i="17"/>
  <c r="DE43" i="17"/>
  <c r="DC43" i="17"/>
  <c r="CS43" i="17"/>
  <c r="CN43" i="17"/>
  <c r="CP43" i="17"/>
  <c r="CR43" i="17"/>
  <c r="CQ43" i="17"/>
  <c r="CO43" i="17"/>
  <c r="DD43" i="17"/>
  <c r="DK41" i="17"/>
  <c r="DB41" i="17"/>
  <c r="DC41" i="17"/>
  <c r="DE41" i="17"/>
  <c r="CS41" i="17"/>
  <c r="CR41" i="17"/>
  <c r="CP41" i="17"/>
  <c r="CO41" i="17"/>
  <c r="CQ41" i="17"/>
  <c r="CN41" i="17"/>
  <c r="DD41" i="17"/>
  <c r="DK40" i="17"/>
  <c r="DB40" i="17"/>
  <c r="DE40" i="17"/>
  <c r="DC40" i="17"/>
  <c r="CN40" i="17"/>
  <c r="CS40" i="17"/>
  <c r="CR40" i="17"/>
  <c r="CQ40" i="17"/>
  <c r="CP40" i="17"/>
  <c r="CO40" i="17"/>
  <c r="DD40" i="17"/>
  <c r="EH39" i="17"/>
  <c r="EF39" i="17"/>
  <c r="DY39" i="17"/>
  <c r="DZ39" i="17"/>
  <c r="EC39" i="17" s="1"/>
  <c r="DX39" i="17"/>
  <c r="EK39" i="17"/>
  <c r="EI39" i="17"/>
  <c r="EJ39" i="17"/>
  <c r="DK37" i="17"/>
  <c r="DB37" i="17"/>
  <c r="DC37" i="17"/>
  <c r="CP37" i="17"/>
  <c r="CR37" i="17"/>
  <c r="DE37" i="17"/>
  <c r="CN37" i="17"/>
  <c r="CO37" i="17"/>
  <c r="CS37" i="17"/>
  <c r="CQ37" i="17"/>
  <c r="DD37" i="17"/>
  <c r="EH36" i="17"/>
  <c r="EF36" i="17"/>
  <c r="DX36" i="17"/>
  <c r="DY36" i="17"/>
  <c r="DZ36" i="17"/>
  <c r="EK36" i="17"/>
  <c r="EI36" i="17"/>
  <c r="EJ36" i="17"/>
  <c r="DK35" i="17"/>
  <c r="DB35" i="17"/>
  <c r="CP35" i="17"/>
  <c r="CS35" i="17"/>
  <c r="DE35" i="17"/>
  <c r="DC35" i="17"/>
  <c r="CN35" i="17"/>
  <c r="CO35" i="17"/>
  <c r="CU35" i="17" s="1"/>
  <c r="CQ35" i="17"/>
  <c r="CR35" i="17"/>
  <c r="DD35" i="17"/>
  <c r="DK33" i="17"/>
  <c r="DB33" i="17"/>
  <c r="CP33" i="17"/>
  <c r="DC33" i="17"/>
  <c r="CS33" i="17"/>
  <c r="DE33" i="17"/>
  <c r="CQ33" i="17"/>
  <c r="CO33" i="17"/>
  <c r="CN33" i="17"/>
  <c r="CT33" i="17" s="1"/>
  <c r="CR33" i="17"/>
  <c r="DD33" i="17"/>
  <c r="DK32" i="17"/>
  <c r="DB32" i="17"/>
  <c r="CN32" i="17"/>
  <c r="CT32" i="17" s="1"/>
  <c r="DC32" i="17"/>
  <c r="CQ32" i="17"/>
  <c r="DE32" i="17"/>
  <c r="CP32" i="17"/>
  <c r="CO32" i="17"/>
  <c r="CS32" i="17"/>
  <c r="CR32" i="17"/>
  <c r="DD32" i="17"/>
  <c r="EF28" i="17"/>
  <c r="EH28" i="17"/>
  <c r="DY28" i="17"/>
  <c r="DZ28" i="17"/>
  <c r="EC28" i="17" s="1"/>
  <c r="DX28" i="17"/>
  <c r="EK28" i="17"/>
  <c r="EI28" i="17"/>
  <c r="EJ28" i="17"/>
  <c r="EH27" i="17"/>
  <c r="EF27" i="17"/>
  <c r="DX27" i="17"/>
  <c r="DY27" i="17"/>
  <c r="DZ27" i="17"/>
  <c r="EK27" i="17"/>
  <c r="EI27" i="17"/>
  <c r="EJ27" i="17"/>
  <c r="DZ25" i="17"/>
  <c r="EH25" i="17"/>
  <c r="DY25" i="17"/>
  <c r="EF25" i="17"/>
  <c r="DX25" i="17"/>
  <c r="EK25" i="17"/>
  <c r="EJ25" i="17"/>
  <c r="EI25" i="17"/>
  <c r="CN21" i="17"/>
  <c r="CP21" i="17"/>
  <c r="DK21" i="17"/>
  <c r="DB21" i="17"/>
  <c r="CO21" i="17"/>
  <c r="CQ21" i="17"/>
  <c r="DE21" i="17"/>
  <c r="CS21" i="17"/>
  <c r="DC21" i="17"/>
  <c r="CR21" i="17"/>
  <c r="DD21" i="17"/>
  <c r="EF20" i="17"/>
  <c r="DX20" i="17"/>
  <c r="DZ20" i="17"/>
  <c r="EH20" i="17"/>
  <c r="DY20" i="17"/>
  <c r="EK20" i="17"/>
  <c r="EI20" i="17"/>
  <c r="EJ20" i="17"/>
  <c r="EH19" i="17"/>
  <c r="DY19" i="17"/>
  <c r="EF19" i="17"/>
  <c r="DX19" i="17"/>
  <c r="DZ19" i="17"/>
  <c r="EK19" i="17"/>
  <c r="EI19" i="17"/>
  <c r="EJ19" i="17"/>
  <c r="DZ17" i="17"/>
  <c r="EH17" i="17"/>
  <c r="DY17" i="17"/>
  <c r="EF17" i="17"/>
  <c r="DX17" i="17"/>
  <c r="EK17" i="17"/>
  <c r="EI17" i="17"/>
  <c r="EJ17" i="17"/>
  <c r="CP16" i="17"/>
  <c r="DK16" i="17"/>
  <c r="DB16" i="17"/>
  <c r="CO16" i="17"/>
  <c r="CN16" i="17"/>
  <c r="CQ16" i="17"/>
  <c r="DE16" i="17"/>
  <c r="CS16" i="17"/>
  <c r="DC16" i="17"/>
  <c r="DD16" i="17"/>
  <c r="CR16" i="17"/>
  <c r="CP12" i="17"/>
  <c r="DK12" i="17"/>
  <c r="DB12" i="17"/>
  <c r="CO12" i="17"/>
  <c r="CN12" i="17"/>
  <c r="CS12" i="17"/>
  <c r="DE12" i="17"/>
  <c r="DC12" i="17"/>
  <c r="CQ12" i="17"/>
  <c r="CR12" i="17"/>
  <c r="DD12" i="17"/>
  <c r="DZ11" i="17"/>
  <c r="EH11" i="17"/>
  <c r="DY11" i="17"/>
  <c r="EF11" i="17"/>
  <c r="DX11" i="17"/>
  <c r="EK11" i="17"/>
  <c r="EJ11" i="17"/>
  <c r="EI11" i="17"/>
  <c r="CP8" i="17"/>
  <c r="DK8" i="17"/>
  <c r="DB8" i="17"/>
  <c r="CO8" i="17"/>
  <c r="DE8" i="17"/>
  <c r="CN8" i="17"/>
  <c r="CS8" i="17"/>
  <c r="CQ8" i="17"/>
  <c r="DC8" i="17"/>
  <c r="CR8" i="17"/>
  <c r="DD8" i="17"/>
  <c r="DZ7" i="17"/>
  <c r="EH7" i="17"/>
  <c r="DY7" i="17"/>
  <c r="EF7" i="17"/>
  <c r="DX7" i="17"/>
  <c r="EK7" i="17"/>
  <c r="EI7" i="17"/>
  <c r="EJ7" i="17"/>
  <c r="DK6" i="17"/>
  <c r="CP6" i="17"/>
  <c r="DB6" i="17"/>
  <c r="CN6" i="17"/>
  <c r="CO6" i="17"/>
  <c r="CS6" i="17"/>
  <c r="DE6" i="17"/>
  <c r="CQ6" i="17"/>
  <c r="DC6" i="17"/>
  <c r="CR6" i="17"/>
  <c r="DD6" i="17"/>
  <c r="EH126" i="17"/>
  <c r="EF126" i="17"/>
  <c r="DX126" i="17"/>
  <c r="DY126" i="17"/>
  <c r="DZ126" i="17"/>
  <c r="EK126" i="17"/>
  <c r="EI126" i="17"/>
  <c r="EJ126" i="17"/>
  <c r="AN43" i="14"/>
  <c r="AP43" i="14"/>
  <c r="AR44" i="14"/>
  <c r="AS44" i="14"/>
  <c r="AM44" i="14"/>
  <c r="AL47" i="14"/>
  <c r="AS47" i="14"/>
  <c r="AM47" i="14"/>
  <c r="AK52" i="14"/>
  <c r="AP52" i="14"/>
  <c r="AS52" i="14"/>
  <c r="AS75" i="14"/>
  <c r="AM75" i="14"/>
  <c r="AK81" i="14"/>
  <c r="AJ81" i="14"/>
  <c r="AP81" i="14"/>
  <c r="AS82" i="14"/>
  <c r="AQ82" i="14"/>
  <c r="AL83" i="14"/>
  <c r="AS83" i="14"/>
  <c r="AP83" i="14"/>
  <c r="AJ84" i="14"/>
  <c r="AM84" i="14"/>
  <c r="AR85" i="14"/>
  <c r="AJ85" i="14"/>
  <c r="AP85" i="14"/>
  <c r="AN89" i="14"/>
  <c r="AQ89" i="14"/>
  <c r="AR109" i="14"/>
  <c r="AJ109" i="14"/>
  <c r="AO109" i="14"/>
  <c r="AR111" i="14"/>
  <c r="AJ111" i="14"/>
  <c r="AP131" i="14"/>
  <c r="AN37" i="14"/>
  <c r="AM37" i="14"/>
  <c r="AK49" i="14"/>
  <c r="AN49" i="14"/>
  <c r="AO49" i="14"/>
  <c r="AR55" i="14"/>
  <c r="AM55" i="14"/>
  <c r="AK57" i="14"/>
  <c r="AP57" i="14"/>
  <c r="AK60" i="14"/>
  <c r="AJ60" i="14"/>
  <c r="AM60" i="14"/>
  <c r="AL86" i="14"/>
  <c r="AJ86" i="14"/>
  <c r="AL93" i="14"/>
  <c r="AO93" i="14"/>
  <c r="AQ93" i="14"/>
  <c r="AL94" i="14"/>
  <c r="AO94" i="14"/>
  <c r="AL105" i="14"/>
  <c r="AP105" i="14"/>
  <c r="AJ114" i="14"/>
  <c r="AL130" i="14"/>
  <c r="AN130" i="14"/>
  <c r="AK132" i="14"/>
  <c r="AP132" i="14"/>
  <c r="AM132" i="14"/>
  <c r="AP134" i="14"/>
  <c r="AM134" i="14"/>
  <c r="AL136" i="14"/>
  <c r="AL144" i="14"/>
  <c r="AJ144" i="14"/>
  <c r="AM144" i="14"/>
  <c r="AK145" i="14"/>
  <c r="ED126" i="14"/>
  <c r="EA126" i="14"/>
  <c r="EB126" i="14"/>
  <c r="EF126" i="14"/>
  <c r="EE126" i="14"/>
  <c r="EC126" i="14"/>
  <c r="AK112" i="14"/>
  <c r="AO112" i="14"/>
  <c r="P158" i="15"/>
  <c r="Q157" i="15"/>
  <c r="AJ40" i="14"/>
  <c r="AO40" i="14"/>
  <c r="AN45" i="14"/>
  <c r="AP45" i="14"/>
  <c r="AK48" i="14"/>
  <c r="AM48" i="14"/>
  <c r="AK51" i="14"/>
  <c r="AN51" i="14"/>
  <c r="AO51" i="14"/>
  <c r="AK53" i="14"/>
  <c r="AN53" i="14"/>
  <c r="AM53" i="14"/>
  <c r="AL54" i="14"/>
  <c r="AQ54" i="14"/>
  <c r="AJ65" i="14"/>
  <c r="AP65" i="14"/>
  <c r="AL66" i="14"/>
  <c r="AP66" i="14"/>
  <c r="AO66" i="14"/>
  <c r="AL70" i="14"/>
  <c r="AP70" i="14"/>
  <c r="AK71" i="14"/>
  <c r="AS71" i="14"/>
  <c r="AM71" i="14"/>
  <c r="AR79" i="14"/>
  <c r="AO79" i="14"/>
  <c r="AQ79" i="14"/>
  <c r="AN91" i="14"/>
  <c r="AM91" i="14"/>
  <c r="AN100" i="14"/>
  <c r="AQ100" i="14"/>
  <c r="AJ104" i="14"/>
  <c r="AM104" i="14"/>
  <c r="AK117" i="14"/>
  <c r="AO117" i="14"/>
  <c r="AO124" i="14"/>
  <c r="AP124" i="14"/>
  <c r="AO128" i="14"/>
  <c r="AN128" i="14"/>
  <c r="AL129" i="14"/>
  <c r="AQ129" i="14"/>
  <c r="AO129" i="14"/>
  <c r="AL139" i="14"/>
  <c r="AM139" i="14"/>
  <c r="AJ140" i="14"/>
  <c r="AM140" i="14"/>
  <c r="AL142" i="14"/>
  <c r="AN142" i="14"/>
  <c r="AJ142" i="14"/>
  <c r="AJ154" i="14"/>
  <c r="DZ123" i="14"/>
  <c r="DQ123" i="14"/>
  <c r="DS123" i="14"/>
  <c r="DT123" i="14"/>
  <c r="DE123" i="14"/>
  <c r="DD123" i="14"/>
  <c r="DR123" i="14"/>
  <c r="DC123" i="14"/>
  <c r="DI123" i="14" s="1"/>
  <c r="DH123" i="14"/>
  <c r="DF123" i="14"/>
  <c r="DG123" i="14"/>
  <c r="DZ121" i="14"/>
  <c r="DQ121" i="14"/>
  <c r="DR121" i="14"/>
  <c r="DD121" i="14"/>
  <c r="DT121" i="14"/>
  <c r="DS121" i="14"/>
  <c r="DC121" i="14"/>
  <c r="DE121" i="14"/>
  <c r="DG121" i="14"/>
  <c r="DF121" i="14"/>
  <c r="DH121" i="14"/>
  <c r="DZ119" i="14"/>
  <c r="DQ119" i="14"/>
  <c r="DC119" i="14"/>
  <c r="DE119" i="14"/>
  <c r="DD119" i="14"/>
  <c r="DT119" i="14"/>
  <c r="DS119" i="14"/>
  <c r="DR119" i="14"/>
  <c r="DF119" i="14"/>
  <c r="DH119" i="14"/>
  <c r="DG119" i="14"/>
  <c r="FA117" i="14"/>
  <c r="EW117" i="14"/>
  <c r="EP117" i="14"/>
  <c r="EO117" i="14"/>
  <c r="ER117" i="14" s="1"/>
  <c r="EQ117" i="14"/>
  <c r="EX117" i="14"/>
  <c r="EY117" i="14"/>
  <c r="EZ117" i="14"/>
  <c r="FA116" i="14"/>
  <c r="EW116" i="14"/>
  <c r="EQ116" i="14"/>
  <c r="EO116" i="14"/>
  <c r="ER116" i="14" s="1"/>
  <c r="EP116" i="14"/>
  <c r="EX116" i="14"/>
  <c r="EY116" i="14"/>
  <c r="EZ116" i="14"/>
  <c r="DZ115" i="14"/>
  <c r="DQ115" i="14"/>
  <c r="DC115" i="14"/>
  <c r="DS115" i="14"/>
  <c r="DR115" i="14"/>
  <c r="DT115" i="14"/>
  <c r="DE115" i="14"/>
  <c r="DD115" i="14"/>
  <c r="DF115" i="14"/>
  <c r="DH115" i="14"/>
  <c r="DG115" i="14"/>
  <c r="FA111" i="14"/>
  <c r="EW111" i="14"/>
  <c r="EO111" i="14"/>
  <c r="EQ111" i="14"/>
  <c r="EP111" i="14"/>
  <c r="ES111" i="14" s="1"/>
  <c r="EX111" i="14"/>
  <c r="EY111" i="14"/>
  <c r="EZ111" i="14"/>
  <c r="DZ109" i="14"/>
  <c r="DQ109" i="14"/>
  <c r="DS109" i="14"/>
  <c r="DR109" i="14"/>
  <c r="DD109" i="14"/>
  <c r="DE109" i="14"/>
  <c r="DT109" i="14"/>
  <c r="DC109" i="14"/>
  <c r="DI109" i="14" s="1"/>
  <c r="DG109" i="14"/>
  <c r="DF109" i="14"/>
  <c r="DH109" i="14"/>
  <c r="DZ107" i="14"/>
  <c r="DQ107" i="14"/>
  <c r="DT107" i="14"/>
  <c r="DS107" i="14"/>
  <c r="DR107" i="14"/>
  <c r="DE107" i="14"/>
  <c r="DD107" i="14"/>
  <c r="DC107" i="14"/>
  <c r="DF107" i="14"/>
  <c r="DG107" i="14"/>
  <c r="DH107" i="14"/>
  <c r="DZ105" i="14"/>
  <c r="DQ105" i="14"/>
  <c r="DE105" i="14"/>
  <c r="DT105" i="14"/>
  <c r="DS105" i="14"/>
  <c r="DR105" i="14"/>
  <c r="DD105" i="14"/>
  <c r="DC105" i="14"/>
  <c r="DG105" i="14"/>
  <c r="DF105" i="14"/>
  <c r="DH105" i="14"/>
  <c r="FA99" i="14"/>
  <c r="EW99" i="14"/>
  <c r="EP99" i="14"/>
  <c r="EO99" i="14"/>
  <c r="EQ99" i="14"/>
  <c r="EX99" i="14"/>
  <c r="EZ99" i="14"/>
  <c r="EY99" i="14"/>
  <c r="DZ95" i="14"/>
  <c r="DQ95" i="14"/>
  <c r="DE95" i="14"/>
  <c r="DT95" i="14"/>
  <c r="DR95" i="14"/>
  <c r="DD95" i="14"/>
  <c r="DS95" i="14"/>
  <c r="DC95" i="14"/>
  <c r="DI95" i="14" s="1"/>
  <c r="DF95" i="14"/>
  <c r="DG95" i="14"/>
  <c r="DH95" i="14"/>
  <c r="DZ93" i="14"/>
  <c r="DQ93" i="14"/>
  <c r="DT93" i="14"/>
  <c r="DE93" i="14"/>
  <c r="DR93" i="14"/>
  <c r="DD93" i="14"/>
  <c r="DS93" i="14"/>
  <c r="DC93" i="14"/>
  <c r="DF93" i="14"/>
  <c r="DG93" i="14"/>
  <c r="DH93" i="14"/>
  <c r="FA92" i="14"/>
  <c r="EW92" i="14"/>
  <c r="EQ92" i="14"/>
  <c r="EO92" i="14"/>
  <c r="EP92" i="14"/>
  <c r="EX92" i="14"/>
  <c r="EZ92" i="14"/>
  <c r="EY92" i="14"/>
  <c r="EW91" i="14"/>
  <c r="FA91" i="14"/>
  <c r="EP91" i="14"/>
  <c r="EQ91" i="14"/>
  <c r="EO91" i="14"/>
  <c r="EX91" i="14"/>
  <c r="EY91" i="14"/>
  <c r="EZ91" i="14"/>
  <c r="DZ89" i="14"/>
  <c r="DQ89" i="14"/>
  <c r="DS89" i="14"/>
  <c r="DR89" i="14"/>
  <c r="DT89" i="14"/>
  <c r="DD89" i="14"/>
  <c r="DC89" i="14"/>
  <c r="DE89" i="14"/>
  <c r="DH89" i="14"/>
  <c r="DF89" i="14"/>
  <c r="DG89" i="14"/>
  <c r="DZ87" i="14"/>
  <c r="DQ87" i="14"/>
  <c r="DT87" i="14"/>
  <c r="DC87" i="14"/>
  <c r="DE87" i="14"/>
  <c r="DS87" i="14"/>
  <c r="DR87" i="14"/>
  <c r="DD87" i="14"/>
  <c r="DF87" i="14"/>
  <c r="DH87" i="14"/>
  <c r="DG87" i="14"/>
  <c r="FA85" i="14"/>
  <c r="EW85" i="14"/>
  <c r="EP85" i="14"/>
  <c r="EO85" i="14"/>
  <c r="ER85" i="14" s="1"/>
  <c r="EQ85" i="14"/>
  <c r="EX85" i="14"/>
  <c r="EY85" i="14"/>
  <c r="EZ85" i="14"/>
  <c r="FA81" i="14"/>
  <c r="EW81" i="14"/>
  <c r="EP81" i="14"/>
  <c r="EO81" i="14"/>
  <c r="ER81" i="14" s="1"/>
  <c r="EQ81" i="14"/>
  <c r="EX81" i="14"/>
  <c r="EY81" i="14"/>
  <c r="EZ81" i="14"/>
  <c r="FA80" i="14"/>
  <c r="EW80" i="14"/>
  <c r="EO80" i="14"/>
  <c r="EQ80" i="14"/>
  <c r="EP80" i="14"/>
  <c r="EX80" i="14"/>
  <c r="EY80" i="14"/>
  <c r="EZ80" i="14"/>
  <c r="DZ79" i="14"/>
  <c r="DQ79" i="14"/>
  <c r="DT79" i="14"/>
  <c r="DC79" i="14"/>
  <c r="DI79" i="14" s="1"/>
  <c r="DE79" i="14"/>
  <c r="DS79" i="14"/>
  <c r="DR79" i="14"/>
  <c r="DD79" i="14"/>
  <c r="DF79" i="14"/>
  <c r="DH79" i="14"/>
  <c r="DG79" i="14"/>
  <c r="DZ77" i="14"/>
  <c r="DQ77" i="14"/>
  <c r="DS77" i="14"/>
  <c r="DD77" i="14"/>
  <c r="DT77" i="14"/>
  <c r="DR77" i="14"/>
  <c r="DE77" i="14"/>
  <c r="DC77" i="14"/>
  <c r="DG77" i="14"/>
  <c r="DH77" i="14"/>
  <c r="DF77" i="14"/>
  <c r="FA76" i="14"/>
  <c r="EW76" i="14"/>
  <c r="EP76" i="14"/>
  <c r="EQ76" i="14"/>
  <c r="EO76" i="14"/>
  <c r="EX76" i="14"/>
  <c r="EY76" i="14"/>
  <c r="EZ76" i="14"/>
  <c r="FA75" i="14"/>
  <c r="EW75" i="14"/>
  <c r="EP75" i="14"/>
  <c r="EO75" i="14"/>
  <c r="EQ75" i="14"/>
  <c r="ET75" i="14" s="1"/>
  <c r="EX75" i="14"/>
  <c r="EZ75" i="14"/>
  <c r="EY75" i="14"/>
  <c r="DZ73" i="14"/>
  <c r="DQ73" i="14"/>
  <c r="DD73" i="14"/>
  <c r="DS73" i="14"/>
  <c r="DE73" i="14"/>
  <c r="DT73" i="14"/>
  <c r="DR73" i="14"/>
  <c r="DC73" i="14"/>
  <c r="DH73" i="14"/>
  <c r="DG73" i="14"/>
  <c r="DF73" i="14"/>
  <c r="FA72" i="14"/>
  <c r="EW72" i="14"/>
  <c r="EP72" i="14"/>
  <c r="EQ72" i="14"/>
  <c r="EO72" i="14"/>
  <c r="EX72" i="14"/>
  <c r="EY72" i="14"/>
  <c r="EZ72" i="14"/>
  <c r="DZ68" i="14"/>
  <c r="DQ68" i="14"/>
  <c r="DT68" i="14"/>
  <c r="DD68" i="14"/>
  <c r="DR68" i="14"/>
  <c r="DS68" i="14"/>
  <c r="DC68" i="14"/>
  <c r="DI68" i="14" s="1"/>
  <c r="DE68" i="14"/>
  <c r="DF68" i="14"/>
  <c r="DH68" i="14"/>
  <c r="DG68" i="14"/>
  <c r="DZ67" i="14"/>
  <c r="DQ67" i="14"/>
  <c r="DS67" i="14"/>
  <c r="DR67" i="14"/>
  <c r="DE67" i="14"/>
  <c r="DC67" i="14"/>
  <c r="DD67" i="14"/>
  <c r="DT67" i="14"/>
  <c r="DF67" i="14"/>
  <c r="DH67" i="14"/>
  <c r="DG67" i="14"/>
  <c r="DZ65" i="14"/>
  <c r="DQ65" i="14"/>
  <c r="DT65" i="14"/>
  <c r="DR65" i="14"/>
  <c r="DD65" i="14"/>
  <c r="DJ65" i="14" s="1"/>
  <c r="DS65" i="14"/>
  <c r="DE65" i="14"/>
  <c r="DC65" i="14"/>
  <c r="DF65" i="14"/>
  <c r="DH65" i="14"/>
  <c r="DG65" i="14"/>
  <c r="DZ63" i="14"/>
  <c r="DQ63" i="14"/>
  <c r="DT63" i="14"/>
  <c r="DD63" i="14"/>
  <c r="DE63" i="14"/>
  <c r="DS63" i="14"/>
  <c r="DC63" i="14"/>
  <c r="DR63" i="14"/>
  <c r="DF63" i="14"/>
  <c r="DH63" i="14"/>
  <c r="DG63" i="14"/>
  <c r="FA60" i="14"/>
  <c r="EW60" i="14"/>
  <c r="EO60" i="14"/>
  <c r="EQ60" i="14"/>
  <c r="EP60" i="14"/>
  <c r="EX60" i="14"/>
  <c r="EY60" i="14"/>
  <c r="EZ60" i="14"/>
  <c r="FA59" i="14"/>
  <c r="EW59" i="14"/>
  <c r="EQ59" i="14"/>
  <c r="ET59" i="14" s="1"/>
  <c r="EP59" i="14"/>
  <c r="EO59" i="14"/>
  <c r="EX59" i="14"/>
  <c r="EY59" i="14"/>
  <c r="EZ59" i="14"/>
  <c r="FA56" i="14"/>
  <c r="EW56" i="14"/>
  <c r="EO56" i="14"/>
  <c r="EQ56" i="14"/>
  <c r="EP56" i="14"/>
  <c r="EX56" i="14"/>
  <c r="EY56" i="14"/>
  <c r="EZ56" i="14"/>
  <c r="EW55" i="14"/>
  <c r="FA55" i="14"/>
  <c r="EO55" i="14"/>
  <c r="EP55" i="14"/>
  <c r="EQ55" i="14"/>
  <c r="EX55" i="14"/>
  <c r="EY55" i="14"/>
  <c r="EZ55" i="14"/>
  <c r="DQ53" i="14"/>
  <c r="DZ53" i="14"/>
  <c r="DT53" i="14"/>
  <c r="DS53" i="14"/>
  <c r="DC53" i="14"/>
  <c r="DD53" i="14"/>
  <c r="DR53" i="14"/>
  <c r="DE53" i="14"/>
  <c r="DH53" i="14"/>
  <c r="DF53" i="14"/>
  <c r="DG53" i="14"/>
  <c r="DZ51" i="14"/>
  <c r="DQ51" i="14"/>
  <c r="DS51" i="14"/>
  <c r="DD51" i="14"/>
  <c r="DJ51" i="14" s="1"/>
  <c r="DR51" i="14"/>
  <c r="DT51" i="14"/>
  <c r="DC51" i="14"/>
  <c r="DE51" i="14"/>
  <c r="DK51" i="14" s="1"/>
  <c r="DG51" i="14"/>
  <c r="DH51" i="14"/>
  <c r="DF51" i="14"/>
  <c r="FA49" i="14"/>
  <c r="EW49" i="14"/>
  <c r="EQ49" i="14"/>
  <c r="EO49" i="14"/>
  <c r="EP49" i="14"/>
  <c r="ES49" i="14" s="1"/>
  <c r="EX49" i="14"/>
  <c r="EY49" i="14"/>
  <c r="EZ49" i="14"/>
  <c r="FA48" i="14"/>
  <c r="EW48" i="14"/>
  <c r="EP48" i="14"/>
  <c r="EO48" i="14"/>
  <c r="EQ48" i="14"/>
  <c r="EX48" i="14"/>
  <c r="EY48" i="14"/>
  <c r="EZ48" i="14"/>
  <c r="EW47" i="14"/>
  <c r="FA47" i="14"/>
  <c r="EO47" i="14"/>
  <c r="EQ47" i="14"/>
  <c r="EP47" i="14"/>
  <c r="EX47" i="14"/>
  <c r="EZ47" i="14"/>
  <c r="EY47" i="14"/>
  <c r="DZ45" i="14"/>
  <c r="DQ45" i="14"/>
  <c r="DT45" i="14"/>
  <c r="DC45" i="14"/>
  <c r="DE45" i="14"/>
  <c r="DK45" i="14" s="1"/>
  <c r="DS45" i="14"/>
  <c r="DR45" i="14"/>
  <c r="DD45" i="14"/>
  <c r="DF45" i="14"/>
  <c r="DH45" i="14"/>
  <c r="DG45" i="14"/>
  <c r="DZ44" i="14"/>
  <c r="DQ44" i="14"/>
  <c r="DS44" i="14"/>
  <c r="DR44" i="14"/>
  <c r="DE44" i="14"/>
  <c r="DC44" i="14"/>
  <c r="DD44" i="14"/>
  <c r="DT44" i="14"/>
  <c r="DF44" i="14"/>
  <c r="DH44" i="14"/>
  <c r="DG44" i="14"/>
  <c r="DZ43" i="14"/>
  <c r="DQ43" i="14"/>
  <c r="DT43" i="14"/>
  <c r="DC43" i="14"/>
  <c r="DS43" i="14"/>
  <c r="DR43" i="14"/>
  <c r="DE43" i="14"/>
  <c r="DD43" i="14"/>
  <c r="DF43" i="14"/>
  <c r="DH43" i="14"/>
  <c r="DG43" i="14"/>
  <c r="FA40" i="14"/>
  <c r="EW40" i="14"/>
  <c r="EP40" i="14"/>
  <c r="EO40" i="14"/>
  <c r="EQ40" i="14"/>
  <c r="EX40" i="14"/>
  <c r="EY40" i="14"/>
  <c r="EZ40" i="14"/>
  <c r="DZ39" i="14"/>
  <c r="DQ39" i="14"/>
  <c r="DT39" i="14"/>
  <c r="DC39" i="14"/>
  <c r="DE39" i="14"/>
  <c r="DS39" i="14"/>
  <c r="DR39" i="14"/>
  <c r="DD39" i="14"/>
  <c r="DJ39" i="14" s="1"/>
  <c r="DG39" i="14"/>
  <c r="DH39" i="14"/>
  <c r="DF39" i="14"/>
  <c r="DZ37" i="14"/>
  <c r="DQ37" i="14"/>
  <c r="DR37" i="14"/>
  <c r="DE37" i="14"/>
  <c r="DT37" i="14"/>
  <c r="DS37" i="14"/>
  <c r="DC37" i="14"/>
  <c r="DD37" i="14"/>
  <c r="DJ37" i="14" s="1"/>
  <c r="DF37" i="14"/>
  <c r="DG37" i="14"/>
  <c r="DH37" i="14"/>
  <c r="DZ35" i="14"/>
  <c r="DQ35" i="14"/>
  <c r="DD35" i="14"/>
  <c r="DT35" i="14"/>
  <c r="DS35" i="14"/>
  <c r="DR35" i="14"/>
  <c r="DC35" i="14"/>
  <c r="DE35" i="14"/>
  <c r="DG35" i="14"/>
  <c r="DH35" i="14"/>
  <c r="DF35" i="14"/>
  <c r="DQ33" i="14"/>
  <c r="DZ33" i="14"/>
  <c r="DS33" i="14"/>
  <c r="DC33" i="14"/>
  <c r="DD33" i="14"/>
  <c r="DR33" i="14"/>
  <c r="DE33" i="14"/>
  <c r="DT33" i="14"/>
  <c r="DG33" i="14"/>
  <c r="DF33" i="14"/>
  <c r="DH33" i="14"/>
  <c r="DZ32" i="14"/>
  <c r="DQ32" i="14"/>
  <c r="DT32" i="14"/>
  <c r="DS32" i="14"/>
  <c r="DC32" i="14"/>
  <c r="DE32" i="14"/>
  <c r="DD32" i="14"/>
  <c r="DR32" i="14"/>
  <c r="DF32" i="14"/>
  <c r="DH32" i="14"/>
  <c r="DG32" i="14"/>
  <c r="EW29" i="14"/>
  <c r="FA29" i="14"/>
  <c r="EQ29" i="14"/>
  <c r="EO29" i="14"/>
  <c r="ER29" i="14" s="1"/>
  <c r="EP29" i="14"/>
  <c r="EX29" i="14"/>
  <c r="EZ29" i="14"/>
  <c r="EY29" i="14"/>
  <c r="FA28" i="14"/>
  <c r="EW28" i="14"/>
  <c r="EQ28" i="14"/>
  <c r="EP28" i="14"/>
  <c r="EO28" i="14"/>
  <c r="ER28" i="14" s="1"/>
  <c r="EX28" i="14"/>
  <c r="EY28" i="14"/>
  <c r="EZ28" i="14"/>
  <c r="DQ24" i="14"/>
  <c r="DZ24" i="14"/>
  <c r="DR24" i="14"/>
  <c r="DD24" i="14"/>
  <c r="DT24" i="14"/>
  <c r="DS24" i="14"/>
  <c r="DE24" i="14"/>
  <c r="DK24" i="14" s="1"/>
  <c r="DC24" i="14"/>
  <c r="DG24" i="14"/>
  <c r="DH24" i="14"/>
  <c r="DF24" i="14"/>
  <c r="FA23" i="14"/>
  <c r="EW23" i="14"/>
  <c r="EP23" i="14"/>
  <c r="EO23" i="14"/>
  <c r="EQ23" i="14"/>
  <c r="ET23" i="14" s="1"/>
  <c r="EX23" i="14"/>
  <c r="EZ23" i="14"/>
  <c r="EY23" i="14"/>
  <c r="EW20" i="14"/>
  <c r="FA20" i="14"/>
  <c r="EP20" i="14"/>
  <c r="EQ20" i="14"/>
  <c r="EO20" i="14"/>
  <c r="EX20" i="14"/>
  <c r="EY20" i="14"/>
  <c r="EZ20" i="14"/>
  <c r="DZ15" i="14"/>
  <c r="DD15" i="14"/>
  <c r="DQ15" i="14"/>
  <c r="DT15" i="14"/>
  <c r="DS15" i="14"/>
  <c r="DE15" i="14"/>
  <c r="DR15" i="14"/>
  <c r="DC15" i="14"/>
  <c r="DF15" i="14"/>
  <c r="DH15" i="14"/>
  <c r="DG15" i="14"/>
  <c r="EW11" i="14"/>
  <c r="FA11" i="14"/>
  <c r="EO11" i="14"/>
  <c r="EQ11" i="14"/>
  <c r="EP11" i="14"/>
  <c r="EX11" i="14"/>
  <c r="EY11" i="14"/>
  <c r="EZ11" i="14"/>
  <c r="DZ8" i="14"/>
  <c r="DQ8" i="14"/>
  <c r="DE8" i="14"/>
  <c r="DD8" i="14"/>
  <c r="DR8" i="14"/>
  <c r="DT8" i="14"/>
  <c r="DS8" i="14"/>
  <c r="DC8" i="14"/>
  <c r="DF8" i="14"/>
  <c r="DH8" i="14"/>
  <c r="DG8" i="14"/>
  <c r="FA7" i="14"/>
  <c r="EW7" i="14"/>
  <c r="EQ7" i="14"/>
  <c r="EO7" i="14"/>
  <c r="EP7" i="14"/>
  <c r="EX7" i="14"/>
  <c r="EY7" i="14"/>
  <c r="EZ7" i="14"/>
  <c r="DZ127" i="14"/>
  <c r="DQ127" i="14"/>
  <c r="DT127" i="14"/>
  <c r="DS127" i="14"/>
  <c r="DR127" i="14"/>
  <c r="DE127" i="14"/>
  <c r="DD127" i="14"/>
  <c r="DC127" i="14"/>
  <c r="DI127" i="14" s="1"/>
  <c r="DF127" i="14"/>
  <c r="DH127" i="14"/>
  <c r="DG127" i="14"/>
  <c r="AM92" i="14"/>
  <c r="AS92" i="14"/>
  <c r="AL95" i="14"/>
  <c r="AS95" i="14"/>
  <c r="AM95" i="14"/>
  <c r="AR99" i="14"/>
  <c r="AJ99" i="14"/>
  <c r="AK101" i="14"/>
  <c r="AJ101" i="14"/>
  <c r="AM101" i="14"/>
  <c r="AL103" i="14"/>
  <c r="AQ103" i="14"/>
  <c r="AL108" i="14"/>
  <c r="AM108" i="14"/>
  <c r="AL110" i="14"/>
  <c r="AQ110" i="14"/>
  <c r="AJ110" i="14"/>
  <c r="AL113" i="14"/>
  <c r="AN113" i="14"/>
  <c r="AL115" i="14"/>
  <c r="AO115" i="14"/>
  <c r="AN115" i="14"/>
  <c r="AR118" i="14"/>
  <c r="AN118" i="14"/>
  <c r="AK143" i="14"/>
  <c r="AM146" i="14"/>
  <c r="AK147" i="14"/>
  <c r="AM147" i="14"/>
  <c r="ER126" i="14"/>
  <c r="DK125" i="17"/>
  <c r="DB125" i="17"/>
  <c r="DE125" i="17"/>
  <c r="DC125" i="17"/>
  <c r="CO125" i="17"/>
  <c r="CR125" i="17"/>
  <c r="CQ125" i="17"/>
  <c r="CN125" i="17"/>
  <c r="CS125" i="17"/>
  <c r="CP125" i="17"/>
  <c r="CV125" i="17" s="1"/>
  <c r="DD125" i="17"/>
  <c r="AS124" i="17"/>
  <c r="AI124" i="17"/>
  <c r="AX124" i="17"/>
  <c r="AJ124" i="17"/>
  <c r="AB124" i="17"/>
  <c r="X124" i="17"/>
  <c r="AS118" i="17"/>
  <c r="AI118" i="17"/>
  <c r="AB118" i="17"/>
  <c r="AJ118" i="17"/>
  <c r="AX118" i="17"/>
  <c r="X118" i="17"/>
  <c r="Z118" i="17"/>
  <c r="Y118" i="17"/>
  <c r="AB112" i="17"/>
  <c r="AX112" i="17"/>
  <c r="AJ112" i="17"/>
  <c r="AS112" i="17"/>
  <c r="AI112" i="17"/>
  <c r="Z112" i="17"/>
  <c r="X112" i="17"/>
  <c r="AA112" i="17"/>
  <c r="Y112" i="17"/>
  <c r="AX104" i="17"/>
  <c r="AJ104" i="17"/>
  <c r="AB104" i="17"/>
  <c r="AS104" i="17"/>
  <c r="AI104" i="17"/>
  <c r="Y104" i="17"/>
  <c r="X104" i="17"/>
  <c r="AA104" i="17"/>
  <c r="Z104" i="17"/>
  <c r="BP96" i="17"/>
  <c r="BG96" i="17"/>
  <c r="BH96" i="17"/>
  <c r="BI96" i="17"/>
  <c r="BB96" i="17"/>
  <c r="BF96" i="17" s="1"/>
  <c r="BK96" i="17" s="1"/>
  <c r="BC96" i="17"/>
  <c r="BE96" i="17"/>
  <c r="BD96" i="17"/>
  <c r="AX90" i="17"/>
  <c r="AJ90" i="17"/>
  <c r="AB90" i="17"/>
  <c r="AS90" i="17"/>
  <c r="AI90" i="17"/>
  <c r="Y90" i="17"/>
  <c r="X90" i="17"/>
  <c r="Z90" i="17"/>
  <c r="AA90" i="17"/>
  <c r="AX86" i="17"/>
  <c r="AJ86" i="17"/>
  <c r="AB86" i="17"/>
  <c r="AS86" i="17"/>
  <c r="AI86" i="17"/>
  <c r="Z86" i="17"/>
  <c r="X86" i="17"/>
  <c r="AA86" i="17"/>
  <c r="Y86" i="17"/>
  <c r="AX82" i="17"/>
  <c r="AJ82" i="17"/>
  <c r="AB82" i="17"/>
  <c r="AS82" i="17"/>
  <c r="AI82" i="17"/>
  <c r="X82" i="17"/>
  <c r="AA82" i="17"/>
  <c r="Z82" i="17"/>
  <c r="Y82" i="17"/>
  <c r="AX76" i="17"/>
  <c r="AJ76" i="17"/>
  <c r="AB76" i="17"/>
  <c r="AS76" i="17"/>
  <c r="AI76" i="17"/>
  <c r="Z76" i="17"/>
  <c r="Y76" i="17"/>
  <c r="X76" i="17"/>
  <c r="AA76" i="17"/>
  <c r="BP68" i="17"/>
  <c r="BH68" i="17"/>
  <c r="BI68" i="17"/>
  <c r="BG68" i="17"/>
  <c r="BE68" i="17"/>
  <c r="BB68" i="17"/>
  <c r="BF68" i="17" s="1"/>
  <c r="BK68" i="17" s="1"/>
  <c r="BD68" i="17"/>
  <c r="BC68" i="17"/>
  <c r="AX62" i="17"/>
  <c r="AJ62" i="17"/>
  <c r="AB62" i="17"/>
  <c r="AS62" i="17"/>
  <c r="AI62" i="17"/>
  <c r="Z62" i="17"/>
  <c r="Y62" i="17"/>
  <c r="AA62" i="17"/>
  <c r="X62" i="17"/>
  <c r="AX56" i="17"/>
  <c r="AJ56" i="17"/>
  <c r="AB56" i="17"/>
  <c r="AS56" i="17"/>
  <c r="AI56" i="17"/>
  <c r="Y56" i="17"/>
  <c r="AA56" i="17"/>
  <c r="X56" i="17"/>
  <c r="Z56" i="17"/>
  <c r="BP50" i="17"/>
  <c r="BH50" i="17"/>
  <c r="BG50" i="17"/>
  <c r="BI50" i="17"/>
  <c r="BC50" i="17"/>
  <c r="BB50" i="17"/>
  <c r="BF50" i="17" s="1"/>
  <c r="BK50" i="17" s="1"/>
  <c r="BE50" i="17"/>
  <c r="BD50" i="17"/>
  <c r="BP46" i="17"/>
  <c r="BH46" i="17"/>
  <c r="BI46" i="17"/>
  <c r="BD46" i="17"/>
  <c r="BB46" i="17"/>
  <c r="BF46" i="17" s="1"/>
  <c r="BK46" i="17" s="1"/>
  <c r="BE46" i="17"/>
  <c r="BC46" i="17"/>
  <c r="BG46" i="17" s="1"/>
  <c r="BL46" i="17" s="1"/>
  <c r="AX40" i="17"/>
  <c r="AJ40" i="17"/>
  <c r="AB40" i="17"/>
  <c r="AS40" i="17"/>
  <c r="AI40" i="17"/>
  <c r="Z40" i="17"/>
  <c r="X40" i="17"/>
  <c r="AA40" i="17"/>
  <c r="Y40" i="17"/>
  <c r="AX34" i="17"/>
  <c r="AJ34" i="17"/>
  <c r="AB34" i="17"/>
  <c r="AS34" i="17"/>
  <c r="AI34" i="17"/>
  <c r="Y34" i="17"/>
  <c r="Z34" i="17"/>
  <c r="X34" i="17"/>
  <c r="AA34" i="17"/>
  <c r="AS28" i="17"/>
  <c r="AI28" i="17"/>
  <c r="AX28" i="17"/>
  <c r="AJ28" i="17"/>
  <c r="AB28" i="17"/>
  <c r="Z28" i="17"/>
  <c r="X28" i="17"/>
  <c r="AA28" i="17"/>
  <c r="Y28" i="17"/>
  <c r="AX22" i="17"/>
  <c r="AJ22" i="17"/>
  <c r="AB22" i="17"/>
  <c r="AS22" i="17"/>
  <c r="AI22" i="17"/>
  <c r="Y22" i="17"/>
  <c r="Z22" i="17"/>
  <c r="X22" i="17"/>
  <c r="AA22" i="17"/>
  <c r="BP16" i="17"/>
  <c r="BB16" i="17"/>
  <c r="BF16" i="17" s="1"/>
  <c r="BK16" i="17" s="1"/>
  <c r="BD16" i="17"/>
  <c r="BH16" i="17" s="1"/>
  <c r="BM16" i="17" s="1"/>
  <c r="BE16" i="17"/>
  <c r="BI16" i="17" s="1"/>
  <c r="BN16" i="17" s="1"/>
  <c r="BC16" i="17"/>
  <c r="BG16" i="17" s="1"/>
  <c r="BL16" i="17" s="1"/>
  <c r="AX5" i="17"/>
  <c r="AJ5" i="17"/>
  <c r="AB5" i="17"/>
  <c r="AS5" i="17"/>
  <c r="AI5" i="17"/>
  <c r="AX123" i="17"/>
  <c r="AJ123" i="17"/>
  <c r="AS123" i="17"/>
  <c r="AI123" i="17"/>
  <c r="AB123" i="17"/>
  <c r="X123" i="17"/>
  <c r="Y123" i="17"/>
  <c r="BP121" i="17"/>
  <c r="BH121" i="17"/>
  <c r="BG121" i="17"/>
  <c r="BI121" i="17"/>
  <c r="BF121" i="17"/>
  <c r="BE121" i="17"/>
  <c r="BD121" i="17"/>
  <c r="BC121" i="17"/>
  <c r="BB121" i="17"/>
  <c r="AS119" i="17"/>
  <c r="AI119" i="17"/>
  <c r="AB119" i="17"/>
  <c r="AJ119" i="17"/>
  <c r="AX119" i="17"/>
  <c r="Z119" i="17"/>
  <c r="Y119" i="17"/>
  <c r="X119" i="17"/>
  <c r="AS117" i="17"/>
  <c r="AI117" i="17"/>
  <c r="AB117" i="17"/>
  <c r="AX117" i="17"/>
  <c r="AJ117" i="17"/>
  <c r="X117" i="17"/>
  <c r="Y117" i="17"/>
  <c r="Z117" i="17"/>
  <c r="BP115" i="17"/>
  <c r="BH115" i="17"/>
  <c r="BG115" i="17"/>
  <c r="BI115" i="17"/>
  <c r="BE115" i="17"/>
  <c r="BC115" i="17"/>
  <c r="BB115" i="17"/>
  <c r="BF115" i="17" s="1"/>
  <c r="BK115" i="17" s="1"/>
  <c r="BD115" i="17"/>
  <c r="AX113" i="17"/>
  <c r="AJ113" i="17"/>
  <c r="AS113" i="17"/>
  <c r="AI113" i="17"/>
  <c r="AB113" i="17"/>
  <c r="AA113" i="17"/>
  <c r="Z113" i="17"/>
  <c r="X113" i="17"/>
  <c r="Y113" i="17"/>
  <c r="AX111" i="17"/>
  <c r="AJ111" i="17"/>
  <c r="AB111" i="17"/>
  <c r="AS111" i="17"/>
  <c r="AI111" i="17"/>
  <c r="AA111" i="17"/>
  <c r="X111" i="17"/>
  <c r="Z111" i="17"/>
  <c r="Y111" i="17"/>
  <c r="BP109" i="17"/>
  <c r="BH109" i="17"/>
  <c r="BI109" i="17"/>
  <c r="BG109" i="17"/>
  <c r="BE109" i="17"/>
  <c r="BD109" i="17"/>
  <c r="BC109" i="17"/>
  <c r="BB109" i="17"/>
  <c r="BF109" i="17" s="1"/>
  <c r="BK109" i="17" s="1"/>
  <c r="AX107" i="17"/>
  <c r="AJ107" i="17"/>
  <c r="AB107" i="17"/>
  <c r="AS107" i="17"/>
  <c r="AI107" i="17"/>
  <c r="Z107" i="17"/>
  <c r="Y107" i="17"/>
  <c r="X107" i="17"/>
  <c r="AA107" i="17"/>
  <c r="AX105" i="17"/>
  <c r="AJ105" i="17"/>
  <c r="AB105" i="17"/>
  <c r="AS105" i="17"/>
  <c r="AI105" i="17"/>
  <c r="Z105" i="17"/>
  <c r="Y105" i="17"/>
  <c r="X105" i="17"/>
  <c r="AA105" i="17"/>
  <c r="AX103" i="17"/>
  <c r="AJ103" i="17"/>
  <c r="AB103" i="17"/>
  <c r="AS103" i="17"/>
  <c r="AI103" i="17"/>
  <c r="Z103" i="17"/>
  <c r="Y103" i="17"/>
  <c r="X103" i="17"/>
  <c r="AA103" i="17"/>
  <c r="AX101" i="17"/>
  <c r="AJ101" i="17"/>
  <c r="AB101" i="17"/>
  <c r="AS101" i="17"/>
  <c r="AI101" i="17"/>
  <c r="AA101" i="17"/>
  <c r="Z101" i="17"/>
  <c r="Y101" i="17"/>
  <c r="X101" i="17"/>
  <c r="BP99" i="17"/>
  <c r="BH99" i="17"/>
  <c r="BI99" i="17"/>
  <c r="BG99" i="17"/>
  <c r="BE99" i="17"/>
  <c r="BC99" i="17"/>
  <c r="BB99" i="17"/>
  <c r="BF99" i="17" s="1"/>
  <c r="BK99" i="17" s="1"/>
  <c r="BD99" i="17"/>
  <c r="AX97" i="17"/>
  <c r="AJ97" i="17"/>
  <c r="AB97" i="17"/>
  <c r="AS97" i="17"/>
  <c r="AI97" i="17"/>
  <c r="AA97" i="17"/>
  <c r="Z97" i="17"/>
  <c r="X97" i="17"/>
  <c r="Y97" i="17"/>
  <c r="BP95" i="17"/>
  <c r="BG95" i="17"/>
  <c r="BH95" i="17"/>
  <c r="BI95" i="17"/>
  <c r="BB95" i="17"/>
  <c r="BF95" i="17" s="1"/>
  <c r="BK95" i="17" s="1"/>
  <c r="BD95" i="17"/>
  <c r="BE95" i="17"/>
  <c r="BC95" i="17"/>
  <c r="AS93" i="17"/>
  <c r="AI93" i="17"/>
  <c r="AJ93" i="17"/>
  <c r="AB93" i="17"/>
  <c r="AX93" i="17"/>
  <c r="AA93" i="17"/>
  <c r="Z93" i="17"/>
  <c r="X93" i="17"/>
  <c r="Y93" i="17"/>
  <c r="AS91" i="17"/>
  <c r="AI91" i="17"/>
  <c r="AJ91" i="17"/>
  <c r="AB91" i="17"/>
  <c r="AX91" i="17"/>
  <c r="Y91" i="17"/>
  <c r="X91" i="17"/>
  <c r="AA91" i="17"/>
  <c r="Z91" i="17"/>
  <c r="BP89" i="17"/>
  <c r="BG89" i="17"/>
  <c r="BH89" i="17"/>
  <c r="BI89" i="17"/>
  <c r="BE89" i="17"/>
  <c r="BC89" i="17"/>
  <c r="BB89" i="17"/>
  <c r="BF89" i="17" s="1"/>
  <c r="BK89" i="17" s="1"/>
  <c r="BD89" i="17"/>
  <c r="AS87" i="17"/>
  <c r="AI87" i="17"/>
  <c r="AX87" i="17"/>
  <c r="AJ87" i="17"/>
  <c r="AB87" i="17"/>
  <c r="X87" i="17"/>
  <c r="AA87" i="17"/>
  <c r="Z87" i="17"/>
  <c r="Y87" i="17"/>
  <c r="BP85" i="17"/>
  <c r="BI85" i="17"/>
  <c r="BG85" i="17"/>
  <c r="BH85" i="17"/>
  <c r="BC85" i="17"/>
  <c r="BB85" i="17"/>
  <c r="BF85" i="17" s="1"/>
  <c r="BK85" i="17" s="1"/>
  <c r="BE85" i="17"/>
  <c r="BD85" i="17"/>
  <c r="AX83" i="17"/>
  <c r="AJ83" i="17"/>
  <c r="AB83" i="17"/>
  <c r="AS83" i="17"/>
  <c r="AI83" i="17"/>
  <c r="Z83" i="17"/>
  <c r="Y83" i="17"/>
  <c r="X83" i="17"/>
  <c r="AA83" i="17"/>
  <c r="BP81" i="17"/>
  <c r="BG81" i="17"/>
  <c r="BH81" i="17"/>
  <c r="BI81" i="17"/>
  <c r="BC81" i="17"/>
  <c r="BB81" i="17"/>
  <c r="BF81" i="17" s="1"/>
  <c r="BK81" i="17" s="1"/>
  <c r="BE81" i="17"/>
  <c r="BD81" i="17"/>
  <c r="AX79" i="17"/>
  <c r="AJ79" i="17"/>
  <c r="AB79" i="17"/>
  <c r="AS79" i="17"/>
  <c r="AI79" i="17"/>
  <c r="Z79" i="17"/>
  <c r="Y79" i="17"/>
  <c r="X79" i="17"/>
  <c r="AA79" i="17"/>
  <c r="AX77" i="17"/>
  <c r="AJ77" i="17"/>
  <c r="AB77" i="17"/>
  <c r="AS77" i="17"/>
  <c r="AI77" i="17"/>
  <c r="Z77" i="17"/>
  <c r="Y77" i="17"/>
  <c r="X77" i="17"/>
  <c r="AA77" i="17"/>
  <c r="AX75" i="17"/>
  <c r="AJ75" i="17"/>
  <c r="AB75" i="17"/>
  <c r="AS75" i="17"/>
  <c r="AI75" i="17"/>
  <c r="Z75" i="17"/>
  <c r="Y75" i="17"/>
  <c r="X75" i="17"/>
  <c r="AA75" i="17"/>
  <c r="AX73" i="17"/>
  <c r="AJ73" i="17"/>
  <c r="AB73" i="17"/>
  <c r="AS73" i="17"/>
  <c r="AI73" i="17"/>
  <c r="Z73" i="17"/>
  <c r="Y73" i="17"/>
  <c r="X73" i="17"/>
  <c r="AA73" i="17"/>
  <c r="BP71" i="17"/>
  <c r="BI71" i="17"/>
  <c r="BG71" i="17"/>
  <c r="BH71" i="17"/>
  <c r="BB71" i="17"/>
  <c r="BF71" i="17" s="1"/>
  <c r="BK71" i="17" s="1"/>
  <c r="BE71" i="17"/>
  <c r="BC71" i="17"/>
  <c r="BD71" i="17"/>
  <c r="AX69" i="17"/>
  <c r="AJ69" i="17"/>
  <c r="AB69" i="17"/>
  <c r="AS69" i="17"/>
  <c r="AI69" i="17"/>
  <c r="Y69" i="17"/>
  <c r="Z69" i="17"/>
  <c r="X69" i="17"/>
  <c r="AA69" i="17"/>
  <c r="BP67" i="17"/>
  <c r="BI67" i="17"/>
  <c r="BG67" i="17"/>
  <c r="BH67" i="17"/>
  <c r="BB67" i="17"/>
  <c r="BF67" i="17" s="1"/>
  <c r="BK67" i="17" s="1"/>
  <c r="BE67" i="17"/>
  <c r="BC67" i="17"/>
  <c r="BD67" i="17"/>
  <c r="BP65" i="17"/>
  <c r="BG65" i="17"/>
  <c r="BH65" i="17"/>
  <c r="BI65" i="17"/>
  <c r="BD65" i="17"/>
  <c r="BB65" i="17"/>
  <c r="BF65" i="17" s="1"/>
  <c r="BK65" i="17" s="1"/>
  <c r="BE65" i="17"/>
  <c r="BC65" i="17"/>
  <c r="BP63" i="17"/>
  <c r="BI63" i="17"/>
  <c r="BG63" i="17"/>
  <c r="BH63" i="17"/>
  <c r="BE63" i="17"/>
  <c r="BD63" i="17"/>
  <c r="BC63" i="17"/>
  <c r="BB63" i="17"/>
  <c r="BF63" i="17" s="1"/>
  <c r="BK63" i="17" s="1"/>
  <c r="AS61" i="17"/>
  <c r="AI61" i="17"/>
  <c r="AX61" i="17"/>
  <c r="AJ61" i="17"/>
  <c r="AB61" i="17"/>
  <c r="Z61" i="17"/>
  <c r="X61" i="17"/>
  <c r="AA61" i="17"/>
  <c r="Y61" i="17"/>
  <c r="AS59" i="17"/>
  <c r="AI59" i="17"/>
  <c r="AX59" i="17"/>
  <c r="AJ59" i="17"/>
  <c r="AB59" i="17"/>
  <c r="X59" i="17"/>
  <c r="AA59" i="17"/>
  <c r="Y59" i="17"/>
  <c r="Z59" i="17"/>
  <c r="BP57" i="17"/>
  <c r="BG57" i="17"/>
  <c r="BH57" i="17"/>
  <c r="BI57" i="17"/>
  <c r="BD57" i="17"/>
  <c r="BB57" i="17"/>
  <c r="BF57" i="17" s="1"/>
  <c r="BK57" i="17" s="1"/>
  <c r="BE57" i="17"/>
  <c r="BC57" i="17"/>
  <c r="BP55" i="17"/>
  <c r="BI55" i="17"/>
  <c r="BG55" i="17"/>
  <c r="BH55" i="17"/>
  <c r="BE55" i="17"/>
  <c r="BD55" i="17"/>
  <c r="BC55" i="17"/>
  <c r="BB55" i="17"/>
  <c r="BF55" i="17" s="1"/>
  <c r="BK55" i="17" s="1"/>
  <c r="BP53" i="17"/>
  <c r="BH53" i="17"/>
  <c r="BI53" i="17"/>
  <c r="BG53" i="17"/>
  <c r="BB53" i="17"/>
  <c r="BF53" i="17" s="1"/>
  <c r="BK53" i="17" s="1"/>
  <c r="BD53" i="17"/>
  <c r="BC53" i="17"/>
  <c r="BE53" i="17"/>
  <c r="AX51" i="17"/>
  <c r="AJ51" i="17"/>
  <c r="AB51" i="17"/>
  <c r="AS51" i="17"/>
  <c r="AI51" i="17"/>
  <c r="AA51" i="17"/>
  <c r="Y51" i="17"/>
  <c r="X51" i="17"/>
  <c r="Z51" i="17"/>
  <c r="AX49" i="17"/>
  <c r="AJ49" i="17"/>
  <c r="AB49" i="17"/>
  <c r="AS49" i="17"/>
  <c r="AI49" i="17"/>
  <c r="AA49" i="17"/>
  <c r="Y49" i="17"/>
  <c r="X49" i="17"/>
  <c r="Z49" i="17"/>
  <c r="AS47" i="17"/>
  <c r="AI47" i="17"/>
  <c r="AX47" i="17"/>
  <c r="AJ47" i="17"/>
  <c r="AB47" i="17"/>
  <c r="Y47" i="17"/>
  <c r="AA47" i="17"/>
  <c r="Z47" i="17"/>
  <c r="X47" i="17"/>
  <c r="AX45" i="17"/>
  <c r="AJ45" i="17"/>
  <c r="AB45" i="17"/>
  <c r="AS45" i="17"/>
  <c r="AI45" i="17"/>
  <c r="AA45" i="17"/>
  <c r="Y45" i="17"/>
  <c r="X45" i="17"/>
  <c r="Z45" i="17"/>
  <c r="AS43" i="17"/>
  <c r="AI43" i="17"/>
  <c r="AX43" i="17"/>
  <c r="AJ43" i="17"/>
  <c r="AB43" i="17"/>
  <c r="Y43" i="17"/>
  <c r="AA43" i="17"/>
  <c r="Z43" i="17"/>
  <c r="X43" i="17"/>
  <c r="BP41" i="17"/>
  <c r="BH41" i="17"/>
  <c r="BI41" i="17"/>
  <c r="BD41" i="17"/>
  <c r="BC41" i="17"/>
  <c r="BG41" i="17" s="1"/>
  <c r="BL41" i="17" s="1"/>
  <c r="BB41" i="17"/>
  <c r="BF41" i="17" s="1"/>
  <c r="BK41" i="17" s="1"/>
  <c r="BE41" i="17"/>
  <c r="AS39" i="17"/>
  <c r="AI39" i="17"/>
  <c r="AX39" i="17"/>
  <c r="AJ39" i="17"/>
  <c r="AB39" i="17"/>
  <c r="Y39" i="17"/>
  <c r="AA39" i="17"/>
  <c r="Z39" i="17"/>
  <c r="X39" i="17"/>
  <c r="AX37" i="17"/>
  <c r="AJ37" i="17"/>
  <c r="AB37" i="17"/>
  <c r="AS37" i="17"/>
  <c r="AI37" i="17"/>
  <c r="Y37" i="17"/>
  <c r="Z37" i="17"/>
  <c r="AA37" i="17"/>
  <c r="X37" i="17"/>
  <c r="AX35" i="17"/>
  <c r="AJ35" i="17"/>
  <c r="AB35" i="17"/>
  <c r="AS35" i="17"/>
  <c r="AI35" i="17"/>
  <c r="AA35" i="17"/>
  <c r="X35" i="17"/>
  <c r="Y35" i="17"/>
  <c r="Z35" i="17"/>
  <c r="AX33" i="17"/>
  <c r="AJ33" i="17"/>
  <c r="AB33" i="17"/>
  <c r="AS33" i="17"/>
  <c r="AI33" i="17"/>
  <c r="Z33" i="17"/>
  <c r="X33" i="17"/>
  <c r="Y33" i="17"/>
  <c r="AA33" i="17"/>
  <c r="AX31" i="17"/>
  <c r="AJ31" i="17"/>
  <c r="AB31" i="17"/>
  <c r="AS31" i="17"/>
  <c r="AI31" i="17"/>
  <c r="X31" i="17"/>
  <c r="AA31" i="17"/>
  <c r="Y31" i="17"/>
  <c r="Z31" i="17"/>
  <c r="AS29" i="17"/>
  <c r="AI29" i="17"/>
  <c r="AX29" i="17"/>
  <c r="AJ29" i="17"/>
  <c r="AB29" i="17"/>
  <c r="AA29" i="17"/>
  <c r="Y29" i="17"/>
  <c r="Z29" i="17"/>
  <c r="X29" i="17"/>
  <c r="BP27" i="17"/>
  <c r="BD27" i="17"/>
  <c r="BH27" i="17" s="1"/>
  <c r="BM27" i="17" s="1"/>
  <c r="BI27" i="17"/>
  <c r="BE27" i="17"/>
  <c r="BC27" i="17"/>
  <c r="BG27" i="17" s="1"/>
  <c r="BL27" i="17" s="1"/>
  <c r="BB27" i="17"/>
  <c r="BF27" i="17" s="1"/>
  <c r="BK27" i="17" s="1"/>
  <c r="AX25" i="17"/>
  <c r="AJ25" i="17"/>
  <c r="AB25" i="17"/>
  <c r="AS25" i="17"/>
  <c r="AI25" i="17"/>
  <c r="Y25" i="17"/>
  <c r="AA25" i="17"/>
  <c r="Z25" i="17"/>
  <c r="X25" i="17"/>
  <c r="AS23" i="17"/>
  <c r="AI23" i="17"/>
  <c r="AX23" i="17"/>
  <c r="AJ23" i="17"/>
  <c r="AB23" i="17"/>
  <c r="Y23" i="17"/>
  <c r="Z23" i="17"/>
  <c r="X23" i="17"/>
  <c r="AA23" i="17"/>
  <c r="AX21" i="17"/>
  <c r="AJ21" i="17"/>
  <c r="AB21" i="17"/>
  <c r="AS21" i="17"/>
  <c r="AI21" i="17"/>
  <c r="Y21" i="17"/>
  <c r="AA21" i="17"/>
  <c r="Z21" i="17"/>
  <c r="X21" i="17"/>
  <c r="AS19" i="17"/>
  <c r="AI19" i="17"/>
  <c r="AX19" i="17"/>
  <c r="AJ19" i="17"/>
  <c r="AB19" i="17"/>
  <c r="AA19" i="17"/>
  <c r="Y19" i="17"/>
  <c r="Z19" i="17"/>
  <c r="X19" i="17"/>
  <c r="BB17" i="17"/>
  <c r="BP17" i="17"/>
  <c r="BF17" i="17"/>
  <c r="BK17" i="17" s="1"/>
  <c r="BI17" i="17"/>
  <c r="BD17" i="17"/>
  <c r="BH17" i="17" s="1"/>
  <c r="BM17" i="17" s="1"/>
  <c r="BE17" i="17"/>
  <c r="BC17" i="17"/>
  <c r="BG17" i="17" s="1"/>
  <c r="BL17" i="17" s="1"/>
  <c r="BB15" i="17"/>
  <c r="BF15" i="17" s="1"/>
  <c r="BK15" i="17" s="1"/>
  <c r="BP15" i="17"/>
  <c r="BD15" i="17"/>
  <c r="BH15" i="17" s="1"/>
  <c r="BM15" i="17" s="1"/>
  <c r="BC15" i="17"/>
  <c r="BG15" i="17" s="1"/>
  <c r="BL15" i="17" s="1"/>
  <c r="BE15" i="17"/>
  <c r="BI15" i="17" s="1"/>
  <c r="BN15" i="17" s="1"/>
  <c r="BB13" i="17"/>
  <c r="BF13" i="17" s="1"/>
  <c r="BK13" i="17" s="1"/>
  <c r="BP13" i="17"/>
  <c r="BE13" i="17"/>
  <c r="BI13" i="17" s="1"/>
  <c r="BN13" i="17" s="1"/>
  <c r="BD13" i="17"/>
  <c r="BH13" i="17" s="1"/>
  <c r="BM13" i="17" s="1"/>
  <c r="BC13" i="17"/>
  <c r="BG13" i="17" s="1"/>
  <c r="BL13" i="17" s="1"/>
  <c r="AX11" i="17"/>
  <c r="AJ11" i="17"/>
  <c r="AB11" i="17"/>
  <c r="AS11" i="17"/>
  <c r="AI11" i="17"/>
  <c r="Z11" i="17"/>
  <c r="X11" i="17"/>
  <c r="Y11" i="17"/>
  <c r="AA11" i="17"/>
  <c r="AS9" i="17"/>
  <c r="AI9" i="17"/>
  <c r="AJ9" i="17"/>
  <c r="AB9" i="17"/>
  <c r="AX9" i="17"/>
  <c r="Z9" i="17"/>
  <c r="X9" i="17"/>
  <c r="AA9" i="17"/>
  <c r="Y9" i="17"/>
  <c r="AX7" i="17"/>
  <c r="AJ7" i="17"/>
  <c r="AB7" i="17"/>
  <c r="AS7" i="17"/>
  <c r="AI7" i="17"/>
  <c r="Z7" i="17"/>
  <c r="AA7" i="17"/>
  <c r="X7" i="17"/>
  <c r="Y7" i="17"/>
  <c r="AX6" i="17"/>
  <c r="AJ6" i="17"/>
  <c r="AB6" i="17"/>
  <c r="AS6" i="17"/>
  <c r="AI6" i="17"/>
  <c r="AA6" i="17"/>
  <c r="Z6" i="17"/>
  <c r="Y6" i="17"/>
  <c r="X6" i="17"/>
  <c r="DK116" i="17"/>
  <c r="DB116" i="17"/>
  <c r="DC116" i="17"/>
  <c r="DE116" i="17"/>
  <c r="CR116" i="17"/>
  <c r="CO116" i="17"/>
  <c r="CS116" i="17"/>
  <c r="CN116" i="17"/>
  <c r="CQ116" i="17"/>
  <c r="CP116" i="17"/>
  <c r="DD116" i="17"/>
  <c r="DK114" i="17"/>
  <c r="DB114" i="17"/>
  <c r="DE114" i="17"/>
  <c r="DC114" i="17"/>
  <c r="CS114" i="17"/>
  <c r="CO114" i="17"/>
  <c r="CU114" i="17" s="1"/>
  <c r="CR114" i="17"/>
  <c r="CQ114" i="17"/>
  <c r="CN114" i="17"/>
  <c r="CP114" i="17"/>
  <c r="DD114" i="17"/>
  <c r="DK113" i="17"/>
  <c r="DB113" i="17"/>
  <c r="DC113" i="17"/>
  <c r="DE113" i="17"/>
  <c r="CO113" i="17"/>
  <c r="CS113" i="17"/>
  <c r="CP113" i="17"/>
  <c r="CR113" i="17"/>
  <c r="CQ113" i="17"/>
  <c r="CN113" i="17"/>
  <c r="DD113" i="17"/>
  <c r="DK112" i="17"/>
  <c r="DB112" i="17"/>
  <c r="DC112" i="17"/>
  <c r="DE112" i="17"/>
  <c r="CS112" i="17"/>
  <c r="CR112" i="17"/>
  <c r="CQ112" i="17"/>
  <c r="CO112" i="17"/>
  <c r="CP112" i="17"/>
  <c r="CV112" i="17" s="1"/>
  <c r="CN112" i="17"/>
  <c r="DD112" i="17"/>
  <c r="DK106" i="17"/>
  <c r="DB106" i="17"/>
  <c r="DC106" i="17"/>
  <c r="DE106" i="17"/>
  <c r="CR106" i="17"/>
  <c r="CO106" i="17"/>
  <c r="CQ106" i="17"/>
  <c r="CS106" i="17"/>
  <c r="CP106" i="17"/>
  <c r="CN106" i="17"/>
  <c r="DD106" i="17"/>
  <c r="DK104" i="17"/>
  <c r="DB104" i="17"/>
  <c r="DC104" i="17"/>
  <c r="DE104" i="17"/>
  <c r="CS104" i="17"/>
  <c r="CP104" i="17"/>
  <c r="CN104" i="17"/>
  <c r="CR104" i="17"/>
  <c r="CQ104" i="17"/>
  <c r="CO104" i="17"/>
  <c r="DD104" i="17"/>
  <c r="EH102" i="17"/>
  <c r="EF102" i="17"/>
  <c r="DY102" i="17"/>
  <c r="DX102" i="17"/>
  <c r="DZ102" i="17"/>
  <c r="EK102" i="17"/>
  <c r="EI102" i="17"/>
  <c r="EJ102" i="17"/>
  <c r="DK100" i="17"/>
  <c r="DB100" i="17"/>
  <c r="DE100" i="17"/>
  <c r="DC100" i="17"/>
  <c r="CR100" i="17"/>
  <c r="CN100" i="17"/>
  <c r="CP100" i="17"/>
  <c r="CV100" i="17" s="1"/>
  <c r="CS100" i="17"/>
  <c r="CQ100" i="17"/>
  <c r="CO100" i="17"/>
  <c r="DD100" i="17"/>
  <c r="EH98" i="17"/>
  <c r="EF98" i="17"/>
  <c r="DY98" i="17"/>
  <c r="DX98" i="17"/>
  <c r="DZ98" i="17"/>
  <c r="EK98" i="17"/>
  <c r="EJ98" i="17"/>
  <c r="EI98" i="17"/>
  <c r="EH97" i="17"/>
  <c r="EF97" i="17"/>
  <c r="DZ97" i="17"/>
  <c r="DY97" i="17"/>
  <c r="DX97" i="17"/>
  <c r="EK97" i="17"/>
  <c r="EJ97" i="17"/>
  <c r="EI97" i="17"/>
  <c r="DK94" i="17"/>
  <c r="DB94" i="17"/>
  <c r="DC94" i="17"/>
  <c r="DE94" i="17"/>
  <c r="CS94" i="17"/>
  <c r="CQ94" i="17"/>
  <c r="CR94" i="17"/>
  <c r="CO94" i="17"/>
  <c r="CP94" i="17"/>
  <c r="CV94" i="17" s="1"/>
  <c r="CN94" i="17"/>
  <c r="CT94" i="17" s="1"/>
  <c r="DD94" i="17"/>
  <c r="EF93" i="17"/>
  <c r="EH93" i="17"/>
  <c r="DX93" i="17"/>
  <c r="DZ93" i="17"/>
  <c r="EC93" i="17" s="1"/>
  <c r="DY93" i="17"/>
  <c r="EK93" i="17"/>
  <c r="EI93" i="17"/>
  <c r="EJ93" i="17"/>
  <c r="DK92" i="17"/>
  <c r="DB92" i="17"/>
  <c r="DC92" i="17"/>
  <c r="DE92" i="17"/>
  <c r="CP92" i="17"/>
  <c r="CV92" i="17" s="1"/>
  <c r="CR92" i="17"/>
  <c r="CN92" i="17"/>
  <c r="CO92" i="17"/>
  <c r="CU92" i="17" s="1"/>
  <c r="CQ92" i="17"/>
  <c r="CS92" i="17"/>
  <c r="DD92" i="17"/>
  <c r="EH90" i="17"/>
  <c r="EF90" i="17"/>
  <c r="DY90" i="17"/>
  <c r="DZ90" i="17"/>
  <c r="DX90" i="17"/>
  <c r="EA90" i="17" s="1"/>
  <c r="EK90" i="17"/>
  <c r="EI90" i="17"/>
  <c r="EJ90" i="17"/>
  <c r="DK89" i="17"/>
  <c r="DB89" i="17"/>
  <c r="DE89" i="17"/>
  <c r="DC89" i="17"/>
  <c r="CN89" i="17"/>
  <c r="CQ89" i="17"/>
  <c r="CP89" i="17"/>
  <c r="CS89" i="17"/>
  <c r="CR89" i="17"/>
  <c r="CO89" i="17"/>
  <c r="DD89" i="17"/>
  <c r="DK88" i="17"/>
  <c r="DB88" i="17"/>
  <c r="DC88" i="17"/>
  <c r="DE88" i="17"/>
  <c r="CP88" i="17"/>
  <c r="CQ88" i="17"/>
  <c r="CR88" i="17"/>
  <c r="CS88" i="17"/>
  <c r="CO88" i="17"/>
  <c r="CN88" i="17"/>
  <c r="DD88" i="17"/>
  <c r="DK86" i="17"/>
  <c r="DB86" i="17"/>
  <c r="DC86" i="17"/>
  <c r="DE86" i="17"/>
  <c r="CR86" i="17"/>
  <c r="CQ86" i="17"/>
  <c r="CO86" i="17"/>
  <c r="CU86" i="17" s="1"/>
  <c r="CS86" i="17"/>
  <c r="CP86" i="17"/>
  <c r="CN86" i="17"/>
  <c r="DD86" i="17"/>
  <c r="EF84" i="17"/>
  <c r="EH84" i="17"/>
  <c r="DX84" i="17"/>
  <c r="DZ84" i="17"/>
  <c r="EC84" i="17" s="1"/>
  <c r="DY84" i="17"/>
  <c r="EK84" i="17"/>
  <c r="EJ84" i="17"/>
  <c r="EI84" i="17"/>
  <c r="EH82" i="17"/>
  <c r="EF82" i="17"/>
  <c r="DY82" i="17"/>
  <c r="DX82" i="17"/>
  <c r="DZ82" i="17"/>
  <c r="EC82" i="17" s="1"/>
  <c r="EK82" i="17"/>
  <c r="EI82" i="17"/>
  <c r="EJ82" i="17"/>
  <c r="DK81" i="17"/>
  <c r="DB81" i="17"/>
  <c r="DC81" i="17"/>
  <c r="DE81" i="17"/>
  <c r="CR81" i="17"/>
  <c r="CN81" i="17"/>
  <c r="CS81" i="17"/>
  <c r="CO81" i="17"/>
  <c r="CQ81" i="17"/>
  <c r="CP81" i="17"/>
  <c r="DD81" i="17"/>
  <c r="EH80" i="17"/>
  <c r="EF80" i="17"/>
  <c r="DX80" i="17"/>
  <c r="DY80" i="17"/>
  <c r="EB80" i="17" s="1"/>
  <c r="DZ80" i="17"/>
  <c r="EK80" i="17"/>
  <c r="EJ80" i="17"/>
  <c r="EI80" i="17"/>
  <c r="DK77" i="17"/>
  <c r="DB77" i="17"/>
  <c r="DE77" i="17"/>
  <c r="DC77" i="17"/>
  <c r="CS77" i="17"/>
  <c r="CP77" i="17"/>
  <c r="CR77" i="17"/>
  <c r="CQ77" i="17"/>
  <c r="CN77" i="17"/>
  <c r="CO77" i="17"/>
  <c r="CU77" i="17" s="1"/>
  <c r="DD77" i="17"/>
  <c r="EH76" i="17"/>
  <c r="EF76" i="17"/>
  <c r="DZ76" i="17"/>
  <c r="DX76" i="17"/>
  <c r="DY76" i="17"/>
  <c r="EK76" i="17"/>
  <c r="EJ76" i="17"/>
  <c r="EI76" i="17"/>
  <c r="EH74" i="17"/>
  <c r="EF74" i="17"/>
  <c r="DY74" i="17"/>
  <c r="DX74" i="17"/>
  <c r="DZ74" i="17"/>
  <c r="EK74" i="17"/>
  <c r="EI74" i="17"/>
  <c r="EJ74" i="17"/>
  <c r="DK73" i="17"/>
  <c r="DB73" i="17"/>
  <c r="DC73" i="17"/>
  <c r="DE73" i="17"/>
  <c r="CR73" i="17"/>
  <c r="CN73" i="17"/>
  <c r="CS73" i="17"/>
  <c r="CO73" i="17"/>
  <c r="CQ73" i="17"/>
  <c r="CP73" i="17"/>
  <c r="DD73" i="17"/>
  <c r="DK70" i="17"/>
  <c r="DB70" i="17"/>
  <c r="DE70" i="17"/>
  <c r="DC70" i="17"/>
  <c r="CQ70" i="17"/>
  <c r="CR70" i="17"/>
  <c r="CS70" i="17"/>
  <c r="CO70" i="17"/>
  <c r="CN70" i="17"/>
  <c r="CT70" i="17" s="1"/>
  <c r="CP70" i="17"/>
  <c r="DD70" i="17"/>
  <c r="EH69" i="17"/>
  <c r="EF69" i="17"/>
  <c r="DY69" i="17"/>
  <c r="DX69" i="17"/>
  <c r="DZ69" i="17"/>
  <c r="EC69" i="17" s="1"/>
  <c r="EK69" i="17"/>
  <c r="EI69" i="17"/>
  <c r="EJ69" i="17"/>
  <c r="EH68" i="17"/>
  <c r="EF68" i="17"/>
  <c r="DZ68" i="17"/>
  <c r="EC68" i="17" s="1"/>
  <c r="DY68" i="17"/>
  <c r="DX68" i="17"/>
  <c r="EK68" i="17"/>
  <c r="EI68" i="17"/>
  <c r="EJ68" i="17"/>
  <c r="EH66" i="17"/>
  <c r="EF66" i="17"/>
  <c r="DZ66" i="17"/>
  <c r="EC66" i="17" s="1"/>
  <c r="DY66" i="17"/>
  <c r="DX66" i="17"/>
  <c r="EK66" i="17"/>
  <c r="EI66" i="17"/>
  <c r="EJ66" i="17"/>
  <c r="DK65" i="17"/>
  <c r="DB65" i="17"/>
  <c r="DC65" i="17"/>
  <c r="DE65" i="17"/>
  <c r="CR65" i="17"/>
  <c r="CQ65" i="17"/>
  <c r="CS65" i="17"/>
  <c r="CO65" i="17"/>
  <c r="CN65" i="17"/>
  <c r="CT65" i="17" s="1"/>
  <c r="CP65" i="17"/>
  <c r="DD65" i="17"/>
  <c r="DK64" i="17"/>
  <c r="DB64" i="17"/>
  <c r="DC64" i="17"/>
  <c r="DE64" i="17"/>
  <c r="CP64" i="17"/>
  <c r="CS64" i="17"/>
  <c r="CR64" i="17"/>
  <c r="CN64" i="17"/>
  <c r="CQ64" i="17"/>
  <c r="CO64" i="17"/>
  <c r="CU64" i="17" s="1"/>
  <c r="DD64" i="17"/>
  <c r="EH62" i="17"/>
  <c r="EF62" i="17"/>
  <c r="DY62" i="17"/>
  <c r="DX62" i="17"/>
  <c r="DZ62" i="17"/>
  <c r="EK62" i="17"/>
  <c r="EJ62" i="17"/>
  <c r="EI62" i="17"/>
  <c r="DK61" i="17"/>
  <c r="DB61" i="17"/>
  <c r="DE61" i="17"/>
  <c r="DC61" i="17"/>
  <c r="CQ61" i="17"/>
  <c r="CO61" i="17"/>
  <c r="CN61" i="17"/>
  <c r="CP61" i="17"/>
  <c r="CS61" i="17"/>
  <c r="CR61" i="17"/>
  <c r="DD61" i="17"/>
  <c r="EH58" i="17"/>
  <c r="EF58" i="17"/>
  <c r="DZ58" i="17"/>
  <c r="DY58" i="17"/>
  <c r="DX58" i="17"/>
  <c r="EK58" i="17"/>
  <c r="EJ58" i="17"/>
  <c r="EI58" i="17"/>
  <c r="EH56" i="17"/>
  <c r="EF56" i="17"/>
  <c r="DX56" i="17"/>
  <c r="DZ56" i="17"/>
  <c r="DY56" i="17"/>
  <c r="EK56" i="17"/>
  <c r="EJ56" i="17"/>
  <c r="EI56" i="17"/>
  <c r="EH54" i="17"/>
  <c r="EF54" i="17"/>
  <c r="DY54" i="17"/>
  <c r="DX54" i="17"/>
  <c r="DZ54" i="17"/>
  <c r="EK54" i="17"/>
  <c r="EI54" i="17"/>
  <c r="EJ54" i="17"/>
  <c r="DK53" i="17"/>
  <c r="DB53" i="17"/>
  <c r="DE53" i="17"/>
  <c r="DC53" i="17"/>
  <c r="CQ53" i="17"/>
  <c r="CO53" i="17"/>
  <c r="CN53" i="17"/>
  <c r="CT53" i="17" s="1"/>
  <c r="CP53" i="17"/>
  <c r="CV53" i="17" s="1"/>
  <c r="CS53" i="17"/>
  <c r="CR53" i="17"/>
  <c r="DD53" i="17"/>
  <c r="EF52" i="17"/>
  <c r="EH52" i="17"/>
  <c r="DZ52" i="17"/>
  <c r="EC52" i="17" s="1"/>
  <c r="DY52" i="17"/>
  <c r="DX52" i="17"/>
  <c r="EK52" i="17"/>
  <c r="EI52" i="17"/>
  <c r="EJ52" i="17"/>
  <c r="EF50" i="17"/>
  <c r="EH50" i="17"/>
  <c r="DZ50" i="17"/>
  <c r="EC50" i="17" s="1"/>
  <c r="DX50" i="17"/>
  <c r="DY50" i="17"/>
  <c r="EK50" i="17"/>
  <c r="EI50" i="17"/>
  <c r="EJ50" i="17"/>
  <c r="DK49" i="17"/>
  <c r="DB49" i="17"/>
  <c r="DE49" i="17"/>
  <c r="DC49" i="17"/>
  <c r="CR49" i="17"/>
  <c r="CP49" i="17"/>
  <c r="CQ49" i="17"/>
  <c r="CS49" i="17"/>
  <c r="CO49" i="17"/>
  <c r="CU49" i="17" s="1"/>
  <c r="CN49" i="17"/>
  <c r="DD49" i="17"/>
  <c r="EH46" i="17"/>
  <c r="EF46" i="17"/>
  <c r="DZ46" i="17"/>
  <c r="DY46" i="17"/>
  <c r="DX46" i="17"/>
  <c r="EK46" i="17"/>
  <c r="EJ46" i="17"/>
  <c r="EI46" i="17"/>
  <c r="DK45" i="17"/>
  <c r="DB45" i="17"/>
  <c r="DE45" i="17"/>
  <c r="DC45" i="17"/>
  <c r="CP45" i="17"/>
  <c r="CS45" i="17"/>
  <c r="CR45" i="17"/>
  <c r="CO45" i="17"/>
  <c r="CU45" i="17" s="1"/>
  <c r="CN45" i="17"/>
  <c r="CQ45" i="17"/>
  <c r="DD45" i="17"/>
  <c r="DK44" i="17"/>
  <c r="DB44" i="17"/>
  <c r="DC44" i="17"/>
  <c r="DE44" i="17"/>
  <c r="CN44" i="17"/>
  <c r="CP44" i="17"/>
  <c r="CS44" i="17"/>
  <c r="CR44" i="17"/>
  <c r="CQ44" i="17"/>
  <c r="CO44" i="17"/>
  <c r="CU44" i="17" s="1"/>
  <c r="DD44" i="17"/>
  <c r="EH41" i="17"/>
  <c r="EF41" i="17"/>
  <c r="DX41" i="17"/>
  <c r="DY41" i="17"/>
  <c r="DZ41" i="17"/>
  <c r="EK41" i="17"/>
  <c r="EI41" i="17"/>
  <c r="EJ41" i="17"/>
  <c r="EF40" i="17"/>
  <c r="EH40" i="17"/>
  <c r="DY40" i="17"/>
  <c r="DX40" i="17"/>
  <c r="DZ40" i="17"/>
  <c r="EK40" i="17"/>
  <c r="EJ40" i="17"/>
  <c r="EI40" i="17"/>
  <c r="EH34" i="17"/>
  <c r="EF34" i="17"/>
  <c r="DZ34" i="17"/>
  <c r="DX34" i="17"/>
  <c r="DY34" i="17"/>
  <c r="EK34" i="17"/>
  <c r="EI34" i="17"/>
  <c r="EJ34" i="17"/>
  <c r="EF33" i="17"/>
  <c r="EH33" i="17"/>
  <c r="DY33" i="17"/>
  <c r="DZ33" i="17"/>
  <c r="DX33" i="17"/>
  <c r="EK33" i="17"/>
  <c r="EI33" i="17"/>
  <c r="EJ33" i="17"/>
  <c r="EH32" i="17"/>
  <c r="EF32" i="17"/>
  <c r="DX32" i="17"/>
  <c r="DY32" i="17"/>
  <c r="DZ32" i="17"/>
  <c r="EK32" i="17"/>
  <c r="EI32" i="17"/>
  <c r="EJ32" i="17"/>
  <c r="DK30" i="17"/>
  <c r="DB30" i="17"/>
  <c r="DC30" i="17"/>
  <c r="CS30" i="17"/>
  <c r="CQ30" i="17"/>
  <c r="DE30" i="17"/>
  <c r="CN30" i="17"/>
  <c r="CT30" i="17" s="1"/>
  <c r="CP30" i="17"/>
  <c r="CV30" i="17" s="1"/>
  <c r="CR30" i="17"/>
  <c r="CO30" i="17"/>
  <c r="CU30" i="17" s="1"/>
  <c r="DD30" i="17"/>
  <c r="DK29" i="17"/>
  <c r="DB29" i="17"/>
  <c r="DC29" i="17"/>
  <c r="CS29" i="17"/>
  <c r="CQ29" i="17"/>
  <c r="DE29" i="17"/>
  <c r="CO29" i="17"/>
  <c r="CN29" i="17"/>
  <c r="CP29" i="17"/>
  <c r="CR29" i="17"/>
  <c r="DD29" i="17"/>
  <c r="DK28" i="17"/>
  <c r="DB28" i="17"/>
  <c r="CP28" i="17"/>
  <c r="DC28" i="17"/>
  <c r="CS28" i="17"/>
  <c r="CQ28" i="17"/>
  <c r="DE28" i="17"/>
  <c r="CO28" i="17"/>
  <c r="CN28" i="17"/>
  <c r="CR28" i="17"/>
  <c r="DD28" i="17"/>
  <c r="DK24" i="17"/>
  <c r="DB24" i="17"/>
  <c r="CO24" i="17"/>
  <c r="CN24" i="17"/>
  <c r="CP24" i="17"/>
  <c r="CQ24" i="17"/>
  <c r="DC24" i="17"/>
  <c r="CS24" i="17"/>
  <c r="DE24" i="17"/>
  <c r="CR24" i="17"/>
  <c r="DD24" i="17"/>
  <c r="DZ22" i="17"/>
  <c r="EH22" i="17"/>
  <c r="DY22" i="17"/>
  <c r="EF22" i="17"/>
  <c r="DX22" i="17"/>
  <c r="EK22" i="17"/>
  <c r="EI22" i="17"/>
  <c r="EJ22" i="17"/>
  <c r="DZ21" i="17"/>
  <c r="EH21" i="17"/>
  <c r="DY21" i="17"/>
  <c r="EF21" i="17"/>
  <c r="DX21" i="17"/>
  <c r="EK21" i="17"/>
  <c r="EI21" i="17"/>
  <c r="EJ21" i="17"/>
  <c r="CP18" i="17"/>
  <c r="DK18" i="17"/>
  <c r="DB18" i="17"/>
  <c r="CO18" i="17"/>
  <c r="CN18" i="17"/>
  <c r="CS18" i="17"/>
  <c r="DC18" i="17"/>
  <c r="CQ18" i="17"/>
  <c r="DE18" i="17"/>
  <c r="CR18" i="17"/>
  <c r="DD18" i="17"/>
  <c r="DZ16" i="17"/>
  <c r="EC16" i="17" s="1"/>
  <c r="EH16" i="17"/>
  <c r="DY16" i="17"/>
  <c r="EF16" i="17"/>
  <c r="DX16" i="17"/>
  <c r="EK16" i="17"/>
  <c r="EI16" i="17"/>
  <c r="EJ16" i="17"/>
  <c r="CP14" i="17"/>
  <c r="DK14" i="17"/>
  <c r="DB14" i="17"/>
  <c r="CO14" i="17"/>
  <c r="CN14" i="17"/>
  <c r="DE14" i="17"/>
  <c r="DC14" i="17"/>
  <c r="CS14" i="17"/>
  <c r="CQ14" i="17"/>
  <c r="CR14" i="17"/>
  <c r="DD14" i="17"/>
  <c r="DK13" i="17"/>
  <c r="DB13" i="17"/>
  <c r="CO13" i="17"/>
  <c r="CN13" i="17"/>
  <c r="CP13" i="17"/>
  <c r="CQ13" i="17"/>
  <c r="DE13" i="17"/>
  <c r="DC13" i="17"/>
  <c r="CS13" i="17"/>
  <c r="CR13" i="17"/>
  <c r="DD13" i="17"/>
  <c r="EH12" i="17"/>
  <c r="DY12" i="17"/>
  <c r="EF12" i="17"/>
  <c r="DX12" i="17"/>
  <c r="DZ12" i="17"/>
  <c r="EK12" i="17"/>
  <c r="EI12" i="17"/>
  <c r="EJ12" i="17"/>
  <c r="EF10" i="17"/>
  <c r="DX10" i="17"/>
  <c r="DZ10" i="17"/>
  <c r="EH10" i="17"/>
  <c r="DY10" i="17"/>
  <c r="EK10" i="17"/>
  <c r="EI10" i="17"/>
  <c r="EJ10" i="17"/>
  <c r="CP9" i="17"/>
  <c r="DK9" i="17"/>
  <c r="DB9" i="17"/>
  <c r="CO9" i="17"/>
  <c r="CN9" i="17"/>
  <c r="DC9" i="17"/>
  <c r="CQ9" i="17"/>
  <c r="CS9" i="17"/>
  <c r="DE9" i="17"/>
  <c r="DD9" i="17"/>
  <c r="CR9" i="17"/>
  <c r="DZ8" i="17"/>
  <c r="EH8" i="17"/>
  <c r="DY8" i="17"/>
  <c r="EF8" i="17"/>
  <c r="DX8" i="17"/>
  <c r="EK8" i="17"/>
  <c r="EI8" i="17"/>
  <c r="EJ8" i="17"/>
  <c r="EF6" i="17"/>
  <c r="DX6" i="17"/>
  <c r="DZ6" i="17"/>
  <c r="EH6" i="17"/>
  <c r="DY6" i="17"/>
  <c r="EK6" i="17"/>
  <c r="EI6" i="17"/>
  <c r="EJ6" i="17"/>
  <c r="AL43" i="14"/>
  <c r="AJ43" i="14"/>
  <c r="AO43" i="14"/>
  <c r="AL44" i="14"/>
  <c r="AP44" i="14"/>
  <c r="AK47" i="14"/>
  <c r="AQ47" i="14"/>
  <c r="AL52" i="14"/>
  <c r="AQ52" i="14"/>
  <c r="AK75" i="14"/>
  <c r="AJ75" i="14"/>
  <c r="AQ75" i="14"/>
  <c r="AR81" i="14"/>
  <c r="AO81" i="14"/>
  <c r="AR82" i="14"/>
  <c r="AO82" i="14"/>
  <c r="AM82" i="14"/>
  <c r="AR83" i="14"/>
  <c r="AJ83" i="14"/>
  <c r="AK84" i="14"/>
  <c r="AS84" i="14"/>
  <c r="AQ84" i="14"/>
  <c r="AL85" i="14"/>
  <c r="AO85" i="14"/>
  <c r="AK89" i="14"/>
  <c r="AS89" i="14"/>
  <c r="AM89" i="14"/>
  <c r="AL109" i="14"/>
  <c r="AP109" i="14"/>
  <c r="AM111" i="14"/>
  <c r="AO131" i="14"/>
  <c r="AM131" i="14"/>
  <c r="AQ125" i="17"/>
  <c r="AK125" i="17"/>
  <c r="AK37" i="14"/>
  <c r="AJ37" i="14"/>
  <c r="AP37" i="14"/>
  <c r="AL49" i="14"/>
  <c r="AP49" i="14"/>
  <c r="AS49" i="14"/>
  <c r="AJ55" i="14"/>
  <c r="AS55" i="14"/>
  <c r="AN57" i="14"/>
  <c r="AQ57" i="14"/>
  <c r="AR60" i="14"/>
  <c r="AS60" i="14"/>
  <c r="AP60" i="14"/>
  <c r="AS86" i="14"/>
  <c r="AQ86" i="14"/>
  <c r="AK93" i="14"/>
  <c r="AJ93" i="14"/>
  <c r="AS93" i="14"/>
  <c r="AJ94" i="14"/>
  <c r="AS94" i="14"/>
  <c r="AR105" i="14"/>
  <c r="AN105" i="14"/>
  <c r="AK114" i="14"/>
  <c r="AN114" i="14"/>
  <c r="AP114" i="14"/>
  <c r="AK130" i="14"/>
  <c r="AO130" i="14"/>
  <c r="AL132" i="14"/>
  <c r="AN132" i="14"/>
  <c r="AL134" i="14"/>
  <c r="AJ134" i="14"/>
  <c r="AO136" i="14"/>
  <c r="AP136" i="14"/>
  <c r="AO144" i="14"/>
  <c r="AN145" i="14"/>
  <c r="AR112" i="14"/>
  <c r="AP112" i="14"/>
  <c r="AN112" i="14"/>
  <c r="AL149" i="14"/>
  <c r="AJ149" i="14"/>
  <c r="EB125" i="17"/>
  <c r="AK40" i="14"/>
  <c r="AN40" i="14"/>
  <c r="AM40" i="14"/>
  <c r="AK45" i="14"/>
  <c r="AJ45" i="14"/>
  <c r="AO45" i="14"/>
  <c r="AJ48" i="14"/>
  <c r="AO48" i="14"/>
  <c r="AL51" i="14"/>
  <c r="AM51" i="14"/>
  <c r="AS51" i="14"/>
  <c r="AR53" i="14"/>
  <c r="AS53" i="14"/>
  <c r="AQ53" i="14"/>
  <c r="AN54" i="14"/>
  <c r="AO54" i="14"/>
  <c r="AK65" i="14"/>
  <c r="AN65" i="14"/>
  <c r="AS65" i="14"/>
  <c r="AK66" i="14"/>
  <c r="AS66" i="14"/>
  <c r="AJ70" i="14"/>
  <c r="AO70" i="14"/>
  <c r="AR71" i="14"/>
  <c r="AJ71" i="14"/>
  <c r="AP71" i="14"/>
  <c r="AL79" i="14"/>
  <c r="AS79" i="14"/>
  <c r="AP79" i="14"/>
  <c r="AL91" i="14"/>
  <c r="AO91" i="14"/>
  <c r="AQ91" i="14"/>
  <c r="AR100" i="14"/>
  <c r="AJ100" i="14"/>
  <c r="AK104" i="14"/>
  <c r="AN104" i="14"/>
  <c r="AQ104" i="14"/>
  <c r="AR117" i="14"/>
  <c r="AP117" i="14"/>
  <c r="AR124" i="14"/>
  <c r="AN124" i="14"/>
  <c r="AR128" i="14"/>
  <c r="AM128" i="14"/>
  <c r="AJ129" i="14"/>
  <c r="AN139" i="14"/>
  <c r="AK140" i="14"/>
  <c r="AO140" i="14"/>
  <c r="AK142" i="14"/>
  <c r="AL152" i="14"/>
  <c r="AK154" i="14"/>
  <c r="FA125" i="14"/>
  <c r="EW125" i="14"/>
  <c r="EO125" i="14"/>
  <c r="EP125" i="14"/>
  <c r="EQ125" i="14"/>
  <c r="EX125" i="14"/>
  <c r="EY125" i="14"/>
  <c r="EZ125" i="14"/>
  <c r="FA124" i="14"/>
  <c r="EW124" i="14"/>
  <c r="EP124" i="14"/>
  <c r="EQ124" i="14"/>
  <c r="EO124" i="14"/>
  <c r="EX124" i="14"/>
  <c r="EZ124" i="14"/>
  <c r="EY124" i="14"/>
  <c r="FA122" i="14"/>
  <c r="EW122" i="14"/>
  <c r="EP122" i="14"/>
  <c r="EO122" i="14"/>
  <c r="EQ122" i="14"/>
  <c r="EX122" i="14"/>
  <c r="EY122" i="14"/>
  <c r="EZ122" i="14"/>
  <c r="DZ120" i="14"/>
  <c r="DQ120" i="14"/>
  <c r="DT120" i="14"/>
  <c r="DR120" i="14"/>
  <c r="DS120" i="14"/>
  <c r="DD120" i="14"/>
  <c r="DC120" i="14"/>
  <c r="DE120" i="14"/>
  <c r="DF120" i="14"/>
  <c r="DH120" i="14"/>
  <c r="DG120" i="14"/>
  <c r="FA118" i="14"/>
  <c r="EW118" i="14"/>
  <c r="EQ118" i="14"/>
  <c r="EP118" i="14"/>
  <c r="EO118" i="14"/>
  <c r="EX118" i="14"/>
  <c r="EY118" i="14"/>
  <c r="EZ118" i="14"/>
  <c r="DZ117" i="14"/>
  <c r="DQ117" i="14"/>
  <c r="DS117" i="14"/>
  <c r="DR117" i="14"/>
  <c r="DD117" i="14"/>
  <c r="DC117" i="14"/>
  <c r="DE117" i="14"/>
  <c r="DT117" i="14"/>
  <c r="DG117" i="14"/>
  <c r="DF117" i="14"/>
  <c r="DH117" i="14"/>
  <c r="DZ116" i="14"/>
  <c r="DQ116" i="14"/>
  <c r="DS116" i="14"/>
  <c r="DR116" i="14"/>
  <c r="DD116" i="14"/>
  <c r="DC116" i="14"/>
  <c r="DT116" i="14"/>
  <c r="DE116" i="14"/>
  <c r="DF116" i="14"/>
  <c r="DG116" i="14"/>
  <c r="DH116" i="14"/>
  <c r="FA113" i="14"/>
  <c r="EW113" i="14"/>
  <c r="EO113" i="14"/>
  <c r="EQ113" i="14"/>
  <c r="EP113" i="14"/>
  <c r="ES113" i="14" s="1"/>
  <c r="EX113" i="14"/>
  <c r="EY113" i="14"/>
  <c r="EZ113" i="14"/>
  <c r="DZ112" i="14"/>
  <c r="DQ112" i="14"/>
  <c r="DT112" i="14"/>
  <c r="DE112" i="14"/>
  <c r="DR112" i="14"/>
  <c r="DS112" i="14"/>
  <c r="DD112" i="14"/>
  <c r="DC112" i="14"/>
  <c r="DF112" i="14"/>
  <c r="DH112" i="14"/>
  <c r="DG112" i="14"/>
  <c r="FA108" i="14"/>
  <c r="EW108" i="14"/>
  <c r="EQ108" i="14"/>
  <c r="EO108" i="14"/>
  <c r="EP108" i="14"/>
  <c r="EX108" i="14"/>
  <c r="EZ108" i="14"/>
  <c r="EY108" i="14"/>
  <c r="FA106" i="14"/>
  <c r="EW106" i="14"/>
  <c r="EP106" i="14"/>
  <c r="EO106" i="14"/>
  <c r="EQ106" i="14"/>
  <c r="EX106" i="14"/>
  <c r="EY106" i="14"/>
  <c r="EZ106" i="14"/>
  <c r="DZ104" i="14"/>
  <c r="DQ104" i="14"/>
  <c r="DT104" i="14"/>
  <c r="DE104" i="14"/>
  <c r="DR104" i="14"/>
  <c r="DS104" i="14"/>
  <c r="DD104" i="14"/>
  <c r="DC104" i="14"/>
  <c r="DF104" i="14"/>
  <c r="DH104" i="14"/>
  <c r="DG104" i="14"/>
  <c r="FA101" i="14"/>
  <c r="EW101" i="14"/>
  <c r="EO101" i="14"/>
  <c r="EQ101" i="14"/>
  <c r="EP101" i="14"/>
  <c r="EX101" i="14"/>
  <c r="EZ101" i="14"/>
  <c r="EY101" i="14"/>
  <c r="DZ100" i="14"/>
  <c r="DQ100" i="14"/>
  <c r="DE100" i="14"/>
  <c r="DS100" i="14"/>
  <c r="DD100" i="14"/>
  <c r="DC100" i="14"/>
  <c r="DT100" i="14"/>
  <c r="DR100" i="14"/>
  <c r="DF100" i="14"/>
  <c r="DG100" i="14"/>
  <c r="DH100" i="14"/>
  <c r="DZ98" i="14"/>
  <c r="DQ98" i="14"/>
  <c r="DD98" i="14"/>
  <c r="DR98" i="14"/>
  <c r="DS98" i="14"/>
  <c r="DC98" i="14"/>
  <c r="DE98" i="14"/>
  <c r="DT98" i="14"/>
  <c r="DH98" i="14"/>
  <c r="DG98" i="14"/>
  <c r="DF98" i="14"/>
  <c r="DZ97" i="14"/>
  <c r="DQ97" i="14"/>
  <c r="DE97" i="14"/>
  <c r="DS97" i="14"/>
  <c r="DR97" i="14"/>
  <c r="DD97" i="14"/>
  <c r="DT97" i="14"/>
  <c r="DC97" i="14"/>
  <c r="DG97" i="14"/>
  <c r="DF97" i="14"/>
  <c r="DH97" i="14"/>
  <c r="FA96" i="14"/>
  <c r="EW96" i="14"/>
  <c r="EQ96" i="14"/>
  <c r="EO96" i="14"/>
  <c r="EP96" i="14"/>
  <c r="EX96" i="14"/>
  <c r="EY96" i="14"/>
  <c r="EZ96" i="14"/>
  <c r="DZ94" i="14"/>
  <c r="DQ94" i="14"/>
  <c r="DS94" i="14"/>
  <c r="DC94" i="14"/>
  <c r="DE94" i="14"/>
  <c r="DR94" i="14"/>
  <c r="DT94" i="14"/>
  <c r="DD94" i="14"/>
  <c r="DG94" i="14"/>
  <c r="DH94" i="14"/>
  <c r="DF94" i="14"/>
  <c r="FA93" i="14"/>
  <c r="EW93" i="14"/>
  <c r="EO93" i="14"/>
  <c r="EQ93" i="14"/>
  <c r="EP93" i="14"/>
  <c r="EX93" i="14"/>
  <c r="EY93" i="14"/>
  <c r="EZ93" i="14"/>
  <c r="DQ92" i="14"/>
  <c r="DZ92" i="14"/>
  <c r="DR92" i="14"/>
  <c r="DC92" i="14"/>
  <c r="DI92" i="14" s="1"/>
  <c r="DD92" i="14"/>
  <c r="DS92" i="14"/>
  <c r="DT92" i="14"/>
  <c r="DE92" i="14"/>
  <c r="DF92" i="14"/>
  <c r="DH92" i="14"/>
  <c r="DG92" i="14"/>
  <c r="FA90" i="14"/>
  <c r="EW90" i="14"/>
  <c r="EP90" i="14"/>
  <c r="EQ90" i="14"/>
  <c r="EO90" i="14"/>
  <c r="ER90" i="14" s="1"/>
  <c r="EX90" i="14"/>
  <c r="EZ90" i="14"/>
  <c r="EY90" i="14"/>
  <c r="FA89" i="14"/>
  <c r="EW89" i="14"/>
  <c r="EP89" i="14"/>
  <c r="EO89" i="14"/>
  <c r="ER89" i="14" s="1"/>
  <c r="EQ89" i="14"/>
  <c r="EX89" i="14"/>
  <c r="EY89" i="14"/>
  <c r="EZ89" i="14"/>
  <c r="DZ88" i="14"/>
  <c r="DQ88" i="14"/>
  <c r="DD88" i="14"/>
  <c r="DE88" i="14"/>
  <c r="DS88" i="14"/>
  <c r="DR88" i="14"/>
  <c r="DC88" i="14"/>
  <c r="DT88" i="14"/>
  <c r="DH88" i="14"/>
  <c r="DG88" i="14"/>
  <c r="DF88" i="14"/>
  <c r="FA86" i="14"/>
  <c r="EW86" i="14"/>
  <c r="EP86" i="14"/>
  <c r="EQ86" i="14"/>
  <c r="EO86" i="14"/>
  <c r="EX86" i="14"/>
  <c r="EY86" i="14"/>
  <c r="EZ86" i="14"/>
  <c r="DZ84" i="14"/>
  <c r="DQ84" i="14"/>
  <c r="DD84" i="14"/>
  <c r="DE84" i="14"/>
  <c r="DS84" i="14"/>
  <c r="DR84" i="14"/>
  <c r="DC84" i="14"/>
  <c r="DT84" i="14"/>
  <c r="DH84" i="14"/>
  <c r="DG84" i="14"/>
  <c r="DF84" i="14"/>
  <c r="FA82" i="14"/>
  <c r="EW82" i="14"/>
  <c r="EP82" i="14"/>
  <c r="EQ82" i="14"/>
  <c r="EO82" i="14"/>
  <c r="EX82" i="14"/>
  <c r="EZ82" i="14"/>
  <c r="EY82" i="14"/>
  <c r="DZ80" i="14"/>
  <c r="DQ80" i="14"/>
  <c r="DD80" i="14"/>
  <c r="DE80" i="14"/>
  <c r="DS80" i="14"/>
  <c r="DR80" i="14"/>
  <c r="DC80" i="14"/>
  <c r="DT80" i="14"/>
  <c r="DF80" i="14"/>
  <c r="DH80" i="14"/>
  <c r="DG80" i="14"/>
  <c r="FA78" i="14"/>
  <c r="EW78" i="14"/>
  <c r="EP78" i="14"/>
  <c r="EQ78" i="14"/>
  <c r="EO78" i="14"/>
  <c r="EX78" i="14"/>
  <c r="EY78" i="14"/>
  <c r="EZ78" i="14"/>
  <c r="DZ76" i="14"/>
  <c r="DQ76" i="14"/>
  <c r="DS76" i="14"/>
  <c r="DT76" i="14"/>
  <c r="DC76" i="14"/>
  <c r="DD76" i="14"/>
  <c r="DR76" i="14"/>
  <c r="DE76" i="14"/>
  <c r="DF76" i="14"/>
  <c r="DH76" i="14"/>
  <c r="DG76" i="14"/>
  <c r="DZ72" i="14"/>
  <c r="DQ72" i="14"/>
  <c r="DR72" i="14"/>
  <c r="DC72" i="14"/>
  <c r="DS72" i="14"/>
  <c r="DT72" i="14"/>
  <c r="DE72" i="14"/>
  <c r="DD72" i="14"/>
  <c r="DJ72" i="14" s="1"/>
  <c r="DH72" i="14"/>
  <c r="DG72" i="14"/>
  <c r="DF72" i="14"/>
  <c r="FA70" i="14"/>
  <c r="EW70" i="14"/>
  <c r="EP70" i="14"/>
  <c r="EO70" i="14"/>
  <c r="EQ70" i="14"/>
  <c r="ET70" i="14" s="1"/>
  <c r="EX70" i="14"/>
  <c r="EZ70" i="14"/>
  <c r="EY70" i="14"/>
  <c r="DZ69" i="14"/>
  <c r="DQ69" i="14"/>
  <c r="DT69" i="14"/>
  <c r="DS69" i="14"/>
  <c r="DR69" i="14"/>
  <c r="DD69" i="14"/>
  <c r="DE69" i="14"/>
  <c r="DC69" i="14"/>
  <c r="DG69" i="14"/>
  <c r="DH69" i="14"/>
  <c r="DF69" i="14"/>
  <c r="FA68" i="14"/>
  <c r="EW68" i="14"/>
  <c r="EP68" i="14"/>
  <c r="EO68" i="14"/>
  <c r="EQ68" i="14"/>
  <c r="EX68" i="14"/>
  <c r="EY68" i="14"/>
  <c r="EZ68" i="14"/>
  <c r="FA64" i="14"/>
  <c r="EW64" i="14"/>
  <c r="EP64" i="14"/>
  <c r="EQ64" i="14"/>
  <c r="EO64" i="14"/>
  <c r="EX64" i="14"/>
  <c r="EZ64" i="14"/>
  <c r="EY64" i="14"/>
  <c r="DZ62" i="14"/>
  <c r="DQ62" i="14"/>
  <c r="DS62" i="14"/>
  <c r="DE62" i="14"/>
  <c r="DD62" i="14"/>
  <c r="DT62" i="14"/>
  <c r="DR62" i="14"/>
  <c r="DC62" i="14"/>
  <c r="DH62" i="14"/>
  <c r="DG62" i="14"/>
  <c r="DF62" i="14"/>
  <c r="EW61" i="14"/>
  <c r="FA61" i="14"/>
  <c r="EP61" i="14"/>
  <c r="EO61" i="14"/>
  <c r="EQ61" i="14"/>
  <c r="EX61" i="14"/>
  <c r="EY61" i="14"/>
  <c r="EZ61" i="14"/>
  <c r="DZ60" i="14"/>
  <c r="DQ60" i="14"/>
  <c r="DT60" i="14"/>
  <c r="DR60" i="14"/>
  <c r="DD60" i="14"/>
  <c r="DS60" i="14"/>
  <c r="DE60" i="14"/>
  <c r="DC60" i="14"/>
  <c r="DI60" i="14" s="1"/>
  <c r="DF60" i="14"/>
  <c r="DH60" i="14"/>
  <c r="DG60" i="14"/>
  <c r="DZ58" i="14"/>
  <c r="DQ58" i="14"/>
  <c r="DD58" i="14"/>
  <c r="DC58" i="14"/>
  <c r="DI58" i="14" s="1"/>
  <c r="DE58" i="14"/>
  <c r="DS58" i="14"/>
  <c r="DT58" i="14"/>
  <c r="DR58" i="14"/>
  <c r="DG58" i="14"/>
  <c r="DF58" i="14"/>
  <c r="DH58" i="14"/>
  <c r="FA57" i="14"/>
  <c r="EW57" i="14"/>
  <c r="EQ57" i="14"/>
  <c r="EP57" i="14"/>
  <c r="EO57" i="14"/>
  <c r="EX57" i="14"/>
  <c r="EZ57" i="14"/>
  <c r="EY57" i="14"/>
  <c r="DZ56" i="14"/>
  <c r="DQ56" i="14"/>
  <c r="DR56" i="14"/>
  <c r="DC56" i="14"/>
  <c r="DD56" i="14"/>
  <c r="DE56" i="14"/>
  <c r="DT56" i="14"/>
  <c r="DS56" i="14"/>
  <c r="DF56" i="14"/>
  <c r="DH56" i="14"/>
  <c r="DG56" i="14"/>
  <c r="DQ52" i="14"/>
  <c r="DZ52" i="14"/>
  <c r="DS52" i="14"/>
  <c r="DE52" i="14"/>
  <c r="DD52" i="14"/>
  <c r="DT52" i="14"/>
  <c r="DC52" i="14"/>
  <c r="DR52" i="14"/>
  <c r="DH52" i="14"/>
  <c r="DF52" i="14"/>
  <c r="DG52" i="14"/>
  <c r="DQ49" i="14"/>
  <c r="DZ49" i="14"/>
  <c r="DR49" i="14"/>
  <c r="DS49" i="14"/>
  <c r="DT49" i="14"/>
  <c r="DE49" i="14"/>
  <c r="DD49" i="14"/>
  <c r="DC49" i="14"/>
  <c r="DG49" i="14"/>
  <c r="DF49" i="14"/>
  <c r="DH49" i="14"/>
  <c r="DZ48" i="14"/>
  <c r="DQ48" i="14"/>
  <c r="DT48" i="14"/>
  <c r="DS48" i="14"/>
  <c r="DD48" i="14"/>
  <c r="DR48" i="14"/>
  <c r="DE48" i="14"/>
  <c r="DC48" i="14"/>
  <c r="DG48" i="14"/>
  <c r="DH48" i="14"/>
  <c r="DF48" i="14"/>
  <c r="DZ46" i="14"/>
  <c r="DQ46" i="14"/>
  <c r="DE46" i="14"/>
  <c r="DT46" i="14"/>
  <c r="DS46" i="14"/>
  <c r="DR46" i="14"/>
  <c r="DD46" i="14"/>
  <c r="DC46" i="14"/>
  <c r="DF46" i="14"/>
  <c r="DH46" i="14"/>
  <c r="DG46" i="14"/>
  <c r="FA44" i="14"/>
  <c r="EW44" i="14"/>
  <c r="EP44" i="14"/>
  <c r="EQ44" i="14"/>
  <c r="EO44" i="14"/>
  <c r="EX44" i="14"/>
  <c r="EY44" i="14"/>
  <c r="EZ44" i="14"/>
  <c r="FA41" i="14"/>
  <c r="EW41" i="14"/>
  <c r="EO41" i="14"/>
  <c r="EP41" i="14"/>
  <c r="EQ41" i="14"/>
  <c r="EX41" i="14"/>
  <c r="EY41" i="14"/>
  <c r="EZ41" i="14"/>
  <c r="DZ40" i="14"/>
  <c r="DQ40" i="14"/>
  <c r="DS40" i="14"/>
  <c r="DR40" i="14"/>
  <c r="DE40" i="14"/>
  <c r="DC40" i="14"/>
  <c r="DD40" i="14"/>
  <c r="DT40" i="14"/>
  <c r="DF40" i="14"/>
  <c r="DH40" i="14"/>
  <c r="DG40" i="14"/>
  <c r="EW37" i="14"/>
  <c r="FA37" i="14"/>
  <c r="EP37" i="14"/>
  <c r="EQ37" i="14"/>
  <c r="EO37" i="14"/>
  <c r="EX37" i="14"/>
  <c r="EY37" i="14"/>
  <c r="EZ37" i="14"/>
  <c r="FA36" i="14"/>
  <c r="EW36" i="14"/>
  <c r="EO36" i="14"/>
  <c r="EP36" i="14"/>
  <c r="EQ36" i="14"/>
  <c r="EX36" i="14"/>
  <c r="EY36" i="14"/>
  <c r="EZ36" i="14"/>
  <c r="DQ34" i="14"/>
  <c r="DZ34" i="14"/>
  <c r="DT34" i="14"/>
  <c r="DR34" i="14"/>
  <c r="DC34" i="14"/>
  <c r="DS34" i="14"/>
  <c r="DD34" i="14"/>
  <c r="DJ34" i="14" s="1"/>
  <c r="DE34" i="14"/>
  <c r="DG34" i="14"/>
  <c r="DF34" i="14"/>
  <c r="DH34" i="14"/>
  <c r="DZ30" i="14"/>
  <c r="DQ30" i="14"/>
  <c r="DS30" i="14"/>
  <c r="DE30" i="14"/>
  <c r="DT30" i="14"/>
  <c r="DR30" i="14"/>
  <c r="DD30" i="14"/>
  <c r="DC30" i="14"/>
  <c r="DH30" i="14"/>
  <c r="DG30" i="14"/>
  <c r="DF30" i="14"/>
  <c r="DZ29" i="14"/>
  <c r="DQ29" i="14"/>
  <c r="DT29" i="14"/>
  <c r="DR29" i="14"/>
  <c r="DE29" i="14"/>
  <c r="DS29" i="14"/>
  <c r="DC29" i="14"/>
  <c r="DD29" i="14"/>
  <c r="DG29" i="14"/>
  <c r="DH29" i="14"/>
  <c r="DF29" i="14"/>
  <c r="DZ28" i="14"/>
  <c r="DQ28" i="14"/>
  <c r="DT28" i="14"/>
  <c r="DS28" i="14"/>
  <c r="DD28" i="14"/>
  <c r="DE28" i="14"/>
  <c r="DR28" i="14"/>
  <c r="DC28" i="14"/>
  <c r="DH28" i="14"/>
  <c r="DG28" i="14"/>
  <c r="DF28" i="14"/>
  <c r="FA25" i="14"/>
  <c r="EW25" i="14"/>
  <c r="EQ25" i="14"/>
  <c r="EP25" i="14"/>
  <c r="EO25" i="14"/>
  <c r="EX25" i="14"/>
  <c r="EZ25" i="14"/>
  <c r="EY25" i="14"/>
  <c r="EW22" i="14"/>
  <c r="EO22" i="14"/>
  <c r="FA22" i="14"/>
  <c r="EP22" i="14"/>
  <c r="EQ22" i="14"/>
  <c r="EX22" i="14"/>
  <c r="EY22" i="14"/>
  <c r="EZ22" i="14"/>
  <c r="FA21" i="14"/>
  <c r="EW21" i="14"/>
  <c r="EP21" i="14"/>
  <c r="EQ21" i="14"/>
  <c r="EO21" i="14"/>
  <c r="EX21" i="14"/>
  <c r="EY21" i="14"/>
  <c r="EZ21" i="14"/>
  <c r="DZ20" i="14"/>
  <c r="DQ20" i="14"/>
  <c r="DE20" i="14"/>
  <c r="DT20" i="14"/>
  <c r="DD20" i="14"/>
  <c r="DR20" i="14"/>
  <c r="DC20" i="14"/>
  <c r="DS20" i="14"/>
  <c r="DH20" i="14"/>
  <c r="DG20" i="14"/>
  <c r="DF20" i="14"/>
  <c r="DQ18" i="14"/>
  <c r="DR18" i="14"/>
  <c r="DZ18" i="14"/>
  <c r="DC18" i="14"/>
  <c r="DD18" i="14"/>
  <c r="DJ18" i="14" s="1"/>
  <c r="DE18" i="14"/>
  <c r="DT18" i="14"/>
  <c r="DS18" i="14"/>
  <c r="DH18" i="14"/>
  <c r="DG18" i="14"/>
  <c r="DF18" i="14"/>
  <c r="EW17" i="14"/>
  <c r="FA17" i="14"/>
  <c r="EO17" i="14"/>
  <c r="EP17" i="14"/>
  <c r="EQ17" i="14"/>
  <c r="EX17" i="14"/>
  <c r="EY17" i="14"/>
  <c r="EZ17" i="14"/>
  <c r="EW16" i="14"/>
  <c r="FA16" i="14"/>
  <c r="EO16" i="14"/>
  <c r="EQ16" i="14"/>
  <c r="EP16" i="14"/>
  <c r="EX16" i="14"/>
  <c r="EZ16" i="14"/>
  <c r="EY16" i="14"/>
  <c r="FA13" i="14"/>
  <c r="EW13" i="14"/>
  <c r="EQ13" i="14"/>
  <c r="EO13" i="14"/>
  <c r="ER13" i="14" s="1"/>
  <c r="EP13" i="14"/>
  <c r="EX13" i="14"/>
  <c r="EY13" i="14"/>
  <c r="EZ13" i="14"/>
  <c r="FA12" i="14"/>
  <c r="EW12" i="14"/>
  <c r="EP12" i="14"/>
  <c r="EO12" i="14"/>
  <c r="ER12" i="14" s="1"/>
  <c r="EQ12" i="14"/>
  <c r="EX12" i="14"/>
  <c r="EZ12" i="14"/>
  <c r="EY12" i="14"/>
  <c r="DZ10" i="14"/>
  <c r="DQ10" i="14"/>
  <c r="DE10" i="14"/>
  <c r="DC10" i="14"/>
  <c r="DI10" i="14" s="1"/>
  <c r="DT10" i="14"/>
  <c r="DS10" i="14"/>
  <c r="DR10" i="14"/>
  <c r="DD10" i="14"/>
  <c r="DG10" i="14"/>
  <c r="DF10" i="14"/>
  <c r="DH10" i="14"/>
  <c r="EW9" i="14"/>
  <c r="FA9" i="14"/>
  <c r="EP9" i="14"/>
  <c r="EO9" i="14"/>
  <c r="EQ9" i="14"/>
  <c r="ET9" i="14" s="1"/>
  <c r="EX9" i="14"/>
  <c r="EZ9" i="14"/>
  <c r="EY9" i="14"/>
  <c r="FA6" i="14"/>
  <c r="EW6" i="14"/>
  <c r="EP6" i="14"/>
  <c r="EQ6" i="14"/>
  <c r="EO6" i="14"/>
  <c r="EX6" i="14"/>
  <c r="EY6" i="14"/>
  <c r="EZ6" i="14"/>
  <c r="AK92" i="14"/>
  <c r="AJ92" i="14"/>
  <c r="AP92" i="14"/>
  <c r="AK95" i="14"/>
  <c r="AN95" i="14"/>
  <c r="AO95" i="14"/>
  <c r="AM99" i="14"/>
  <c r="AL101" i="14"/>
  <c r="AO101" i="14"/>
  <c r="AP103" i="14"/>
  <c r="AJ103" i="14"/>
  <c r="AN108" i="14"/>
  <c r="AJ108" i="14"/>
  <c r="AK110" i="14"/>
  <c r="AO110" i="14"/>
  <c r="AM110" i="14"/>
  <c r="AQ113" i="14"/>
  <c r="AP113" i="14"/>
  <c r="AK115" i="14"/>
  <c r="AQ115" i="14"/>
  <c r="AP115" i="14"/>
  <c r="AQ118" i="14"/>
  <c r="AJ143" i="14"/>
  <c r="AO143" i="14"/>
  <c r="AJ150" i="14"/>
  <c r="BP123" i="17"/>
  <c r="BG123" i="17"/>
  <c r="BI123" i="17"/>
  <c r="BF123" i="17"/>
  <c r="BH123" i="17"/>
  <c r="BE123" i="17"/>
  <c r="BD123" i="17"/>
  <c r="BC123" i="17"/>
  <c r="BB123" i="17"/>
  <c r="AB121" i="17"/>
  <c r="AX121" i="17"/>
  <c r="AJ121" i="17"/>
  <c r="AS121" i="17"/>
  <c r="AI121" i="17"/>
  <c r="Z121" i="17"/>
  <c r="Y121" i="17"/>
  <c r="X121" i="17"/>
  <c r="BP119" i="17"/>
  <c r="BI119" i="17"/>
  <c r="BG119" i="17"/>
  <c r="BH119" i="17"/>
  <c r="BE119" i="17"/>
  <c r="BD119" i="17"/>
  <c r="BC119" i="17"/>
  <c r="BB119" i="17"/>
  <c r="BF119" i="17" s="1"/>
  <c r="BK119" i="17" s="1"/>
  <c r="BP117" i="17"/>
  <c r="BG117" i="17"/>
  <c r="BI117" i="17"/>
  <c r="BH117" i="17"/>
  <c r="BB117" i="17"/>
  <c r="BF117" i="17" s="1"/>
  <c r="BK117" i="17" s="1"/>
  <c r="BD117" i="17"/>
  <c r="BC117" i="17"/>
  <c r="BE117" i="17"/>
  <c r="AB115" i="17"/>
  <c r="AX115" i="17"/>
  <c r="AJ115" i="17"/>
  <c r="AS115" i="17"/>
  <c r="AI115" i="17"/>
  <c r="Z115" i="17"/>
  <c r="AA115" i="17"/>
  <c r="Y115" i="17"/>
  <c r="X115" i="17"/>
  <c r="BP113" i="17"/>
  <c r="BG113" i="17"/>
  <c r="BI113" i="17"/>
  <c r="BH113" i="17"/>
  <c r="BE113" i="17"/>
  <c r="BB113" i="17"/>
  <c r="BF113" i="17" s="1"/>
  <c r="BK113" i="17" s="1"/>
  <c r="BC113" i="17"/>
  <c r="BD113" i="17"/>
  <c r="BP111" i="17"/>
  <c r="BG111" i="17"/>
  <c r="BI111" i="17"/>
  <c r="BH111" i="17"/>
  <c r="BD111" i="17"/>
  <c r="BE111" i="17"/>
  <c r="BC111" i="17"/>
  <c r="BB111" i="17"/>
  <c r="BF111" i="17" s="1"/>
  <c r="BK111" i="17" s="1"/>
  <c r="AX109" i="17"/>
  <c r="AJ109" i="17"/>
  <c r="AB109" i="17"/>
  <c r="AS109" i="17"/>
  <c r="AI109" i="17"/>
  <c r="Z109" i="17"/>
  <c r="Y109" i="17"/>
  <c r="X109" i="17"/>
  <c r="AA109" i="17"/>
  <c r="BP107" i="17"/>
  <c r="BH107" i="17"/>
  <c r="BI107" i="17"/>
  <c r="BG107" i="17"/>
  <c r="BD107" i="17"/>
  <c r="BB107" i="17"/>
  <c r="BF107" i="17" s="1"/>
  <c r="BK107" i="17" s="1"/>
  <c r="BE107" i="17"/>
  <c r="BC107" i="17"/>
  <c r="BP105" i="17"/>
  <c r="BG105" i="17"/>
  <c r="BH105" i="17"/>
  <c r="BI105" i="17"/>
  <c r="BE105" i="17"/>
  <c r="BC105" i="17"/>
  <c r="BD105" i="17"/>
  <c r="BB105" i="17"/>
  <c r="BF105" i="17" s="1"/>
  <c r="BK105" i="17" s="1"/>
  <c r="BP103" i="17"/>
  <c r="BH103" i="17"/>
  <c r="BI103" i="17"/>
  <c r="BG103" i="17"/>
  <c r="BB103" i="17"/>
  <c r="BF103" i="17" s="1"/>
  <c r="BK103" i="17" s="1"/>
  <c r="BD103" i="17"/>
  <c r="BE103" i="17"/>
  <c r="BC103" i="17"/>
  <c r="BP101" i="17"/>
  <c r="BH101" i="17"/>
  <c r="BI101" i="17"/>
  <c r="BG101" i="17"/>
  <c r="BB101" i="17"/>
  <c r="BF101" i="17" s="1"/>
  <c r="BK101" i="17" s="1"/>
  <c r="BE101" i="17"/>
  <c r="BC101" i="17"/>
  <c r="BD101" i="17"/>
  <c r="AX99" i="17"/>
  <c r="AJ99" i="17"/>
  <c r="AB99" i="17"/>
  <c r="AS99" i="17"/>
  <c r="AI99" i="17"/>
  <c r="X99" i="17"/>
  <c r="Y99" i="17"/>
  <c r="AA99" i="17"/>
  <c r="Z99" i="17"/>
  <c r="BP97" i="17"/>
  <c r="BG97" i="17"/>
  <c r="BH97" i="17"/>
  <c r="BI97" i="17"/>
  <c r="BE97" i="17"/>
  <c r="BD97" i="17"/>
  <c r="BC97" i="17"/>
  <c r="BB97" i="17"/>
  <c r="BF97" i="17" s="1"/>
  <c r="BK97" i="17" s="1"/>
  <c r="AX95" i="17"/>
  <c r="AJ95" i="17"/>
  <c r="AS95" i="17"/>
  <c r="AI95" i="17"/>
  <c r="AB95" i="17"/>
  <c r="X95" i="17"/>
  <c r="AA95" i="17"/>
  <c r="Z95" i="17"/>
  <c r="Y95" i="17"/>
  <c r="BP93" i="17"/>
  <c r="BG93" i="17"/>
  <c r="BI93" i="17"/>
  <c r="BH93" i="17"/>
  <c r="BB93" i="17"/>
  <c r="BF93" i="17" s="1"/>
  <c r="BK93" i="17" s="1"/>
  <c r="BE93" i="17"/>
  <c r="BC93" i="17"/>
  <c r="BD93" i="17"/>
  <c r="BP91" i="17"/>
  <c r="BH91" i="17"/>
  <c r="BI91" i="17"/>
  <c r="BG91" i="17"/>
  <c r="BE91" i="17"/>
  <c r="BB91" i="17"/>
  <c r="BF91" i="17" s="1"/>
  <c r="BK91" i="17" s="1"/>
  <c r="BD91" i="17"/>
  <c r="BC91" i="17"/>
  <c r="AS89" i="17"/>
  <c r="AI89" i="17"/>
  <c r="AB89" i="17"/>
  <c r="AX89" i="17"/>
  <c r="AJ89" i="17"/>
  <c r="Y89" i="17"/>
  <c r="AA89" i="17"/>
  <c r="Z89" i="17"/>
  <c r="X89" i="17"/>
  <c r="BP87" i="17"/>
  <c r="BH87" i="17"/>
  <c r="BG87" i="17"/>
  <c r="BI87" i="17"/>
  <c r="BB87" i="17"/>
  <c r="BF87" i="17" s="1"/>
  <c r="BK87" i="17" s="1"/>
  <c r="BC87" i="17"/>
  <c r="BE87" i="17"/>
  <c r="BD87" i="17"/>
  <c r="AX85" i="17"/>
  <c r="AJ85" i="17"/>
  <c r="AB85" i="17"/>
  <c r="AS85" i="17"/>
  <c r="AI85" i="17"/>
  <c r="AA85" i="17"/>
  <c r="X85" i="17"/>
  <c r="Z85" i="17"/>
  <c r="Y85" i="17"/>
  <c r="BP83" i="17"/>
  <c r="BG83" i="17"/>
  <c r="BH83" i="17"/>
  <c r="BI83" i="17"/>
  <c r="BE83" i="17"/>
  <c r="BD83" i="17"/>
  <c r="BC83" i="17"/>
  <c r="BB83" i="17"/>
  <c r="BF83" i="17" s="1"/>
  <c r="BK83" i="17" s="1"/>
  <c r="AX81" i="17"/>
  <c r="AJ81" i="17"/>
  <c r="AB81" i="17"/>
  <c r="AS81" i="17"/>
  <c r="AI81" i="17"/>
  <c r="Z81" i="17"/>
  <c r="Y81" i="17"/>
  <c r="X81" i="17"/>
  <c r="AA81" i="17"/>
  <c r="BP79" i="17"/>
  <c r="BH79" i="17"/>
  <c r="BI79" i="17"/>
  <c r="BG79" i="17"/>
  <c r="BB79" i="17"/>
  <c r="BF79" i="17" s="1"/>
  <c r="BK79" i="17" s="1"/>
  <c r="BE79" i="17"/>
  <c r="BC79" i="17"/>
  <c r="BD79" i="17"/>
  <c r="BP77" i="17"/>
  <c r="BH77" i="17"/>
  <c r="BI77" i="17"/>
  <c r="BG77" i="17"/>
  <c r="BC77" i="17"/>
  <c r="BD77" i="17"/>
  <c r="BE77" i="17"/>
  <c r="BB77" i="17"/>
  <c r="BF77" i="17" s="1"/>
  <c r="BK77" i="17" s="1"/>
  <c r="BP75" i="17"/>
  <c r="BG75" i="17"/>
  <c r="BH75" i="17"/>
  <c r="BI75" i="17"/>
  <c r="BE75" i="17"/>
  <c r="BD75" i="17"/>
  <c r="BC75" i="17"/>
  <c r="BB75" i="17"/>
  <c r="BF75" i="17" s="1"/>
  <c r="BK75" i="17" s="1"/>
  <c r="BP73" i="17"/>
  <c r="BG73" i="17"/>
  <c r="BH73" i="17"/>
  <c r="BI73" i="17"/>
  <c r="BC73" i="17"/>
  <c r="BB73" i="17"/>
  <c r="BF73" i="17" s="1"/>
  <c r="BK73" i="17" s="1"/>
  <c r="BE73" i="17"/>
  <c r="BD73" i="17"/>
  <c r="AX71" i="17"/>
  <c r="AJ71" i="17"/>
  <c r="AB71" i="17"/>
  <c r="AS71" i="17"/>
  <c r="AI71" i="17"/>
  <c r="Z71" i="17"/>
  <c r="X71" i="17"/>
  <c r="AA71" i="17"/>
  <c r="Y71" i="17"/>
  <c r="BP69" i="17"/>
  <c r="BI69" i="17"/>
  <c r="BG69" i="17"/>
  <c r="BH69" i="17"/>
  <c r="BC69" i="17"/>
  <c r="BE69" i="17"/>
  <c r="BB69" i="17"/>
  <c r="BF69" i="17" s="1"/>
  <c r="BK69" i="17" s="1"/>
  <c r="BD69" i="17"/>
  <c r="AS67" i="17"/>
  <c r="AI67" i="17"/>
  <c r="AX67" i="17"/>
  <c r="AJ67" i="17"/>
  <c r="AB67" i="17"/>
  <c r="X67" i="17"/>
  <c r="AA67" i="17"/>
  <c r="Y67" i="17"/>
  <c r="Z67" i="17"/>
  <c r="AS65" i="17"/>
  <c r="AI65" i="17"/>
  <c r="AX65" i="17"/>
  <c r="AJ65" i="17"/>
  <c r="AB65" i="17"/>
  <c r="Z65" i="17"/>
  <c r="X65" i="17"/>
  <c r="AA65" i="17"/>
  <c r="Y65" i="17"/>
  <c r="AS63" i="17"/>
  <c r="AI63" i="17"/>
  <c r="AX63" i="17"/>
  <c r="AJ63" i="17"/>
  <c r="AB63" i="17"/>
  <c r="X63" i="17"/>
  <c r="AA63" i="17"/>
  <c r="Y63" i="17"/>
  <c r="Z63" i="17"/>
  <c r="BP61" i="17"/>
  <c r="BI61" i="17"/>
  <c r="BG61" i="17"/>
  <c r="BH61" i="17"/>
  <c r="BD61" i="17"/>
  <c r="BB61" i="17"/>
  <c r="BF61" i="17" s="1"/>
  <c r="BK61" i="17" s="1"/>
  <c r="BE61" i="17"/>
  <c r="BC61" i="17"/>
  <c r="BP59" i="17"/>
  <c r="BI59" i="17"/>
  <c r="BG59" i="17"/>
  <c r="BH59" i="17"/>
  <c r="BB59" i="17"/>
  <c r="BF59" i="17" s="1"/>
  <c r="BK59" i="17" s="1"/>
  <c r="BE59" i="17"/>
  <c r="BC59" i="17"/>
  <c r="BD59" i="17"/>
  <c r="AS57" i="17"/>
  <c r="AI57" i="17"/>
  <c r="AX57" i="17"/>
  <c r="AJ57" i="17"/>
  <c r="AB57" i="17"/>
  <c r="Z57" i="17"/>
  <c r="X57" i="17"/>
  <c r="AA57" i="17"/>
  <c r="Y57" i="17"/>
  <c r="AS55" i="17"/>
  <c r="AI55" i="17"/>
  <c r="AX55" i="17"/>
  <c r="AJ55" i="17"/>
  <c r="AB55" i="17"/>
  <c r="X55" i="17"/>
  <c r="AA55" i="17"/>
  <c r="Y55" i="17"/>
  <c r="Z55" i="17"/>
  <c r="AX53" i="17"/>
  <c r="AS53" i="17"/>
  <c r="AB53" i="17"/>
  <c r="AJ53" i="17"/>
  <c r="AI53" i="17"/>
  <c r="AA53" i="17"/>
  <c r="Y53" i="17"/>
  <c r="X53" i="17"/>
  <c r="Z53" i="17"/>
  <c r="BP51" i="17"/>
  <c r="BH51" i="17"/>
  <c r="BI51" i="17"/>
  <c r="BG51" i="17"/>
  <c r="BC51" i="17"/>
  <c r="BB51" i="17"/>
  <c r="BF51" i="17" s="1"/>
  <c r="BK51" i="17" s="1"/>
  <c r="BD51" i="17"/>
  <c r="BE51" i="17"/>
  <c r="BP49" i="17"/>
  <c r="BH49" i="17"/>
  <c r="BI49" i="17"/>
  <c r="BG49" i="17"/>
  <c r="BE49" i="17"/>
  <c r="BD49" i="17"/>
  <c r="BC49" i="17"/>
  <c r="BB49" i="17"/>
  <c r="BF49" i="17" s="1"/>
  <c r="BK49" i="17" s="1"/>
  <c r="BP47" i="17"/>
  <c r="BH47" i="17"/>
  <c r="BI47" i="17"/>
  <c r="BE47" i="17"/>
  <c r="BC47" i="17"/>
  <c r="BG47" i="17" s="1"/>
  <c r="BL47" i="17" s="1"/>
  <c r="BB47" i="17"/>
  <c r="BF47" i="17" s="1"/>
  <c r="BK47" i="17" s="1"/>
  <c r="BD47" i="17"/>
  <c r="BP45" i="17"/>
  <c r="BH45" i="17"/>
  <c r="BI45" i="17"/>
  <c r="BB45" i="17"/>
  <c r="BF45" i="17" s="1"/>
  <c r="BK45" i="17" s="1"/>
  <c r="BE45" i="17"/>
  <c r="BD45" i="17"/>
  <c r="BC45" i="17"/>
  <c r="BG45" i="17" s="1"/>
  <c r="BL45" i="17" s="1"/>
  <c r="BP43" i="17"/>
  <c r="BI43" i="17"/>
  <c r="BH43" i="17"/>
  <c r="BE43" i="17"/>
  <c r="BC43" i="17"/>
  <c r="BG43" i="17" s="1"/>
  <c r="BL43" i="17" s="1"/>
  <c r="BB43" i="17"/>
  <c r="BF43" i="17" s="1"/>
  <c r="BK43" i="17" s="1"/>
  <c r="BD43" i="17"/>
  <c r="AX41" i="17"/>
  <c r="AJ41" i="17"/>
  <c r="AB41" i="17"/>
  <c r="AS41" i="17"/>
  <c r="AI41" i="17"/>
  <c r="AA41" i="17"/>
  <c r="Y41" i="17"/>
  <c r="X41" i="17"/>
  <c r="Z41" i="17"/>
  <c r="BP39" i="17"/>
  <c r="BH39" i="17"/>
  <c r="BI39" i="17"/>
  <c r="BE39" i="17"/>
  <c r="BC39" i="17"/>
  <c r="BG39" i="17" s="1"/>
  <c r="BL39" i="17" s="1"/>
  <c r="BB39" i="17"/>
  <c r="BF39" i="17" s="1"/>
  <c r="BK39" i="17" s="1"/>
  <c r="BD39" i="17"/>
  <c r="BP37" i="17"/>
  <c r="BH37" i="17"/>
  <c r="BI37" i="17"/>
  <c r="BD37" i="17"/>
  <c r="BB37" i="17"/>
  <c r="BF37" i="17" s="1"/>
  <c r="BK37" i="17" s="1"/>
  <c r="BC37" i="17"/>
  <c r="BG37" i="17" s="1"/>
  <c r="BL37" i="17" s="1"/>
  <c r="BE37" i="17"/>
  <c r="BP35" i="17"/>
  <c r="BB35" i="17"/>
  <c r="BF35" i="17" s="1"/>
  <c r="BK35" i="17" s="1"/>
  <c r="BH35" i="17"/>
  <c r="BI35" i="17"/>
  <c r="BD35" i="17"/>
  <c r="BE35" i="17"/>
  <c r="BC35" i="17"/>
  <c r="BG35" i="17" s="1"/>
  <c r="BL35" i="17" s="1"/>
  <c r="BP33" i="17"/>
  <c r="BE33" i="17"/>
  <c r="BH33" i="17"/>
  <c r="BI33" i="17"/>
  <c r="BD33" i="17"/>
  <c r="BC33" i="17"/>
  <c r="BG33" i="17" s="1"/>
  <c r="BL33" i="17" s="1"/>
  <c r="BB33" i="17"/>
  <c r="BF33" i="17" s="1"/>
  <c r="BK33" i="17" s="1"/>
  <c r="BP31" i="17"/>
  <c r="BH31" i="17"/>
  <c r="BD31" i="17"/>
  <c r="BI31" i="17"/>
  <c r="BE31" i="17"/>
  <c r="BC31" i="17"/>
  <c r="BG31" i="17" s="1"/>
  <c r="BL31" i="17" s="1"/>
  <c r="BB31" i="17"/>
  <c r="BF31" i="17" s="1"/>
  <c r="BK31" i="17" s="1"/>
  <c r="BP29" i="17"/>
  <c r="BB29" i="17"/>
  <c r="BF29" i="17" s="1"/>
  <c r="BK29" i="17" s="1"/>
  <c r="BI29" i="17"/>
  <c r="BH29" i="17"/>
  <c r="BD29" i="17"/>
  <c r="BE29" i="17"/>
  <c r="BC29" i="17"/>
  <c r="BG29" i="17" s="1"/>
  <c r="BL29" i="17" s="1"/>
  <c r="AX27" i="17"/>
  <c r="AJ27" i="17"/>
  <c r="AB27" i="17"/>
  <c r="AS27" i="17"/>
  <c r="AI27" i="17"/>
  <c r="AA27" i="17"/>
  <c r="Z27" i="17"/>
  <c r="X27" i="17"/>
  <c r="Y27" i="17"/>
  <c r="BP25" i="17"/>
  <c r="BB25" i="17"/>
  <c r="BF25" i="17" s="1"/>
  <c r="BK25" i="17" s="1"/>
  <c r="BD25" i="17"/>
  <c r="BH25" i="17" s="1"/>
  <c r="BM25" i="17" s="1"/>
  <c r="BI25" i="17"/>
  <c r="BE25" i="17"/>
  <c r="BC25" i="17"/>
  <c r="BG25" i="17" s="1"/>
  <c r="BL25" i="17" s="1"/>
  <c r="BB23" i="17"/>
  <c r="BF23" i="17" s="1"/>
  <c r="BK23" i="17" s="1"/>
  <c r="BP23" i="17"/>
  <c r="BH23" i="17"/>
  <c r="BM23" i="17" s="1"/>
  <c r="BD23" i="17"/>
  <c r="BE23" i="17"/>
  <c r="BI23" i="17"/>
  <c r="BC23" i="17"/>
  <c r="BG23" i="17" s="1"/>
  <c r="BL23" i="17" s="1"/>
  <c r="BP21" i="17"/>
  <c r="BB21" i="17"/>
  <c r="BF21" i="17" s="1"/>
  <c r="BK21" i="17" s="1"/>
  <c r="BE21" i="17"/>
  <c r="BC21" i="17"/>
  <c r="BG21" i="17" s="1"/>
  <c r="BL21" i="17" s="1"/>
  <c r="BI21" i="17"/>
  <c r="BD21" i="17"/>
  <c r="BH21" i="17" s="1"/>
  <c r="BM21" i="17" s="1"/>
  <c r="BB19" i="17"/>
  <c r="BF19" i="17" s="1"/>
  <c r="BK19" i="17" s="1"/>
  <c r="BP19" i="17"/>
  <c r="BI19" i="17"/>
  <c r="BD19" i="17"/>
  <c r="BH19" i="17" s="1"/>
  <c r="BM19" i="17" s="1"/>
  <c r="BE19" i="17"/>
  <c r="BC19" i="17"/>
  <c r="BG19" i="17" s="1"/>
  <c r="BL19" i="17" s="1"/>
  <c r="AS17" i="17"/>
  <c r="AI17" i="17"/>
  <c r="AX17" i="17"/>
  <c r="AJ17" i="17"/>
  <c r="AB17" i="17"/>
  <c r="Z17" i="17"/>
  <c r="X17" i="17"/>
  <c r="AA17" i="17"/>
  <c r="Y17" i="17"/>
  <c r="AX15" i="17"/>
  <c r="AJ15" i="17"/>
  <c r="AB15" i="17"/>
  <c r="AS15" i="17"/>
  <c r="AI15" i="17"/>
  <c r="AA15" i="17"/>
  <c r="Y15" i="17"/>
  <c r="Z15" i="17"/>
  <c r="X15" i="17"/>
  <c r="AX13" i="17"/>
  <c r="AJ13" i="17"/>
  <c r="AB13" i="17"/>
  <c r="AS13" i="17"/>
  <c r="AI13" i="17"/>
  <c r="X13" i="17"/>
  <c r="Y13" i="17"/>
  <c r="AA13" i="17"/>
  <c r="Z13" i="17"/>
  <c r="BB11" i="17"/>
  <c r="BF11" i="17" s="1"/>
  <c r="BK11" i="17" s="1"/>
  <c r="BP11" i="17"/>
  <c r="BC11" i="17"/>
  <c r="BG11" i="17" s="1"/>
  <c r="BL11" i="17" s="1"/>
  <c r="BE11" i="17"/>
  <c r="BI11" i="17" s="1"/>
  <c r="BN11" i="17" s="1"/>
  <c r="BD11" i="17"/>
  <c r="BH11" i="17" s="1"/>
  <c r="BM11" i="17" s="1"/>
  <c r="BB9" i="17"/>
  <c r="BF9" i="17" s="1"/>
  <c r="BK9" i="17" s="1"/>
  <c r="BP9" i="17"/>
  <c r="BC9" i="17"/>
  <c r="BG9" i="17" s="1"/>
  <c r="BL9" i="17" s="1"/>
  <c r="BD9" i="17"/>
  <c r="BE9" i="17"/>
  <c r="BI9" i="17" s="1"/>
  <c r="BN9" i="17" s="1"/>
  <c r="BH9" i="17"/>
  <c r="BM9" i="17" s="1"/>
  <c r="BP7" i="17"/>
  <c r="BB7" i="17"/>
  <c r="BD7" i="17"/>
  <c r="BH7" i="17" s="1"/>
  <c r="BM7" i="17" s="1"/>
  <c r="BF7" i="17"/>
  <c r="BK7" i="17" s="1"/>
  <c r="BE7" i="17"/>
  <c r="BI7" i="17" s="1"/>
  <c r="BN7" i="17" s="1"/>
  <c r="BC7" i="17"/>
  <c r="BG7" i="17" s="1"/>
  <c r="BL7" i="17" s="1"/>
  <c r="BP6" i="17"/>
  <c r="BB6" i="17"/>
  <c r="BF6" i="17" s="1"/>
  <c r="BK6" i="17" s="1"/>
  <c r="BE6" i="17"/>
  <c r="BI6" i="17" s="1"/>
  <c r="BN6" i="17" s="1"/>
  <c r="BD6" i="17"/>
  <c r="BH6" i="17" s="1"/>
  <c r="BM6" i="17" s="1"/>
  <c r="BC6" i="17"/>
  <c r="BG6" i="17" s="1"/>
  <c r="BL6" i="17" s="1"/>
  <c r="EH123" i="17"/>
  <c r="EF123" i="17"/>
  <c r="DZ123" i="17"/>
  <c r="DY123" i="17"/>
  <c r="DX123" i="17"/>
  <c r="EA123" i="17" s="1"/>
  <c r="EK123" i="17"/>
  <c r="EI123" i="17"/>
  <c r="EJ123" i="17"/>
  <c r="DK122" i="17"/>
  <c r="DB122" i="17"/>
  <c r="DC122" i="17"/>
  <c r="DE122" i="17"/>
  <c r="CN122" i="17"/>
  <c r="CS122" i="17"/>
  <c r="CP122" i="17"/>
  <c r="CR122" i="17"/>
  <c r="CQ122" i="17"/>
  <c r="CO122" i="17"/>
  <c r="DD122" i="17"/>
  <c r="DK121" i="17"/>
  <c r="DB121" i="17"/>
  <c r="DC121" i="17"/>
  <c r="DE121" i="17"/>
  <c r="CS121" i="17"/>
  <c r="CR121" i="17"/>
  <c r="CN121" i="17"/>
  <c r="CP121" i="17"/>
  <c r="CQ121" i="17"/>
  <c r="CO121" i="17"/>
  <c r="CU121" i="17" s="1"/>
  <c r="DD121" i="17"/>
  <c r="DK118" i="17"/>
  <c r="DB118" i="17"/>
  <c r="DC118" i="17"/>
  <c r="DE118" i="17"/>
  <c r="CN118" i="17"/>
  <c r="CQ118" i="17"/>
  <c r="CR118" i="17"/>
  <c r="CP118" i="17"/>
  <c r="CS118" i="17"/>
  <c r="CO118" i="17"/>
  <c r="DD118" i="17"/>
  <c r="EF117" i="17"/>
  <c r="EH117" i="17"/>
  <c r="DX117" i="17"/>
  <c r="DZ117" i="17"/>
  <c r="EC117" i="17" s="1"/>
  <c r="DY117" i="17"/>
  <c r="EK117" i="17"/>
  <c r="EI117" i="17"/>
  <c r="EJ117" i="17"/>
  <c r="DK115" i="17"/>
  <c r="DB115" i="17"/>
  <c r="DE115" i="17"/>
  <c r="DC115" i="17"/>
  <c r="CQ115" i="17"/>
  <c r="CO115" i="17"/>
  <c r="CS115" i="17"/>
  <c r="CN115" i="17"/>
  <c r="CT115" i="17" s="1"/>
  <c r="CR115" i="17"/>
  <c r="CP115" i="17"/>
  <c r="DD115" i="17"/>
  <c r="EF114" i="17"/>
  <c r="EH114" i="17"/>
  <c r="DZ114" i="17"/>
  <c r="DY114" i="17"/>
  <c r="DX114" i="17"/>
  <c r="EA114" i="17" s="1"/>
  <c r="EK114" i="17"/>
  <c r="EI114" i="17"/>
  <c r="EJ114" i="17"/>
  <c r="EH113" i="17"/>
  <c r="EF113" i="17"/>
  <c r="DZ113" i="17"/>
  <c r="DY113" i="17"/>
  <c r="DX113" i="17"/>
  <c r="EA113" i="17" s="1"/>
  <c r="EK113" i="17"/>
  <c r="EI113" i="17"/>
  <c r="EJ113" i="17"/>
  <c r="DK110" i="17"/>
  <c r="DB110" i="17"/>
  <c r="DC110" i="17"/>
  <c r="DE110" i="17"/>
  <c r="CS110" i="17"/>
  <c r="CP110" i="17"/>
  <c r="CR110" i="17"/>
  <c r="CO110" i="17"/>
  <c r="CQ110" i="17"/>
  <c r="CN110" i="17"/>
  <c r="DD110" i="17"/>
  <c r="DK109" i="17"/>
  <c r="DB109" i="17"/>
  <c r="DC109" i="17"/>
  <c r="DE109" i="17"/>
  <c r="CP109" i="17"/>
  <c r="CO109" i="17"/>
  <c r="CU109" i="17" s="1"/>
  <c r="CQ109" i="17"/>
  <c r="CR109" i="17"/>
  <c r="CS109" i="17"/>
  <c r="CN109" i="17"/>
  <c r="CT109" i="17" s="1"/>
  <c r="DD109" i="17"/>
  <c r="EH106" i="17"/>
  <c r="EF106" i="17"/>
  <c r="DY106" i="17"/>
  <c r="DX106" i="17"/>
  <c r="DZ106" i="17"/>
  <c r="EK106" i="17"/>
  <c r="EJ106" i="17"/>
  <c r="EI106" i="17"/>
  <c r="DK105" i="17"/>
  <c r="DB105" i="17"/>
  <c r="DC105" i="17"/>
  <c r="DE105" i="17"/>
  <c r="CR105" i="17"/>
  <c r="CP105" i="17"/>
  <c r="CO105" i="17"/>
  <c r="CU105" i="17" s="1"/>
  <c r="CS105" i="17"/>
  <c r="CN105" i="17"/>
  <c r="CQ105" i="17"/>
  <c r="DD105" i="17"/>
  <c r="EH101" i="17"/>
  <c r="EF101" i="17"/>
  <c r="DY101" i="17"/>
  <c r="DX101" i="17"/>
  <c r="DZ101" i="17"/>
  <c r="EK101" i="17"/>
  <c r="EJ101" i="17"/>
  <c r="EI101" i="17"/>
  <c r="DK99" i="17"/>
  <c r="DB99" i="17"/>
  <c r="DE99" i="17"/>
  <c r="DC99" i="17"/>
  <c r="CS99" i="17"/>
  <c r="CO99" i="17"/>
  <c r="CR99" i="17"/>
  <c r="CQ99" i="17"/>
  <c r="CP99" i="17"/>
  <c r="CV99" i="17" s="1"/>
  <c r="CN99" i="17"/>
  <c r="DD99" i="17"/>
  <c r="DK95" i="17"/>
  <c r="DB95" i="17"/>
  <c r="DC95" i="17"/>
  <c r="DE95" i="17"/>
  <c r="CS95" i="17"/>
  <c r="CP95" i="17"/>
  <c r="CN95" i="17"/>
  <c r="CQ95" i="17"/>
  <c r="CO95" i="17"/>
  <c r="CU95" i="17" s="1"/>
  <c r="CR95" i="17"/>
  <c r="DD95" i="17"/>
  <c r="EH94" i="17"/>
  <c r="EF94" i="17"/>
  <c r="DX94" i="17"/>
  <c r="DY94" i="17"/>
  <c r="DZ94" i="17"/>
  <c r="EK94" i="17"/>
  <c r="EI94" i="17"/>
  <c r="EJ94" i="17"/>
  <c r="DK91" i="17"/>
  <c r="DB91" i="17"/>
  <c r="DC91" i="17"/>
  <c r="DE91" i="17"/>
  <c r="CS91" i="17"/>
  <c r="CO91" i="17"/>
  <c r="CU91" i="17" s="1"/>
  <c r="CP91" i="17"/>
  <c r="CR91" i="17"/>
  <c r="CQ91" i="17"/>
  <c r="CN91" i="17"/>
  <c r="CT91" i="17" s="1"/>
  <c r="DD91" i="17"/>
  <c r="DK90" i="17"/>
  <c r="DB90" i="17"/>
  <c r="DE90" i="17"/>
  <c r="DC90" i="17"/>
  <c r="CR90" i="17"/>
  <c r="CQ90" i="17"/>
  <c r="CP90" i="17"/>
  <c r="CV90" i="17" s="1"/>
  <c r="CS90" i="17"/>
  <c r="CN90" i="17"/>
  <c r="CO90" i="17"/>
  <c r="DD90" i="17"/>
  <c r="EF87" i="17"/>
  <c r="EH87" i="17"/>
  <c r="DY87" i="17"/>
  <c r="DX87" i="17"/>
  <c r="EA87" i="17" s="1"/>
  <c r="DZ87" i="17"/>
  <c r="EK87" i="17"/>
  <c r="EI87" i="17"/>
  <c r="EJ87" i="17"/>
  <c r="DK85" i="17"/>
  <c r="DB85" i="17"/>
  <c r="DE85" i="17"/>
  <c r="DC85" i="17"/>
  <c r="CR85" i="17"/>
  <c r="CQ85" i="17"/>
  <c r="CO85" i="17"/>
  <c r="CS85" i="17"/>
  <c r="CN85" i="17"/>
  <c r="CP85" i="17"/>
  <c r="DD85" i="17"/>
  <c r="DK83" i="17"/>
  <c r="DB83" i="17"/>
  <c r="DE83" i="17"/>
  <c r="DC83" i="17"/>
  <c r="CQ83" i="17"/>
  <c r="CP83" i="17"/>
  <c r="CO83" i="17"/>
  <c r="CS83" i="17"/>
  <c r="CR83" i="17"/>
  <c r="CN83" i="17"/>
  <c r="DD83" i="17"/>
  <c r="EH81" i="17"/>
  <c r="EF81" i="17"/>
  <c r="DX81" i="17"/>
  <c r="DY81" i="17"/>
  <c r="DZ81" i="17"/>
  <c r="EK81" i="17"/>
  <c r="EI81" i="17"/>
  <c r="EJ81" i="17"/>
  <c r="DK78" i="17"/>
  <c r="DB78" i="17"/>
  <c r="DE78" i="17"/>
  <c r="DC78" i="17"/>
  <c r="CQ78" i="17"/>
  <c r="CO78" i="17"/>
  <c r="CU78" i="17" s="1"/>
  <c r="CR78" i="17"/>
  <c r="CS78" i="17"/>
  <c r="CN78" i="17"/>
  <c r="CT78" i="17" s="1"/>
  <c r="CP78" i="17"/>
  <c r="CV78" i="17" s="1"/>
  <c r="DD78" i="17"/>
  <c r="EH77" i="17"/>
  <c r="EF77" i="17"/>
  <c r="DY77" i="17"/>
  <c r="EB77" i="17" s="1"/>
  <c r="DZ77" i="17"/>
  <c r="DX77" i="17"/>
  <c r="EK77" i="17"/>
  <c r="EI77" i="17"/>
  <c r="EJ77" i="17"/>
  <c r="DK75" i="17"/>
  <c r="DB75" i="17"/>
  <c r="DE75" i="17"/>
  <c r="DC75" i="17"/>
  <c r="CQ75" i="17"/>
  <c r="CP75" i="17"/>
  <c r="CO75" i="17"/>
  <c r="CU75" i="17" s="1"/>
  <c r="CS75" i="17"/>
  <c r="CR75" i="17"/>
  <c r="CN75" i="17"/>
  <c r="DD75" i="17"/>
  <c r="EH73" i="17"/>
  <c r="EF73" i="17"/>
  <c r="DX73" i="17"/>
  <c r="DY73" i="17"/>
  <c r="EB73" i="17" s="1"/>
  <c r="DZ73" i="17"/>
  <c r="EK73" i="17"/>
  <c r="EJ73" i="17"/>
  <c r="EI73" i="17"/>
  <c r="DK71" i="17"/>
  <c r="DB71" i="17"/>
  <c r="DE71" i="17"/>
  <c r="DC71" i="17"/>
  <c r="CQ71" i="17"/>
  <c r="CP71" i="17"/>
  <c r="CO71" i="17"/>
  <c r="CR71" i="17"/>
  <c r="CN71" i="17"/>
  <c r="CT71" i="17" s="1"/>
  <c r="CS71" i="17"/>
  <c r="DD71" i="17"/>
  <c r="EF65" i="17"/>
  <c r="EH65" i="17"/>
  <c r="DX65" i="17"/>
  <c r="DZ65" i="17"/>
  <c r="DY65" i="17"/>
  <c r="EB65" i="17" s="1"/>
  <c r="EK65" i="17"/>
  <c r="EI65" i="17"/>
  <c r="EJ65" i="17"/>
  <c r="EF63" i="17"/>
  <c r="EH63" i="17"/>
  <c r="DX63" i="17"/>
  <c r="DZ63" i="17"/>
  <c r="DY63" i="17"/>
  <c r="EB63" i="17" s="1"/>
  <c r="EK63" i="17"/>
  <c r="EI63" i="17"/>
  <c r="EJ63" i="17"/>
  <c r="EF61" i="17"/>
  <c r="EH61" i="17"/>
  <c r="DX61" i="17"/>
  <c r="DZ61" i="17"/>
  <c r="DY61" i="17"/>
  <c r="EB61" i="17" s="1"/>
  <c r="EK61" i="17"/>
  <c r="EI61" i="17"/>
  <c r="EJ61" i="17"/>
  <c r="EF59" i="17"/>
  <c r="EH59" i="17"/>
  <c r="DY59" i="17"/>
  <c r="DX59" i="17"/>
  <c r="DZ59" i="17"/>
  <c r="EK59" i="17"/>
  <c r="EI59" i="17"/>
  <c r="EJ59" i="17"/>
  <c r="DK58" i="17"/>
  <c r="DB58" i="17"/>
  <c r="DC58" i="17"/>
  <c r="DE58" i="17"/>
  <c r="CR58" i="17"/>
  <c r="CO58" i="17"/>
  <c r="CN58" i="17"/>
  <c r="CQ58" i="17"/>
  <c r="CS58" i="17"/>
  <c r="CP58" i="17"/>
  <c r="DD58" i="17"/>
  <c r="DK57" i="17"/>
  <c r="DB57" i="17"/>
  <c r="DC57" i="17"/>
  <c r="DE57" i="17"/>
  <c r="CR57" i="17"/>
  <c r="CQ57" i="17"/>
  <c r="CS57" i="17"/>
  <c r="CO57" i="17"/>
  <c r="CU57" i="17" s="1"/>
  <c r="CN57" i="17"/>
  <c r="CP57" i="17"/>
  <c r="CV57" i="17" s="1"/>
  <c r="DD57" i="17"/>
  <c r="DK55" i="17"/>
  <c r="DB55" i="17"/>
  <c r="DE55" i="17"/>
  <c r="DC55" i="17"/>
  <c r="CS55" i="17"/>
  <c r="CR55" i="17"/>
  <c r="CO55" i="17"/>
  <c r="CU55" i="17" s="1"/>
  <c r="CQ55" i="17"/>
  <c r="CN55" i="17"/>
  <c r="CP55" i="17"/>
  <c r="DD55" i="17"/>
  <c r="DK51" i="17"/>
  <c r="DB51" i="17"/>
  <c r="DC51" i="17"/>
  <c r="DE51" i="17"/>
  <c r="CQ51" i="17"/>
  <c r="CS51" i="17"/>
  <c r="CP51" i="17"/>
  <c r="CN51" i="17"/>
  <c r="CT51" i="17" s="1"/>
  <c r="CR51" i="17"/>
  <c r="CO51" i="17"/>
  <c r="DD51" i="17"/>
  <c r="EH49" i="17"/>
  <c r="EF49" i="17"/>
  <c r="DZ49" i="17"/>
  <c r="DY49" i="17"/>
  <c r="DX49" i="17"/>
  <c r="EK49" i="17"/>
  <c r="EI49" i="17"/>
  <c r="EJ49" i="17"/>
  <c r="EH47" i="17"/>
  <c r="EF47" i="17"/>
  <c r="DY47" i="17"/>
  <c r="DZ47" i="17"/>
  <c r="DX47" i="17"/>
  <c r="EK47" i="17"/>
  <c r="EI47" i="17"/>
  <c r="EJ47" i="17"/>
  <c r="EH45" i="17"/>
  <c r="EF45" i="17"/>
  <c r="DX45" i="17"/>
  <c r="DY45" i="17"/>
  <c r="DZ45" i="17"/>
  <c r="EC45" i="17" s="1"/>
  <c r="EK45" i="17"/>
  <c r="EI45" i="17"/>
  <c r="EJ45" i="17"/>
  <c r="DK42" i="17"/>
  <c r="DB42" i="17"/>
  <c r="DC42" i="17"/>
  <c r="DE42" i="17"/>
  <c r="CQ42" i="17"/>
  <c r="CR42" i="17"/>
  <c r="CN42" i="17"/>
  <c r="CS42" i="17"/>
  <c r="CP42" i="17"/>
  <c r="CV42" i="17" s="1"/>
  <c r="CO42" i="17"/>
  <c r="CU42" i="17" s="1"/>
  <c r="DD42" i="17"/>
  <c r="DK38" i="17"/>
  <c r="DB38" i="17"/>
  <c r="DC38" i="17"/>
  <c r="DE38" i="17"/>
  <c r="CR38" i="17"/>
  <c r="CS38" i="17"/>
  <c r="CN38" i="17"/>
  <c r="CQ38" i="17"/>
  <c r="CP38" i="17"/>
  <c r="CO38" i="17"/>
  <c r="CU38" i="17" s="1"/>
  <c r="DD38" i="17"/>
  <c r="EH37" i="17"/>
  <c r="EF37" i="17"/>
  <c r="DX37" i="17"/>
  <c r="EA37" i="17" s="1"/>
  <c r="DY37" i="17"/>
  <c r="DZ37" i="17"/>
  <c r="EC37" i="17" s="1"/>
  <c r="EK37" i="17"/>
  <c r="EJ37" i="17"/>
  <c r="EI37" i="17"/>
  <c r="EF35" i="17"/>
  <c r="EH35" i="17"/>
  <c r="DY35" i="17"/>
  <c r="EB35" i="17" s="1"/>
  <c r="DX35" i="17"/>
  <c r="DZ35" i="17"/>
  <c r="EC35" i="17" s="1"/>
  <c r="EK35" i="17"/>
  <c r="EI35" i="17"/>
  <c r="EJ35" i="17"/>
  <c r="DK31" i="17"/>
  <c r="DB31" i="17"/>
  <c r="CO31" i="17"/>
  <c r="CU31" i="17" s="1"/>
  <c r="CS31" i="17"/>
  <c r="DC31" i="17"/>
  <c r="CQ31" i="17"/>
  <c r="DE31" i="17"/>
  <c r="CP31" i="17"/>
  <c r="CV31" i="17" s="1"/>
  <c r="CN31" i="17"/>
  <c r="CT31" i="17" s="1"/>
  <c r="CR31" i="17"/>
  <c r="DD31" i="17"/>
  <c r="EH30" i="17"/>
  <c r="EF30" i="17"/>
  <c r="DZ30" i="17"/>
  <c r="DX30" i="17"/>
  <c r="EA30" i="17" s="1"/>
  <c r="DY30" i="17"/>
  <c r="EK30" i="17"/>
  <c r="EI30" i="17"/>
  <c r="EJ30" i="17"/>
  <c r="EH29" i="17"/>
  <c r="EF29" i="17"/>
  <c r="DZ29" i="17"/>
  <c r="DX29" i="17"/>
  <c r="EA29" i="17" s="1"/>
  <c r="DY29" i="17"/>
  <c r="EK29" i="17"/>
  <c r="EI29" i="17"/>
  <c r="EJ29" i="17"/>
  <c r="CP26" i="17"/>
  <c r="DK26" i="17"/>
  <c r="DB26" i="17"/>
  <c r="CN26" i="17"/>
  <c r="CS26" i="17"/>
  <c r="CO26" i="17"/>
  <c r="DC26" i="17"/>
  <c r="CQ26" i="17"/>
  <c r="DE26" i="17"/>
  <c r="CR26" i="17"/>
  <c r="DD26" i="17"/>
  <c r="CN25" i="17"/>
  <c r="CP25" i="17"/>
  <c r="DK25" i="17"/>
  <c r="DB25" i="17"/>
  <c r="CO25" i="17"/>
  <c r="CU25" i="17" s="1"/>
  <c r="DC25" i="17"/>
  <c r="CQ25" i="17"/>
  <c r="DE25" i="17"/>
  <c r="CS25" i="17"/>
  <c r="CR25" i="17"/>
  <c r="DD25" i="17"/>
  <c r="CP23" i="17"/>
  <c r="DK23" i="17"/>
  <c r="DB23" i="17"/>
  <c r="CO23" i="17"/>
  <c r="CN23" i="17"/>
  <c r="CS23" i="17"/>
  <c r="DE23" i="17"/>
  <c r="CQ23" i="17"/>
  <c r="DC23" i="17"/>
  <c r="DD23" i="17"/>
  <c r="CR23" i="17"/>
  <c r="CP19" i="17"/>
  <c r="DK19" i="17"/>
  <c r="DB19" i="17"/>
  <c r="CO19" i="17"/>
  <c r="CN19" i="17"/>
  <c r="CQ19" i="17"/>
  <c r="DC19" i="17"/>
  <c r="CS19" i="17"/>
  <c r="DE19" i="17"/>
  <c r="CR19" i="17"/>
  <c r="DD19" i="17"/>
  <c r="DZ18" i="17"/>
  <c r="EH18" i="17"/>
  <c r="DY18" i="17"/>
  <c r="EF18" i="17"/>
  <c r="DX18" i="17"/>
  <c r="EK18" i="17"/>
  <c r="EI18" i="17"/>
  <c r="EJ18" i="17"/>
  <c r="CP17" i="17"/>
  <c r="DK17" i="17"/>
  <c r="DB17" i="17"/>
  <c r="CO17" i="17"/>
  <c r="CN17" i="17"/>
  <c r="CS17" i="17"/>
  <c r="DC17" i="17"/>
  <c r="CQ17" i="17"/>
  <c r="DE17" i="17"/>
  <c r="CR17" i="17"/>
  <c r="DD17" i="17"/>
  <c r="CP15" i="17"/>
  <c r="DK15" i="17"/>
  <c r="DB15" i="17"/>
  <c r="CO15" i="17"/>
  <c r="DE15" i="17"/>
  <c r="CN15" i="17"/>
  <c r="DC15" i="17"/>
  <c r="CQ15" i="17"/>
  <c r="CS15" i="17"/>
  <c r="DD15" i="17"/>
  <c r="CR15" i="17"/>
  <c r="EF13" i="17"/>
  <c r="DX13" i="17"/>
  <c r="EA13" i="17" s="1"/>
  <c r="DZ13" i="17"/>
  <c r="EH13" i="17"/>
  <c r="DY13" i="17"/>
  <c r="EK13" i="17"/>
  <c r="EI13" i="17"/>
  <c r="EJ13" i="17"/>
  <c r="EH9" i="17"/>
  <c r="DY9" i="17"/>
  <c r="EF9" i="17"/>
  <c r="DX9" i="17"/>
  <c r="DZ9" i="17"/>
  <c r="EK9" i="17"/>
  <c r="EI9" i="17"/>
  <c r="EJ9" i="17"/>
  <c r="DB5" i="17"/>
  <c r="CS5" i="17"/>
  <c r="CO5" i="17"/>
  <c r="CN5" i="17"/>
  <c r="CT5" i="17" s="1"/>
  <c r="CW5" i="17" s="1"/>
  <c r="DK5" i="17"/>
  <c r="CP5" i="17"/>
  <c r="DC5" i="17"/>
  <c r="DE5" i="17"/>
  <c r="CQ5" i="17"/>
  <c r="DD5" i="17"/>
  <c r="CR5" i="17"/>
  <c r="AK43" i="14"/>
  <c r="AS43" i="14"/>
  <c r="AM43" i="14"/>
  <c r="AN44" i="14"/>
  <c r="AO44" i="14"/>
  <c r="AN47" i="14"/>
  <c r="AP47" i="14"/>
  <c r="AN52" i="14"/>
  <c r="AM52" i="14"/>
  <c r="AR75" i="14"/>
  <c r="AO75" i="14"/>
  <c r="AP75" i="14"/>
  <c r="AN81" i="14"/>
  <c r="AQ81" i="14"/>
  <c r="AK82" i="14"/>
  <c r="AN82" i="14"/>
  <c r="AP82" i="14"/>
  <c r="AN83" i="14"/>
  <c r="AM83" i="14"/>
  <c r="AR84" i="14"/>
  <c r="AO84" i="14"/>
  <c r="AP84" i="14"/>
  <c r="AN85" i="14"/>
  <c r="AQ85" i="14"/>
  <c r="AR89" i="14"/>
  <c r="AJ89" i="14"/>
  <c r="AP89" i="14"/>
  <c r="AK109" i="14"/>
  <c r="AN109" i="14"/>
  <c r="AL111" i="14"/>
  <c r="AO111" i="14"/>
  <c r="AP111" i="14"/>
  <c r="AK131" i="14"/>
  <c r="AJ131" i="14"/>
  <c r="AQ131" i="14"/>
  <c r="AR37" i="14"/>
  <c r="AS37" i="14"/>
  <c r="AQ37" i="14"/>
  <c r="AR49" i="14"/>
  <c r="AQ49" i="14"/>
  <c r="AK55" i="14"/>
  <c r="AN55" i="14"/>
  <c r="AO55" i="14"/>
  <c r="AL57" i="14"/>
  <c r="AJ57" i="14"/>
  <c r="AS57" i="14"/>
  <c r="AL60" i="14"/>
  <c r="AO60" i="14"/>
  <c r="AK86" i="14"/>
  <c r="AO86" i="14"/>
  <c r="AM86" i="14"/>
  <c r="AR93" i="14"/>
  <c r="AM93" i="14"/>
  <c r="AK94" i="14"/>
  <c r="AQ94" i="14"/>
  <c r="AM94" i="14"/>
  <c r="AQ105" i="14"/>
  <c r="AM105" i="14"/>
  <c r="AR114" i="14"/>
  <c r="AQ114" i="14"/>
  <c r="AM114" i="14"/>
  <c r="AJ130" i="14"/>
  <c r="AM130" i="14"/>
  <c r="AO132" i="14"/>
  <c r="AN134" i="14"/>
  <c r="AO134" i="14"/>
  <c r="AN136" i="14"/>
  <c r="AK144" i="14"/>
  <c r="AN144" i="14"/>
  <c r="AJ145" i="14"/>
  <c r="DJ126" i="14"/>
  <c r="AL112" i="14"/>
  <c r="AM112" i="14"/>
  <c r="AM149" i="14"/>
  <c r="AR40" i="14"/>
  <c r="AQ40" i="14"/>
  <c r="AS40" i="14"/>
  <c r="AL45" i="14"/>
  <c r="AS45" i="14"/>
  <c r="AM45" i="14"/>
  <c r="AL48" i="14"/>
  <c r="AN48" i="14"/>
  <c r="AS48" i="14"/>
  <c r="AR51" i="14"/>
  <c r="AP51" i="14"/>
  <c r="AL53" i="14"/>
  <c r="AO53" i="14"/>
  <c r="AK54" i="14"/>
  <c r="AP54" i="14"/>
  <c r="AS54" i="14"/>
  <c r="AR65" i="14"/>
  <c r="AQ65" i="14"/>
  <c r="AO65" i="14"/>
  <c r="AJ66" i="14"/>
  <c r="AM66" i="14"/>
  <c r="AK70" i="14"/>
  <c r="AN70" i="14"/>
  <c r="AQ70" i="14"/>
  <c r="AL71" i="14"/>
  <c r="AO71" i="14"/>
  <c r="AK79" i="14"/>
  <c r="AJ79" i="14"/>
  <c r="AR91" i="14"/>
  <c r="AS91" i="14"/>
  <c r="AP91" i="14"/>
  <c r="AK100" i="14"/>
  <c r="AP100" i="14"/>
  <c r="AO100" i="14"/>
  <c r="AR104" i="14"/>
  <c r="AO104" i="14"/>
  <c r="AQ117" i="14"/>
  <c r="AN117" i="14"/>
  <c r="AL124" i="14"/>
  <c r="AQ124" i="14"/>
  <c r="AM124" i="14"/>
  <c r="AL128" i="14"/>
  <c r="AJ128" i="14"/>
  <c r="AQ128" i="14"/>
  <c r="AP129" i="14"/>
  <c r="AN129" i="14"/>
  <c r="AK139" i="14"/>
  <c r="AL140" i="14"/>
  <c r="AN140" i="14"/>
  <c r="AJ152" i="14"/>
  <c r="DZ125" i="14"/>
  <c r="DQ125" i="14"/>
  <c r="DT125" i="14"/>
  <c r="DS125" i="14"/>
  <c r="DC125" i="14"/>
  <c r="DE125" i="14"/>
  <c r="DD125" i="14"/>
  <c r="DJ125" i="14" s="1"/>
  <c r="DR125" i="14"/>
  <c r="DH125" i="14"/>
  <c r="DG125" i="14"/>
  <c r="DF125" i="14"/>
  <c r="DZ122" i="14"/>
  <c r="DQ122" i="14"/>
  <c r="DT122" i="14"/>
  <c r="DD122" i="14"/>
  <c r="DC122" i="14"/>
  <c r="DS122" i="14"/>
  <c r="DR122" i="14"/>
  <c r="DE122" i="14"/>
  <c r="DK122" i="14" s="1"/>
  <c r="DF122" i="14"/>
  <c r="DG122" i="14"/>
  <c r="DH122" i="14"/>
  <c r="FA121" i="14"/>
  <c r="EW121" i="14"/>
  <c r="EO121" i="14"/>
  <c r="EQ121" i="14"/>
  <c r="EP121" i="14"/>
  <c r="EX121" i="14"/>
  <c r="EY121" i="14"/>
  <c r="EZ121" i="14"/>
  <c r="FA114" i="14"/>
  <c r="EW114" i="14"/>
  <c r="EP114" i="14"/>
  <c r="EO114" i="14"/>
  <c r="EQ114" i="14"/>
  <c r="ET114" i="14" s="1"/>
  <c r="EX114" i="14"/>
  <c r="EY114" i="14"/>
  <c r="EZ114" i="14"/>
  <c r="DZ113" i="14"/>
  <c r="DQ113" i="14"/>
  <c r="DE113" i="14"/>
  <c r="DT113" i="14"/>
  <c r="DC113" i="14"/>
  <c r="DS113" i="14"/>
  <c r="DR113" i="14"/>
  <c r="DD113" i="14"/>
  <c r="DF113" i="14"/>
  <c r="DH113" i="14"/>
  <c r="DG113" i="14"/>
  <c r="DZ111" i="14"/>
  <c r="DQ111" i="14"/>
  <c r="DE111" i="14"/>
  <c r="DD111" i="14"/>
  <c r="DC111" i="14"/>
  <c r="DT111" i="14"/>
  <c r="DS111" i="14"/>
  <c r="DR111" i="14"/>
  <c r="DF111" i="14"/>
  <c r="DH111" i="14"/>
  <c r="DG111" i="14"/>
  <c r="DZ110" i="14"/>
  <c r="DQ110" i="14"/>
  <c r="DS110" i="14"/>
  <c r="DC110" i="14"/>
  <c r="DT110" i="14"/>
  <c r="DD110" i="14"/>
  <c r="DE110" i="14"/>
  <c r="DK110" i="14" s="1"/>
  <c r="DR110" i="14"/>
  <c r="DG110" i="14"/>
  <c r="DH110" i="14"/>
  <c r="DF110" i="14"/>
  <c r="FA109" i="14"/>
  <c r="EW109" i="14"/>
  <c r="EP109" i="14"/>
  <c r="EO109" i="14"/>
  <c r="EQ109" i="14"/>
  <c r="EX109" i="14"/>
  <c r="EY109" i="14"/>
  <c r="EZ109" i="14"/>
  <c r="FA105" i="14"/>
  <c r="EW105" i="14"/>
  <c r="EP105" i="14"/>
  <c r="EO105" i="14"/>
  <c r="EQ105" i="14"/>
  <c r="EX105" i="14"/>
  <c r="EY105" i="14"/>
  <c r="EZ105" i="14"/>
  <c r="FA103" i="14"/>
  <c r="EW103" i="14"/>
  <c r="EO103" i="14"/>
  <c r="EQ103" i="14"/>
  <c r="EP103" i="14"/>
  <c r="EX103" i="14"/>
  <c r="EY103" i="14"/>
  <c r="EZ103" i="14"/>
  <c r="DZ102" i="14"/>
  <c r="DQ102" i="14"/>
  <c r="DS102" i="14"/>
  <c r="DR102" i="14"/>
  <c r="DC102" i="14"/>
  <c r="DT102" i="14"/>
  <c r="DD102" i="14"/>
  <c r="DE102" i="14"/>
  <c r="DG102" i="14"/>
  <c r="DH102" i="14"/>
  <c r="DF102" i="14"/>
  <c r="DZ101" i="14"/>
  <c r="DQ101" i="14"/>
  <c r="DT101" i="14"/>
  <c r="DS101" i="14"/>
  <c r="DR101" i="14"/>
  <c r="DD101" i="14"/>
  <c r="DC101" i="14"/>
  <c r="DE101" i="14"/>
  <c r="DF101" i="14"/>
  <c r="DG101" i="14"/>
  <c r="DH101" i="14"/>
  <c r="DZ99" i="14"/>
  <c r="DQ99" i="14"/>
  <c r="DS99" i="14"/>
  <c r="DR99" i="14"/>
  <c r="DT99" i="14"/>
  <c r="DC99" i="14"/>
  <c r="DI99" i="14" s="1"/>
  <c r="DE99" i="14"/>
  <c r="DD99" i="14"/>
  <c r="DF99" i="14"/>
  <c r="DH99" i="14"/>
  <c r="DG99" i="14"/>
  <c r="FA97" i="14"/>
  <c r="EW97" i="14"/>
  <c r="EO97" i="14"/>
  <c r="ER97" i="14" s="1"/>
  <c r="EQ97" i="14"/>
  <c r="EP97" i="14"/>
  <c r="EX97" i="14"/>
  <c r="EZ97" i="14"/>
  <c r="EY97" i="14"/>
  <c r="FA87" i="14"/>
  <c r="EW87" i="14"/>
  <c r="EQ87" i="14"/>
  <c r="EP87" i="14"/>
  <c r="EO87" i="14"/>
  <c r="ER87" i="14" s="1"/>
  <c r="EX87" i="14"/>
  <c r="EZ87" i="14"/>
  <c r="EY87" i="14"/>
  <c r="DZ86" i="14"/>
  <c r="DQ86" i="14"/>
  <c r="DD86" i="14"/>
  <c r="DT86" i="14"/>
  <c r="DE86" i="14"/>
  <c r="DS86" i="14"/>
  <c r="DR86" i="14"/>
  <c r="DC86" i="14"/>
  <c r="DG86" i="14"/>
  <c r="DH86" i="14"/>
  <c r="DF86" i="14"/>
  <c r="DZ85" i="14"/>
  <c r="DQ85" i="14"/>
  <c r="DS85" i="14"/>
  <c r="DR85" i="14"/>
  <c r="DT85" i="14"/>
  <c r="DD85" i="14"/>
  <c r="DC85" i="14"/>
  <c r="DE85" i="14"/>
  <c r="DK85" i="14" s="1"/>
  <c r="DH85" i="14"/>
  <c r="DG85" i="14"/>
  <c r="DF85" i="14"/>
  <c r="DZ83" i="14"/>
  <c r="DQ83" i="14"/>
  <c r="DT83" i="14"/>
  <c r="DC83" i="14"/>
  <c r="DE83" i="14"/>
  <c r="DS83" i="14"/>
  <c r="DR83" i="14"/>
  <c r="DD83" i="14"/>
  <c r="DH83" i="14"/>
  <c r="DG83" i="14"/>
  <c r="DF83" i="14"/>
  <c r="DZ82" i="14"/>
  <c r="DQ82" i="14"/>
  <c r="DD82" i="14"/>
  <c r="DT82" i="14"/>
  <c r="DE82" i="14"/>
  <c r="DS82" i="14"/>
  <c r="DR82" i="14"/>
  <c r="DC82" i="14"/>
  <c r="DG82" i="14"/>
  <c r="DF82" i="14"/>
  <c r="DH82" i="14"/>
  <c r="DZ81" i="14"/>
  <c r="DQ81" i="14"/>
  <c r="DS81" i="14"/>
  <c r="DR81" i="14"/>
  <c r="DT81" i="14"/>
  <c r="DD81" i="14"/>
  <c r="DC81" i="14"/>
  <c r="DI81" i="14" s="1"/>
  <c r="DE81" i="14"/>
  <c r="DH81" i="14"/>
  <c r="DF81" i="14"/>
  <c r="DG81" i="14"/>
  <c r="FA79" i="14"/>
  <c r="EW79" i="14"/>
  <c r="EQ79" i="14"/>
  <c r="EP79" i="14"/>
  <c r="EO79" i="14"/>
  <c r="EX79" i="14"/>
  <c r="EZ79" i="14"/>
  <c r="EY79" i="14"/>
  <c r="DZ78" i="14"/>
  <c r="DQ78" i="14"/>
  <c r="DD78" i="14"/>
  <c r="DT78" i="14"/>
  <c r="DE78" i="14"/>
  <c r="DS78" i="14"/>
  <c r="DR78" i="14"/>
  <c r="DC78" i="14"/>
  <c r="DG78" i="14"/>
  <c r="DF78" i="14"/>
  <c r="DH78" i="14"/>
  <c r="FA77" i="14"/>
  <c r="EW77" i="14"/>
  <c r="EQ77" i="14"/>
  <c r="EO77" i="14"/>
  <c r="EP77" i="14"/>
  <c r="EX77" i="14"/>
  <c r="EY77" i="14"/>
  <c r="EZ77" i="14"/>
  <c r="DZ75" i="14"/>
  <c r="DQ75" i="14"/>
  <c r="DT75" i="14"/>
  <c r="DC75" i="14"/>
  <c r="DD75" i="14"/>
  <c r="DJ75" i="14" s="1"/>
  <c r="DS75" i="14"/>
  <c r="DR75" i="14"/>
  <c r="DE75" i="14"/>
  <c r="DH75" i="14"/>
  <c r="DG75" i="14"/>
  <c r="DF75" i="14"/>
  <c r="DZ74" i="14"/>
  <c r="DQ74" i="14"/>
  <c r="DR74" i="14"/>
  <c r="DD74" i="14"/>
  <c r="DS74" i="14"/>
  <c r="DT74" i="14"/>
  <c r="DE74" i="14"/>
  <c r="DC74" i="14"/>
  <c r="DH74" i="14"/>
  <c r="DF74" i="14"/>
  <c r="DG74" i="14"/>
  <c r="FA73" i="14"/>
  <c r="EW73" i="14"/>
  <c r="EQ73" i="14"/>
  <c r="ET73" i="14" s="1"/>
  <c r="EP73" i="14"/>
  <c r="EO73" i="14"/>
  <c r="ER73" i="14" s="1"/>
  <c r="EX73" i="14"/>
  <c r="EY73" i="14"/>
  <c r="EZ73" i="14"/>
  <c r="DZ71" i="14"/>
  <c r="DQ71" i="14"/>
  <c r="DS71" i="14"/>
  <c r="DR71" i="14"/>
  <c r="DE71" i="14"/>
  <c r="DT71" i="14"/>
  <c r="DC71" i="14"/>
  <c r="DI71" i="14" s="1"/>
  <c r="DD71" i="14"/>
  <c r="DG71" i="14"/>
  <c r="DF71" i="14"/>
  <c r="DH71" i="14"/>
  <c r="FA69" i="14"/>
  <c r="EW69" i="14"/>
  <c r="EQ69" i="14"/>
  <c r="EP69" i="14"/>
  <c r="ES69" i="14" s="1"/>
  <c r="EO69" i="14"/>
  <c r="EX69" i="14"/>
  <c r="EY69" i="14"/>
  <c r="EZ69" i="14"/>
  <c r="FA67" i="14"/>
  <c r="EW67" i="14"/>
  <c r="EP67" i="14"/>
  <c r="EO67" i="14"/>
  <c r="EQ67" i="14"/>
  <c r="EX67" i="14"/>
  <c r="EY67" i="14"/>
  <c r="EZ67" i="14"/>
  <c r="FA66" i="14"/>
  <c r="EW66" i="14"/>
  <c r="EP66" i="14"/>
  <c r="EO66" i="14"/>
  <c r="EQ66" i="14"/>
  <c r="EX66" i="14"/>
  <c r="EY66" i="14"/>
  <c r="EZ66" i="14"/>
  <c r="FA65" i="14"/>
  <c r="EW65" i="14"/>
  <c r="EQ65" i="14"/>
  <c r="EP65" i="14"/>
  <c r="ES65" i="14" s="1"/>
  <c r="EO65" i="14"/>
  <c r="EX65" i="14"/>
  <c r="EY65" i="14"/>
  <c r="EZ65" i="14"/>
  <c r="DZ61" i="14"/>
  <c r="DQ61" i="14"/>
  <c r="DD61" i="14"/>
  <c r="DE61" i="14"/>
  <c r="DK61" i="14" s="1"/>
  <c r="DT61" i="14"/>
  <c r="DS61" i="14"/>
  <c r="DR61" i="14"/>
  <c r="DC61" i="14"/>
  <c r="DI61" i="14" s="1"/>
  <c r="DH61" i="14"/>
  <c r="DG61" i="14"/>
  <c r="DF61" i="14"/>
  <c r="DZ59" i="14"/>
  <c r="DQ59" i="14"/>
  <c r="DR59" i="14"/>
  <c r="DT59" i="14"/>
  <c r="DC59" i="14"/>
  <c r="DD59" i="14"/>
  <c r="DS59" i="14"/>
  <c r="DE59" i="14"/>
  <c r="DF59" i="14"/>
  <c r="DG59" i="14"/>
  <c r="DH59" i="14"/>
  <c r="DQ57" i="14"/>
  <c r="DZ57" i="14"/>
  <c r="DS57" i="14"/>
  <c r="DT57" i="14"/>
  <c r="DR57" i="14"/>
  <c r="DC57" i="14"/>
  <c r="DI57" i="14" s="1"/>
  <c r="DE57" i="14"/>
  <c r="DD57" i="14"/>
  <c r="DF57" i="14"/>
  <c r="DH57" i="14"/>
  <c r="DG57" i="14"/>
  <c r="EW54" i="14"/>
  <c r="FA54" i="14"/>
  <c r="EO54" i="14"/>
  <c r="ER54" i="14" s="1"/>
  <c r="EP54" i="14"/>
  <c r="EQ54" i="14"/>
  <c r="EX54" i="14"/>
  <c r="EY54" i="14"/>
  <c r="EZ54" i="14"/>
  <c r="EW53" i="14"/>
  <c r="FA53" i="14"/>
  <c r="EQ53" i="14"/>
  <c r="ET53" i="14" s="1"/>
  <c r="EO53" i="14"/>
  <c r="ER53" i="14" s="1"/>
  <c r="EP53" i="14"/>
  <c r="EX53" i="14"/>
  <c r="EY53" i="14"/>
  <c r="EZ53" i="14"/>
  <c r="FA51" i="14"/>
  <c r="EW51" i="14"/>
  <c r="EP51" i="14"/>
  <c r="ES51" i="14" s="1"/>
  <c r="EQ51" i="14"/>
  <c r="EO51" i="14"/>
  <c r="ER51" i="14" s="1"/>
  <c r="EX51" i="14"/>
  <c r="EZ51" i="14"/>
  <c r="EY51" i="14"/>
  <c r="FA50" i="14"/>
  <c r="EW50" i="14"/>
  <c r="EQ50" i="14"/>
  <c r="ET50" i="14" s="1"/>
  <c r="EP50" i="14"/>
  <c r="EO50" i="14"/>
  <c r="ER50" i="14" s="1"/>
  <c r="EX50" i="14"/>
  <c r="EY50" i="14"/>
  <c r="EZ50" i="14"/>
  <c r="FA45" i="14"/>
  <c r="EW45" i="14"/>
  <c r="EQ45" i="14"/>
  <c r="ET45" i="14" s="1"/>
  <c r="EO45" i="14"/>
  <c r="ER45" i="14" s="1"/>
  <c r="EP45" i="14"/>
  <c r="EX45" i="14"/>
  <c r="EY45" i="14"/>
  <c r="EZ45" i="14"/>
  <c r="FA43" i="14"/>
  <c r="EW43" i="14"/>
  <c r="EQ43" i="14"/>
  <c r="ET43" i="14" s="1"/>
  <c r="EO43" i="14"/>
  <c r="ER43" i="14" s="1"/>
  <c r="EP43" i="14"/>
  <c r="EX43" i="14"/>
  <c r="EY43" i="14"/>
  <c r="EZ43" i="14"/>
  <c r="FA42" i="14"/>
  <c r="EW42" i="14"/>
  <c r="EP42" i="14"/>
  <c r="EQ42" i="14"/>
  <c r="EO42" i="14"/>
  <c r="ER42" i="14" s="1"/>
  <c r="EX42" i="14"/>
  <c r="EY42" i="14"/>
  <c r="EZ42" i="14"/>
  <c r="DZ41" i="14"/>
  <c r="DQ41" i="14"/>
  <c r="DT41" i="14"/>
  <c r="DC41" i="14"/>
  <c r="DE41" i="14"/>
  <c r="DK41" i="14" s="1"/>
  <c r="DS41" i="14"/>
  <c r="DR41" i="14"/>
  <c r="DD41" i="14"/>
  <c r="DF41" i="14"/>
  <c r="DH41" i="14"/>
  <c r="DG41" i="14"/>
  <c r="EW39" i="14"/>
  <c r="FA39" i="14"/>
  <c r="EQ39" i="14"/>
  <c r="EO39" i="14"/>
  <c r="EP39" i="14"/>
  <c r="EX39" i="14"/>
  <c r="EZ39" i="14"/>
  <c r="EY39" i="14"/>
  <c r="EW38" i="14"/>
  <c r="FA38" i="14"/>
  <c r="EQ38" i="14"/>
  <c r="EO38" i="14"/>
  <c r="EP38" i="14"/>
  <c r="EX38" i="14"/>
  <c r="EY38" i="14"/>
  <c r="EZ38" i="14"/>
  <c r="FA34" i="14"/>
  <c r="EW34" i="14"/>
  <c r="EP34" i="14"/>
  <c r="EO34" i="14"/>
  <c r="EQ34" i="14"/>
  <c r="EX34" i="14"/>
  <c r="EY34" i="14"/>
  <c r="EZ34" i="14"/>
  <c r="FA33" i="14"/>
  <c r="EW33" i="14"/>
  <c r="EQ33" i="14"/>
  <c r="EP33" i="14"/>
  <c r="ES33" i="14" s="1"/>
  <c r="EO33" i="14"/>
  <c r="EX33" i="14"/>
  <c r="EY33" i="14"/>
  <c r="EZ33" i="14"/>
  <c r="FA31" i="14"/>
  <c r="EW31" i="14"/>
  <c r="EQ31" i="14"/>
  <c r="EO31" i="14"/>
  <c r="EP31" i="14"/>
  <c r="EX31" i="14"/>
  <c r="EY31" i="14"/>
  <c r="EZ31" i="14"/>
  <c r="FA27" i="14"/>
  <c r="EW27" i="14"/>
  <c r="EP27" i="14"/>
  <c r="EO27" i="14"/>
  <c r="EQ27" i="14"/>
  <c r="EX27" i="14"/>
  <c r="EY27" i="14"/>
  <c r="EZ27" i="14"/>
  <c r="EW26" i="14"/>
  <c r="FA26" i="14"/>
  <c r="EO26" i="14"/>
  <c r="EP26" i="14"/>
  <c r="EQ26" i="14"/>
  <c r="EX26" i="14"/>
  <c r="EZ26" i="14"/>
  <c r="EY26" i="14"/>
  <c r="DZ25" i="14"/>
  <c r="DQ25" i="14"/>
  <c r="DS25" i="14"/>
  <c r="DE25" i="14"/>
  <c r="DK25" i="14" s="1"/>
  <c r="DT25" i="14"/>
  <c r="DD25" i="14"/>
  <c r="DC25" i="14"/>
  <c r="DR25" i="14"/>
  <c r="DH25" i="14"/>
  <c r="DF25" i="14"/>
  <c r="DG25" i="14"/>
  <c r="DZ22" i="14"/>
  <c r="DQ22" i="14"/>
  <c r="DE22" i="14"/>
  <c r="DC22" i="14"/>
  <c r="DR22" i="14"/>
  <c r="DT22" i="14"/>
  <c r="DS22" i="14"/>
  <c r="DD22" i="14"/>
  <c r="DF22" i="14"/>
  <c r="DG22" i="14"/>
  <c r="DH22" i="14"/>
  <c r="DR21" i="14"/>
  <c r="DQ21" i="14"/>
  <c r="DZ21" i="14"/>
  <c r="DC21" i="14"/>
  <c r="DD21" i="14"/>
  <c r="DT21" i="14"/>
  <c r="DS21" i="14"/>
  <c r="DE21" i="14"/>
  <c r="DF21" i="14"/>
  <c r="DG21" i="14"/>
  <c r="DH21" i="14"/>
  <c r="FA19" i="14"/>
  <c r="EP19" i="14"/>
  <c r="EW19" i="14"/>
  <c r="EQ19" i="14"/>
  <c r="EO19" i="14"/>
  <c r="EX19" i="14"/>
  <c r="EY19" i="14"/>
  <c r="EZ19" i="14"/>
  <c r="FA18" i="14"/>
  <c r="EW18" i="14"/>
  <c r="EO18" i="14"/>
  <c r="ER18" i="14" s="1"/>
  <c r="EP18" i="14"/>
  <c r="EQ18" i="14"/>
  <c r="EX18" i="14"/>
  <c r="EZ18" i="14"/>
  <c r="EY18" i="14"/>
  <c r="DZ17" i="14"/>
  <c r="DQ17" i="14"/>
  <c r="DC17" i="14"/>
  <c r="DD17" i="14"/>
  <c r="DR17" i="14"/>
  <c r="DE17" i="14"/>
  <c r="DT17" i="14"/>
  <c r="DS17" i="14"/>
  <c r="DG17" i="14"/>
  <c r="DH17" i="14"/>
  <c r="DF17" i="14"/>
  <c r="FA14" i="14"/>
  <c r="EW14" i="14"/>
  <c r="EP14" i="14"/>
  <c r="EO14" i="14"/>
  <c r="EQ14" i="14"/>
  <c r="EX14" i="14"/>
  <c r="EY14" i="14"/>
  <c r="EZ14" i="14"/>
  <c r="DZ13" i="14"/>
  <c r="DQ13" i="14"/>
  <c r="DE13" i="14"/>
  <c r="DS13" i="14"/>
  <c r="DD13" i="14"/>
  <c r="DT13" i="14"/>
  <c r="DR13" i="14"/>
  <c r="DC13" i="14"/>
  <c r="DI13" i="14" s="1"/>
  <c r="DF13" i="14"/>
  <c r="DG13" i="14"/>
  <c r="DH13" i="14"/>
  <c r="DZ11" i="14"/>
  <c r="DQ11" i="14"/>
  <c r="DR11" i="14"/>
  <c r="DC11" i="14"/>
  <c r="DS11" i="14"/>
  <c r="DD11" i="14"/>
  <c r="DT11" i="14"/>
  <c r="DE11" i="14"/>
  <c r="DH11" i="14"/>
  <c r="DF11" i="14"/>
  <c r="DG11" i="14"/>
  <c r="DZ9" i="14"/>
  <c r="DQ9" i="14"/>
  <c r="DC9" i="14"/>
  <c r="DD9" i="14"/>
  <c r="DT9" i="14"/>
  <c r="DS9" i="14"/>
  <c r="DR9" i="14"/>
  <c r="DE9" i="14"/>
  <c r="DH9" i="14"/>
  <c r="DG9" i="14"/>
  <c r="DF9" i="14"/>
  <c r="DZ6" i="14"/>
  <c r="DR6" i="14"/>
  <c r="DQ6" i="14"/>
  <c r="DC6" i="14"/>
  <c r="DD6" i="14"/>
  <c r="DT6" i="14"/>
  <c r="DE6" i="14"/>
  <c r="DS6" i="14"/>
  <c r="DH6" i="14"/>
  <c r="DF6" i="14"/>
  <c r="DG6" i="14"/>
  <c r="DZ7" i="14"/>
  <c r="DQ7" i="14"/>
  <c r="DD7" i="14"/>
  <c r="DT7" i="14"/>
  <c r="DC7" i="14"/>
  <c r="DS7" i="14"/>
  <c r="DE7" i="14"/>
  <c r="DR7" i="14"/>
  <c r="DG7" i="14"/>
  <c r="DF7" i="14"/>
  <c r="DH7" i="14"/>
  <c r="FA127" i="14"/>
  <c r="EW127" i="14"/>
  <c r="EQ127" i="14"/>
  <c r="EP127" i="14"/>
  <c r="EO127" i="14"/>
  <c r="ER127" i="14" s="1"/>
  <c r="EX127" i="14"/>
  <c r="EZ127" i="14"/>
  <c r="EY127" i="14"/>
  <c r="AL92" i="14"/>
  <c r="AQ92" i="14"/>
  <c r="AO92" i="14"/>
  <c r="AR95" i="14"/>
  <c r="AQ95" i="14"/>
  <c r="AL99" i="14"/>
  <c r="AO99" i="14"/>
  <c r="AN99" i="14"/>
  <c r="AR101" i="14"/>
  <c r="AP101" i="14"/>
  <c r="AK103" i="14"/>
  <c r="AM103" i="14"/>
  <c r="AR108" i="14"/>
  <c r="AQ108" i="14"/>
  <c r="AR110" i="14"/>
  <c r="AK113" i="14"/>
  <c r="AJ113" i="14"/>
  <c r="AM113" i="14"/>
  <c r="AR115" i="14"/>
  <c r="AJ115" i="14"/>
  <c r="AL118" i="14"/>
  <c r="AO118" i="14"/>
  <c r="AP118" i="14"/>
  <c r="AL143" i="14"/>
  <c r="AM143" i="14"/>
  <c r="AL146" i="14"/>
  <c r="AN146" i="14"/>
  <c r="AL147" i="14"/>
  <c r="AL150" i="14"/>
  <c r="ET126" i="14"/>
  <c r="AX122" i="17"/>
  <c r="AJ122" i="17"/>
  <c r="AS122" i="17"/>
  <c r="AI122" i="17"/>
  <c r="AB122" i="17"/>
  <c r="X122" i="17"/>
  <c r="Y122" i="17"/>
  <c r="AB116" i="17"/>
  <c r="AX116" i="17"/>
  <c r="AJ116" i="17"/>
  <c r="AS116" i="17"/>
  <c r="AI116" i="17"/>
  <c r="X116" i="17"/>
  <c r="AA116" i="17"/>
  <c r="Z116" i="17"/>
  <c r="Y116" i="17"/>
  <c r="AX110" i="17"/>
  <c r="AJ110" i="17"/>
  <c r="AB110" i="17"/>
  <c r="AS110" i="17"/>
  <c r="AI110" i="17"/>
  <c r="Y110" i="17"/>
  <c r="Z110" i="17"/>
  <c r="X110" i="17"/>
  <c r="AA110" i="17"/>
  <c r="W155" i="17"/>
  <c r="AX106" i="17"/>
  <c r="AJ106" i="17"/>
  <c r="AB106" i="17"/>
  <c r="AS106" i="17"/>
  <c r="AI106" i="17"/>
  <c r="X106" i="17"/>
  <c r="AA106" i="17"/>
  <c r="Z106" i="17"/>
  <c r="Y106" i="17"/>
  <c r="AX100" i="17"/>
  <c r="AJ100" i="17"/>
  <c r="AB100" i="17"/>
  <c r="AI100" i="17"/>
  <c r="AS100" i="17"/>
  <c r="Z100" i="17"/>
  <c r="Y100" i="17"/>
  <c r="X100" i="17"/>
  <c r="AA100" i="17"/>
  <c r="AX92" i="17"/>
  <c r="AJ92" i="17"/>
  <c r="AB92" i="17"/>
  <c r="AS92" i="17"/>
  <c r="AI92" i="17"/>
  <c r="AA92" i="17"/>
  <c r="Z92" i="17"/>
  <c r="Y92" i="17"/>
  <c r="X92" i="17"/>
  <c r="AX80" i="17"/>
  <c r="AJ80" i="17"/>
  <c r="AB80" i="17"/>
  <c r="AS80" i="17"/>
  <c r="AI80" i="17"/>
  <c r="Z80" i="17"/>
  <c r="Y80" i="17"/>
  <c r="X80" i="17"/>
  <c r="AA80" i="17"/>
  <c r="AX74" i="17"/>
  <c r="AJ74" i="17"/>
  <c r="AB74" i="17"/>
  <c r="AS74" i="17"/>
  <c r="AI74" i="17"/>
  <c r="X74" i="17"/>
  <c r="AA74" i="17"/>
  <c r="Z74" i="17"/>
  <c r="Y74" i="17"/>
  <c r="AX70" i="17"/>
  <c r="AJ70" i="17"/>
  <c r="AB70" i="17"/>
  <c r="AI70" i="17"/>
  <c r="AS70" i="17"/>
  <c r="AA70" i="17"/>
  <c r="X70" i="17"/>
  <c r="Z70" i="17"/>
  <c r="Y70" i="17"/>
  <c r="AX66" i="17"/>
  <c r="AJ66" i="17"/>
  <c r="AB66" i="17"/>
  <c r="AS66" i="17"/>
  <c r="AI66" i="17"/>
  <c r="Z66" i="17"/>
  <c r="Y66" i="17"/>
  <c r="AA66" i="17"/>
  <c r="X66" i="17"/>
  <c r="BP60" i="17"/>
  <c r="BF60" i="17"/>
  <c r="BK60" i="17" s="1"/>
  <c r="BI60" i="17"/>
  <c r="BG60" i="17"/>
  <c r="BH60" i="17"/>
  <c r="BC60" i="17"/>
  <c r="BE60" i="17"/>
  <c r="BD60" i="17"/>
  <c r="BB60" i="17"/>
  <c r="BP54" i="17"/>
  <c r="BI54" i="17"/>
  <c r="BG54" i="17"/>
  <c r="BH54" i="17"/>
  <c r="BE54" i="17"/>
  <c r="BC54" i="17"/>
  <c r="BD54" i="17"/>
  <c r="BB54" i="17"/>
  <c r="BF54" i="17" s="1"/>
  <c r="BK54" i="17" s="1"/>
  <c r="BP44" i="17"/>
  <c r="BH44" i="17"/>
  <c r="BI44" i="17"/>
  <c r="BB44" i="17"/>
  <c r="BF44" i="17" s="1"/>
  <c r="BK44" i="17" s="1"/>
  <c r="BC44" i="17"/>
  <c r="BG44" i="17" s="1"/>
  <c r="BL44" i="17" s="1"/>
  <c r="BE44" i="17"/>
  <c r="BD44" i="17"/>
  <c r="AX38" i="17"/>
  <c r="AJ38" i="17"/>
  <c r="AB38" i="17"/>
  <c r="AS38" i="17"/>
  <c r="AI38" i="17"/>
  <c r="Z38" i="17"/>
  <c r="AA38" i="17"/>
  <c r="X38" i="17"/>
  <c r="Y38" i="17"/>
  <c r="AS32" i="17"/>
  <c r="AI32" i="17"/>
  <c r="AX32" i="17"/>
  <c r="AJ32" i="17"/>
  <c r="AB32" i="17"/>
  <c r="Z32" i="17"/>
  <c r="X32" i="17"/>
  <c r="AA32" i="17"/>
  <c r="Y32" i="17"/>
  <c r="AS26" i="17"/>
  <c r="AI26" i="17"/>
  <c r="AX26" i="17"/>
  <c r="AJ26" i="17"/>
  <c r="AB26" i="17"/>
  <c r="Z26" i="17"/>
  <c r="X26" i="17"/>
  <c r="AA26" i="17"/>
  <c r="Y26" i="17"/>
  <c r="BB18" i="17"/>
  <c r="BF18" i="17" s="1"/>
  <c r="BK18" i="17" s="1"/>
  <c r="BP18" i="17"/>
  <c r="BI18" i="17"/>
  <c r="BD18" i="17"/>
  <c r="BH18" i="17" s="1"/>
  <c r="BM18" i="17" s="1"/>
  <c r="BE18" i="17"/>
  <c r="BC18" i="17"/>
  <c r="BG18" i="17" s="1"/>
  <c r="BL18" i="17" s="1"/>
  <c r="AS14" i="17"/>
  <c r="AI14" i="17"/>
  <c r="AX14" i="17"/>
  <c r="AJ14" i="17"/>
  <c r="AB14" i="17"/>
  <c r="Y14" i="17"/>
  <c r="X14" i="17"/>
  <c r="Z14" i="17"/>
  <c r="AA14" i="17"/>
  <c r="AX10" i="17"/>
  <c r="AJ10" i="17"/>
  <c r="AB10" i="17"/>
  <c r="AS10" i="17"/>
  <c r="AI10" i="17"/>
  <c r="AA10" i="17"/>
  <c r="Z10" i="17"/>
  <c r="X10" i="17"/>
  <c r="Y10" i="17"/>
  <c r="AS126" i="17"/>
  <c r="AI126" i="17"/>
  <c r="AX126" i="17"/>
  <c r="AJ126" i="17"/>
  <c r="AB126" i="17"/>
  <c r="EF124" i="17"/>
  <c r="EH124" i="17"/>
  <c r="DZ124" i="17"/>
  <c r="DX124" i="17"/>
  <c r="DY124" i="17"/>
  <c r="EK124" i="17"/>
  <c r="EI124" i="17"/>
  <c r="EJ124" i="17"/>
  <c r="EH122" i="17"/>
  <c r="EF122" i="17"/>
  <c r="DZ122" i="17"/>
  <c r="DY122" i="17"/>
  <c r="DX122" i="17"/>
  <c r="EK122" i="17"/>
  <c r="EJ122" i="17"/>
  <c r="EI122" i="17"/>
  <c r="DK120" i="17"/>
  <c r="DB120" i="17"/>
  <c r="DE120" i="17"/>
  <c r="DC120" i="17"/>
  <c r="CN120" i="17"/>
  <c r="CQ120" i="17"/>
  <c r="CO120" i="17"/>
  <c r="CR120" i="17"/>
  <c r="CP120" i="17"/>
  <c r="CS120" i="17"/>
  <c r="DD120" i="17"/>
  <c r="DK119" i="17"/>
  <c r="DB119" i="17"/>
  <c r="DE119" i="17"/>
  <c r="DC119" i="17"/>
  <c r="CQ119" i="17"/>
  <c r="CR119" i="17"/>
  <c r="CO119" i="17"/>
  <c r="CN119" i="17"/>
  <c r="CP119" i="17"/>
  <c r="CS119" i="17"/>
  <c r="DD119" i="17"/>
  <c r="EF118" i="17"/>
  <c r="EH118" i="17"/>
  <c r="DY118" i="17"/>
  <c r="DX118" i="17"/>
  <c r="DZ118" i="17"/>
  <c r="EK118" i="17"/>
  <c r="EI118" i="17"/>
  <c r="EJ118" i="17"/>
  <c r="EF116" i="17"/>
  <c r="EH116" i="17"/>
  <c r="DZ116" i="17"/>
  <c r="DX116" i="17"/>
  <c r="DY116" i="17"/>
  <c r="EK116" i="17"/>
  <c r="EJ116" i="17"/>
  <c r="EI116" i="17"/>
  <c r="EF115" i="17"/>
  <c r="EH115" i="17"/>
  <c r="DX115" i="17"/>
  <c r="DY115" i="17"/>
  <c r="DZ115" i="17"/>
  <c r="EK115" i="17"/>
  <c r="EI115" i="17"/>
  <c r="EJ115" i="17"/>
  <c r="EH112" i="17"/>
  <c r="EF112" i="17"/>
  <c r="DX112" i="17"/>
  <c r="DY112" i="17"/>
  <c r="DZ112" i="17"/>
  <c r="EK112" i="17"/>
  <c r="EI112" i="17"/>
  <c r="EJ112" i="17"/>
  <c r="DK111" i="17"/>
  <c r="DB111" i="17"/>
  <c r="DE111" i="17"/>
  <c r="DC111" i="17"/>
  <c r="CS111" i="17"/>
  <c r="CO111" i="17"/>
  <c r="CR111" i="17"/>
  <c r="CN111" i="17"/>
  <c r="CQ111" i="17"/>
  <c r="CP111" i="17"/>
  <c r="DD111" i="17"/>
  <c r="EH110" i="17"/>
  <c r="EF110" i="17"/>
  <c r="DX110" i="17"/>
  <c r="DZ110" i="17"/>
  <c r="DY110" i="17"/>
  <c r="EK110" i="17"/>
  <c r="EJ110" i="17"/>
  <c r="EI110" i="17"/>
  <c r="DK108" i="17"/>
  <c r="DB108" i="17"/>
  <c r="DE108" i="17"/>
  <c r="DC108" i="17"/>
  <c r="CS108" i="17"/>
  <c r="CO108" i="17"/>
  <c r="CP108" i="17"/>
  <c r="CN108" i="17"/>
  <c r="CR108" i="17"/>
  <c r="CQ108" i="17"/>
  <c r="DD108" i="17"/>
  <c r="DK107" i="17"/>
  <c r="DB107" i="17"/>
  <c r="DE107" i="17"/>
  <c r="DC107" i="17"/>
  <c r="CR107" i="17"/>
  <c r="CS107" i="17"/>
  <c r="CP107" i="17"/>
  <c r="CQ107" i="17"/>
  <c r="CN107" i="17"/>
  <c r="CO107" i="17"/>
  <c r="DD107" i="17"/>
  <c r="EH104" i="17"/>
  <c r="EF104" i="17"/>
  <c r="DZ104" i="17"/>
  <c r="DX104" i="17"/>
  <c r="DY104" i="17"/>
  <c r="EK104" i="17"/>
  <c r="EI104" i="17"/>
  <c r="EJ104" i="17"/>
  <c r="DB103" i="17"/>
  <c r="DK103" i="17"/>
  <c r="DC103" i="17"/>
  <c r="DE103" i="17"/>
  <c r="CQ103" i="17"/>
  <c r="CO103" i="17"/>
  <c r="CR103" i="17"/>
  <c r="CP103" i="17"/>
  <c r="CS103" i="17"/>
  <c r="CN103" i="17"/>
  <c r="DD103" i="17"/>
  <c r="DK102" i="17"/>
  <c r="DB102" i="17"/>
  <c r="DE102" i="17"/>
  <c r="DC102" i="17"/>
  <c r="CQ102" i="17"/>
  <c r="CP102" i="17"/>
  <c r="CN102" i="17"/>
  <c r="CS102" i="17"/>
  <c r="CR102" i="17"/>
  <c r="CO102" i="17"/>
  <c r="DD102" i="17"/>
  <c r="EH100" i="17"/>
  <c r="EF100" i="17"/>
  <c r="DZ100" i="17"/>
  <c r="DY100" i="17"/>
  <c r="DX100" i="17"/>
  <c r="EK100" i="17"/>
  <c r="EJ100" i="17"/>
  <c r="EI100" i="17"/>
  <c r="EH99" i="17"/>
  <c r="EF99" i="17"/>
  <c r="DY99" i="17"/>
  <c r="DX99" i="17"/>
  <c r="DZ99" i="17"/>
  <c r="EK99" i="17"/>
  <c r="EJ99" i="17"/>
  <c r="EI99" i="17"/>
  <c r="DK98" i="17"/>
  <c r="DB98" i="17"/>
  <c r="DE98" i="17"/>
  <c r="DC98" i="17"/>
  <c r="CR98" i="17"/>
  <c r="CQ98" i="17"/>
  <c r="CN98" i="17"/>
  <c r="CP98" i="17"/>
  <c r="CO98" i="17"/>
  <c r="CU98" i="17" s="1"/>
  <c r="CS98" i="17"/>
  <c r="DD98" i="17"/>
  <c r="DK96" i="17"/>
  <c r="DB96" i="17"/>
  <c r="DC96" i="17"/>
  <c r="DE96" i="17"/>
  <c r="CS96" i="17"/>
  <c r="CR96" i="17"/>
  <c r="CN96" i="17"/>
  <c r="CP96" i="17"/>
  <c r="CQ96" i="17"/>
  <c r="CO96" i="17"/>
  <c r="DD96" i="17"/>
  <c r="EH95" i="17"/>
  <c r="EF95" i="17"/>
  <c r="DX95" i="17"/>
  <c r="DZ95" i="17"/>
  <c r="DY95" i="17"/>
  <c r="EK95" i="17"/>
  <c r="EI95" i="17"/>
  <c r="EJ95" i="17"/>
  <c r="EH92" i="17"/>
  <c r="EF92" i="17"/>
  <c r="DX92" i="17"/>
  <c r="DZ92" i="17"/>
  <c r="DY92" i="17"/>
  <c r="EK92" i="17"/>
  <c r="EI92" i="17"/>
  <c r="EJ92" i="17"/>
  <c r="EF91" i="17"/>
  <c r="EH91" i="17"/>
  <c r="DZ91" i="17"/>
  <c r="DX91" i="17"/>
  <c r="DY91" i="17"/>
  <c r="EK91" i="17"/>
  <c r="EJ91" i="17"/>
  <c r="EI91" i="17"/>
  <c r="EH86" i="17"/>
  <c r="EF86" i="17"/>
  <c r="DX86" i="17"/>
  <c r="DY86" i="17"/>
  <c r="DZ86" i="17"/>
  <c r="EK86" i="17"/>
  <c r="EI86" i="17"/>
  <c r="EJ86" i="17"/>
  <c r="EH83" i="17"/>
  <c r="EF83" i="17"/>
  <c r="DZ83" i="17"/>
  <c r="DY83" i="17"/>
  <c r="DX83" i="17"/>
  <c r="EK83" i="17"/>
  <c r="EI83" i="17"/>
  <c r="EJ83" i="17"/>
  <c r="DK82" i="17"/>
  <c r="DB82" i="17"/>
  <c r="DC82" i="17"/>
  <c r="DE82" i="17"/>
  <c r="CQ82" i="17"/>
  <c r="CS82" i="17"/>
  <c r="CN82" i="17"/>
  <c r="CP82" i="17"/>
  <c r="CO82" i="17"/>
  <c r="CR82" i="17"/>
  <c r="DD82" i="17"/>
  <c r="DK79" i="17"/>
  <c r="DB79" i="17"/>
  <c r="DE79" i="17"/>
  <c r="DC79" i="17"/>
  <c r="CQ79" i="17"/>
  <c r="CP79" i="17"/>
  <c r="CO79" i="17"/>
  <c r="CR79" i="17"/>
  <c r="CN79" i="17"/>
  <c r="CT79" i="17" s="1"/>
  <c r="CS79" i="17"/>
  <c r="DD79" i="17"/>
  <c r="EH78" i="17"/>
  <c r="EF78" i="17"/>
  <c r="DZ78" i="17"/>
  <c r="DY78" i="17"/>
  <c r="DX78" i="17"/>
  <c r="EK78" i="17"/>
  <c r="EI78" i="17"/>
  <c r="EJ78" i="17"/>
  <c r="EH75" i="17"/>
  <c r="EF75" i="17"/>
  <c r="DZ75" i="17"/>
  <c r="DY75" i="17"/>
  <c r="DX75" i="17"/>
  <c r="EK75" i="17"/>
  <c r="EI75" i="17"/>
  <c r="EJ75" i="17"/>
  <c r="DK74" i="17"/>
  <c r="DB74" i="17"/>
  <c r="DC74" i="17"/>
  <c r="DE74" i="17"/>
  <c r="CQ74" i="17"/>
  <c r="CS74" i="17"/>
  <c r="CN74" i="17"/>
  <c r="CP74" i="17"/>
  <c r="CO74" i="17"/>
  <c r="CR74" i="17"/>
  <c r="DD74" i="17"/>
  <c r="DK72" i="17"/>
  <c r="DB72" i="17"/>
  <c r="DC72" i="17"/>
  <c r="DE72" i="17"/>
  <c r="CR72" i="17"/>
  <c r="CO72" i="17"/>
  <c r="CQ72" i="17"/>
  <c r="CN72" i="17"/>
  <c r="CP72" i="17"/>
  <c r="CS72" i="17"/>
  <c r="DD72" i="17"/>
  <c r="EH71" i="17"/>
  <c r="EF71" i="17"/>
  <c r="DZ71" i="17"/>
  <c r="DY71" i="17"/>
  <c r="DX71" i="17"/>
  <c r="EK71" i="17"/>
  <c r="EI71" i="17"/>
  <c r="EJ71" i="17"/>
  <c r="EH70" i="17"/>
  <c r="EF70" i="17"/>
  <c r="DZ70" i="17"/>
  <c r="DX70" i="17"/>
  <c r="DY70" i="17"/>
  <c r="EK70" i="17"/>
  <c r="EI70" i="17"/>
  <c r="EJ70" i="17"/>
  <c r="DK67" i="17"/>
  <c r="DB67" i="17"/>
  <c r="DC67" i="17"/>
  <c r="DE67" i="17"/>
  <c r="CS67" i="17"/>
  <c r="CO67" i="17"/>
  <c r="CP67" i="17"/>
  <c r="CR67" i="17"/>
  <c r="CQ67" i="17"/>
  <c r="CN67" i="17"/>
  <c r="DD67" i="17"/>
  <c r="DK66" i="17"/>
  <c r="DB66" i="17"/>
  <c r="DC66" i="17"/>
  <c r="DE66" i="17"/>
  <c r="CR66" i="17"/>
  <c r="CO66" i="17"/>
  <c r="CN66" i="17"/>
  <c r="CQ66" i="17"/>
  <c r="CS66" i="17"/>
  <c r="CP66" i="17"/>
  <c r="DD66" i="17"/>
  <c r="EH64" i="17"/>
  <c r="EF64" i="17"/>
  <c r="DX64" i="17"/>
  <c r="DZ64" i="17"/>
  <c r="DY64" i="17"/>
  <c r="EK64" i="17"/>
  <c r="EI64" i="17"/>
  <c r="EJ64" i="17"/>
  <c r="DK62" i="17"/>
  <c r="DB62" i="17"/>
  <c r="DE62" i="17"/>
  <c r="DC62" i="17"/>
  <c r="CQ62" i="17"/>
  <c r="CP62" i="17"/>
  <c r="CR62" i="17"/>
  <c r="CO62" i="17"/>
  <c r="CN62" i="17"/>
  <c r="CS62" i="17"/>
  <c r="DD62" i="17"/>
  <c r="DK60" i="17"/>
  <c r="DB60" i="17"/>
  <c r="DC60" i="17"/>
  <c r="DE60" i="17"/>
  <c r="CS60" i="17"/>
  <c r="CO60" i="17"/>
  <c r="CP60" i="17"/>
  <c r="CQ60" i="17"/>
  <c r="CR60" i="17"/>
  <c r="CN60" i="17"/>
  <c r="DD60" i="17"/>
  <c r="EF55" i="17"/>
  <c r="EH55" i="17"/>
  <c r="DX55" i="17"/>
  <c r="DZ55" i="17"/>
  <c r="DY55" i="17"/>
  <c r="EK55" i="17"/>
  <c r="EJ55" i="17"/>
  <c r="EI55" i="17"/>
  <c r="DK54" i="17"/>
  <c r="DB54" i="17"/>
  <c r="DE54" i="17"/>
  <c r="DC54" i="17"/>
  <c r="CQ54" i="17"/>
  <c r="CP54" i="17"/>
  <c r="CR54" i="17"/>
  <c r="CO54" i="17"/>
  <c r="CN54" i="17"/>
  <c r="CT54" i="17" s="1"/>
  <c r="CS54" i="17"/>
  <c r="DD54" i="17"/>
  <c r="EH51" i="17"/>
  <c r="EF51" i="17"/>
  <c r="DZ51" i="17"/>
  <c r="DX51" i="17"/>
  <c r="DY51" i="17"/>
  <c r="EK51" i="17"/>
  <c r="EI51" i="17"/>
  <c r="EJ51" i="17"/>
  <c r="DK50" i="17"/>
  <c r="DB50" i="17"/>
  <c r="DE50" i="17"/>
  <c r="DC50" i="17"/>
  <c r="CP50" i="17"/>
  <c r="CS50" i="17"/>
  <c r="CQ50" i="17"/>
  <c r="CR50" i="17"/>
  <c r="CO50" i="17"/>
  <c r="CN50" i="17"/>
  <c r="DD50" i="17"/>
  <c r="DK48" i="17"/>
  <c r="DB48" i="17"/>
  <c r="DE48" i="17"/>
  <c r="DC48" i="17"/>
  <c r="CN48" i="17"/>
  <c r="CP48" i="17"/>
  <c r="CO48" i="17"/>
  <c r="CS48" i="17"/>
  <c r="CR48" i="17"/>
  <c r="CQ48" i="17"/>
  <c r="DD48" i="17"/>
  <c r="DK46" i="17"/>
  <c r="DB46" i="17"/>
  <c r="DE46" i="17"/>
  <c r="DC46" i="17"/>
  <c r="CS46" i="17"/>
  <c r="CQ46" i="17"/>
  <c r="CR46" i="17"/>
  <c r="CN46" i="17"/>
  <c r="CP46" i="17"/>
  <c r="CV46" i="17" s="1"/>
  <c r="CO46" i="17"/>
  <c r="DD46" i="17"/>
  <c r="EF44" i="17"/>
  <c r="EH44" i="17"/>
  <c r="DY44" i="17"/>
  <c r="DX44" i="17"/>
  <c r="DZ44" i="17"/>
  <c r="EK44" i="17"/>
  <c r="EI44" i="17"/>
  <c r="EJ44" i="17"/>
  <c r="EH43" i="17"/>
  <c r="EF43" i="17"/>
  <c r="DY43" i="17"/>
  <c r="DZ43" i="17"/>
  <c r="DX43" i="17"/>
  <c r="EK43" i="17"/>
  <c r="EJ43" i="17"/>
  <c r="EI43" i="17"/>
  <c r="EH42" i="17"/>
  <c r="EF42" i="17"/>
  <c r="DZ42" i="17"/>
  <c r="DY42" i="17"/>
  <c r="DX42" i="17"/>
  <c r="EK42" i="17"/>
  <c r="EI42" i="17"/>
  <c r="EJ42" i="17"/>
  <c r="DK39" i="17"/>
  <c r="DB39" i="17"/>
  <c r="DC39" i="17"/>
  <c r="DE39" i="17"/>
  <c r="CN39" i="17"/>
  <c r="CP39" i="17"/>
  <c r="CR39" i="17"/>
  <c r="CQ39" i="17"/>
  <c r="CS39" i="17"/>
  <c r="CO39" i="17"/>
  <c r="DD39" i="17"/>
  <c r="EH38" i="17"/>
  <c r="EF38" i="17"/>
  <c r="DZ38" i="17"/>
  <c r="DY38" i="17"/>
  <c r="DX38" i="17"/>
  <c r="EK38" i="17"/>
  <c r="EJ38" i="17"/>
  <c r="EI38" i="17"/>
  <c r="DK36" i="17"/>
  <c r="DB36" i="17"/>
  <c r="DC36" i="17"/>
  <c r="DE36" i="17"/>
  <c r="CQ36" i="17"/>
  <c r="CO36" i="17"/>
  <c r="CS36" i="17"/>
  <c r="CP36" i="17"/>
  <c r="CN36" i="17"/>
  <c r="CT36" i="17" s="1"/>
  <c r="DD36" i="17"/>
  <c r="CR36" i="17"/>
  <c r="DK34" i="17"/>
  <c r="DB34" i="17"/>
  <c r="CQ34" i="17"/>
  <c r="DE34" i="17"/>
  <c r="DC34" i="17"/>
  <c r="CS34" i="17"/>
  <c r="CO34" i="17"/>
  <c r="CP34" i="17"/>
  <c r="CN34" i="17"/>
  <c r="CR34" i="17"/>
  <c r="DD34" i="17"/>
  <c r="EH31" i="17"/>
  <c r="EF31" i="17"/>
  <c r="DX31" i="17"/>
  <c r="DY31" i="17"/>
  <c r="DZ31" i="17"/>
  <c r="EK31" i="17"/>
  <c r="EI31" i="17"/>
  <c r="EJ31" i="17"/>
  <c r="DK27" i="17"/>
  <c r="DB27" i="17"/>
  <c r="CO27" i="17"/>
  <c r="CQ27" i="17"/>
  <c r="DE27" i="17"/>
  <c r="CS27" i="17"/>
  <c r="DC27" i="17"/>
  <c r="CP27" i="17"/>
  <c r="CN27" i="17"/>
  <c r="CR27" i="17"/>
  <c r="DD27" i="17"/>
  <c r="DZ26" i="17"/>
  <c r="EH26" i="17"/>
  <c r="DY26" i="17"/>
  <c r="EF26" i="17"/>
  <c r="DX26" i="17"/>
  <c r="EK26" i="17"/>
  <c r="EI26" i="17"/>
  <c r="EJ26" i="17"/>
  <c r="EF24" i="17"/>
  <c r="DX24" i="17"/>
  <c r="DZ24" i="17"/>
  <c r="EH24" i="17"/>
  <c r="DY24" i="17"/>
  <c r="EK24" i="17"/>
  <c r="EI24" i="17"/>
  <c r="EJ24" i="17"/>
  <c r="EH23" i="17"/>
  <c r="DY23" i="17"/>
  <c r="EF23" i="17"/>
  <c r="DX23" i="17"/>
  <c r="DZ23" i="17"/>
  <c r="EK23" i="17"/>
  <c r="EI23" i="17"/>
  <c r="EJ23" i="17"/>
  <c r="CP22" i="17"/>
  <c r="DK22" i="17"/>
  <c r="DB22" i="17"/>
  <c r="CO22" i="17"/>
  <c r="CN22" i="17"/>
  <c r="CQ22" i="17"/>
  <c r="DE22" i="17"/>
  <c r="CS22" i="17"/>
  <c r="DC22" i="17"/>
  <c r="DD22" i="17"/>
  <c r="CR22" i="17"/>
  <c r="DK20" i="17"/>
  <c r="DB20" i="17"/>
  <c r="CO20" i="17"/>
  <c r="CN20" i="17"/>
  <c r="CP20" i="17"/>
  <c r="CS20" i="17"/>
  <c r="DE20" i="17"/>
  <c r="CQ20" i="17"/>
  <c r="DC20" i="17"/>
  <c r="DD20" i="17"/>
  <c r="CR20" i="17"/>
  <c r="DZ15" i="17"/>
  <c r="EH15" i="17"/>
  <c r="DY15" i="17"/>
  <c r="EF15" i="17"/>
  <c r="DX15" i="17"/>
  <c r="EK15" i="17"/>
  <c r="EJ15" i="17"/>
  <c r="EI15" i="17"/>
  <c r="EH14" i="17"/>
  <c r="DY14" i="17"/>
  <c r="EF14" i="17"/>
  <c r="DX14" i="17"/>
  <c r="DZ14" i="17"/>
  <c r="EK14" i="17"/>
  <c r="EJ14" i="17"/>
  <c r="EI14" i="17"/>
  <c r="CP11" i="17"/>
  <c r="DK11" i="17"/>
  <c r="DB11" i="17"/>
  <c r="CO11" i="17"/>
  <c r="CN11" i="17"/>
  <c r="CQ11" i="17"/>
  <c r="DC11" i="17"/>
  <c r="DE11" i="17"/>
  <c r="CS11" i="17"/>
  <c r="CR11" i="17"/>
  <c r="DD11" i="17"/>
  <c r="DK10" i="17"/>
  <c r="DB10" i="17"/>
  <c r="CO10" i="17"/>
  <c r="CN10" i="17"/>
  <c r="CP10" i="17"/>
  <c r="CQ10" i="17"/>
  <c r="DC10" i="17"/>
  <c r="DE10" i="17"/>
  <c r="CS10" i="17"/>
  <c r="CR10" i="17"/>
  <c r="DD10" i="17"/>
  <c r="CN7" i="17"/>
  <c r="CP7" i="17"/>
  <c r="CS7" i="17"/>
  <c r="DB7" i="17"/>
  <c r="CO7" i="17"/>
  <c r="DK7" i="17"/>
  <c r="DE7" i="17"/>
  <c r="DC7" i="17"/>
  <c r="CQ7" i="17"/>
  <c r="CR7" i="17"/>
  <c r="DD7" i="17"/>
  <c r="DZ5" i="17"/>
  <c r="EH5" i="17"/>
  <c r="DY5" i="17"/>
  <c r="EF5" i="17"/>
  <c r="DX5" i="17"/>
  <c r="EK5" i="17"/>
  <c r="EI5" i="17"/>
  <c r="EJ5" i="17"/>
  <c r="DK126" i="17"/>
  <c r="DB126" i="17"/>
  <c r="DE126" i="17"/>
  <c r="DC126" i="17"/>
  <c r="CS126" i="17"/>
  <c r="CQ126" i="17"/>
  <c r="CP126" i="17"/>
  <c r="CO126" i="17"/>
  <c r="CR126" i="17"/>
  <c r="CN126" i="17"/>
  <c r="CT126" i="17" s="1"/>
  <c r="DD126" i="17"/>
  <c r="AR43" i="14"/>
  <c r="AQ43" i="14"/>
  <c r="AK44" i="14"/>
  <c r="AJ44" i="14"/>
  <c r="AQ44" i="14"/>
  <c r="AR47" i="14"/>
  <c r="AJ47" i="14"/>
  <c r="AO47" i="14"/>
  <c r="AR52" i="14"/>
  <c r="AJ52" i="14"/>
  <c r="AO52" i="14"/>
  <c r="AL75" i="14"/>
  <c r="AN75" i="14"/>
  <c r="AL81" i="14"/>
  <c r="AS81" i="14"/>
  <c r="AM81" i="14"/>
  <c r="AL82" i="14"/>
  <c r="AJ82" i="14"/>
  <c r="AK83" i="14"/>
  <c r="AO83" i="14"/>
  <c r="AQ83" i="14"/>
  <c r="AL84" i="14"/>
  <c r="AN84" i="14"/>
  <c r="AK85" i="14"/>
  <c r="AS85" i="14"/>
  <c r="AM85" i="14"/>
  <c r="AL89" i="14"/>
  <c r="AO89" i="14"/>
  <c r="AQ109" i="14"/>
  <c r="AM109" i="14"/>
  <c r="AK111" i="14"/>
  <c r="AQ111" i="14"/>
  <c r="AN111" i="14"/>
  <c r="AL131" i="14"/>
  <c r="AN131" i="14"/>
  <c r="AL37" i="14"/>
  <c r="AO37" i="14"/>
  <c r="AJ49" i="14"/>
  <c r="AM49" i="14"/>
  <c r="AL55" i="14"/>
  <c r="AQ55" i="14"/>
  <c r="AP55" i="14"/>
  <c r="AR57" i="14"/>
  <c r="AO57" i="14"/>
  <c r="AM57" i="14"/>
  <c r="AN60" i="14"/>
  <c r="AQ60" i="14"/>
  <c r="AR86" i="14"/>
  <c r="AN86" i="14"/>
  <c r="AP86" i="14"/>
  <c r="AP93" i="14"/>
  <c r="AN93" i="14"/>
  <c r="AR94" i="14"/>
  <c r="AN94" i="14"/>
  <c r="AP94" i="14"/>
  <c r="AK105" i="14"/>
  <c r="AJ105" i="14"/>
  <c r="AO105" i="14"/>
  <c r="AL114" i="14"/>
  <c r="AO114" i="14"/>
  <c r="AP130" i="14"/>
  <c r="AQ130" i="14"/>
  <c r="AJ132" i="14"/>
  <c r="AQ132" i="14"/>
  <c r="AK134" i="14"/>
  <c r="AK136" i="14"/>
  <c r="AJ136" i="14"/>
  <c r="AM136" i="14"/>
  <c r="AL145" i="14"/>
  <c r="AM145" i="14"/>
  <c r="AJ112" i="14"/>
  <c r="AQ112" i="14"/>
  <c r="AK149" i="14"/>
  <c r="X156" i="15"/>
  <c r="BA156" i="15" s="1"/>
  <c r="T156" i="15"/>
  <c r="AW156" i="15" s="1"/>
  <c r="W156" i="15"/>
  <c r="AZ156" i="15" s="1"/>
  <c r="S156" i="15"/>
  <c r="AV156" i="15" s="1"/>
  <c r="Z156" i="15"/>
  <c r="BC156" i="15" s="1"/>
  <c r="V156" i="15"/>
  <c r="AY156" i="15" s="1"/>
  <c r="R156" i="15"/>
  <c r="AU156" i="15" s="1"/>
  <c r="AL156" i="15"/>
  <c r="Y156" i="15"/>
  <c r="BB156" i="15" s="1"/>
  <c r="U156" i="15"/>
  <c r="AX156" i="15" s="1"/>
  <c r="AL40" i="14"/>
  <c r="AP40" i="14"/>
  <c r="AR45" i="14"/>
  <c r="AQ45" i="14"/>
  <c r="AR48" i="14"/>
  <c r="AP48" i="14"/>
  <c r="AQ48" i="14"/>
  <c r="AJ51" i="14"/>
  <c r="AQ51" i="14"/>
  <c r="AJ53" i="14"/>
  <c r="AP53" i="14"/>
  <c r="AR54" i="14"/>
  <c r="AJ54" i="14"/>
  <c r="AM54" i="14"/>
  <c r="AL65" i="14"/>
  <c r="AM65" i="14"/>
  <c r="AR66" i="14"/>
  <c r="AN66" i="14"/>
  <c r="AQ66" i="14"/>
  <c r="AR70" i="14"/>
  <c r="AS70" i="14"/>
  <c r="AM70" i="14"/>
  <c r="AN71" i="14"/>
  <c r="AQ71" i="14"/>
  <c r="AN79" i="14"/>
  <c r="AM79" i="14"/>
  <c r="AK91" i="14"/>
  <c r="AJ91" i="14"/>
  <c r="AL100" i="14"/>
  <c r="AM100" i="14"/>
  <c r="AL104" i="14"/>
  <c r="AP104" i="14"/>
  <c r="AL117" i="14"/>
  <c r="AJ117" i="14"/>
  <c r="AM117" i="14"/>
  <c r="AK124" i="14"/>
  <c r="AJ124" i="14"/>
  <c r="AK128" i="14"/>
  <c r="AP128" i="14"/>
  <c r="AK129" i="14"/>
  <c r="AM129" i="14"/>
  <c r="AJ139" i="14"/>
  <c r="AO139" i="14"/>
  <c r="AM142" i="14"/>
  <c r="AO142" i="14"/>
  <c r="AK152" i="14"/>
  <c r="DZ124" i="14"/>
  <c r="DQ124" i="14"/>
  <c r="DR124" i="14"/>
  <c r="DE124" i="14"/>
  <c r="DS124" i="14"/>
  <c r="DT124" i="14"/>
  <c r="DD124" i="14"/>
  <c r="DC124" i="14"/>
  <c r="DH124" i="14"/>
  <c r="DG124" i="14"/>
  <c r="DF124" i="14"/>
  <c r="FA123" i="14"/>
  <c r="EW123" i="14"/>
  <c r="EQ123" i="14"/>
  <c r="EP123" i="14"/>
  <c r="EO123" i="14"/>
  <c r="EX123" i="14"/>
  <c r="EZ123" i="14"/>
  <c r="EY123" i="14"/>
  <c r="FA120" i="14"/>
  <c r="EW120" i="14"/>
  <c r="EP120" i="14"/>
  <c r="EQ120" i="14"/>
  <c r="EO120" i="14"/>
  <c r="EX120" i="14"/>
  <c r="EY120" i="14"/>
  <c r="EZ120" i="14"/>
  <c r="FA119" i="14"/>
  <c r="EW119" i="14"/>
  <c r="EO119" i="14"/>
  <c r="EQ119" i="14"/>
  <c r="EP119" i="14"/>
  <c r="EX119" i="14"/>
  <c r="EY119" i="14"/>
  <c r="EZ119" i="14"/>
  <c r="DZ118" i="14"/>
  <c r="DQ118" i="14"/>
  <c r="DS118" i="14"/>
  <c r="DC118" i="14"/>
  <c r="DT118" i="14"/>
  <c r="DE118" i="14"/>
  <c r="DR118" i="14"/>
  <c r="DD118" i="14"/>
  <c r="DG118" i="14"/>
  <c r="DH118" i="14"/>
  <c r="DF118" i="14"/>
  <c r="FA115" i="14"/>
  <c r="EW115" i="14"/>
  <c r="EP115" i="14"/>
  <c r="EO115" i="14"/>
  <c r="EQ115" i="14"/>
  <c r="EX115" i="14"/>
  <c r="EY115" i="14"/>
  <c r="EZ115" i="14"/>
  <c r="DZ114" i="14"/>
  <c r="DQ114" i="14"/>
  <c r="DR114" i="14"/>
  <c r="DD114" i="14"/>
  <c r="DE114" i="14"/>
  <c r="DS114" i="14"/>
  <c r="DC114" i="14"/>
  <c r="DT114" i="14"/>
  <c r="DH114" i="14"/>
  <c r="DG114" i="14"/>
  <c r="DF114" i="14"/>
  <c r="FA112" i="14"/>
  <c r="EW112" i="14"/>
  <c r="EP112" i="14"/>
  <c r="EQ112" i="14"/>
  <c r="EO112" i="14"/>
  <c r="EX112" i="14"/>
  <c r="EY112" i="14"/>
  <c r="EZ112" i="14"/>
  <c r="FA110" i="14"/>
  <c r="EW110" i="14"/>
  <c r="EQ110" i="14"/>
  <c r="EP110" i="14"/>
  <c r="EO110" i="14"/>
  <c r="EX110" i="14"/>
  <c r="EY110" i="14"/>
  <c r="EZ110" i="14"/>
  <c r="DZ108" i="14"/>
  <c r="DQ108" i="14"/>
  <c r="DS108" i="14"/>
  <c r="DR108" i="14"/>
  <c r="DD108" i="14"/>
  <c r="DC108" i="14"/>
  <c r="DT108" i="14"/>
  <c r="DE108" i="14"/>
  <c r="DF108" i="14"/>
  <c r="DG108" i="14"/>
  <c r="DH108" i="14"/>
  <c r="FA107" i="14"/>
  <c r="EW107" i="14"/>
  <c r="EP107" i="14"/>
  <c r="EO107" i="14"/>
  <c r="EQ107" i="14"/>
  <c r="EX107" i="14"/>
  <c r="EZ107" i="14"/>
  <c r="EY107" i="14"/>
  <c r="DZ106" i="14"/>
  <c r="DQ106" i="14"/>
  <c r="DD106" i="14"/>
  <c r="DE106" i="14"/>
  <c r="DS106" i="14"/>
  <c r="DC106" i="14"/>
  <c r="DT106" i="14"/>
  <c r="DR106" i="14"/>
  <c r="DH106" i="14"/>
  <c r="DG106" i="14"/>
  <c r="DF106" i="14"/>
  <c r="FA104" i="14"/>
  <c r="EW104" i="14"/>
  <c r="EP104" i="14"/>
  <c r="EQ104" i="14"/>
  <c r="EO104" i="14"/>
  <c r="EX104" i="14"/>
  <c r="EZ104" i="14"/>
  <c r="EY104" i="14"/>
  <c r="DZ103" i="14"/>
  <c r="DQ103" i="14"/>
  <c r="DT103" i="14"/>
  <c r="DE103" i="14"/>
  <c r="DD103" i="14"/>
  <c r="DC103" i="14"/>
  <c r="DS103" i="14"/>
  <c r="DR103" i="14"/>
  <c r="DF103" i="14"/>
  <c r="DH103" i="14"/>
  <c r="DG103" i="14"/>
  <c r="FA102" i="14"/>
  <c r="EW102" i="14"/>
  <c r="EQ102" i="14"/>
  <c r="EP102" i="14"/>
  <c r="EO102" i="14"/>
  <c r="EX102" i="14"/>
  <c r="EY102" i="14"/>
  <c r="EZ102" i="14"/>
  <c r="FA100" i="14"/>
  <c r="EW100" i="14"/>
  <c r="EQ100" i="14"/>
  <c r="EO100" i="14"/>
  <c r="EP100" i="14"/>
  <c r="EX100" i="14"/>
  <c r="EZ100" i="14"/>
  <c r="EY100" i="14"/>
  <c r="FA98" i="14"/>
  <c r="EW98" i="14"/>
  <c r="EP98" i="14"/>
  <c r="EO98" i="14"/>
  <c r="EQ98" i="14"/>
  <c r="EX98" i="14"/>
  <c r="EZ98" i="14"/>
  <c r="EY98" i="14"/>
  <c r="DQ96" i="14"/>
  <c r="DZ96" i="14"/>
  <c r="DS96" i="14"/>
  <c r="DC96" i="14"/>
  <c r="DD96" i="14"/>
  <c r="DT96" i="14"/>
  <c r="DR96" i="14"/>
  <c r="DE96" i="14"/>
  <c r="DG96" i="14"/>
  <c r="DF96" i="14"/>
  <c r="DH96" i="14"/>
  <c r="FA95" i="14"/>
  <c r="EW95" i="14"/>
  <c r="EQ95" i="14"/>
  <c r="EP95" i="14"/>
  <c r="EO95" i="14"/>
  <c r="EX95" i="14"/>
  <c r="EZ95" i="14"/>
  <c r="EY95" i="14"/>
  <c r="EW94" i="14"/>
  <c r="FA94" i="14"/>
  <c r="EO94" i="14"/>
  <c r="EP94" i="14"/>
  <c r="EQ94" i="14"/>
  <c r="EX94" i="14"/>
  <c r="EY94" i="14"/>
  <c r="EZ94" i="14"/>
  <c r="DQ91" i="14"/>
  <c r="DZ91" i="14"/>
  <c r="DT91" i="14"/>
  <c r="DC91" i="14"/>
  <c r="DD91" i="14"/>
  <c r="DS91" i="14"/>
  <c r="DR91" i="14"/>
  <c r="DE91" i="14"/>
  <c r="DG91" i="14"/>
  <c r="DF91" i="14"/>
  <c r="DH91" i="14"/>
  <c r="DZ90" i="14"/>
  <c r="DQ90" i="14"/>
  <c r="DD90" i="14"/>
  <c r="DT90" i="14"/>
  <c r="DE90" i="14"/>
  <c r="DS90" i="14"/>
  <c r="DR90" i="14"/>
  <c r="DC90" i="14"/>
  <c r="DG90" i="14"/>
  <c r="DF90" i="14"/>
  <c r="DH90" i="14"/>
  <c r="FA88" i="14"/>
  <c r="EW88" i="14"/>
  <c r="EO88" i="14"/>
  <c r="EQ88" i="14"/>
  <c r="EP88" i="14"/>
  <c r="EX88" i="14"/>
  <c r="EY88" i="14"/>
  <c r="EZ88" i="14"/>
  <c r="FA84" i="14"/>
  <c r="EW84" i="14"/>
  <c r="EO84" i="14"/>
  <c r="EQ84" i="14"/>
  <c r="EP84" i="14"/>
  <c r="EX84" i="14"/>
  <c r="EZ84" i="14"/>
  <c r="EY84" i="14"/>
  <c r="FA83" i="14"/>
  <c r="EW83" i="14"/>
  <c r="EQ83" i="14"/>
  <c r="EP83" i="14"/>
  <c r="EO83" i="14"/>
  <c r="EX83" i="14"/>
  <c r="EY83" i="14"/>
  <c r="EZ83" i="14"/>
  <c r="FA74" i="14"/>
  <c r="EW74" i="14"/>
  <c r="EO74" i="14"/>
  <c r="EP74" i="14"/>
  <c r="EQ74" i="14"/>
  <c r="EX74" i="14"/>
  <c r="EY74" i="14"/>
  <c r="EZ74" i="14"/>
  <c r="FA71" i="14"/>
  <c r="EW71" i="14"/>
  <c r="EP71" i="14"/>
  <c r="EO71" i="14"/>
  <c r="EQ71" i="14"/>
  <c r="EX71" i="14"/>
  <c r="EZ71" i="14"/>
  <c r="EY71" i="14"/>
  <c r="DZ70" i="14"/>
  <c r="DQ70" i="14"/>
  <c r="DD70" i="14"/>
  <c r="DR70" i="14"/>
  <c r="DE70" i="14"/>
  <c r="DT70" i="14"/>
  <c r="DS70" i="14"/>
  <c r="DC70" i="14"/>
  <c r="DH70" i="14"/>
  <c r="DG70" i="14"/>
  <c r="DF70" i="14"/>
  <c r="DZ66" i="14"/>
  <c r="DQ66" i="14"/>
  <c r="DT66" i="14"/>
  <c r="DD66" i="14"/>
  <c r="DS66" i="14"/>
  <c r="DR66" i="14"/>
  <c r="DE66" i="14"/>
  <c r="DC66" i="14"/>
  <c r="DH66" i="14"/>
  <c r="DF66" i="14"/>
  <c r="DG66" i="14"/>
  <c r="DZ64" i="14"/>
  <c r="DQ64" i="14"/>
  <c r="DC64" i="14"/>
  <c r="DT64" i="14"/>
  <c r="DD64" i="14"/>
  <c r="DR64" i="14"/>
  <c r="DS64" i="14"/>
  <c r="DE64" i="14"/>
  <c r="DF64" i="14"/>
  <c r="DG64" i="14"/>
  <c r="DH64" i="14"/>
  <c r="FA63" i="14"/>
  <c r="EW63" i="14"/>
  <c r="EQ63" i="14"/>
  <c r="EP63" i="14"/>
  <c r="EO63" i="14"/>
  <c r="EX63" i="14"/>
  <c r="EY63" i="14"/>
  <c r="EZ63" i="14"/>
  <c r="FA62" i="14"/>
  <c r="EW62" i="14"/>
  <c r="EO62" i="14"/>
  <c r="EQ62" i="14"/>
  <c r="EP62" i="14"/>
  <c r="EX62" i="14"/>
  <c r="EY62" i="14"/>
  <c r="EZ62" i="14"/>
  <c r="FA58" i="14"/>
  <c r="EW58" i="14"/>
  <c r="EO58" i="14"/>
  <c r="EQ58" i="14"/>
  <c r="EP58" i="14"/>
  <c r="EX58" i="14"/>
  <c r="EY58" i="14"/>
  <c r="EZ58" i="14"/>
  <c r="DQ55" i="14"/>
  <c r="DZ55" i="14"/>
  <c r="DD55" i="14"/>
  <c r="DT55" i="14"/>
  <c r="DR55" i="14"/>
  <c r="DC55" i="14"/>
  <c r="DE55" i="14"/>
  <c r="DS55" i="14"/>
  <c r="DG55" i="14"/>
  <c r="DF55" i="14"/>
  <c r="DH55" i="14"/>
  <c r="DZ54" i="14"/>
  <c r="DQ54" i="14"/>
  <c r="DT54" i="14"/>
  <c r="DS54" i="14"/>
  <c r="DD54" i="14"/>
  <c r="DR54" i="14"/>
  <c r="DE54" i="14"/>
  <c r="DC54" i="14"/>
  <c r="DF54" i="14"/>
  <c r="DG54" i="14"/>
  <c r="DH54" i="14"/>
  <c r="FA52" i="14"/>
  <c r="EW52" i="14"/>
  <c r="EO52" i="14"/>
  <c r="EP52" i="14"/>
  <c r="EQ52" i="14"/>
  <c r="EX52" i="14"/>
  <c r="EY52" i="14"/>
  <c r="EZ52" i="14"/>
  <c r="DZ50" i="14"/>
  <c r="DQ50" i="14"/>
  <c r="DR50" i="14"/>
  <c r="DD50" i="14"/>
  <c r="DC50" i="14"/>
  <c r="DT50" i="14"/>
  <c r="DS50" i="14"/>
  <c r="DE50" i="14"/>
  <c r="DH50" i="14"/>
  <c r="DF50" i="14"/>
  <c r="DG50" i="14"/>
  <c r="DQ47" i="14"/>
  <c r="DZ47" i="14"/>
  <c r="DS47" i="14"/>
  <c r="DR47" i="14"/>
  <c r="DE47" i="14"/>
  <c r="DC47" i="14"/>
  <c r="DT47" i="14"/>
  <c r="DD47" i="14"/>
  <c r="DG47" i="14"/>
  <c r="DH47" i="14"/>
  <c r="DF47" i="14"/>
  <c r="FA46" i="14"/>
  <c r="EW46" i="14"/>
  <c r="EP46" i="14"/>
  <c r="EO46" i="14"/>
  <c r="EQ46" i="14"/>
  <c r="EX46" i="14"/>
  <c r="EY46" i="14"/>
  <c r="EZ46" i="14"/>
  <c r="DZ42" i="14"/>
  <c r="DQ42" i="14"/>
  <c r="DE42" i="14"/>
  <c r="DT42" i="14"/>
  <c r="DS42" i="14"/>
  <c r="DR42" i="14"/>
  <c r="DD42" i="14"/>
  <c r="DC42" i="14"/>
  <c r="DF42" i="14"/>
  <c r="DH42" i="14"/>
  <c r="DG42" i="14"/>
  <c r="DZ38" i="14"/>
  <c r="DQ38" i="14"/>
  <c r="DE38" i="14"/>
  <c r="DC38" i="14"/>
  <c r="DR38" i="14"/>
  <c r="DS38" i="14"/>
  <c r="DD38" i="14"/>
  <c r="DT38" i="14"/>
  <c r="DG38" i="14"/>
  <c r="DH38" i="14"/>
  <c r="DF38" i="14"/>
  <c r="DQ36" i="14"/>
  <c r="DZ36" i="14"/>
  <c r="DR36" i="14"/>
  <c r="DD36" i="14"/>
  <c r="DS36" i="14"/>
  <c r="DC36" i="14"/>
  <c r="DE36" i="14"/>
  <c r="DT36" i="14"/>
  <c r="DG36" i="14"/>
  <c r="DF36" i="14"/>
  <c r="DH36" i="14"/>
  <c r="EW35" i="14"/>
  <c r="FA35" i="14"/>
  <c r="EO35" i="14"/>
  <c r="EP35" i="14"/>
  <c r="EQ35" i="14"/>
  <c r="EX35" i="14"/>
  <c r="EY35" i="14"/>
  <c r="EZ35" i="14"/>
  <c r="FA32" i="14"/>
  <c r="EW32" i="14"/>
  <c r="EO32" i="14"/>
  <c r="EP32" i="14"/>
  <c r="EQ32" i="14"/>
  <c r="EX32" i="14"/>
  <c r="EY32" i="14"/>
  <c r="EZ32" i="14"/>
  <c r="DZ31" i="14"/>
  <c r="DQ31" i="14"/>
  <c r="DR31" i="14"/>
  <c r="DC31" i="14"/>
  <c r="DE31" i="14"/>
  <c r="DT31" i="14"/>
  <c r="DD31" i="14"/>
  <c r="DS31" i="14"/>
  <c r="DF31" i="14"/>
  <c r="DH31" i="14"/>
  <c r="DG31" i="14"/>
  <c r="EW30" i="14"/>
  <c r="FA30" i="14"/>
  <c r="EO30" i="14"/>
  <c r="EP30" i="14"/>
  <c r="EQ30" i="14"/>
  <c r="EX30" i="14"/>
  <c r="EZ30" i="14"/>
  <c r="EY30" i="14"/>
  <c r="DQ27" i="14"/>
  <c r="DZ27" i="14"/>
  <c r="DT27" i="14"/>
  <c r="DC27" i="14"/>
  <c r="DE27" i="14"/>
  <c r="DD27" i="14"/>
  <c r="DS27" i="14"/>
  <c r="DR27" i="14"/>
  <c r="DG27" i="14"/>
  <c r="DF27" i="14"/>
  <c r="DH27" i="14"/>
  <c r="DZ26" i="14"/>
  <c r="DQ26" i="14"/>
  <c r="DC26" i="14"/>
  <c r="DT26" i="14"/>
  <c r="DE26" i="14"/>
  <c r="DD26" i="14"/>
  <c r="DR26" i="14"/>
  <c r="DS26" i="14"/>
  <c r="DG26" i="14"/>
  <c r="DF26" i="14"/>
  <c r="DH26" i="14"/>
  <c r="FA24" i="14"/>
  <c r="EW24" i="14"/>
  <c r="EQ24" i="14"/>
  <c r="EO24" i="14"/>
  <c r="EP24" i="14"/>
  <c r="EX24" i="14"/>
  <c r="EY24" i="14"/>
  <c r="EZ24" i="14"/>
  <c r="DZ23" i="14"/>
  <c r="DD23" i="14"/>
  <c r="DQ23" i="14"/>
  <c r="DR23" i="14"/>
  <c r="DE23" i="14"/>
  <c r="DC23" i="14"/>
  <c r="DT23" i="14"/>
  <c r="DS23" i="14"/>
  <c r="DH23" i="14"/>
  <c r="DF23" i="14"/>
  <c r="DG23" i="14"/>
  <c r="DZ19" i="14"/>
  <c r="DQ19" i="14"/>
  <c r="DC19" i="14"/>
  <c r="DS19" i="14"/>
  <c r="DT19" i="14"/>
  <c r="DD19" i="14"/>
  <c r="DR19" i="14"/>
  <c r="DE19" i="14"/>
  <c r="DF19" i="14"/>
  <c r="DH19" i="14"/>
  <c r="DG19" i="14"/>
  <c r="DZ16" i="14"/>
  <c r="DQ16" i="14"/>
  <c r="DR16" i="14"/>
  <c r="DT16" i="14"/>
  <c r="DS16" i="14"/>
  <c r="DC16" i="14"/>
  <c r="DD16" i="14"/>
  <c r="DE16" i="14"/>
  <c r="DH16" i="14"/>
  <c r="DF16" i="14"/>
  <c r="DG16" i="14"/>
  <c r="FA15" i="14"/>
  <c r="EW15" i="14"/>
  <c r="EQ15" i="14"/>
  <c r="EO15" i="14"/>
  <c r="EP15" i="14"/>
  <c r="EX15" i="14"/>
  <c r="EY15" i="14"/>
  <c r="EZ15" i="14"/>
  <c r="DZ14" i="14"/>
  <c r="DQ14" i="14"/>
  <c r="DC14" i="14"/>
  <c r="DE14" i="14"/>
  <c r="DD14" i="14"/>
  <c r="DS14" i="14"/>
  <c r="DR14" i="14"/>
  <c r="DT14" i="14"/>
  <c r="DG14" i="14"/>
  <c r="DF14" i="14"/>
  <c r="DH14" i="14"/>
  <c r="DR12" i="14"/>
  <c r="DQ12" i="14"/>
  <c r="DZ12" i="14"/>
  <c r="DC12" i="14"/>
  <c r="DT12" i="14"/>
  <c r="DD12" i="14"/>
  <c r="DS12" i="14"/>
  <c r="DE12" i="14"/>
  <c r="DF12" i="14"/>
  <c r="DG12" i="14"/>
  <c r="DH12" i="14"/>
  <c r="FA10" i="14"/>
  <c r="EW10" i="14"/>
  <c r="EO10" i="14"/>
  <c r="EP10" i="14"/>
  <c r="EQ10" i="14"/>
  <c r="EX10" i="14"/>
  <c r="EY10" i="14"/>
  <c r="EZ10" i="14"/>
  <c r="FA8" i="14"/>
  <c r="EW8" i="14"/>
  <c r="EP8" i="14"/>
  <c r="EO8" i="14"/>
  <c r="EQ8" i="14"/>
  <c r="EX8" i="14"/>
  <c r="EY8" i="14"/>
  <c r="EZ8" i="14"/>
  <c r="AR92" i="14"/>
  <c r="AN92" i="14"/>
  <c r="AJ95" i="14"/>
  <c r="AP95" i="14"/>
  <c r="AK99" i="14"/>
  <c r="AQ99" i="14"/>
  <c r="AP99" i="14"/>
  <c r="AQ101" i="14"/>
  <c r="AN101" i="14"/>
  <c r="AR103" i="14"/>
  <c r="AO103" i="14"/>
  <c r="AN103" i="14"/>
  <c r="AK108" i="14"/>
  <c r="AP108" i="14"/>
  <c r="AO108" i="14"/>
  <c r="AN110" i="14"/>
  <c r="AP110" i="14"/>
  <c r="AR113" i="14"/>
  <c r="AO113" i="14"/>
  <c r="AM115" i="14"/>
  <c r="AK118" i="14"/>
  <c r="AJ118" i="14"/>
  <c r="AM118" i="14"/>
  <c r="AN143" i="14"/>
  <c r="AK146" i="14"/>
  <c r="AJ146" i="14"/>
  <c r="AJ147" i="14"/>
  <c r="AK150" i="14"/>
  <c r="AM150" i="14"/>
  <c r="ES126" i="14"/>
  <c r="CT62" i="17" l="1"/>
  <c r="CU96" i="17"/>
  <c r="DJ19" i="14"/>
  <c r="DI47" i="14"/>
  <c r="DI50" i="14"/>
  <c r="DI54" i="14"/>
  <c r="ET63" i="14"/>
  <c r="ER102" i="14"/>
  <c r="ES107" i="14"/>
  <c r="DJ118" i="14"/>
  <c r="EB5" i="17"/>
  <c r="CV7" i="17"/>
  <c r="EA24" i="17"/>
  <c r="EC31" i="17"/>
  <c r="CU39" i="17"/>
  <c r="CT66" i="17"/>
  <c r="CV72" i="17"/>
  <c r="CU79" i="17"/>
  <c r="CU103" i="17"/>
  <c r="EB118" i="17"/>
  <c r="CV120" i="17"/>
  <c r="CT120" i="17"/>
  <c r="CT75" i="17"/>
  <c r="CU90" i="17"/>
  <c r="CU110" i="17"/>
  <c r="DK69" i="14"/>
  <c r="ET7" i="14"/>
  <c r="ER20" i="14"/>
  <c r="DI24" i="14"/>
  <c r="DJ24" i="14"/>
  <c r="ES28" i="14"/>
  <c r="DJ45" i="14"/>
  <c r="ET47" i="14"/>
  <c r="ER48" i="14"/>
  <c r="ER49" i="14"/>
  <c r="DK63" i="14"/>
  <c r="DI65" i="14"/>
  <c r="ER76" i="14"/>
  <c r="DI77" i="14"/>
  <c r="DJ77" i="14"/>
  <c r="ER80" i="14"/>
  <c r="ER91" i="14"/>
  <c r="ES92" i="14"/>
  <c r="DI93" i="14"/>
  <c r="DK93" i="14"/>
  <c r="ES99" i="14"/>
  <c r="DK115" i="14"/>
  <c r="DI115" i="14"/>
  <c r="EB7" i="17"/>
  <c r="CV12" i="17"/>
  <c r="CU16" i="17"/>
  <c r="EA19" i="17"/>
  <c r="EB28" i="17"/>
  <c r="CT37" i="17"/>
  <c r="CU40" i="17"/>
  <c r="CV56" i="17"/>
  <c r="EB57" i="17"/>
  <c r="CU63" i="17"/>
  <c r="CT69" i="17"/>
  <c r="EC72" i="17"/>
  <c r="EB79" i="17"/>
  <c r="CV101" i="17"/>
  <c r="EC119" i="17"/>
  <c r="EC120" i="17"/>
  <c r="EC121" i="17"/>
  <c r="CT86" i="17"/>
  <c r="DI66" i="14"/>
  <c r="DI96" i="14"/>
  <c r="ER98" i="14"/>
  <c r="ER100" i="14"/>
  <c r="DJ114" i="14"/>
  <c r="ER115" i="14"/>
  <c r="CT10" i="17"/>
  <c r="EA26" i="17"/>
  <c r="CV27" i="17"/>
  <c r="CT46" i="17"/>
  <c r="EB55" i="17"/>
  <c r="EA71" i="17"/>
  <c r="CT74" i="17"/>
  <c r="EA16" i="17"/>
  <c r="CU18" i="17"/>
  <c r="EC33" i="17"/>
  <c r="EA52" i="17"/>
  <c r="CU70" i="17"/>
  <c r="CV107" i="17"/>
  <c r="EC122" i="17"/>
  <c r="ES38" i="14"/>
  <c r="DK74" i="14"/>
  <c r="DJ82" i="14"/>
  <c r="CT15" i="17"/>
  <c r="EA18" i="17"/>
  <c r="CU19" i="17"/>
  <c r="EC73" i="17"/>
  <c r="CT85" i="17"/>
  <c r="EC87" i="17"/>
  <c r="EC101" i="17"/>
  <c r="CV118" i="17"/>
  <c r="ET12" i="14"/>
  <c r="ES13" i="14"/>
  <c r="DK20" i="14"/>
  <c r="DK29" i="14"/>
  <c r="DK30" i="14"/>
  <c r="DJ49" i="14"/>
  <c r="DJ56" i="14"/>
  <c r="ER57" i="14"/>
  <c r="ER86" i="14"/>
  <c r="DK88" i="14"/>
  <c r="ET118" i="14"/>
  <c r="DJ120" i="14"/>
  <c r="EC6" i="17"/>
  <c r="EB8" i="17"/>
  <c r="EA10" i="17"/>
  <c r="EB12" i="17"/>
  <c r="CU14" i="17"/>
  <c r="EB21" i="17"/>
  <c r="EB22" i="17"/>
  <c r="CT28" i="17"/>
  <c r="CT29" i="17"/>
  <c r="EB33" i="17"/>
  <c r="EC34" i="17"/>
  <c r="CV44" i="17"/>
  <c r="CT45" i="17"/>
  <c r="CV45" i="17"/>
  <c r="EA46" i="17"/>
  <c r="EA50" i="17"/>
  <c r="CV64" i="17"/>
  <c r="CU65" i="17"/>
  <c r="EC80" i="17"/>
  <c r="CU81" i="17"/>
  <c r="CT89" i="17"/>
  <c r="DK53" i="14"/>
  <c r="EC25" i="17"/>
  <c r="EC27" i="17"/>
  <c r="EC48" i="17"/>
  <c r="CV80" i="17"/>
  <c r="CV93" i="17"/>
  <c r="CT90" i="17"/>
  <c r="CV121" i="17"/>
  <c r="CV18" i="17"/>
  <c r="EC21" i="17"/>
  <c r="EC40" i="17"/>
  <c r="EC41" i="17"/>
  <c r="EC54" i="17"/>
  <c r="CV61" i="17"/>
  <c r="CU73" i="17"/>
  <c r="EC98" i="17"/>
  <c r="EA11" i="17"/>
  <c r="CU47" i="17"/>
  <c r="CV63" i="17"/>
  <c r="EB119" i="17"/>
  <c r="EA121" i="17"/>
  <c r="DI42" i="14"/>
  <c r="ER83" i="14"/>
  <c r="ER104" i="14"/>
  <c r="ER120" i="14"/>
  <c r="CU126" i="17"/>
  <c r="CU46" i="17"/>
  <c r="CT48" i="17"/>
  <c r="CU74" i="17"/>
  <c r="CT111" i="17"/>
  <c r="DI7" i="14"/>
  <c r="DI6" i="14"/>
  <c r="DL6" i="14" s="1"/>
  <c r="DJ11" i="14"/>
  <c r="DJ13" i="14"/>
  <c r="DJ17" i="14"/>
  <c r="ET26" i="14"/>
  <c r="ES31" i="14"/>
  <c r="ER33" i="14"/>
  <c r="DI41" i="14"/>
  <c r="ER65" i="14"/>
  <c r="ER69" i="14"/>
  <c r="DJ71" i="14"/>
  <c r="DK78" i="14"/>
  <c r="ER79" i="14"/>
  <c r="DK81" i="14"/>
  <c r="DI102" i="14"/>
  <c r="ES103" i="14"/>
  <c r="CV17" i="17"/>
  <c r="EC18" i="17"/>
  <c r="CT38" i="17"/>
  <c r="EC77" i="17"/>
  <c r="CV83" i="17"/>
  <c r="CV91" i="17"/>
  <c r="CT121" i="17"/>
  <c r="CU122" i="17"/>
  <c r="EC56" i="17"/>
  <c r="CT61" i="17"/>
  <c r="EA66" i="17"/>
  <c r="EA68" i="17"/>
  <c r="EB74" i="17"/>
  <c r="EB84" i="17"/>
  <c r="EB102" i="17"/>
  <c r="CU104" i="17"/>
  <c r="CU112" i="17"/>
  <c r="ER15" i="14"/>
  <c r="ER71" i="14"/>
  <c r="DJ90" i="14"/>
  <c r="ET98" i="14"/>
  <c r="DK103" i="14"/>
  <c r="CV126" i="17"/>
  <c r="CU11" i="17"/>
  <c r="EB23" i="17"/>
  <c r="CV34" i="17"/>
  <c r="EC64" i="17"/>
  <c r="CU67" i="17"/>
  <c r="CV74" i="17"/>
  <c r="CV98" i="17"/>
  <c r="CT102" i="17"/>
  <c r="CT108" i="17"/>
  <c r="EC110" i="17"/>
  <c r="DK6" i="14"/>
  <c r="DN6" i="14" s="1"/>
  <c r="ER14" i="14"/>
  <c r="ER27" i="14"/>
  <c r="ER31" i="14"/>
  <c r="ER34" i="14"/>
  <c r="ER38" i="14"/>
  <c r="ER39" i="14"/>
  <c r="ER66" i="14"/>
  <c r="ER67" i="14"/>
  <c r="ES77" i="14"/>
  <c r="DI78" i="14"/>
  <c r="ES79" i="14"/>
  <c r="DJ86" i="14"/>
  <c r="DK102" i="14"/>
  <c r="ER105" i="14"/>
  <c r="ER109" i="14"/>
  <c r="ES121" i="14"/>
  <c r="DJ122" i="14"/>
  <c r="EB9" i="17"/>
  <c r="CU17" i="17"/>
  <c r="CT25" i="17"/>
  <c r="EA47" i="17"/>
  <c r="EA49" i="17"/>
  <c r="EC59" i="17"/>
  <c r="EB54" i="17"/>
  <c r="EA56" i="17"/>
  <c r="EC58" i="17"/>
  <c r="EB68" i="17"/>
  <c r="EA69" i="17"/>
  <c r="CV73" i="17"/>
  <c r="CT73" i="17"/>
  <c r="CT77" i="17"/>
  <c r="EA82" i="17"/>
  <c r="EC97" i="17"/>
  <c r="CU100" i="17"/>
  <c r="CT100" i="17"/>
  <c r="CT113" i="17"/>
  <c r="CT114" i="17"/>
  <c r="CT116" i="17"/>
  <c r="ER7" i="14"/>
  <c r="DJ15" i="14"/>
  <c r="ER40" i="14"/>
  <c r="DJ89" i="14"/>
  <c r="ER99" i="14"/>
  <c r="DJ105" i="14"/>
  <c r="DK107" i="14"/>
  <c r="DI119" i="14"/>
  <c r="EC126" i="17"/>
  <c r="CT16" i="17"/>
  <c r="EA17" i="17"/>
  <c r="EC17" i="17"/>
  <c r="EC19" i="17"/>
  <c r="CV32" i="17"/>
  <c r="EC36" i="17"/>
  <c r="CU37" i="17"/>
  <c r="CV37" i="17"/>
  <c r="EB53" i="17"/>
  <c r="CU56" i="17"/>
  <c r="CU68" i="17"/>
  <c r="CU69" i="17"/>
  <c r="EB105" i="17"/>
  <c r="EA107" i="17"/>
  <c r="EA108" i="17"/>
  <c r="CU117" i="17"/>
  <c r="CT123" i="17"/>
  <c r="ES24" i="14"/>
  <c r="DJ55" i="14"/>
  <c r="ET8" i="14"/>
  <c r="ET10" i="14"/>
  <c r="DK12" i="14"/>
  <c r="DI12" i="14"/>
  <c r="DI14" i="14"/>
  <c r="ET15" i="14"/>
  <c r="ER24" i="14"/>
  <c r="DI26" i="14"/>
  <c r="DJ27" i="14"/>
  <c r="DK31" i="14"/>
  <c r="ET32" i="14"/>
  <c r="ET35" i="14"/>
  <c r="DJ36" i="14"/>
  <c r="DJ38" i="14"/>
  <c r="DK38" i="14"/>
  <c r="DK47" i="14"/>
  <c r="DK50" i="14"/>
  <c r="DJ50" i="14"/>
  <c r="ES52" i="14"/>
  <c r="DJ64" i="14"/>
  <c r="DJ66" i="14"/>
  <c r="DJ70" i="14"/>
  <c r="ES71" i="14"/>
  <c r="ER74" i="14"/>
  <c r="ET83" i="14"/>
  <c r="ER84" i="14"/>
  <c r="ER88" i="14"/>
  <c r="ET94" i="14"/>
  <c r="ER95" i="14"/>
  <c r="DK96" i="14"/>
  <c r="ES102" i="14"/>
  <c r="ES104" i="14"/>
  <c r="DI106" i="14"/>
  <c r="DJ108" i="14"/>
  <c r="ER110" i="14"/>
  <c r="ER112" i="14"/>
  <c r="ER119" i="14"/>
  <c r="ES120" i="14"/>
  <c r="CU7" i="17"/>
  <c r="CT22" i="17"/>
  <c r="CV22" i="17"/>
  <c r="EC23" i="17"/>
  <c r="EB24" i="17"/>
  <c r="EC26" i="17"/>
  <c r="CU34" i="17"/>
  <c r="CU36" i="17"/>
  <c r="CT39" i="17"/>
  <c r="EA42" i="17"/>
  <c r="EA43" i="17"/>
  <c r="EC44" i="17"/>
  <c r="CU48" i="17"/>
  <c r="CT50" i="17"/>
  <c r="EA64" i="17"/>
  <c r="CV66" i="17"/>
  <c r="CU66" i="17"/>
  <c r="EB70" i="17"/>
  <c r="CT72" i="17"/>
  <c r="EC75" i="17"/>
  <c r="EC78" i="17"/>
  <c r="CU82" i="17"/>
  <c r="EA83" i="17"/>
  <c r="EC86" i="17"/>
  <c r="EB91" i="17"/>
  <c r="EB92" i="17"/>
  <c r="EB95" i="17"/>
  <c r="CV96" i="17"/>
  <c r="CT98" i="17"/>
  <c r="EC100" i="17"/>
  <c r="CU102" i="17"/>
  <c r="CV102" i="17"/>
  <c r="EB104" i="17"/>
  <c r="CV108" i="17"/>
  <c r="EA110" i="17"/>
  <c r="CV111" i="17"/>
  <c r="CU111" i="17"/>
  <c r="CV119" i="17"/>
  <c r="EB122" i="17"/>
  <c r="EA124" i="17"/>
  <c r="DI25" i="14"/>
  <c r="ER26" i="14"/>
  <c r="DK101" i="14"/>
  <c r="ER103" i="14"/>
  <c r="EB13" i="17"/>
  <c r="CV51" i="17"/>
  <c r="CV55" i="17"/>
  <c r="ER6" i="14"/>
  <c r="DJ10" i="14"/>
  <c r="ET16" i="14"/>
  <c r="ES17" i="14"/>
  <c r="ER22" i="14"/>
  <c r="DJ28" i="14"/>
  <c r="DJ29" i="14"/>
  <c r="DJ30" i="14"/>
  <c r="DK40" i="14"/>
  <c r="ET41" i="14"/>
  <c r="ER44" i="14"/>
  <c r="DI46" i="14"/>
  <c r="DK48" i="14"/>
  <c r="DK49" i="14"/>
  <c r="DJ52" i="14"/>
  <c r="DI56" i="14"/>
  <c r="DJ58" i="14"/>
  <c r="DJ62" i="14"/>
  <c r="ER64" i="14"/>
  <c r="ET68" i="14"/>
  <c r="DI69" i="14"/>
  <c r="ER70" i="14"/>
  <c r="DK72" i="14"/>
  <c r="DJ76" i="14"/>
  <c r="ER82" i="14"/>
  <c r="DK84" i="14"/>
  <c r="DJ88" i="14"/>
  <c r="ES90" i="14"/>
  <c r="DK94" i="14"/>
  <c r="ES96" i="14"/>
  <c r="DI97" i="14"/>
  <c r="DK98" i="14"/>
  <c r="DJ98" i="14"/>
  <c r="DI100" i="14"/>
  <c r="ET106" i="14"/>
  <c r="ES108" i="14"/>
  <c r="DI112" i="14"/>
  <c r="DK112" i="14"/>
  <c r="ET122" i="14"/>
  <c r="ER124" i="14"/>
  <c r="ET125" i="14"/>
  <c r="DK37" i="14"/>
  <c r="DK44" i="14"/>
  <c r="DI45" i="14"/>
  <c r="DJ53" i="14"/>
  <c r="ET116" i="14"/>
  <c r="CT8" i="17"/>
  <c r="EB39" i="17"/>
  <c r="EB48" i="17"/>
  <c r="CV52" i="17"/>
  <c r="EC60" i="17"/>
  <c r="CU87" i="17"/>
  <c r="EA88" i="17"/>
  <c r="EA89" i="17"/>
  <c r="CU101" i="17"/>
  <c r="CT117" i="17"/>
  <c r="DI16" i="14"/>
  <c r="EB31" i="14"/>
  <c r="EE31" i="14"/>
  <c r="EF31" i="14"/>
  <c r="ED31" i="14"/>
  <c r="EA31" i="14"/>
  <c r="EG31" i="14" s="1"/>
  <c r="EC31" i="14"/>
  <c r="DK54" i="14"/>
  <c r="EB64" i="14"/>
  <c r="ED64" i="14"/>
  <c r="EF64" i="14"/>
  <c r="EE64" i="14"/>
  <c r="EA64" i="14"/>
  <c r="EC64" i="14"/>
  <c r="DN39" i="17"/>
  <c r="DM39" i="17"/>
  <c r="DP39" i="17"/>
  <c r="DL39" i="17"/>
  <c r="DO39" i="17"/>
  <c r="DQ39" i="17"/>
  <c r="DL54" i="17"/>
  <c r="DP54" i="17"/>
  <c r="DO54" i="17"/>
  <c r="DN54" i="17"/>
  <c r="DM54" i="17"/>
  <c r="DQ54" i="17"/>
  <c r="DQ119" i="17"/>
  <c r="DL119" i="17"/>
  <c r="DO119" i="17"/>
  <c r="DN119" i="17"/>
  <c r="DP119" i="17"/>
  <c r="DM119" i="17"/>
  <c r="DS119" i="17" s="1"/>
  <c r="AQ10" i="17"/>
  <c r="AK10" i="17"/>
  <c r="DI17" i="14"/>
  <c r="ES26" i="14"/>
  <c r="DI59" i="14"/>
  <c r="DI113" i="14"/>
  <c r="DM58" i="17"/>
  <c r="DQ58" i="17"/>
  <c r="DL58" i="17"/>
  <c r="DP58" i="17"/>
  <c r="DO58" i="17"/>
  <c r="DN58" i="17"/>
  <c r="DT58" i="17" s="1"/>
  <c r="DM95" i="17"/>
  <c r="DP95" i="17"/>
  <c r="DQ95" i="17"/>
  <c r="DL95" i="17"/>
  <c r="DO95" i="17"/>
  <c r="DN95" i="17"/>
  <c r="DT95" i="17" s="1"/>
  <c r="DL110" i="17"/>
  <c r="DQ110" i="17"/>
  <c r="DM110" i="17"/>
  <c r="DP110" i="17"/>
  <c r="DO110" i="17"/>
  <c r="DN110" i="17"/>
  <c r="DT110" i="17" s="1"/>
  <c r="CT122" i="17"/>
  <c r="DL122" i="17"/>
  <c r="DO122" i="17"/>
  <c r="DM122" i="17"/>
  <c r="DQ122" i="17"/>
  <c r="DP122" i="17"/>
  <c r="DN122" i="17"/>
  <c r="AQ17" i="17"/>
  <c r="AK17" i="17"/>
  <c r="AQ65" i="17"/>
  <c r="AK65" i="17"/>
  <c r="AQ121" i="17"/>
  <c r="AK121" i="17"/>
  <c r="EE62" i="14"/>
  <c r="EA62" i="14"/>
  <c r="EF62" i="14"/>
  <c r="ED62" i="14"/>
  <c r="EB62" i="14"/>
  <c r="EH62" i="14" s="1"/>
  <c r="EC62" i="14"/>
  <c r="ED80" i="14"/>
  <c r="EE80" i="14"/>
  <c r="EB80" i="14"/>
  <c r="EH80" i="14" s="1"/>
  <c r="EF80" i="14"/>
  <c r="EA80" i="14"/>
  <c r="EG80" i="14" s="1"/>
  <c r="EC80" i="14"/>
  <c r="EI80" i="14" s="1"/>
  <c r="EA104" i="14"/>
  <c r="EG104" i="14" s="1"/>
  <c r="EF104" i="14"/>
  <c r="EE104" i="14"/>
  <c r="ED104" i="14"/>
  <c r="EB104" i="14"/>
  <c r="EH104" i="14" s="1"/>
  <c r="EC104" i="14"/>
  <c r="EI104" i="14" s="1"/>
  <c r="ET113" i="14"/>
  <c r="DQ9" i="17"/>
  <c r="DM9" i="17"/>
  <c r="DS9" i="17" s="1"/>
  <c r="DP9" i="17"/>
  <c r="DL9" i="17"/>
  <c r="DO9" i="17"/>
  <c r="DN9" i="17"/>
  <c r="DT9" i="17" s="1"/>
  <c r="CV13" i="17"/>
  <c r="DL45" i="17"/>
  <c r="DQ45" i="17"/>
  <c r="DO45" i="17"/>
  <c r="DP45" i="17"/>
  <c r="DN45" i="17"/>
  <c r="DM45" i="17"/>
  <c r="DS45" i="17" s="1"/>
  <c r="DL77" i="17"/>
  <c r="DP77" i="17"/>
  <c r="DQ77" i="17"/>
  <c r="DM77" i="17"/>
  <c r="DS77" i="17" s="1"/>
  <c r="DO77" i="17"/>
  <c r="DN77" i="17"/>
  <c r="AQ103" i="17"/>
  <c r="AK103" i="17"/>
  <c r="AQ111" i="17"/>
  <c r="AK111" i="17"/>
  <c r="AQ119" i="17"/>
  <c r="AK119" i="17"/>
  <c r="AQ28" i="17"/>
  <c r="AK28" i="17"/>
  <c r="AQ40" i="17"/>
  <c r="AK40" i="17"/>
  <c r="AQ62" i="17"/>
  <c r="AK62" i="17"/>
  <c r="AQ86" i="17"/>
  <c r="AK86" i="17"/>
  <c r="AQ124" i="17"/>
  <c r="AK124" i="17"/>
  <c r="DJ127" i="14"/>
  <c r="EE15" i="14"/>
  <c r="ED15" i="14"/>
  <c r="EA15" i="14"/>
  <c r="EB15" i="14"/>
  <c r="EF15" i="14"/>
  <c r="EC15" i="14"/>
  <c r="EI15" i="14" s="1"/>
  <c r="DJ32" i="14"/>
  <c r="EE35" i="14"/>
  <c r="EF35" i="14"/>
  <c r="EB35" i="14"/>
  <c r="EH35" i="14" s="1"/>
  <c r="ED35" i="14"/>
  <c r="EA35" i="14"/>
  <c r="EC35" i="14"/>
  <c r="EI35" i="14" s="1"/>
  <c r="ES40" i="14"/>
  <c r="EE44" i="14"/>
  <c r="ED44" i="14"/>
  <c r="EB44" i="14"/>
  <c r="EH44" i="14" s="1"/>
  <c r="EF44" i="14"/>
  <c r="EA44" i="14"/>
  <c r="EC44" i="14"/>
  <c r="DI51" i="14"/>
  <c r="EE53" i="14"/>
  <c r="EF53" i="14"/>
  <c r="ED53" i="14"/>
  <c r="EB53" i="14"/>
  <c r="EA53" i="14"/>
  <c r="EG53" i="14" s="1"/>
  <c r="EC53" i="14"/>
  <c r="EI53" i="14" s="1"/>
  <c r="ED63" i="14"/>
  <c r="EF63" i="14"/>
  <c r="EB63" i="14"/>
  <c r="EH63" i="14" s="1"/>
  <c r="EE63" i="14"/>
  <c r="EA63" i="14"/>
  <c r="EG63" i="14" s="1"/>
  <c r="EC63" i="14"/>
  <c r="EI63" i="14" s="1"/>
  <c r="DJ67" i="14"/>
  <c r="DK73" i="14"/>
  <c r="EE73" i="14"/>
  <c r="ED73" i="14"/>
  <c r="EF73" i="14"/>
  <c r="EA73" i="14"/>
  <c r="EB73" i="14"/>
  <c r="EH73" i="14" s="1"/>
  <c r="EC73" i="14"/>
  <c r="ES81" i="14"/>
  <c r="ES85" i="14"/>
  <c r="ED89" i="14"/>
  <c r="EE89" i="14"/>
  <c r="EB89" i="14"/>
  <c r="EH89" i="14" s="1"/>
  <c r="EF89" i="14"/>
  <c r="EA89" i="14"/>
  <c r="EG89" i="14" s="1"/>
  <c r="EC89" i="14"/>
  <c r="EI89" i="14" s="1"/>
  <c r="DK95" i="14"/>
  <c r="EA107" i="14"/>
  <c r="EB107" i="14"/>
  <c r="EE107" i="14"/>
  <c r="ED107" i="14"/>
  <c r="EF107" i="14"/>
  <c r="EC107" i="14"/>
  <c r="ET111" i="14"/>
  <c r="ES117" i="14"/>
  <c r="EE121" i="14"/>
  <c r="EA121" i="14"/>
  <c r="EB121" i="14"/>
  <c r="ED121" i="14"/>
  <c r="EF121" i="14"/>
  <c r="EC121" i="14"/>
  <c r="EB126" i="17"/>
  <c r="DQ8" i="17"/>
  <c r="DP8" i="17"/>
  <c r="DL8" i="17"/>
  <c r="DM8" i="17"/>
  <c r="DN8" i="17"/>
  <c r="DT8" i="17" s="1"/>
  <c r="DO8" i="17"/>
  <c r="CT12" i="17"/>
  <c r="DO21" i="17"/>
  <c r="DL21" i="17"/>
  <c r="DR21" i="17" s="1"/>
  <c r="DQ21" i="17"/>
  <c r="DN21" i="17"/>
  <c r="DM21" i="17"/>
  <c r="DP21" i="17"/>
  <c r="EB25" i="17"/>
  <c r="EA27" i="17"/>
  <c r="DQ33" i="17"/>
  <c r="DP33" i="17"/>
  <c r="DL33" i="17"/>
  <c r="DN33" i="17"/>
  <c r="DM33" i="17"/>
  <c r="DO33" i="17"/>
  <c r="EB36" i="17"/>
  <c r="DM41" i="17"/>
  <c r="DQ41" i="17"/>
  <c r="DL41" i="17"/>
  <c r="DR41" i="17" s="1"/>
  <c r="DO41" i="17"/>
  <c r="DP41" i="17"/>
  <c r="DN41" i="17"/>
  <c r="DT41" i="17" s="1"/>
  <c r="DQ56" i="17"/>
  <c r="DP56" i="17"/>
  <c r="DN56" i="17"/>
  <c r="DM56" i="17"/>
  <c r="DS56" i="17" s="1"/>
  <c r="DO56" i="17"/>
  <c r="DL56" i="17"/>
  <c r="EA67" i="17"/>
  <c r="CV68" i="17"/>
  <c r="DL69" i="17"/>
  <c r="DR69" i="17" s="1"/>
  <c r="DP69" i="17"/>
  <c r="DM69" i="17"/>
  <c r="DO69" i="17"/>
  <c r="DQ69" i="17"/>
  <c r="DN69" i="17"/>
  <c r="DL87" i="17"/>
  <c r="DM87" i="17"/>
  <c r="DP87" i="17"/>
  <c r="DQ87" i="17"/>
  <c r="DO87" i="17"/>
  <c r="DN87" i="17"/>
  <c r="EB96" i="17"/>
  <c r="DL101" i="17"/>
  <c r="DM101" i="17"/>
  <c r="DQ101" i="17"/>
  <c r="DP101" i="17"/>
  <c r="DN101" i="17"/>
  <c r="DO101" i="17"/>
  <c r="DQ117" i="17"/>
  <c r="DM117" i="17"/>
  <c r="DS117" i="17" s="1"/>
  <c r="DP117" i="17"/>
  <c r="DL117" i="17"/>
  <c r="DO117" i="17"/>
  <c r="DN117" i="17"/>
  <c r="DT117" i="17" s="1"/>
  <c r="AK16" i="17"/>
  <c r="AQ16" i="17"/>
  <c r="AQ64" i="17"/>
  <c r="AK64" i="17"/>
  <c r="AQ72" i="17"/>
  <c r="AK72" i="17"/>
  <c r="AQ88" i="17"/>
  <c r="AK88" i="17"/>
  <c r="AQ96" i="17"/>
  <c r="AK96" i="17"/>
  <c r="AQ36" i="17"/>
  <c r="AK36" i="17"/>
  <c r="AQ58" i="17"/>
  <c r="AK58" i="17"/>
  <c r="AQ102" i="17"/>
  <c r="AK102" i="17"/>
  <c r="EE57" i="14"/>
  <c r="EB57" i="14"/>
  <c r="EH57" i="14" s="1"/>
  <c r="ED57" i="14"/>
  <c r="EA57" i="14"/>
  <c r="EF57" i="14"/>
  <c r="EC57" i="14"/>
  <c r="EI57" i="14" s="1"/>
  <c r="EA75" i="14"/>
  <c r="EB75" i="14"/>
  <c r="EH75" i="14" s="1"/>
  <c r="EE75" i="14"/>
  <c r="ED75" i="14"/>
  <c r="EF75" i="14"/>
  <c r="EC75" i="14"/>
  <c r="ED101" i="14"/>
  <c r="EA101" i="14"/>
  <c r="EG101" i="14" s="1"/>
  <c r="EB101" i="14"/>
  <c r="EF101" i="14"/>
  <c r="EE101" i="14"/>
  <c r="EC101" i="14"/>
  <c r="ET103" i="14"/>
  <c r="ED113" i="14"/>
  <c r="EF113" i="14"/>
  <c r="EA113" i="14"/>
  <c r="EB113" i="14"/>
  <c r="EE113" i="14"/>
  <c r="EC113" i="14"/>
  <c r="EI113" i="14" s="1"/>
  <c r="CT26" i="17"/>
  <c r="DP42" i="17"/>
  <c r="DN42" i="17"/>
  <c r="DL42" i="17"/>
  <c r="DM42" i="17"/>
  <c r="DQ42" i="17"/>
  <c r="DO42" i="17"/>
  <c r="AQ13" i="17"/>
  <c r="AK13" i="17"/>
  <c r="AQ85" i="17"/>
  <c r="AK85" i="17"/>
  <c r="EB34" i="14"/>
  <c r="EA34" i="14"/>
  <c r="ED34" i="14"/>
  <c r="EF34" i="14"/>
  <c r="EE34" i="14"/>
  <c r="EC34" i="14"/>
  <c r="EE40" i="14"/>
  <c r="ED40" i="14"/>
  <c r="EB40" i="14"/>
  <c r="EF40" i="14"/>
  <c r="EA40" i="14"/>
  <c r="EC40" i="14"/>
  <c r="EE49" i="14"/>
  <c r="EA49" i="14"/>
  <c r="EF49" i="14"/>
  <c r="ED49" i="14"/>
  <c r="EB49" i="14"/>
  <c r="EC49" i="14"/>
  <c r="DI88" i="14"/>
  <c r="ES89" i="14"/>
  <c r="EA94" i="14"/>
  <c r="EE94" i="14"/>
  <c r="ED94" i="14"/>
  <c r="EF94" i="14"/>
  <c r="EB94" i="14"/>
  <c r="EC94" i="14"/>
  <c r="AN125" i="17"/>
  <c r="AV125" i="17" s="1"/>
  <c r="AM125" i="17"/>
  <c r="AU125" i="17" s="1"/>
  <c r="AL125" i="17"/>
  <c r="AT125" i="17" s="1"/>
  <c r="AO125" i="17"/>
  <c r="AW125" i="17" s="1"/>
  <c r="DQ28" i="17"/>
  <c r="DL28" i="17"/>
  <c r="DP28" i="17"/>
  <c r="DN28" i="17"/>
  <c r="DM28" i="17"/>
  <c r="DO28" i="17"/>
  <c r="EA41" i="17"/>
  <c r="EB52" i="17"/>
  <c r="DQ64" i="17"/>
  <c r="DP64" i="17"/>
  <c r="DN64" i="17"/>
  <c r="DM64" i="17"/>
  <c r="DO64" i="17"/>
  <c r="DL64" i="17"/>
  <c r="DR64" i="17" s="1"/>
  <c r="CT88" i="17"/>
  <c r="EB98" i="17"/>
  <c r="DM104" i="17"/>
  <c r="DP104" i="17"/>
  <c r="DO104" i="17"/>
  <c r="DQ104" i="17"/>
  <c r="DN104" i="17"/>
  <c r="DL104" i="17"/>
  <c r="AK7" i="17"/>
  <c r="AQ7" i="17"/>
  <c r="AQ19" i="17"/>
  <c r="AK19" i="17"/>
  <c r="AQ31" i="17"/>
  <c r="AK31" i="17"/>
  <c r="AQ59" i="17"/>
  <c r="AK59" i="17"/>
  <c r="EF33" i="14"/>
  <c r="EE33" i="14"/>
  <c r="EA33" i="14"/>
  <c r="ED33" i="14"/>
  <c r="EB33" i="14"/>
  <c r="EC33" i="14"/>
  <c r="ER8" i="14"/>
  <c r="ES10" i="14"/>
  <c r="ED12" i="14"/>
  <c r="EE12" i="14"/>
  <c r="EA12" i="14"/>
  <c r="EF12" i="14"/>
  <c r="EB12" i="14"/>
  <c r="EC12" i="14"/>
  <c r="EF16" i="14"/>
  <c r="EE16" i="14"/>
  <c r="EB16" i="14"/>
  <c r="ED16" i="14"/>
  <c r="EA16" i="14"/>
  <c r="EC16" i="14"/>
  <c r="EI16" i="14" s="1"/>
  <c r="DK19" i="14"/>
  <c r="ET24" i="14"/>
  <c r="DJ26" i="14"/>
  <c r="DK27" i="14"/>
  <c r="ET30" i="14"/>
  <c r="DI31" i="14"/>
  <c r="ES32" i="14"/>
  <c r="ES35" i="14"/>
  <c r="DK36" i="14"/>
  <c r="EE42" i="14"/>
  <c r="ED42" i="14"/>
  <c r="EB42" i="14"/>
  <c r="EF42" i="14"/>
  <c r="EA42" i="14"/>
  <c r="EC42" i="14"/>
  <c r="ET46" i="14"/>
  <c r="DJ47" i="14"/>
  <c r="ER52" i="14"/>
  <c r="ES58" i="14"/>
  <c r="ES62" i="14"/>
  <c r="ER63" i="14"/>
  <c r="DK64" i="14"/>
  <c r="DK66" i="14"/>
  <c r="DK90" i="14"/>
  <c r="ED90" i="14"/>
  <c r="EE90" i="14"/>
  <c r="EB90" i="14"/>
  <c r="EF90" i="14"/>
  <c r="EA90" i="14"/>
  <c r="EG90" i="14" s="1"/>
  <c r="EC90" i="14"/>
  <c r="DK91" i="14"/>
  <c r="DI91" i="14"/>
  <c r="ES94" i="14"/>
  <c r="ES95" i="14"/>
  <c r="ES98" i="14"/>
  <c r="ET100" i="14"/>
  <c r="ET102" i="14"/>
  <c r="DI103" i="14"/>
  <c r="ED106" i="14"/>
  <c r="EE106" i="14"/>
  <c r="EB106" i="14"/>
  <c r="EF106" i="14"/>
  <c r="EA106" i="14"/>
  <c r="EG106" i="14" s="1"/>
  <c r="EC106" i="14"/>
  <c r="ET107" i="14"/>
  <c r="DK108" i="14"/>
  <c r="ES110" i="14"/>
  <c r="ET112" i="14"/>
  <c r="DI114" i="14"/>
  <c r="ES115" i="14"/>
  <c r="DK118" i="14"/>
  <c r="EE124" i="14"/>
  <c r="EF124" i="14"/>
  <c r="EB124" i="14"/>
  <c r="ED124" i="14"/>
  <c r="EA124" i="14"/>
  <c r="EC124" i="14"/>
  <c r="EI124" i="14" s="1"/>
  <c r="DM126" i="17"/>
  <c r="DN126" i="17"/>
  <c r="DP126" i="17"/>
  <c r="DO126" i="17"/>
  <c r="DQ126" i="17"/>
  <c r="DL126" i="17"/>
  <c r="EA5" i="17"/>
  <c r="EC5" i="17"/>
  <c r="CU10" i="17"/>
  <c r="DN11" i="17"/>
  <c r="DL11" i="17"/>
  <c r="DQ11" i="17"/>
  <c r="DO11" i="17"/>
  <c r="DM11" i="17"/>
  <c r="DP11" i="17"/>
  <c r="EB14" i="17"/>
  <c r="CV20" i="17"/>
  <c r="DL20" i="17"/>
  <c r="DN20" i="17"/>
  <c r="DM20" i="17"/>
  <c r="DQ20" i="17"/>
  <c r="DP20" i="17"/>
  <c r="DO20" i="17"/>
  <c r="CU22" i="17"/>
  <c r="EA23" i="17"/>
  <c r="CU27" i="17"/>
  <c r="EA31" i="17"/>
  <c r="DP36" i="17"/>
  <c r="DO36" i="17"/>
  <c r="DL36" i="17"/>
  <c r="DN36" i="17"/>
  <c r="DM36" i="17"/>
  <c r="DS36" i="17" s="1"/>
  <c r="DQ36" i="17"/>
  <c r="EA38" i="17"/>
  <c r="EB42" i="17"/>
  <c r="EC43" i="17"/>
  <c r="EA44" i="17"/>
  <c r="CV48" i="17"/>
  <c r="CU50" i="17"/>
  <c r="CV50" i="17"/>
  <c r="DL50" i="17"/>
  <c r="DO50" i="17"/>
  <c r="DP50" i="17"/>
  <c r="DQ50" i="17"/>
  <c r="DN50" i="17"/>
  <c r="DM50" i="17"/>
  <c r="EB51" i="17"/>
  <c r="CU54" i="17"/>
  <c r="EC55" i="17"/>
  <c r="CV60" i="17"/>
  <c r="CV62" i="17"/>
  <c r="DM66" i="17"/>
  <c r="DQ66" i="17"/>
  <c r="DL66" i="17"/>
  <c r="DP66" i="17"/>
  <c r="DO66" i="17"/>
  <c r="DN66" i="17"/>
  <c r="DT66" i="17" s="1"/>
  <c r="EA70" i="17"/>
  <c r="EB71" i="17"/>
  <c r="DM79" i="17"/>
  <c r="DQ79" i="17"/>
  <c r="DN79" i="17"/>
  <c r="DL79" i="17"/>
  <c r="DP79" i="17"/>
  <c r="DO79" i="17"/>
  <c r="CV82" i="17"/>
  <c r="EB83" i="17"/>
  <c r="EB86" i="17"/>
  <c r="EA91" i="17"/>
  <c r="EC92" i="17"/>
  <c r="EC95" i="17"/>
  <c r="CT96" i="17"/>
  <c r="DL102" i="17"/>
  <c r="DM102" i="17"/>
  <c r="DP102" i="17"/>
  <c r="DQ102" i="17"/>
  <c r="DN102" i="17"/>
  <c r="DO102" i="17"/>
  <c r="CV103" i="17"/>
  <c r="EA104" i="17"/>
  <c r="CU108" i="17"/>
  <c r="DL111" i="17"/>
  <c r="DM111" i="17"/>
  <c r="DQ111" i="17"/>
  <c r="DO111" i="17"/>
  <c r="DP111" i="17"/>
  <c r="DN111" i="17"/>
  <c r="EC112" i="17"/>
  <c r="EC115" i="17"/>
  <c r="EB116" i="17"/>
  <c r="EC118" i="17"/>
  <c r="CT119" i="17"/>
  <c r="CU120" i="17"/>
  <c r="EC124" i="17"/>
  <c r="AQ126" i="17"/>
  <c r="AK126" i="17"/>
  <c r="AQ26" i="17"/>
  <c r="AK26" i="17"/>
  <c r="AQ38" i="17"/>
  <c r="AK38" i="17"/>
  <c r="AQ66" i="17"/>
  <c r="AK66" i="17"/>
  <c r="AQ92" i="17"/>
  <c r="AK92" i="17"/>
  <c r="AN155" i="17"/>
  <c r="AG155" i="17"/>
  <c r="AB155" i="17"/>
  <c r="AF155" i="17"/>
  <c r="AE155" i="17"/>
  <c r="AJ155" i="17" s="1"/>
  <c r="AS155" i="17"/>
  <c r="AI155" i="17"/>
  <c r="AH155" i="17"/>
  <c r="AQ110" i="17"/>
  <c r="AK110" i="17"/>
  <c r="AQ116" i="17"/>
  <c r="AK116" i="17"/>
  <c r="AQ122" i="17"/>
  <c r="AK122" i="17"/>
  <c r="ES127" i="14"/>
  <c r="DK7" i="14"/>
  <c r="DN7" i="14" s="1"/>
  <c r="DJ7" i="14"/>
  <c r="EE9" i="14"/>
  <c r="EF9" i="14"/>
  <c r="EA9" i="14"/>
  <c r="EB9" i="14"/>
  <c r="ED9" i="14"/>
  <c r="EC9" i="14"/>
  <c r="DK11" i="14"/>
  <c r="DI11" i="14"/>
  <c r="DK13" i="14"/>
  <c r="ES14" i="14"/>
  <c r="DK17" i="14"/>
  <c r="ES19" i="14"/>
  <c r="DJ21" i="14"/>
  <c r="DJ22" i="14"/>
  <c r="DI22" i="14"/>
  <c r="ES27" i="14"/>
  <c r="ET31" i="14"/>
  <c r="ET33" i="14"/>
  <c r="ES34" i="14"/>
  <c r="ET38" i="14"/>
  <c r="ET39" i="14"/>
  <c r="DK59" i="14"/>
  <c r="DJ61" i="14"/>
  <c r="ET65" i="14"/>
  <c r="ES66" i="14"/>
  <c r="ES67" i="14"/>
  <c r="ET69" i="14"/>
  <c r="EF74" i="14"/>
  <c r="EE74" i="14"/>
  <c r="EA74" i="14"/>
  <c r="EB74" i="14"/>
  <c r="ED74" i="14"/>
  <c r="EC74" i="14"/>
  <c r="DK75" i="14"/>
  <c r="DI75" i="14"/>
  <c r="ER77" i="14"/>
  <c r="DJ78" i="14"/>
  <c r="ET79" i="14"/>
  <c r="DJ81" i="14"/>
  <c r="DK82" i="14"/>
  <c r="ED82" i="14"/>
  <c r="EE82" i="14"/>
  <c r="EB82" i="14"/>
  <c r="EF82" i="14"/>
  <c r="EA82" i="14"/>
  <c r="EG82" i="14" s="1"/>
  <c r="EC82" i="14"/>
  <c r="DJ83" i="14"/>
  <c r="DI83" i="14"/>
  <c r="DI85" i="14"/>
  <c r="EA99" i="14"/>
  <c r="EB99" i="14"/>
  <c r="EE99" i="14"/>
  <c r="ED99" i="14"/>
  <c r="EF99" i="14"/>
  <c r="EC99" i="14"/>
  <c r="DJ102" i="14"/>
  <c r="ES105" i="14"/>
  <c r="ES109" i="14"/>
  <c r="DJ110" i="14"/>
  <c r="DI111" i="14"/>
  <c r="EE111" i="14"/>
  <c r="ED111" i="14"/>
  <c r="EF111" i="14"/>
  <c r="EA111" i="14"/>
  <c r="EB111" i="14"/>
  <c r="EH111" i="14" s="1"/>
  <c r="EC111" i="14"/>
  <c r="EI111" i="14" s="1"/>
  <c r="DJ113" i="14"/>
  <c r="ER114" i="14"/>
  <c r="ET121" i="14"/>
  <c r="DK125" i="14"/>
  <c r="DQ5" i="17"/>
  <c r="DP5" i="17"/>
  <c r="DO5" i="17"/>
  <c r="DL5" i="17"/>
  <c r="DM5" i="17"/>
  <c r="DN5" i="17"/>
  <c r="DT5" i="17" s="1"/>
  <c r="EC9" i="17"/>
  <c r="CU15" i="17"/>
  <c r="EB18" i="17"/>
  <c r="DL19" i="17"/>
  <c r="DN19" i="17"/>
  <c r="DM19" i="17"/>
  <c r="DS19" i="17" s="1"/>
  <c r="DP19" i="17"/>
  <c r="DO19" i="17"/>
  <c r="DQ19" i="17"/>
  <c r="CT23" i="17"/>
  <c r="CV23" i="17"/>
  <c r="EC29" i="17"/>
  <c r="EC30" i="17"/>
  <c r="CV38" i="17"/>
  <c r="DP38" i="17"/>
  <c r="DQ38" i="17"/>
  <c r="DN38" i="17"/>
  <c r="DL38" i="17"/>
  <c r="DM38" i="17"/>
  <c r="DS38" i="17" s="1"/>
  <c r="DO38" i="17"/>
  <c r="EB45" i="17"/>
  <c r="EC47" i="17"/>
  <c r="EB49" i="17"/>
  <c r="CT57" i="17"/>
  <c r="DN57" i="17"/>
  <c r="DM57" i="17"/>
  <c r="DQ57" i="17"/>
  <c r="DL57" i="17"/>
  <c r="DO57" i="17"/>
  <c r="DP57" i="17"/>
  <c r="EA59" i="17"/>
  <c r="EC61" i="17"/>
  <c r="EC63" i="17"/>
  <c r="EC65" i="17"/>
  <c r="CU71" i="17"/>
  <c r="EA73" i="17"/>
  <c r="CV75" i="17"/>
  <c r="DP78" i="17"/>
  <c r="DM78" i="17"/>
  <c r="DQ78" i="17"/>
  <c r="DN78" i="17"/>
  <c r="DO78" i="17"/>
  <c r="DL78" i="17"/>
  <c r="EC81" i="17"/>
  <c r="CU85" i="17"/>
  <c r="EB87" i="17"/>
  <c r="DP91" i="17"/>
  <c r="DM91" i="17"/>
  <c r="DO91" i="17"/>
  <c r="DN91" i="17"/>
  <c r="DL91" i="17"/>
  <c r="DQ91" i="17"/>
  <c r="EC94" i="17"/>
  <c r="EB101" i="17"/>
  <c r="CV105" i="17"/>
  <c r="CV109" i="17"/>
  <c r="DP109" i="17"/>
  <c r="DN109" i="17"/>
  <c r="DQ109" i="17"/>
  <c r="DO109" i="17"/>
  <c r="DL109" i="17"/>
  <c r="DM109" i="17"/>
  <c r="EB113" i="17"/>
  <c r="EB114" i="17"/>
  <c r="EA117" i="17"/>
  <c r="CU118" i="17"/>
  <c r="DN121" i="17"/>
  <c r="DL121" i="17"/>
  <c r="DQ121" i="17"/>
  <c r="DP121" i="17"/>
  <c r="DM121" i="17"/>
  <c r="DO121" i="17"/>
  <c r="EB123" i="17"/>
  <c r="AQ15" i="17"/>
  <c r="AK15" i="17"/>
  <c r="AQ67" i="17"/>
  <c r="AK67" i="17"/>
  <c r="AQ71" i="17"/>
  <c r="AK71" i="17"/>
  <c r="AQ95" i="17"/>
  <c r="AK95" i="17"/>
  <c r="ET6" i="14"/>
  <c r="ER9" i="14"/>
  <c r="DK10" i="14"/>
  <c r="ES12" i="14"/>
  <c r="ET13" i="14"/>
  <c r="ER16" i="14"/>
  <c r="ER17" i="14"/>
  <c r="DK18" i="14"/>
  <c r="DJ20" i="14"/>
  <c r="EF20" i="14"/>
  <c r="EA20" i="14"/>
  <c r="EE20" i="14"/>
  <c r="EB20" i="14"/>
  <c r="ED20" i="14"/>
  <c r="EC20" i="14"/>
  <c r="EI20" i="14" s="1"/>
  <c r="ER21" i="14"/>
  <c r="ET22" i="14"/>
  <c r="ER25" i="14"/>
  <c r="DI28" i="14"/>
  <c r="DI29" i="14"/>
  <c r="DI34" i="14"/>
  <c r="ET36" i="14"/>
  <c r="ER37" i="14"/>
  <c r="ES41" i="14"/>
  <c r="ET44" i="14"/>
  <c r="DJ46" i="14"/>
  <c r="DK46" i="14"/>
  <c r="DK52" i="14"/>
  <c r="ET57" i="14"/>
  <c r="DJ60" i="14"/>
  <c r="ED60" i="14"/>
  <c r="EE60" i="14"/>
  <c r="EA60" i="14"/>
  <c r="EF60" i="14"/>
  <c r="EB60" i="14"/>
  <c r="EC60" i="14"/>
  <c r="EI60" i="14" s="1"/>
  <c r="ET61" i="14"/>
  <c r="DI62" i="14"/>
  <c r="DK62" i="14"/>
  <c r="ET64" i="14"/>
  <c r="ER68" i="14"/>
  <c r="ES70" i="14"/>
  <c r="DI76" i="14"/>
  <c r="ED76" i="14"/>
  <c r="EA76" i="14"/>
  <c r="EF76" i="14"/>
  <c r="EE76" i="14"/>
  <c r="EB76" i="14"/>
  <c r="EC76" i="14"/>
  <c r="EI76" i="14" s="1"/>
  <c r="ER78" i="14"/>
  <c r="DK80" i="14"/>
  <c r="ET82" i="14"/>
  <c r="DI84" i="14"/>
  <c r="DJ84" i="14"/>
  <c r="ES86" i="14"/>
  <c r="DJ92" i="14"/>
  <c r="ES93" i="14"/>
  <c r="DJ94" i="14"/>
  <c r="DI94" i="14"/>
  <c r="ER96" i="14"/>
  <c r="DK97" i="14"/>
  <c r="DI98" i="14"/>
  <c r="DJ100" i="14"/>
  <c r="EE100" i="14"/>
  <c r="EF100" i="14"/>
  <c r="EB100" i="14"/>
  <c r="ED100" i="14"/>
  <c r="EA100" i="14"/>
  <c r="EC100" i="14"/>
  <c r="ES101" i="14"/>
  <c r="DI104" i="14"/>
  <c r="DK104" i="14"/>
  <c r="ER106" i="14"/>
  <c r="ER108" i="14"/>
  <c r="DJ112" i="14"/>
  <c r="ER113" i="14"/>
  <c r="DI116" i="14"/>
  <c r="DJ117" i="14"/>
  <c r="ED117" i="14"/>
  <c r="EA117" i="14"/>
  <c r="EB117" i="14"/>
  <c r="EF117" i="14"/>
  <c r="EE117" i="14"/>
  <c r="EC117" i="14"/>
  <c r="EI117" i="14" s="1"/>
  <c r="ER118" i="14"/>
  <c r="DK120" i="14"/>
  <c r="ER122" i="14"/>
  <c r="ET124" i="14"/>
  <c r="ES125" i="14"/>
  <c r="EA6" i="17"/>
  <c r="CT9" i="17"/>
  <c r="CV9" i="17"/>
  <c r="EB10" i="17"/>
  <c r="EC12" i="17"/>
  <c r="CT13" i="17"/>
  <c r="EB16" i="17"/>
  <c r="DL18" i="17"/>
  <c r="DP18" i="17"/>
  <c r="DM18" i="17"/>
  <c r="DS18" i="17" s="1"/>
  <c r="DQ18" i="17"/>
  <c r="DO18" i="17"/>
  <c r="DN18" i="17"/>
  <c r="CV24" i="17"/>
  <c r="DM24" i="17"/>
  <c r="DQ24" i="17"/>
  <c r="DP24" i="17"/>
  <c r="DO24" i="17"/>
  <c r="DL24" i="17"/>
  <c r="DN24" i="17"/>
  <c r="DT24" i="17" s="1"/>
  <c r="CU28" i="17"/>
  <c r="CU29" i="17"/>
  <c r="CT44" i="17"/>
  <c r="DQ44" i="17"/>
  <c r="DN44" i="17"/>
  <c r="DM44" i="17"/>
  <c r="DP44" i="17"/>
  <c r="DL44" i="17"/>
  <c r="DO44" i="17"/>
  <c r="EB46" i="17"/>
  <c r="CU53" i="17"/>
  <c r="DL61" i="17"/>
  <c r="DR61" i="17" s="1"/>
  <c r="DO61" i="17"/>
  <c r="DP61" i="17"/>
  <c r="DN61" i="17"/>
  <c r="DM61" i="17"/>
  <c r="DQ61" i="17"/>
  <c r="EC62" i="17"/>
  <c r="CT64" i="17"/>
  <c r="EB69" i="17"/>
  <c r="CV70" i="17"/>
  <c r="DM73" i="17"/>
  <c r="DO73" i="17"/>
  <c r="DN73" i="17"/>
  <c r="DL73" i="17"/>
  <c r="DP73" i="17"/>
  <c r="DQ73" i="17"/>
  <c r="EC74" i="17"/>
  <c r="EB76" i="17"/>
  <c r="EB82" i="17"/>
  <c r="EA84" i="17"/>
  <c r="CU88" i="17"/>
  <c r="CV88" i="17"/>
  <c r="DM88" i="17"/>
  <c r="DP88" i="17"/>
  <c r="DN88" i="17"/>
  <c r="DL88" i="17"/>
  <c r="DQ88" i="17"/>
  <c r="DO88" i="17"/>
  <c r="EC90" i="17"/>
  <c r="CT92" i="17"/>
  <c r="EA93" i="17"/>
  <c r="DL100" i="17"/>
  <c r="DR100" i="17" s="1"/>
  <c r="DQ100" i="17"/>
  <c r="DO100" i="17"/>
  <c r="DM100" i="17"/>
  <c r="DP100" i="17"/>
  <c r="DN100" i="17"/>
  <c r="EC102" i="17"/>
  <c r="CT112" i="17"/>
  <c r="CU113" i="17"/>
  <c r="DM113" i="17"/>
  <c r="DP113" i="17"/>
  <c r="DQ113" i="17"/>
  <c r="DN113" i="17"/>
  <c r="DL113" i="17"/>
  <c r="DO113" i="17"/>
  <c r="AK25" i="17"/>
  <c r="AQ25" i="17"/>
  <c r="AQ29" i="17"/>
  <c r="AK29" i="17"/>
  <c r="AQ33" i="17"/>
  <c r="AK33" i="17"/>
  <c r="AQ49" i="17"/>
  <c r="AK49" i="17"/>
  <c r="AQ61" i="17"/>
  <c r="AK61" i="17"/>
  <c r="AQ73" i="17"/>
  <c r="AK73" i="17"/>
  <c r="AQ91" i="17"/>
  <c r="AK91" i="17"/>
  <c r="AQ97" i="17"/>
  <c r="AK97" i="17"/>
  <c r="AQ105" i="17"/>
  <c r="AK105" i="17"/>
  <c r="AQ113" i="17"/>
  <c r="AK113" i="17"/>
  <c r="AQ22" i="17"/>
  <c r="AK22" i="17"/>
  <c r="AQ90" i="17"/>
  <c r="AK90" i="17"/>
  <c r="DK127" i="14"/>
  <c r="EA8" i="14"/>
  <c r="EE8" i="14"/>
  <c r="ED8" i="14"/>
  <c r="EB8" i="14"/>
  <c r="EF8" i="14"/>
  <c r="EC8" i="14"/>
  <c r="ES11" i="14"/>
  <c r="DI15" i="14"/>
  <c r="ET20" i="14"/>
  <c r="ER23" i="14"/>
  <c r="ET28" i="14"/>
  <c r="ET29" i="14"/>
  <c r="DK32" i="14"/>
  <c r="DJ33" i="14"/>
  <c r="DK35" i="14"/>
  <c r="DI37" i="14"/>
  <c r="EF43" i="14"/>
  <c r="EA43" i="14"/>
  <c r="EE43" i="14"/>
  <c r="ED43" i="14"/>
  <c r="EB43" i="14"/>
  <c r="EH43" i="14" s="1"/>
  <c r="EC43" i="14"/>
  <c r="ER47" i="14"/>
  <c r="ES48" i="14"/>
  <c r="ET49" i="14"/>
  <c r="DI53" i="14"/>
  <c r="ET55" i="14"/>
  <c r="ES56" i="14"/>
  <c r="ER59" i="14"/>
  <c r="ES60" i="14"/>
  <c r="DJ63" i="14"/>
  <c r="DK65" i="14"/>
  <c r="DI67" i="14"/>
  <c r="EF68" i="14"/>
  <c r="EE68" i="14"/>
  <c r="ED68" i="14"/>
  <c r="EB68" i="14"/>
  <c r="EH68" i="14" s="1"/>
  <c r="EA68" i="14"/>
  <c r="EC68" i="14"/>
  <c r="ER72" i="14"/>
  <c r="DI73" i="14"/>
  <c r="ER75" i="14"/>
  <c r="ET76" i="14"/>
  <c r="DK77" i="14"/>
  <c r="DK87" i="14"/>
  <c r="EF87" i="14"/>
  <c r="EA87" i="14"/>
  <c r="ED87" i="14"/>
  <c r="EE87" i="14"/>
  <c r="EB87" i="14"/>
  <c r="EC87" i="14"/>
  <c r="DK89" i="14"/>
  <c r="ET91" i="14"/>
  <c r="ER92" i="14"/>
  <c r="DJ95" i="14"/>
  <c r="ED105" i="14"/>
  <c r="EF105" i="14"/>
  <c r="EA105" i="14"/>
  <c r="EB105" i="14"/>
  <c r="EE105" i="14"/>
  <c r="EC105" i="14"/>
  <c r="EI105" i="14" s="1"/>
  <c r="DI107" i="14"/>
  <c r="ER111" i="14"/>
  <c r="DJ119" i="14"/>
  <c r="EE119" i="14"/>
  <c r="ED119" i="14"/>
  <c r="EF119" i="14"/>
  <c r="EA119" i="14"/>
  <c r="EB119" i="14"/>
  <c r="EH119" i="14" s="1"/>
  <c r="EC119" i="14"/>
  <c r="EI119" i="14" s="1"/>
  <c r="DK121" i="14"/>
  <c r="DJ121" i="14"/>
  <c r="EH126" i="14"/>
  <c r="EA126" i="17"/>
  <c r="CV6" i="17"/>
  <c r="CV8" i="17"/>
  <c r="EC11" i="17"/>
  <c r="CU12" i="17"/>
  <c r="EB17" i="17"/>
  <c r="EC20" i="17"/>
  <c r="CV21" i="17"/>
  <c r="DQ32" i="17"/>
  <c r="DN32" i="17"/>
  <c r="DL32" i="17"/>
  <c r="DP32" i="17"/>
  <c r="DO32" i="17"/>
  <c r="DM32" i="17"/>
  <c r="CU33" i="17"/>
  <c r="CT35" i="17"/>
  <c r="CV35" i="17"/>
  <c r="EA36" i="17"/>
  <c r="CV40" i="17"/>
  <c r="CT40" i="17"/>
  <c r="DQ40" i="17"/>
  <c r="DP40" i="17"/>
  <c r="DN40" i="17"/>
  <c r="DM40" i="17"/>
  <c r="DS40" i="17" s="1"/>
  <c r="DL40" i="17"/>
  <c r="DO40" i="17"/>
  <c r="CU41" i="17"/>
  <c r="CV43" i="17"/>
  <c r="CU52" i="17"/>
  <c r="DO52" i="17"/>
  <c r="DN52" i="17"/>
  <c r="DM52" i="17"/>
  <c r="DQ52" i="17"/>
  <c r="DL52" i="17"/>
  <c r="DR52" i="17" s="1"/>
  <c r="DP52" i="17"/>
  <c r="EC53" i="17"/>
  <c r="CT56" i="17"/>
  <c r="EC57" i="17"/>
  <c r="CV59" i="17"/>
  <c r="EA60" i="17"/>
  <c r="CT68" i="17"/>
  <c r="DL68" i="17"/>
  <c r="DQ68" i="17"/>
  <c r="DP68" i="17"/>
  <c r="DO68" i="17"/>
  <c r="DM68" i="17"/>
  <c r="DN68" i="17"/>
  <c r="EB72" i="17"/>
  <c r="EC79" i="17"/>
  <c r="CU80" i="17"/>
  <c r="CU84" i="17"/>
  <c r="CV84" i="17"/>
  <c r="DO84" i="17"/>
  <c r="DL84" i="17"/>
  <c r="DP84" i="17"/>
  <c r="DN84" i="17"/>
  <c r="DM84" i="17"/>
  <c r="DQ84" i="17"/>
  <c r="EB85" i="17"/>
  <c r="CV87" i="17"/>
  <c r="EB88" i="17"/>
  <c r="EC89" i="17"/>
  <c r="EC96" i="17"/>
  <c r="CU97" i="17"/>
  <c r="CT97" i="17"/>
  <c r="EB103" i="17"/>
  <c r="EC105" i="17"/>
  <c r="EB107" i="17"/>
  <c r="EB108" i="17"/>
  <c r="EA109" i="17"/>
  <c r="EC111" i="17"/>
  <c r="EB120" i="17"/>
  <c r="CU123" i="17"/>
  <c r="AQ42" i="17"/>
  <c r="AK42" i="17"/>
  <c r="AQ20" i="17"/>
  <c r="AK20" i="17"/>
  <c r="AQ30" i="17"/>
  <c r="AK30" i="17"/>
  <c r="AQ52" i="17"/>
  <c r="AK52" i="17"/>
  <c r="AQ108" i="17"/>
  <c r="AK108" i="17"/>
  <c r="DM67" i="17"/>
  <c r="DL67" i="17"/>
  <c r="DR67" i="17" s="1"/>
  <c r="DO67" i="17"/>
  <c r="DQ67" i="17"/>
  <c r="DP67" i="17"/>
  <c r="DN67" i="17"/>
  <c r="DT67" i="17" s="1"/>
  <c r="AQ80" i="17"/>
  <c r="AK80" i="17"/>
  <c r="EF83" i="14"/>
  <c r="EA83" i="14"/>
  <c r="EG83" i="14" s="1"/>
  <c r="ED83" i="14"/>
  <c r="EE83" i="14"/>
  <c r="EB83" i="14"/>
  <c r="EC83" i="14"/>
  <c r="ET87" i="14"/>
  <c r="DM23" i="17"/>
  <c r="DL23" i="17"/>
  <c r="DP23" i="17"/>
  <c r="DO23" i="17"/>
  <c r="DQ23" i="17"/>
  <c r="DN23" i="17"/>
  <c r="EA101" i="17"/>
  <c r="EB106" i="17"/>
  <c r="AQ57" i="17"/>
  <c r="AK57" i="17"/>
  <c r="AQ109" i="17"/>
  <c r="AK109" i="17"/>
  <c r="EE18" i="14"/>
  <c r="ED18" i="14"/>
  <c r="EF18" i="14"/>
  <c r="EB18" i="14"/>
  <c r="EA18" i="14"/>
  <c r="EC18" i="14"/>
  <c r="EB28" i="14"/>
  <c r="ED28" i="14"/>
  <c r="EA28" i="14"/>
  <c r="EF28" i="14"/>
  <c r="EE28" i="14"/>
  <c r="EC28" i="14"/>
  <c r="ES57" i="14"/>
  <c r="ET86" i="14"/>
  <c r="EA92" i="14"/>
  <c r="EG92" i="14" s="1"/>
  <c r="EE92" i="14"/>
  <c r="ED92" i="14"/>
  <c r="EF92" i="14"/>
  <c r="EB92" i="14"/>
  <c r="EH92" i="14" s="1"/>
  <c r="EC92" i="14"/>
  <c r="DI117" i="14"/>
  <c r="EF120" i="14"/>
  <c r="ED120" i="14"/>
  <c r="EE120" i="14"/>
  <c r="EB120" i="14"/>
  <c r="EA120" i="14"/>
  <c r="EC120" i="14"/>
  <c r="DP13" i="17"/>
  <c r="DL13" i="17"/>
  <c r="DO13" i="17"/>
  <c r="DN13" i="17"/>
  <c r="DT13" i="17" s="1"/>
  <c r="DM13" i="17"/>
  <c r="DS13" i="17" s="1"/>
  <c r="DQ13" i="17"/>
  <c r="EA32" i="17"/>
  <c r="EB40" i="17"/>
  <c r="CU61" i="17"/>
  <c r="EB66" i="17"/>
  <c r="P26" i="17"/>
  <c r="DL89" i="17"/>
  <c r="DR89" i="17" s="1"/>
  <c r="DO89" i="17"/>
  <c r="DM89" i="17"/>
  <c r="DP89" i="17"/>
  <c r="DQ89" i="17"/>
  <c r="DN89" i="17"/>
  <c r="DL114" i="17"/>
  <c r="DQ114" i="17"/>
  <c r="DN114" i="17"/>
  <c r="DM114" i="17"/>
  <c r="DO114" i="17"/>
  <c r="DP114" i="17"/>
  <c r="AQ9" i="17"/>
  <c r="AK9" i="17"/>
  <c r="AQ43" i="17"/>
  <c r="AK43" i="17"/>
  <c r="AQ79" i="17"/>
  <c r="AK79" i="17"/>
  <c r="ES8" i="14"/>
  <c r="ER10" i="14"/>
  <c r="DJ12" i="14"/>
  <c r="DJ14" i="14"/>
  <c r="EE14" i="14"/>
  <c r="EA14" i="14"/>
  <c r="EF14" i="14"/>
  <c r="ED14" i="14"/>
  <c r="EB14" i="14"/>
  <c r="EH14" i="14" s="1"/>
  <c r="EC14" i="14"/>
  <c r="ES15" i="14"/>
  <c r="DK16" i="14"/>
  <c r="DI19" i="14"/>
  <c r="DI23" i="14"/>
  <c r="DJ23" i="14"/>
  <c r="DK26" i="14"/>
  <c r="EF26" i="14"/>
  <c r="EA26" i="14"/>
  <c r="EE26" i="14"/>
  <c r="EB26" i="14"/>
  <c r="ED26" i="14"/>
  <c r="EC26" i="14"/>
  <c r="DI27" i="14"/>
  <c r="ES30" i="14"/>
  <c r="DJ31" i="14"/>
  <c r="ER32" i="14"/>
  <c r="ER35" i="14"/>
  <c r="DI36" i="14"/>
  <c r="EF36" i="14"/>
  <c r="EA36" i="14"/>
  <c r="EG36" i="14" s="1"/>
  <c r="EE36" i="14"/>
  <c r="ED36" i="14"/>
  <c r="EB36" i="14"/>
  <c r="EC36" i="14"/>
  <c r="EF38" i="14"/>
  <c r="ED38" i="14"/>
  <c r="EE38" i="14"/>
  <c r="EA38" i="14"/>
  <c r="EG38" i="14" s="1"/>
  <c r="EB38" i="14"/>
  <c r="EH38" i="14" s="1"/>
  <c r="EC38" i="14"/>
  <c r="ER46" i="14"/>
  <c r="DJ54" i="14"/>
  <c r="EF54" i="14"/>
  <c r="EB54" i="14"/>
  <c r="EE54" i="14"/>
  <c r="EA54" i="14"/>
  <c r="ED54" i="14"/>
  <c r="EC54" i="14"/>
  <c r="ET58" i="14"/>
  <c r="ET62" i="14"/>
  <c r="ES63" i="14"/>
  <c r="DI64" i="14"/>
  <c r="DK70" i="14"/>
  <c r="EB70" i="14"/>
  <c r="EF70" i="14"/>
  <c r="ED70" i="14"/>
  <c r="EE70" i="14"/>
  <c r="EA70" i="14"/>
  <c r="EG70" i="14" s="1"/>
  <c r="EC70" i="14"/>
  <c r="ET71" i="14"/>
  <c r="ET74" i="14"/>
  <c r="ES84" i="14"/>
  <c r="ES88" i="14"/>
  <c r="DI90" i="14"/>
  <c r="ER94" i="14"/>
  <c r="ET95" i="14"/>
  <c r="ED96" i="14"/>
  <c r="EE96" i="14"/>
  <c r="EF96" i="14"/>
  <c r="EB96" i="14"/>
  <c r="EH96" i="14" s="1"/>
  <c r="EA96" i="14"/>
  <c r="EC96" i="14"/>
  <c r="DJ103" i="14"/>
  <c r="EE103" i="14"/>
  <c r="ED103" i="14"/>
  <c r="EF103" i="14"/>
  <c r="EA103" i="14"/>
  <c r="EB103" i="14"/>
  <c r="EC103" i="14"/>
  <c r="EI103" i="14" s="1"/>
  <c r="DK106" i="14"/>
  <c r="ER107" i="14"/>
  <c r="ET110" i="14"/>
  <c r="ES112" i="14"/>
  <c r="ED118" i="14"/>
  <c r="EE118" i="14"/>
  <c r="EB118" i="14"/>
  <c r="EA118" i="14"/>
  <c r="EG118" i="14" s="1"/>
  <c r="EF118" i="14"/>
  <c r="EC118" i="14"/>
  <c r="ES119" i="14"/>
  <c r="ER123" i="14"/>
  <c r="DI124" i="14"/>
  <c r="DK124" i="14"/>
  <c r="CT11" i="17"/>
  <c r="CV11" i="17"/>
  <c r="EC14" i="17"/>
  <c r="EA15" i="17"/>
  <c r="EC15" i="17"/>
  <c r="CT20" i="17"/>
  <c r="EC24" i="17"/>
  <c r="EB26" i="17"/>
  <c r="CT34" i="17"/>
  <c r="DL34" i="17"/>
  <c r="DR34" i="17" s="1"/>
  <c r="DO34" i="17"/>
  <c r="DN34" i="17"/>
  <c r="DM34" i="17"/>
  <c r="DP34" i="17"/>
  <c r="DQ34" i="17"/>
  <c r="CV36" i="17"/>
  <c r="EB38" i="17"/>
  <c r="EC42" i="17"/>
  <c r="EB43" i="17"/>
  <c r="EB44" i="17"/>
  <c r="DM48" i="17"/>
  <c r="DQ48" i="17"/>
  <c r="DL48" i="17"/>
  <c r="DP48" i="17"/>
  <c r="DO48" i="17"/>
  <c r="DN48" i="17"/>
  <c r="EA51" i="17"/>
  <c r="EA55" i="17"/>
  <c r="CT60" i="17"/>
  <c r="CU60" i="17"/>
  <c r="DL62" i="17"/>
  <c r="DP62" i="17"/>
  <c r="DO62" i="17"/>
  <c r="DN62" i="17"/>
  <c r="DT62" i="17" s="1"/>
  <c r="DM62" i="17"/>
  <c r="DQ62" i="17"/>
  <c r="EB64" i="17"/>
  <c r="CV67" i="17"/>
  <c r="EC70" i="17"/>
  <c r="EC71" i="17"/>
  <c r="CU72" i="17"/>
  <c r="DO74" i="17"/>
  <c r="DL74" i="17"/>
  <c r="DP74" i="17"/>
  <c r="DM74" i="17"/>
  <c r="DQ74" i="17"/>
  <c r="DN74" i="17"/>
  <c r="EA75" i="17"/>
  <c r="EA78" i="17"/>
  <c r="CT82" i="17"/>
  <c r="EC83" i="17"/>
  <c r="EA86" i="17"/>
  <c r="EC91" i="17"/>
  <c r="EA92" i="17"/>
  <c r="EA95" i="17"/>
  <c r="DL98" i="17"/>
  <c r="DO98" i="17"/>
  <c r="DM98" i="17"/>
  <c r="DS98" i="17" s="1"/>
  <c r="DQ98" i="17"/>
  <c r="DP98" i="17"/>
  <c r="DN98" i="17"/>
  <c r="DT98" i="17" s="1"/>
  <c r="EC99" i="17"/>
  <c r="EA100" i="17"/>
  <c r="EC104" i="17"/>
  <c r="CU107" i="17"/>
  <c r="DL108" i="17"/>
  <c r="DM108" i="17"/>
  <c r="DP108" i="17"/>
  <c r="DO108" i="17"/>
  <c r="DN108" i="17"/>
  <c r="DT108" i="17" s="1"/>
  <c r="DQ108" i="17"/>
  <c r="EB110" i="17"/>
  <c r="EB112" i="17"/>
  <c r="EB115" i="17"/>
  <c r="EA116" i="17"/>
  <c r="EA118" i="17"/>
  <c r="CU119" i="17"/>
  <c r="AQ32" i="17"/>
  <c r="AK32" i="17"/>
  <c r="AQ70" i="17"/>
  <c r="AK70" i="17"/>
  <c r="AQ100" i="17"/>
  <c r="AK100" i="17"/>
  <c r="ET127" i="14"/>
  <c r="DJ6" i="14"/>
  <c r="DM6" i="14" s="1"/>
  <c r="ED6" i="14"/>
  <c r="EE6" i="14"/>
  <c r="EF6" i="14"/>
  <c r="EA6" i="14"/>
  <c r="EB6" i="14"/>
  <c r="EC6" i="14"/>
  <c r="DK9" i="14"/>
  <c r="DJ9" i="14"/>
  <c r="EF17" i="14"/>
  <c r="ED17" i="14"/>
  <c r="EE17" i="14"/>
  <c r="EA17" i="14"/>
  <c r="EB17" i="14"/>
  <c r="EC17" i="14"/>
  <c r="ET18" i="14"/>
  <c r="ER19" i="14"/>
  <c r="DK21" i="14"/>
  <c r="DI21" i="14"/>
  <c r="DK22" i="14"/>
  <c r="DJ25" i="14"/>
  <c r="EA41" i="14"/>
  <c r="EE41" i="14"/>
  <c r="ED41" i="14"/>
  <c r="EB41" i="14"/>
  <c r="EF41" i="14"/>
  <c r="EC41" i="14"/>
  <c r="ES43" i="14"/>
  <c r="ES45" i="14"/>
  <c r="ES53" i="14"/>
  <c r="ET54" i="14"/>
  <c r="DJ57" i="14"/>
  <c r="DK71" i="14"/>
  <c r="EA71" i="14"/>
  <c r="EB71" i="14"/>
  <c r="EF71" i="14"/>
  <c r="EE71" i="14"/>
  <c r="ED71" i="14"/>
  <c r="EC71" i="14"/>
  <c r="DI74" i="14"/>
  <c r="DJ74" i="14"/>
  <c r="ET77" i="14"/>
  <c r="ED81" i="14"/>
  <c r="EE81" i="14"/>
  <c r="EB81" i="14"/>
  <c r="EF81" i="14"/>
  <c r="EA81" i="14"/>
  <c r="EG81" i="14" s="1"/>
  <c r="EC81" i="14"/>
  <c r="DI82" i="14"/>
  <c r="DJ85" i="14"/>
  <c r="DK86" i="14"/>
  <c r="ED86" i="14"/>
  <c r="EE86" i="14"/>
  <c r="EB86" i="14"/>
  <c r="EF86" i="14"/>
  <c r="EA86" i="14"/>
  <c r="EG86" i="14" s="1"/>
  <c r="EC86" i="14"/>
  <c r="ES97" i="14"/>
  <c r="DJ99" i="14"/>
  <c r="DI101" i="14"/>
  <c r="ED110" i="14"/>
  <c r="EA110" i="14"/>
  <c r="EG110" i="14" s="1"/>
  <c r="EB110" i="14"/>
  <c r="EE110" i="14"/>
  <c r="EF110" i="14"/>
  <c r="EC110" i="14"/>
  <c r="DJ111" i="14"/>
  <c r="DK113" i="14"/>
  <c r="ES114" i="14"/>
  <c r="ER121" i="14"/>
  <c r="DI125" i="14"/>
  <c r="EF125" i="14"/>
  <c r="ED125" i="14"/>
  <c r="EB125" i="14"/>
  <c r="EE125" i="14"/>
  <c r="EA125" i="14"/>
  <c r="EC125" i="14"/>
  <c r="EA9" i="17"/>
  <c r="DN17" i="17"/>
  <c r="DL17" i="17"/>
  <c r="DP17" i="17"/>
  <c r="DM17" i="17"/>
  <c r="DS17" i="17" s="1"/>
  <c r="DQ17" i="17"/>
  <c r="DO17" i="17"/>
  <c r="CT19" i="17"/>
  <c r="CV19" i="17"/>
  <c r="CU23" i="17"/>
  <c r="DO25" i="17"/>
  <c r="DL25" i="17"/>
  <c r="DN25" i="17"/>
  <c r="DT25" i="17" s="1"/>
  <c r="DM25" i="17"/>
  <c r="DQ25" i="17"/>
  <c r="DP25" i="17"/>
  <c r="CU26" i="17"/>
  <c r="DP26" i="17"/>
  <c r="DQ26" i="17"/>
  <c r="DN26" i="17"/>
  <c r="DL26" i="17"/>
  <c r="DR26" i="17" s="1"/>
  <c r="DO26" i="17"/>
  <c r="DM26" i="17"/>
  <c r="DM31" i="17"/>
  <c r="DO31" i="17"/>
  <c r="DP31" i="17"/>
  <c r="DL31" i="17"/>
  <c r="DQ31" i="17"/>
  <c r="DN31" i="17"/>
  <c r="DT31" i="17" s="1"/>
  <c r="CT42" i="17"/>
  <c r="EA45" i="17"/>
  <c r="EB47" i="17"/>
  <c r="EC49" i="17"/>
  <c r="CU51" i="17"/>
  <c r="CT55" i="17"/>
  <c r="DQ55" i="17"/>
  <c r="DP55" i="17"/>
  <c r="DO55" i="17"/>
  <c r="DN55" i="17"/>
  <c r="DM55" i="17"/>
  <c r="DL55" i="17"/>
  <c r="DR55" i="17" s="1"/>
  <c r="CT58" i="17"/>
  <c r="EB59" i="17"/>
  <c r="EA61" i="17"/>
  <c r="EA63" i="17"/>
  <c r="EA65" i="17"/>
  <c r="CV71" i="17"/>
  <c r="DL75" i="17"/>
  <c r="DP75" i="17"/>
  <c r="DO75" i="17"/>
  <c r="DM75" i="17"/>
  <c r="DQ75" i="17"/>
  <c r="DN75" i="17"/>
  <c r="DT75" i="17" s="1"/>
  <c r="EA77" i="17"/>
  <c r="EB81" i="17"/>
  <c r="CU83" i="17"/>
  <c r="CV85" i="17"/>
  <c r="DO90" i="17"/>
  <c r="DL90" i="17"/>
  <c r="DN90" i="17"/>
  <c r="DM90" i="17"/>
  <c r="DS90" i="17" s="1"/>
  <c r="DQ90" i="17"/>
  <c r="DP90" i="17"/>
  <c r="EB94" i="17"/>
  <c r="CT95" i="17"/>
  <c r="CT99" i="17"/>
  <c r="CU99" i="17"/>
  <c r="CT105" i="17"/>
  <c r="DL105" i="17"/>
  <c r="DM105" i="17"/>
  <c r="DQ105" i="17"/>
  <c r="DP105" i="17"/>
  <c r="DO105" i="17"/>
  <c r="DN105" i="17"/>
  <c r="EC106" i="17"/>
  <c r="EC113" i="17"/>
  <c r="EC114" i="17"/>
  <c r="CV115" i="17"/>
  <c r="CU115" i="17"/>
  <c r="CT118" i="17"/>
  <c r="DM118" i="17"/>
  <c r="DS118" i="17" s="1"/>
  <c r="DP118" i="17"/>
  <c r="DL118" i="17"/>
  <c r="DO118" i="17"/>
  <c r="DQ118" i="17"/>
  <c r="DN118" i="17"/>
  <c r="CV122" i="17"/>
  <c r="EC123" i="17"/>
  <c r="AQ41" i="17"/>
  <c r="AK41" i="17"/>
  <c r="AQ53" i="17"/>
  <c r="AK53" i="17"/>
  <c r="AQ81" i="17"/>
  <c r="AK81" i="17"/>
  <c r="AQ115" i="17"/>
  <c r="AK115" i="17"/>
  <c r="ES6" i="14"/>
  <c r="ES9" i="14"/>
  <c r="ET21" i="14"/>
  <c r="ES22" i="14"/>
  <c r="ES25" i="14"/>
  <c r="ED30" i="14"/>
  <c r="EF30" i="14"/>
  <c r="EB30" i="14"/>
  <c r="EE30" i="14"/>
  <c r="EA30" i="14"/>
  <c r="EC30" i="14"/>
  <c r="EI30" i="14" s="1"/>
  <c r="DK34" i="14"/>
  <c r="ES36" i="14"/>
  <c r="ET37" i="14"/>
  <c r="DJ40" i="14"/>
  <c r="ER41" i="14"/>
  <c r="ES44" i="14"/>
  <c r="DJ48" i="14"/>
  <c r="EB48" i="14"/>
  <c r="ED48" i="14"/>
  <c r="EA48" i="14"/>
  <c r="EE48" i="14"/>
  <c r="EF48" i="14"/>
  <c r="EC48" i="14"/>
  <c r="DI49" i="14"/>
  <c r="DI52" i="14"/>
  <c r="DK56" i="14"/>
  <c r="DK58" i="14"/>
  <c r="EF58" i="14"/>
  <c r="EB58" i="14"/>
  <c r="EE58" i="14"/>
  <c r="ED58" i="14"/>
  <c r="EA58" i="14"/>
  <c r="EG58" i="14" s="1"/>
  <c r="EC58" i="14"/>
  <c r="ER61" i="14"/>
  <c r="ES64" i="14"/>
  <c r="ES68" i="14"/>
  <c r="DJ69" i="14"/>
  <c r="EF72" i="14"/>
  <c r="EE72" i="14"/>
  <c r="EA72" i="14"/>
  <c r="ED72" i="14"/>
  <c r="EB72" i="14"/>
  <c r="EC72" i="14"/>
  <c r="DK76" i="14"/>
  <c r="ET78" i="14"/>
  <c r="DI80" i="14"/>
  <c r="DJ80" i="14"/>
  <c r="ES82" i="14"/>
  <c r="ED88" i="14"/>
  <c r="EE88" i="14"/>
  <c r="EB88" i="14"/>
  <c r="EF88" i="14"/>
  <c r="EA88" i="14"/>
  <c r="EG88" i="14" s="1"/>
  <c r="EC88" i="14"/>
  <c r="ET89" i="14"/>
  <c r="DK92" i="14"/>
  <c r="ET93" i="14"/>
  <c r="ET96" i="14"/>
  <c r="DJ97" i="14"/>
  <c r="ED98" i="14"/>
  <c r="EA98" i="14"/>
  <c r="EE98" i="14"/>
  <c r="EB98" i="14"/>
  <c r="EF98" i="14"/>
  <c r="EC98" i="14"/>
  <c r="ET101" i="14"/>
  <c r="DJ104" i="14"/>
  <c r="ES106" i="14"/>
  <c r="ET108" i="14"/>
  <c r="DJ116" i="14"/>
  <c r="EA116" i="14"/>
  <c r="EF116" i="14"/>
  <c r="EB116" i="14"/>
  <c r="ED116" i="14"/>
  <c r="EE116" i="14"/>
  <c r="EC116" i="14"/>
  <c r="ES118" i="14"/>
  <c r="DI120" i="14"/>
  <c r="ES122" i="14"/>
  <c r="ES124" i="14"/>
  <c r="ER125" i="14"/>
  <c r="EB6" i="17"/>
  <c r="EA8" i="17"/>
  <c r="EC8" i="17"/>
  <c r="CU9" i="17"/>
  <c r="EA12" i="17"/>
  <c r="CU13" i="17"/>
  <c r="DQ14" i="17"/>
  <c r="DP14" i="17"/>
  <c r="DO14" i="17"/>
  <c r="DL14" i="17"/>
  <c r="DM14" i="17"/>
  <c r="DN14" i="17"/>
  <c r="CT18" i="17"/>
  <c r="EA21" i="17"/>
  <c r="EA22" i="17"/>
  <c r="EC22" i="17"/>
  <c r="CT24" i="17"/>
  <c r="CV28" i="17"/>
  <c r="DO30" i="17"/>
  <c r="DL30" i="17"/>
  <c r="DP30" i="17"/>
  <c r="DN30" i="17"/>
  <c r="DM30" i="17"/>
  <c r="DQ30" i="17"/>
  <c r="EC32" i="17"/>
  <c r="EA33" i="17"/>
  <c r="EB34" i="17"/>
  <c r="EC46" i="17"/>
  <c r="CT49" i="17"/>
  <c r="CV49" i="17"/>
  <c r="DO53" i="17"/>
  <c r="DN53" i="17"/>
  <c r="DL53" i="17"/>
  <c r="DM53" i="17"/>
  <c r="DQ53" i="17"/>
  <c r="DP53" i="17"/>
  <c r="EB56" i="17"/>
  <c r="EA58" i="17"/>
  <c r="EA62" i="17"/>
  <c r="CV65" i="17"/>
  <c r="DP70" i="17"/>
  <c r="DO70" i="17"/>
  <c r="DM70" i="17"/>
  <c r="DQ70" i="17"/>
  <c r="DN70" i="17"/>
  <c r="DL70" i="17"/>
  <c r="DR70" i="17" s="1"/>
  <c r="EA74" i="17"/>
  <c r="EA76" i="17"/>
  <c r="EA80" i="17"/>
  <c r="CV81" i="17"/>
  <c r="CT81" i="17"/>
  <c r="CV86" i="17"/>
  <c r="DM86" i="17"/>
  <c r="DQ86" i="17"/>
  <c r="DP86" i="17"/>
  <c r="DL86" i="17"/>
  <c r="DO86" i="17"/>
  <c r="DN86" i="17"/>
  <c r="DT86" i="17" s="1"/>
  <c r="CV89" i="17"/>
  <c r="EB90" i="17"/>
  <c r="DM94" i="17"/>
  <c r="DQ94" i="17"/>
  <c r="DP94" i="17"/>
  <c r="DN94" i="17"/>
  <c r="DL94" i="17"/>
  <c r="DO94" i="17"/>
  <c r="EA97" i="17"/>
  <c r="EA102" i="17"/>
  <c r="CT104" i="17"/>
  <c r="CT106" i="17"/>
  <c r="CU106" i="17"/>
  <c r="DP112" i="17"/>
  <c r="DN112" i="17"/>
  <c r="DL112" i="17"/>
  <c r="DQ112" i="17"/>
  <c r="DO112" i="17"/>
  <c r="DM112" i="17"/>
  <c r="CV116" i="17"/>
  <c r="CU116" i="17"/>
  <c r="AQ11" i="17"/>
  <c r="AK11" i="17"/>
  <c r="AQ23" i="17"/>
  <c r="AK23" i="17"/>
  <c r="AQ35" i="17"/>
  <c r="AK35" i="17"/>
  <c r="AQ39" i="17"/>
  <c r="AK39" i="17"/>
  <c r="AQ47" i="17"/>
  <c r="AK47" i="17"/>
  <c r="AQ51" i="17"/>
  <c r="AK51" i="17"/>
  <c r="AQ75" i="17"/>
  <c r="AK75" i="17"/>
  <c r="AQ83" i="17"/>
  <c r="AK83" i="17"/>
  <c r="AQ87" i="17"/>
  <c r="AK87" i="17"/>
  <c r="AQ93" i="17"/>
  <c r="AK93" i="17"/>
  <c r="AQ107" i="17"/>
  <c r="AK107" i="17"/>
  <c r="AQ123" i="17"/>
  <c r="AK123" i="17"/>
  <c r="AQ76" i="17"/>
  <c r="AK76" i="17"/>
  <c r="AQ118" i="17"/>
  <c r="AK118" i="17"/>
  <c r="CU125" i="17"/>
  <c r="DL125" i="17"/>
  <c r="DM125" i="17"/>
  <c r="DQ125" i="17"/>
  <c r="DO125" i="17"/>
  <c r="DN125" i="17"/>
  <c r="DP125" i="17"/>
  <c r="EB127" i="14"/>
  <c r="EH127" i="14" s="1"/>
  <c r="EE127" i="14"/>
  <c r="EF127" i="14"/>
  <c r="EA127" i="14"/>
  <c r="ED127" i="14"/>
  <c r="EC127" i="14"/>
  <c r="ES7" i="14"/>
  <c r="DI8" i="14"/>
  <c r="DJ8" i="14"/>
  <c r="ET11" i="14"/>
  <c r="ES20" i="14"/>
  <c r="ES23" i="14"/>
  <c r="ED24" i="14"/>
  <c r="EF24" i="14"/>
  <c r="EA24" i="14"/>
  <c r="EE24" i="14"/>
  <c r="EB24" i="14"/>
  <c r="EC24" i="14"/>
  <c r="EI24" i="14" s="1"/>
  <c r="DI32" i="14"/>
  <c r="EE32" i="14"/>
  <c r="EA32" i="14"/>
  <c r="EG32" i="14" s="1"/>
  <c r="EF32" i="14"/>
  <c r="ED32" i="14"/>
  <c r="EB32" i="14"/>
  <c r="EH32" i="14" s="1"/>
  <c r="EC32" i="14"/>
  <c r="EI32" i="14" s="1"/>
  <c r="DI33" i="14"/>
  <c r="DI35" i="14"/>
  <c r="DJ35" i="14"/>
  <c r="DK39" i="14"/>
  <c r="EB39" i="14"/>
  <c r="ED39" i="14"/>
  <c r="EA39" i="14"/>
  <c r="EF39" i="14"/>
  <c r="EE39" i="14"/>
  <c r="EC39" i="14"/>
  <c r="ET40" i="14"/>
  <c r="DJ43" i="14"/>
  <c r="DI43" i="14"/>
  <c r="DJ44" i="14"/>
  <c r="EA51" i="14"/>
  <c r="ED51" i="14"/>
  <c r="EF51" i="14"/>
  <c r="EE51" i="14"/>
  <c r="EB51" i="14"/>
  <c r="EC51" i="14"/>
  <c r="EI51" i="14" s="1"/>
  <c r="ES55" i="14"/>
  <c r="ET56" i="14"/>
  <c r="ES59" i="14"/>
  <c r="ET60" i="14"/>
  <c r="DI63" i="14"/>
  <c r="DK67" i="14"/>
  <c r="EF67" i="14"/>
  <c r="EE67" i="14"/>
  <c r="ED67" i="14"/>
  <c r="EA67" i="14"/>
  <c r="EG67" i="14" s="1"/>
  <c r="EB67" i="14"/>
  <c r="EC67" i="14"/>
  <c r="DK68" i="14"/>
  <c r="DJ68" i="14"/>
  <c r="ET72" i="14"/>
  <c r="DJ73" i="14"/>
  <c r="ES75" i="14"/>
  <c r="ES76" i="14"/>
  <c r="DK79" i="14"/>
  <c r="EF79" i="14"/>
  <c r="EA79" i="14"/>
  <c r="ED79" i="14"/>
  <c r="EE79" i="14"/>
  <c r="EB79" i="14"/>
  <c r="EC79" i="14"/>
  <c r="ES80" i="14"/>
  <c r="ET81" i="14"/>
  <c r="ET85" i="14"/>
  <c r="DJ87" i="14"/>
  <c r="DI87" i="14"/>
  <c r="DI89" i="14"/>
  <c r="ES91" i="14"/>
  <c r="ET92" i="14"/>
  <c r="DJ93" i="14"/>
  <c r="EF95" i="14"/>
  <c r="EA95" i="14"/>
  <c r="EG95" i="14" s="1"/>
  <c r="EE95" i="14"/>
  <c r="ED95" i="14"/>
  <c r="EB95" i="14"/>
  <c r="EH95" i="14" s="1"/>
  <c r="EC95" i="14"/>
  <c r="ET99" i="14"/>
  <c r="DI105" i="14"/>
  <c r="DJ107" i="14"/>
  <c r="DK109" i="14"/>
  <c r="EA115" i="14"/>
  <c r="EB115" i="14"/>
  <c r="EE115" i="14"/>
  <c r="ED115" i="14"/>
  <c r="EF115" i="14"/>
  <c r="EC115" i="14"/>
  <c r="ES116" i="14"/>
  <c r="ET117" i="14"/>
  <c r="DK119" i="14"/>
  <c r="DI121" i="14"/>
  <c r="DJ123" i="14"/>
  <c r="X157" i="15"/>
  <c r="BA157" i="15" s="1"/>
  <c r="T157" i="15"/>
  <c r="AW157" i="15" s="1"/>
  <c r="W157" i="15"/>
  <c r="AZ157" i="15" s="1"/>
  <c r="S157" i="15"/>
  <c r="AV157" i="15" s="1"/>
  <c r="Z157" i="15"/>
  <c r="BC157" i="15" s="1"/>
  <c r="V157" i="15"/>
  <c r="AY157" i="15" s="1"/>
  <c r="R157" i="15"/>
  <c r="AU157" i="15" s="1"/>
  <c r="AL157" i="15"/>
  <c r="Y157" i="15"/>
  <c r="BB157" i="15" s="1"/>
  <c r="U157" i="15"/>
  <c r="AX157" i="15" s="1"/>
  <c r="EI126" i="14"/>
  <c r="EG126" i="14"/>
  <c r="CU6" i="17"/>
  <c r="DP6" i="17"/>
  <c r="DM6" i="17"/>
  <c r="DO6" i="17"/>
  <c r="DQ6" i="17"/>
  <c r="DL6" i="17"/>
  <c r="DN6" i="17"/>
  <c r="EA7" i="17"/>
  <c r="EC7" i="17"/>
  <c r="CU8" i="17"/>
  <c r="DO16" i="17"/>
  <c r="DQ16" i="17"/>
  <c r="DN16" i="17"/>
  <c r="DL16" i="17"/>
  <c r="DP16" i="17"/>
  <c r="DM16" i="17"/>
  <c r="EB19" i="17"/>
  <c r="EA20" i="17"/>
  <c r="CU21" i="17"/>
  <c r="CT21" i="17"/>
  <c r="EA25" i="17"/>
  <c r="EA28" i="17"/>
  <c r="CU32" i="17"/>
  <c r="CV33" i="17"/>
  <c r="DL37" i="17"/>
  <c r="DR37" i="17" s="1"/>
  <c r="DN37" i="17"/>
  <c r="DM37" i="17"/>
  <c r="DP37" i="17"/>
  <c r="DQ37" i="17"/>
  <c r="DO37" i="17"/>
  <c r="EA39" i="17"/>
  <c r="CV41" i="17"/>
  <c r="CU43" i="17"/>
  <c r="CT43" i="17"/>
  <c r="CV47" i="17"/>
  <c r="DL47" i="17"/>
  <c r="DP47" i="17"/>
  <c r="DO47" i="17"/>
  <c r="DN47" i="17"/>
  <c r="DM47" i="17"/>
  <c r="DQ47" i="17"/>
  <c r="EA53" i="17"/>
  <c r="EA57" i="17"/>
  <c r="CU59" i="17"/>
  <c r="CT59" i="17"/>
  <c r="CT63" i="17"/>
  <c r="DQ63" i="17"/>
  <c r="DP63" i="17"/>
  <c r="DO63" i="17"/>
  <c r="DN63" i="17"/>
  <c r="DM63" i="17"/>
  <c r="DL63" i="17"/>
  <c r="EB67" i="17"/>
  <c r="EA72" i="17"/>
  <c r="CU76" i="17"/>
  <c r="CV76" i="17"/>
  <c r="DM80" i="17"/>
  <c r="DN80" i="17"/>
  <c r="DL80" i="17"/>
  <c r="DQ80" i="17"/>
  <c r="DP80" i="17"/>
  <c r="DO80" i="17"/>
  <c r="CT84" i="17"/>
  <c r="EC85" i="17"/>
  <c r="CT87" i="17"/>
  <c r="EC88" i="17"/>
  <c r="EB89" i="17"/>
  <c r="CU93" i="17"/>
  <c r="CV97" i="17"/>
  <c r="DO97" i="17"/>
  <c r="DQ97" i="17"/>
  <c r="DL97" i="17"/>
  <c r="DR97" i="17" s="1"/>
  <c r="DN97" i="17"/>
  <c r="DM97" i="17"/>
  <c r="DP97" i="17"/>
  <c r="EA103" i="17"/>
  <c r="EA105" i="17"/>
  <c r="EC107" i="17"/>
  <c r="EC108" i="17"/>
  <c r="EB109" i="17"/>
  <c r="EB111" i="17"/>
  <c r="EA119" i="17"/>
  <c r="EA120" i="17"/>
  <c r="EB121" i="17"/>
  <c r="CV123" i="17"/>
  <c r="CV124" i="17"/>
  <c r="DN124" i="17"/>
  <c r="DL124" i="17"/>
  <c r="DO124" i="17"/>
  <c r="DM124" i="17"/>
  <c r="DP124" i="17"/>
  <c r="DQ124" i="17"/>
  <c r="AQ44" i="17"/>
  <c r="AK44" i="17"/>
  <c r="AQ60" i="17"/>
  <c r="AK60" i="17"/>
  <c r="AQ68" i="17"/>
  <c r="AK68" i="17"/>
  <c r="AQ12" i="17"/>
  <c r="AK12" i="17"/>
  <c r="AQ24" i="17"/>
  <c r="AK24" i="17"/>
  <c r="AQ48" i="17"/>
  <c r="AK48" i="17"/>
  <c r="AQ84" i="17"/>
  <c r="AK84" i="17"/>
  <c r="AQ94" i="17"/>
  <c r="AK94" i="17"/>
  <c r="AQ120" i="17"/>
  <c r="AK120" i="17"/>
  <c r="EE19" i="14"/>
  <c r="EA19" i="14"/>
  <c r="EF19" i="14"/>
  <c r="EB19" i="14"/>
  <c r="ED19" i="14"/>
  <c r="EC19" i="14"/>
  <c r="EE27" i="14"/>
  <c r="EB27" i="14"/>
  <c r="EF27" i="14"/>
  <c r="ED27" i="14"/>
  <c r="EA27" i="14"/>
  <c r="EG27" i="14" s="1"/>
  <c r="EC27" i="14"/>
  <c r="DI55" i="14"/>
  <c r="ED55" i="14"/>
  <c r="EA55" i="14"/>
  <c r="EG55" i="14" s="1"/>
  <c r="EB55" i="14"/>
  <c r="EF55" i="14"/>
  <c r="EE55" i="14"/>
  <c r="EC55" i="14"/>
  <c r="EI55" i="14" s="1"/>
  <c r="DJ91" i="14"/>
  <c r="EF108" i="14"/>
  <c r="EA108" i="14"/>
  <c r="EB108" i="14"/>
  <c r="EH108" i="14" s="1"/>
  <c r="ED108" i="14"/>
  <c r="EE108" i="14"/>
  <c r="EC108" i="14"/>
  <c r="ET123" i="14"/>
  <c r="CT7" i="17"/>
  <c r="EB15" i="17"/>
  <c r="EB31" i="17"/>
  <c r="CV79" i="17"/>
  <c r="DO82" i="17"/>
  <c r="DL82" i="17"/>
  <c r="DP82" i="17"/>
  <c r="DM82" i="17"/>
  <c r="DS82" i="17" s="1"/>
  <c r="DQ82" i="17"/>
  <c r="DN82" i="17"/>
  <c r="EB99" i="17"/>
  <c r="EF11" i="14"/>
  <c r="EE11" i="14"/>
  <c r="EA11" i="14"/>
  <c r="EB11" i="14"/>
  <c r="ED11" i="14"/>
  <c r="EC11" i="14"/>
  <c r="EE22" i="14"/>
  <c r="EA22" i="14"/>
  <c r="EF22" i="14"/>
  <c r="EB22" i="14"/>
  <c r="ED22" i="14"/>
  <c r="EC22" i="14"/>
  <c r="ES42" i="14"/>
  <c r="EA59" i="14"/>
  <c r="EE59" i="14"/>
  <c r="ED59" i="14"/>
  <c r="EF59" i="14"/>
  <c r="EB59" i="14"/>
  <c r="EC59" i="14"/>
  <c r="DK83" i="14"/>
  <c r="CV5" i="17"/>
  <c r="CY5" i="17" s="1"/>
  <c r="CY6" i="17" s="1"/>
  <c r="CY7" i="17" s="1"/>
  <c r="CV15" i="17"/>
  <c r="DL83" i="17"/>
  <c r="DP83" i="17"/>
  <c r="DO83" i="17"/>
  <c r="DM83" i="17"/>
  <c r="DQ83" i="17"/>
  <c r="DN83" i="17"/>
  <c r="DK14" i="14"/>
  <c r="DJ16" i="14"/>
  <c r="DK23" i="14"/>
  <c r="EE23" i="14"/>
  <c r="EF23" i="14"/>
  <c r="EA23" i="14"/>
  <c r="ED23" i="14"/>
  <c r="EB23" i="14"/>
  <c r="EH23" i="14" s="1"/>
  <c r="EC23" i="14"/>
  <c r="EI23" i="14" s="1"/>
  <c r="ER30" i="14"/>
  <c r="DI38" i="14"/>
  <c r="DJ42" i="14"/>
  <c r="DK42" i="14"/>
  <c r="ES46" i="14"/>
  <c r="EB47" i="14"/>
  <c r="EF47" i="14"/>
  <c r="EE47" i="14"/>
  <c r="EA47" i="14"/>
  <c r="ED47" i="14"/>
  <c r="EC47" i="14"/>
  <c r="EI47" i="14" s="1"/>
  <c r="EB50" i="14"/>
  <c r="EH50" i="14" s="1"/>
  <c r="EA50" i="14"/>
  <c r="EE50" i="14"/>
  <c r="ED50" i="14"/>
  <c r="EF50" i="14"/>
  <c r="EC50" i="14"/>
  <c r="ET52" i="14"/>
  <c r="DK55" i="14"/>
  <c r="ER58" i="14"/>
  <c r="ER62" i="14"/>
  <c r="EA66" i="14"/>
  <c r="EF66" i="14"/>
  <c r="ED66" i="14"/>
  <c r="EB66" i="14"/>
  <c r="EE66" i="14"/>
  <c r="EC66" i="14"/>
  <c r="EI66" i="14" s="1"/>
  <c r="DI70" i="14"/>
  <c r="ES74" i="14"/>
  <c r="ES83" i="14"/>
  <c r="ET84" i="14"/>
  <c r="ET88" i="14"/>
  <c r="EE91" i="14"/>
  <c r="EF91" i="14"/>
  <c r="EB91" i="14"/>
  <c r="ED91" i="14"/>
  <c r="EA91" i="14"/>
  <c r="EC91" i="14"/>
  <c r="EI91" i="14" s="1"/>
  <c r="DJ96" i="14"/>
  <c r="ES100" i="14"/>
  <c r="ET104" i="14"/>
  <c r="DJ106" i="14"/>
  <c r="DI108" i="14"/>
  <c r="DK114" i="14"/>
  <c r="ED114" i="14"/>
  <c r="EA114" i="14"/>
  <c r="EB114" i="14"/>
  <c r="EF114" i="14"/>
  <c r="EE114" i="14"/>
  <c r="EC114" i="14"/>
  <c r="ET115" i="14"/>
  <c r="DI118" i="14"/>
  <c r="ET119" i="14"/>
  <c r="ET120" i="14"/>
  <c r="ES123" i="14"/>
  <c r="DJ124" i="14"/>
  <c r="DO7" i="17"/>
  <c r="DM7" i="17"/>
  <c r="DP7" i="17"/>
  <c r="DQ7" i="17"/>
  <c r="DL7" i="17"/>
  <c r="DR7" i="17" s="1"/>
  <c r="DN7" i="17"/>
  <c r="CV10" i="17"/>
  <c r="DP10" i="17"/>
  <c r="DL10" i="17"/>
  <c r="DO10" i="17"/>
  <c r="DQ10" i="17"/>
  <c r="DN10" i="17"/>
  <c r="DT10" i="17" s="1"/>
  <c r="DM10" i="17"/>
  <c r="EA14" i="17"/>
  <c r="CU20" i="17"/>
  <c r="DM22" i="17"/>
  <c r="DP22" i="17"/>
  <c r="DQ22" i="17"/>
  <c r="DO22" i="17"/>
  <c r="DN22" i="17"/>
  <c r="DT22" i="17" s="1"/>
  <c r="DL22" i="17"/>
  <c r="CT27" i="17"/>
  <c r="DL27" i="17"/>
  <c r="DN27" i="17"/>
  <c r="DT27" i="17" s="1"/>
  <c r="DM27" i="17"/>
  <c r="DP27" i="17"/>
  <c r="DQ27" i="17"/>
  <c r="DO27" i="17"/>
  <c r="EC38" i="17"/>
  <c r="CV39" i="17"/>
  <c r="DL46" i="17"/>
  <c r="DM46" i="17"/>
  <c r="DP46" i="17"/>
  <c r="DQ46" i="17"/>
  <c r="DO46" i="17"/>
  <c r="DN46" i="17"/>
  <c r="DT46" i="17" s="1"/>
  <c r="EC51" i="17"/>
  <c r="CV54" i="17"/>
  <c r="DM60" i="17"/>
  <c r="DO60" i="17"/>
  <c r="DL60" i="17"/>
  <c r="DQ60" i="17"/>
  <c r="DP60" i="17"/>
  <c r="DN60" i="17"/>
  <c r="DT60" i="17" s="1"/>
  <c r="CU62" i="17"/>
  <c r="CT67" i="17"/>
  <c r="DM72" i="17"/>
  <c r="DN72" i="17"/>
  <c r="DT72" i="17" s="1"/>
  <c r="DL72" i="17"/>
  <c r="DQ72" i="17"/>
  <c r="DP72" i="17"/>
  <c r="DO72" i="17"/>
  <c r="EB75" i="17"/>
  <c r="EB78" i="17"/>
  <c r="DM96" i="17"/>
  <c r="DP96" i="17"/>
  <c r="DN96" i="17"/>
  <c r="DL96" i="17"/>
  <c r="DQ96" i="17"/>
  <c r="DO96" i="17"/>
  <c r="EA99" i="17"/>
  <c r="EB100" i="17"/>
  <c r="CT103" i="17"/>
  <c r="DM103" i="17"/>
  <c r="DP103" i="17"/>
  <c r="DN103" i="17"/>
  <c r="DO103" i="17"/>
  <c r="DQ103" i="17"/>
  <c r="DL103" i="17"/>
  <c r="CT107" i="17"/>
  <c r="DQ107" i="17"/>
  <c r="DO107" i="17"/>
  <c r="DL107" i="17"/>
  <c r="DM107" i="17"/>
  <c r="DP107" i="17"/>
  <c r="DN107" i="17"/>
  <c r="DT107" i="17" s="1"/>
  <c r="EA112" i="17"/>
  <c r="EA115" i="17"/>
  <c r="EC116" i="17"/>
  <c r="DM120" i="17"/>
  <c r="DS120" i="17" s="1"/>
  <c r="DQ120" i="17"/>
  <c r="DP120" i="17"/>
  <c r="DN120" i="17"/>
  <c r="DO120" i="17"/>
  <c r="DL120" i="17"/>
  <c r="EA122" i="17"/>
  <c r="EB124" i="17"/>
  <c r="AQ14" i="17"/>
  <c r="AK14" i="17"/>
  <c r="AQ74" i="17"/>
  <c r="AK74" i="17"/>
  <c r="AQ106" i="17"/>
  <c r="AK106" i="17"/>
  <c r="EF7" i="14"/>
  <c r="EA7" i="14"/>
  <c r="EE7" i="14"/>
  <c r="EB7" i="14"/>
  <c r="ED7" i="14"/>
  <c r="EC7" i="14"/>
  <c r="DL7" i="14"/>
  <c r="DI9" i="14"/>
  <c r="EF13" i="14"/>
  <c r="EA13" i="14"/>
  <c r="EE13" i="14"/>
  <c r="EB13" i="14"/>
  <c r="ED13" i="14"/>
  <c r="EC13" i="14"/>
  <c r="ET14" i="14"/>
  <c r="ES18" i="14"/>
  <c r="ET19" i="14"/>
  <c r="ED21" i="14"/>
  <c r="EE21" i="14"/>
  <c r="EB21" i="14"/>
  <c r="EF21" i="14"/>
  <c r="EA21" i="14"/>
  <c r="EC21" i="14"/>
  <c r="ED25" i="14"/>
  <c r="EE25" i="14"/>
  <c r="EB25" i="14"/>
  <c r="EF25" i="14"/>
  <c r="EA25" i="14"/>
  <c r="EG25" i="14" s="1"/>
  <c r="EC25" i="14"/>
  <c r="ET27" i="14"/>
  <c r="ET34" i="14"/>
  <c r="ES39" i="14"/>
  <c r="DJ41" i="14"/>
  <c r="ET42" i="14"/>
  <c r="ES50" i="14"/>
  <c r="ET51" i="14"/>
  <c r="ES54" i="14"/>
  <c r="DK57" i="14"/>
  <c r="DJ59" i="14"/>
  <c r="EE61" i="14"/>
  <c r="EA61" i="14"/>
  <c r="EB61" i="14"/>
  <c r="EH61" i="14" s="1"/>
  <c r="ED61" i="14"/>
  <c r="EF61" i="14"/>
  <c r="EC61" i="14"/>
  <c r="ET66" i="14"/>
  <c r="ET67" i="14"/>
  <c r="ES73" i="14"/>
  <c r="ED78" i="14"/>
  <c r="EE78" i="14"/>
  <c r="EB78" i="14"/>
  <c r="EF78" i="14"/>
  <c r="EA78" i="14"/>
  <c r="EG78" i="14" s="1"/>
  <c r="EC78" i="14"/>
  <c r="ED85" i="14"/>
  <c r="EE85" i="14"/>
  <c r="EB85" i="14"/>
  <c r="EF85" i="14"/>
  <c r="EA85" i="14"/>
  <c r="EC85" i="14"/>
  <c r="DI86" i="14"/>
  <c r="ES87" i="14"/>
  <c r="ET97" i="14"/>
  <c r="DK99" i="14"/>
  <c r="DJ101" i="14"/>
  <c r="ED102" i="14"/>
  <c r="EB102" i="14"/>
  <c r="EH102" i="14" s="1"/>
  <c r="EE102" i="14"/>
  <c r="EF102" i="14"/>
  <c r="EA102" i="14"/>
  <c r="EG102" i="14" s="1"/>
  <c r="EC102" i="14"/>
  <c r="ET105" i="14"/>
  <c r="ET109" i="14"/>
  <c r="DI110" i="14"/>
  <c r="DK111" i="14"/>
  <c r="DI122" i="14"/>
  <c r="EF122" i="14"/>
  <c r="EE122" i="14"/>
  <c r="EA122" i="14"/>
  <c r="EB122" i="14"/>
  <c r="ED122" i="14"/>
  <c r="EC122" i="14"/>
  <c r="CU5" i="17"/>
  <c r="CX5" i="17" s="1"/>
  <c r="CX6" i="17" s="1"/>
  <c r="CX7" i="17" s="1"/>
  <c r="EC13" i="17"/>
  <c r="DM15" i="17"/>
  <c r="DO15" i="17"/>
  <c r="DN15" i="17"/>
  <c r="DL15" i="17"/>
  <c r="DQ15" i="17"/>
  <c r="DP15" i="17"/>
  <c r="CT17" i="17"/>
  <c r="CV25" i="17"/>
  <c r="CV26" i="17"/>
  <c r="EB29" i="17"/>
  <c r="EB30" i="17"/>
  <c r="EA35" i="17"/>
  <c r="EB37" i="17"/>
  <c r="DP51" i="17"/>
  <c r="DN51" i="17"/>
  <c r="DL51" i="17"/>
  <c r="DM51" i="17"/>
  <c r="DQ51" i="17"/>
  <c r="DO51" i="17"/>
  <c r="CV58" i="17"/>
  <c r="CU58" i="17"/>
  <c r="DM71" i="17"/>
  <c r="DQ71" i="17"/>
  <c r="DN71" i="17"/>
  <c r="DL71" i="17"/>
  <c r="DP71" i="17"/>
  <c r="DO71" i="17"/>
  <c r="EA81" i="17"/>
  <c r="CT83" i="17"/>
  <c r="DP85" i="17"/>
  <c r="DL85" i="17"/>
  <c r="DR85" i="17" s="1"/>
  <c r="DO85" i="17"/>
  <c r="DN85" i="17"/>
  <c r="DM85" i="17"/>
  <c r="DS85" i="17" s="1"/>
  <c r="DQ85" i="17"/>
  <c r="EA94" i="17"/>
  <c r="CV95" i="17"/>
  <c r="DL99" i="17"/>
  <c r="DO99" i="17"/>
  <c r="DN99" i="17"/>
  <c r="DM99" i="17"/>
  <c r="DP99" i="17"/>
  <c r="DQ99" i="17"/>
  <c r="EA106" i="17"/>
  <c r="CT110" i="17"/>
  <c r="CV110" i="17"/>
  <c r="DL115" i="17"/>
  <c r="DM115" i="17"/>
  <c r="DQ115" i="17"/>
  <c r="DO115" i="17"/>
  <c r="DN115" i="17"/>
  <c r="DP115" i="17"/>
  <c r="EB117" i="17"/>
  <c r="AK27" i="17"/>
  <c r="AQ27" i="17"/>
  <c r="AQ55" i="17"/>
  <c r="AK55" i="17"/>
  <c r="AQ63" i="17"/>
  <c r="AK63" i="17"/>
  <c r="AQ89" i="17"/>
  <c r="AK89" i="17"/>
  <c r="AQ99" i="17"/>
  <c r="AK99" i="17"/>
  <c r="EA10" i="14"/>
  <c r="EE10" i="14"/>
  <c r="ED10" i="14"/>
  <c r="EF10" i="14"/>
  <c r="EB10" i="14"/>
  <c r="EC10" i="14"/>
  <c r="ES16" i="14"/>
  <c r="ET17" i="14"/>
  <c r="DI18" i="14"/>
  <c r="DI20" i="14"/>
  <c r="ES21" i="14"/>
  <c r="ET25" i="14"/>
  <c r="DK28" i="14"/>
  <c r="EE29" i="14"/>
  <c r="EA29" i="14"/>
  <c r="EG29" i="14" s="1"/>
  <c r="EF29" i="14"/>
  <c r="ED29" i="14"/>
  <c r="EB29" i="14"/>
  <c r="EH29" i="14" s="1"/>
  <c r="EC29" i="14"/>
  <c r="DI30" i="14"/>
  <c r="ER36" i="14"/>
  <c r="ES37" i="14"/>
  <c r="DI40" i="14"/>
  <c r="EE46" i="14"/>
  <c r="ED46" i="14"/>
  <c r="EB46" i="14"/>
  <c r="EF46" i="14"/>
  <c r="EA46" i="14"/>
  <c r="EG46" i="14" s="1"/>
  <c r="EC46" i="14"/>
  <c r="DI48" i="14"/>
  <c r="ED52" i="14"/>
  <c r="EF52" i="14"/>
  <c r="EE52" i="14"/>
  <c r="EA52" i="14"/>
  <c r="EB52" i="14"/>
  <c r="EH52" i="14" s="1"/>
  <c r="EC52" i="14"/>
  <c r="EB56" i="14"/>
  <c r="EF56" i="14"/>
  <c r="ED56" i="14"/>
  <c r="EA56" i="14"/>
  <c r="EE56" i="14"/>
  <c r="EC56" i="14"/>
  <c r="EI56" i="14" s="1"/>
  <c r="DK60" i="14"/>
  <c r="ES61" i="14"/>
  <c r="EA69" i="14"/>
  <c r="EB69" i="14"/>
  <c r="EF69" i="14"/>
  <c r="EE69" i="14"/>
  <c r="ED69" i="14"/>
  <c r="EC69" i="14"/>
  <c r="DI72" i="14"/>
  <c r="ES78" i="14"/>
  <c r="ED84" i="14"/>
  <c r="EE84" i="14"/>
  <c r="EB84" i="14"/>
  <c r="EF84" i="14"/>
  <c r="EA84" i="14"/>
  <c r="EG84" i="14" s="1"/>
  <c r="EC84" i="14"/>
  <c r="ET90" i="14"/>
  <c r="ER93" i="14"/>
  <c r="ED97" i="14"/>
  <c r="EF97" i="14"/>
  <c r="EA97" i="14"/>
  <c r="EB97" i="14"/>
  <c r="EH97" i="14" s="1"/>
  <c r="EE97" i="14"/>
  <c r="EC97" i="14"/>
  <c r="EI97" i="14" s="1"/>
  <c r="DK100" i="14"/>
  <c r="ER101" i="14"/>
  <c r="EE112" i="14"/>
  <c r="EF112" i="14"/>
  <c r="ED112" i="14"/>
  <c r="EA112" i="14"/>
  <c r="EB112" i="14"/>
  <c r="EH112" i="14" s="1"/>
  <c r="EC112" i="14"/>
  <c r="EI112" i="14" s="1"/>
  <c r="DK116" i="14"/>
  <c r="DK117" i="14"/>
  <c r="EC10" i="17"/>
  <c r="CT14" i="17"/>
  <c r="CV14" i="17"/>
  <c r="CU24" i="17"/>
  <c r="CV29" i="17"/>
  <c r="DO29" i="17"/>
  <c r="DQ29" i="17"/>
  <c r="DL29" i="17"/>
  <c r="DP29" i="17"/>
  <c r="DN29" i="17"/>
  <c r="DM29" i="17"/>
  <c r="DS29" i="17" s="1"/>
  <c r="EB32" i="17"/>
  <c r="EA34" i="17"/>
  <c r="EA40" i="17"/>
  <c r="EB41" i="17"/>
  <c r="DP49" i="17"/>
  <c r="DQ49" i="17"/>
  <c r="DO49" i="17"/>
  <c r="DN49" i="17"/>
  <c r="DL49" i="17"/>
  <c r="DM49" i="17"/>
  <c r="EB50" i="17"/>
  <c r="EA54" i="17"/>
  <c r="EB58" i="17"/>
  <c r="EB62" i="17"/>
  <c r="DN65" i="17"/>
  <c r="DM65" i="17"/>
  <c r="DQ65" i="17"/>
  <c r="DL65" i="17"/>
  <c r="DO65" i="17"/>
  <c r="DP65" i="17"/>
  <c r="EC76" i="17"/>
  <c r="CV77" i="17"/>
  <c r="DM81" i="17"/>
  <c r="DO81" i="17"/>
  <c r="DN81" i="17"/>
  <c r="DL81" i="17"/>
  <c r="DP81" i="17"/>
  <c r="DQ81" i="17"/>
  <c r="CU89" i="17"/>
  <c r="DL92" i="17"/>
  <c r="DQ92" i="17"/>
  <c r="DN92" i="17"/>
  <c r="DM92" i="17"/>
  <c r="DS92" i="17" s="1"/>
  <c r="DP92" i="17"/>
  <c r="DO92" i="17"/>
  <c r="EB93" i="17"/>
  <c r="CU94" i="17"/>
  <c r="EB97" i="17"/>
  <c r="EA98" i="17"/>
  <c r="CV104" i="17"/>
  <c r="CV106" i="17"/>
  <c r="DO106" i="17"/>
  <c r="DL106" i="17"/>
  <c r="DR106" i="17" s="1"/>
  <c r="DQ106" i="17"/>
  <c r="DM106" i="17"/>
  <c r="DS106" i="17" s="1"/>
  <c r="DP106" i="17"/>
  <c r="DN106" i="17"/>
  <c r="CV113" i="17"/>
  <c r="CV114" i="17"/>
  <c r="DO116" i="17"/>
  <c r="DP116" i="17"/>
  <c r="DN116" i="17"/>
  <c r="DM116" i="17"/>
  <c r="DQ116" i="17"/>
  <c r="DL116" i="17"/>
  <c r="DR116" i="17" s="1"/>
  <c r="AK6" i="17"/>
  <c r="AQ6" i="17"/>
  <c r="AK21" i="17"/>
  <c r="AQ21" i="17"/>
  <c r="AQ37" i="17"/>
  <c r="AK37" i="17"/>
  <c r="AQ45" i="17"/>
  <c r="AK45" i="17"/>
  <c r="AQ69" i="17"/>
  <c r="AK69" i="17"/>
  <c r="AQ77" i="17"/>
  <c r="AK77" i="17"/>
  <c r="AQ101" i="17"/>
  <c r="AK101" i="17"/>
  <c r="AQ117" i="17"/>
  <c r="AK117" i="17"/>
  <c r="AK5" i="17"/>
  <c r="AQ5" i="17"/>
  <c r="AQ34" i="17"/>
  <c r="AK34" i="17"/>
  <c r="AQ56" i="17"/>
  <c r="AK56" i="17"/>
  <c r="AQ82" i="17"/>
  <c r="AK82" i="17"/>
  <c r="AQ104" i="17"/>
  <c r="AK104" i="17"/>
  <c r="AQ112" i="17"/>
  <c r="AK112" i="17"/>
  <c r="CT125" i="17"/>
  <c r="DK8" i="14"/>
  <c r="ER11" i="14"/>
  <c r="DK15" i="14"/>
  <c r="ES29" i="14"/>
  <c r="DK33" i="14"/>
  <c r="ED37" i="14"/>
  <c r="EF37" i="14"/>
  <c r="EA37" i="14"/>
  <c r="EE37" i="14"/>
  <c r="EB37" i="14"/>
  <c r="EC37" i="14"/>
  <c r="EI37" i="14" s="1"/>
  <c r="DI39" i="14"/>
  <c r="DK43" i="14"/>
  <c r="DI44" i="14"/>
  <c r="EA45" i="14"/>
  <c r="EE45" i="14"/>
  <c r="ED45" i="14"/>
  <c r="EB45" i="14"/>
  <c r="EF45" i="14"/>
  <c r="EC45" i="14"/>
  <c r="ES47" i="14"/>
  <c r="ET48" i="14"/>
  <c r="ER55" i="14"/>
  <c r="ER56" i="14"/>
  <c r="ER60" i="14"/>
  <c r="EF65" i="14"/>
  <c r="EA65" i="14"/>
  <c r="EE65" i="14"/>
  <c r="ED65" i="14"/>
  <c r="EB65" i="14"/>
  <c r="EC65" i="14"/>
  <c r="ES72" i="14"/>
  <c r="EE77" i="14"/>
  <c r="ED77" i="14"/>
  <c r="EB77" i="14"/>
  <c r="EA77" i="14"/>
  <c r="EF77" i="14"/>
  <c r="EC77" i="14"/>
  <c r="DJ79" i="14"/>
  <c r="ET80" i="14"/>
  <c r="EF93" i="14"/>
  <c r="EA93" i="14"/>
  <c r="EE93" i="14"/>
  <c r="ED93" i="14"/>
  <c r="EB93" i="14"/>
  <c r="EH93" i="14" s="1"/>
  <c r="EC93" i="14"/>
  <c r="DK105" i="14"/>
  <c r="DJ109" i="14"/>
  <c r="ED109" i="14"/>
  <c r="EA109" i="14"/>
  <c r="EB109" i="14"/>
  <c r="EF109" i="14"/>
  <c r="EE109" i="14"/>
  <c r="EC109" i="14"/>
  <c r="DJ115" i="14"/>
  <c r="DK123" i="14"/>
  <c r="EE123" i="14"/>
  <c r="ED123" i="14"/>
  <c r="EF123" i="14"/>
  <c r="EB123" i="14"/>
  <c r="EA123" i="14"/>
  <c r="EC123" i="14"/>
  <c r="P159" i="15"/>
  <c r="Q158" i="15"/>
  <c r="CT6" i="17"/>
  <c r="CW6" i="17" s="1"/>
  <c r="CW7" i="17" s="1"/>
  <c r="EB11" i="17"/>
  <c r="DQ12" i="17"/>
  <c r="DO12" i="17"/>
  <c r="DL12" i="17"/>
  <c r="DR12" i="17" s="1"/>
  <c r="DP12" i="17"/>
  <c r="DN12" i="17"/>
  <c r="DT12" i="17" s="1"/>
  <c r="DM12" i="17"/>
  <c r="CV16" i="17"/>
  <c r="EB20" i="17"/>
  <c r="EB27" i="17"/>
  <c r="DL35" i="17"/>
  <c r="DO35" i="17"/>
  <c r="DN35" i="17"/>
  <c r="DM35" i="17"/>
  <c r="DP35" i="17"/>
  <c r="DQ35" i="17"/>
  <c r="CT41" i="17"/>
  <c r="DM43" i="17"/>
  <c r="DL43" i="17"/>
  <c r="DP43" i="17"/>
  <c r="DO43" i="17"/>
  <c r="DQ43" i="17"/>
  <c r="DN43" i="17"/>
  <c r="EA48" i="17"/>
  <c r="DM59" i="17"/>
  <c r="DL59" i="17"/>
  <c r="DQ59" i="17"/>
  <c r="DP59" i="17"/>
  <c r="DO59" i="17"/>
  <c r="DN59" i="17"/>
  <c r="EB60" i="17"/>
  <c r="CV69" i="17"/>
  <c r="CT76" i="17"/>
  <c r="DL76" i="17"/>
  <c r="DQ76" i="17"/>
  <c r="DP76" i="17"/>
  <c r="DO76" i="17"/>
  <c r="DM76" i="17"/>
  <c r="DN76" i="17"/>
  <c r="DT76" i="17" s="1"/>
  <c r="EA79" i="17"/>
  <c r="CT80" i="17"/>
  <c r="EA85" i="17"/>
  <c r="CT93" i="17"/>
  <c r="DP93" i="17"/>
  <c r="DN93" i="17"/>
  <c r="DM93" i="17"/>
  <c r="DO93" i="17"/>
  <c r="DQ93" i="17"/>
  <c r="DL93" i="17"/>
  <c r="EC103" i="17"/>
  <c r="EC109" i="17"/>
  <c r="EA111" i="17"/>
  <c r="CV117" i="17"/>
  <c r="DQ123" i="17"/>
  <c r="DP123" i="17"/>
  <c r="DN123" i="17"/>
  <c r="DT123" i="17" s="1"/>
  <c r="DL123" i="17"/>
  <c r="DO123" i="17"/>
  <c r="DM123" i="17"/>
  <c r="CT124" i="17"/>
  <c r="AQ18" i="17"/>
  <c r="AK18" i="17"/>
  <c r="AQ46" i="17"/>
  <c r="AK46" i="17"/>
  <c r="AQ50" i="17"/>
  <c r="AK50" i="17"/>
  <c r="AQ54" i="17"/>
  <c r="AK54" i="17"/>
  <c r="AQ8" i="17"/>
  <c r="AK8" i="17"/>
  <c r="AQ78" i="17"/>
  <c r="AK78" i="17"/>
  <c r="AQ98" i="17"/>
  <c r="AK98" i="17"/>
  <c r="AQ114" i="17"/>
  <c r="AK114" i="17"/>
  <c r="EH85" i="14" l="1"/>
  <c r="EI61" i="14"/>
  <c r="DS107" i="17"/>
  <c r="DS7" i="17"/>
  <c r="DR80" i="17"/>
  <c r="DR94" i="17"/>
  <c r="EH72" i="14"/>
  <c r="DT55" i="17"/>
  <c r="EG125" i="14"/>
  <c r="EI118" i="14"/>
  <c r="EH120" i="14"/>
  <c r="DS100" i="17"/>
  <c r="DS88" i="17"/>
  <c r="DS44" i="17"/>
  <c r="EH60" i="14"/>
  <c r="EG20" i="14"/>
  <c r="DS91" i="17"/>
  <c r="DR57" i="17"/>
  <c r="EH9" i="14"/>
  <c r="DR102" i="17"/>
  <c r="DR50" i="17"/>
  <c r="EG42" i="14"/>
  <c r="DT28" i="17"/>
  <c r="EI49" i="14"/>
  <c r="EG34" i="14"/>
  <c r="DS42" i="17"/>
  <c r="EG35" i="14"/>
  <c r="DR119" i="17"/>
  <c r="DS39" i="17"/>
  <c r="EI116" i="14"/>
  <c r="DS123" i="17"/>
  <c r="DR93" i="17"/>
  <c r="EI109" i="14"/>
  <c r="EG93" i="14"/>
  <c r="EH65" i="14"/>
  <c r="EH45" i="14"/>
  <c r="DR103" i="17"/>
  <c r="DR22" i="17"/>
  <c r="DS83" i="17"/>
  <c r="DT94" i="17"/>
  <c r="EH116" i="14"/>
  <c r="DS105" i="17"/>
  <c r="EH71" i="14"/>
  <c r="EG94" i="14"/>
  <c r="EH40" i="14"/>
  <c r="EI52" i="14"/>
  <c r="EI9" i="14"/>
  <c r="DT43" i="17"/>
  <c r="EI45" i="14"/>
  <c r="DT116" i="17"/>
  <c r="DT92" i="17"/>
  <c r="DT49" i="17"/>
  <c r="EG97" i="14"/>
  <c r="EH84" i="14"/>
  <c r="EI29" i="14"/>
  <c r="DR99" i="17"/>
  <c r="EI122" i="14"/>
  <c r="EI78" i="14"/>
  <c r="EH25" i="14"/>
  <c r="EI13" i="14"/>
  <c r="EG13" i="14"/>
  <c r="EI7" i="14"/>
  <c r="EG7" i="14"/>
  <c r="DR124" i="17"/>
  <c r="DR63" i="17"/>
  <c r="DS47" i="17"/>
  <c r="DR47" i="17"/>
  <c r="DS16" i="17"/>
  <c r="EH67" i="14"/>
  <c r="EH51" i="14"/>
  <c r="EG51" i="14"/>
  <c r="EG39" i="14"/>
  <c r="EG127" i="14"/>
  <c r="EH30" i="14"/>
  <c r="DT26" i="17"/>
  <c r="DR25" i="17"/>
  <c r="EG6" i="14"/>
  <c r="DS74" i="17"/>
  <c r="DS48" i="17"/>
  <c r="DS34" i="17"/>
  <c r="EH118" i="14"/>
  <c r="EH70" i="14"/>
  <c r="EG54" i="14"/>
  <c r="EI36" i="14"/>
  <c r="EI26" i="14"/>
  <c r="EG26" i="14"/>
  <c r="EI14" i="14"/>
  <c r="EG14" i="14"/>
  <c r="EG120" i="14"/>
  <c r="EI18" i="14"/>
  <c r="DT23" i="17"/>
  <c r="DR23" i="17"/>
  <c r="EH83" i="14"/>
  <c r="DT84" i="17"/>
  <c r="EG8" i="14"/>
  <c r="DT61" i="17"/>
  <c r="DS24" i="17"/>
  <c r="DT57" i="17"/>
  <c r="DS102" i="17"/>
  <c r="DS50" i="17"/>
  <c r="DS104" i="17"/>
  <c r="EG40" i="14"/>
  <c r="EH113" i="14"/>
  <c r="EH101" i="14"/>
  <c r="DT87" i="17"/>
  <c r="DS8" i="17"/>
  <c r="EH121" i="14"/>
  <c r="DS110" i="17"/>
  <c r="DS95" i="17"/>
  <c r="DR58" i="17"/>
  <c r="DT100" i="17"/>
  <c r="EI100" i="14"/>
  <c r="DT65" i="17"/>
  <c r="EI84" i="14"/>
  <c r="EH69" i="14"/>
  <c r="EH46" i="14"/>
  <c r="EI10" i="14"/>
  <c r="DT85" i="17"/>
  <c r="DR71" i="17"/>
  <c r="EG61" i="14"/>
  <c r="EI25" i="14"/>
  <c r="DT47" i="17"/>
  <c r="DT112" i="17"/>
  <c r="DS94" i="17"/>
  <c r="DS86" i="17"/>
  <c r="DR53" i="17"/>
  <c r="EI88" i="14"/>
  <c r="EI81" i="14"/>
  <c r="DT52" i="17"/>
  <c r="DT40" i="17"/>
  <c r="DR32" i="17"/>
  <c r="EG119" i="14"/>
  <c r="EH8" i="14"/>
  <c r="DR19" i="17"/>
  <c r="EG111" i="14"/>
  <c r="DS126" i="17"/>
  <c r="EH124" i="14"/>
  <c r="EI90" i="14"/>
  <c r="EI12" i="14"/>
  <c r="DS64" i="17"/>
  <c r="EI94" i="14"/>
  <c r="EG49" i="14"/>
  <c r="EI34" i="14"/>
  <c r="EG113" i="14"/>
  <c r="EI101" i="14"/>
  <c r="DS122" i="17"/>
  <c r="DT54" i="17"/>
  <c r="EG85" i="14"/>
  <c r="DT48" i="17"/>
  <c r="EG96" i="14"/>
  <c r="EI70" i="14"/>
  <c r="DR123" i="17"/>
  <c r="DT93" i="17"/>
  <c r="DS59" i="17"/>
  <c r="DT35" i="17"/>
  <c r="EI123" i="14"/>
  <c r="EG109" i="14"/>
  <c r="EI93" i="14"/>
  <c r="EI77" i="14"/>
  <c r="EH37" i="14"/>
  <c r="DR120" i="17"/>
  <c r="DR107" i="17"/>
  <c r="DT96" i="17"/>
  <c r="DR72" i="17"/>
  <c r="DR60" i="17"/>
  <c r="DS27" i="17"/>
  <c r="DS10" i="17"/>
  <c r="DR10" i="17"/>
  <c r="EG91" i="14"/>
  <c r="EH66" i="14"/>
  <c r="EI50" i="14"/>
  <c r="EG50" i="14"/>
  <c r="EG47" i="14"/>
  <c r="EG23" i="14"/>
  <c r="EH59" i="14"/>
  <c r="EG59" i="14"/>
  <c r="EH22" i="14"/>
  <c r="EI11" i="14"/>
  <c r="EH55" i="14"/>
  <c r="EI27" i="14"/>
  <c r="EH27" i="14"/>
  <c r="EH19" i="14"/>
  <c r="DR16" i="17"/>
  <c r="EG79" i="14"/>
  <c r="EI127" i="14"/>
  <c r="DR86" i="17"/>
  <c r="DT53" i="17"/>
  <c r="DR30" i="17"/>
  <c r="DT14" i="17"/>
  <c r="EI98" i="14"/>
  <c r="EG98" i="14"/>
  <c r="EI58" i="14"/>
  <c r="EH58" i="14"/>
  <c r="DT105" i="17"/>
  <c r="DS25" i="17"/>
  <c r="EH110" i="14"/>
  <c r="EI71" i="14"/>
  <c r="EI41" i="14"/>
  <c r="EI17" i="14"/>
  <c r="EI6" i="14"/>
  <c r="DS108" i="17"/>
  <c r="DS62" i="17"/>
  <c r="EI96" i="14"/>
  <c r="EH18" i="14"/>
  <c r="DR84" i="17"/>
  <c r="DR68" i="17"/>
  <c r="DT32" i="17"/>
  <c r="EI87" i="14"/>
  <c r="EI68" i="14"/>
  <c r="DT44" i="17"/>
  <c r="DS121" i="17"/>
  <c r="DR78" i="17"/>
  <c r="DS78" i="17"/>
  <c r="DN8" i="14"/>
  <c r="DW8" i="14" s="1"/>
  <c r="DS66" i="17"/>
  <c r="DS20" i="17"/>
  <c r="EH106" i="14"/>
  <c r="EH16" i="14"/>
  <c r="EH12" i="14"/>
  <c r="EH33" i="14"/>
  <c r="DT64" i="17"/>
  <c r="EH94" i="14"/>
  <c r="EH34" i="14"/>
  <c r="DR101" i="17"/>
  <c r="DT77" i="17"/>
  <c r="EI62" i="14"/>
  <c r="CW8" i="17"/>
  <c r="DF7" i="17"/>
  <c r="AL46" i="17"/>
  <c r="AT46" i="17" s="1"/>
  <c r="AD46" i="17" s="1"/>
  <c r="AO46" i="17"/>
  <c r="AW46" i="17" s="1"/>
  <c r="AG46" i="17" s="1"/>
  <c r="AN46" i="17"/>
  <c r="AV46" i="17" s="1"/>
  <c r="AF46" i="17" s="1"/>
  <c r="AM46" i="17"/>
  <c r="AU46" i="17" s="1"/>
  <c r="AE46" i="17" s="1"/>
  <c r="AL82" i="17"/>
  <c r="AT82" i="17" s="1"/>
  <c r="AD82" i="17" s="1"/>
  <c r="AO82" i="17"/>
  <c r="AW82" i="17" s="1"/>
  <c r="AG82" i="17" s="1"/>
  <c r="AN82" i="17"/>
  <c r="AV82" i="17" s="1"/>
  <c r="AF82" i="17" s="1"/>
  <c r="AM82" i="17"/>
  <c r="AU82" i="17" s="1"/>
  <c r="AE82" i="17" s="1"/>
  <c r="DS65" i="17"/>
  <c r="EH103" i="14"/>
  <c r="AM9" i="17"/>
  <c r="AU9" i="17" s="1"/>
  <c r="AE9" i="17" s="1"/>
  <c r="AL9" i="17"/>
  <c r="AT9" i="17" s="1"/>
  <c r="AD9" i="17" s="1"/>
  <c r="AO9" i="17"/>
  <c r="AW9" i="17" s="1"/>
  <c r="AG9" i="17" s="1"/>
  <c r="AN9" i="17"/>
  <c r="AV9" i="17" s="1"/>
  <c r="AF9" i="17" s="1"/>
  <c r="DT68" i="17"/>
  <c r="AO33" i="17"/>
  <c r="AW33" i="17" s="1"/>
  <c r="AG33" i="17" s="1"/>
  <c r="AN33" i="17"/>
  <c r="AV33" i="17" s="1"/>
  <c r="AF33" i="17" s="1"/>
  <c r="AM33" i="17"/>
  <c r="AU33" i="17" s="1"/>
  <c r="AE33" i="17" s="1"/>
  <c r="AL33" i="17"/>
  <c r="AT33" i="17" s="1"/>
  <c r="AD33" i="17" s="1"/>
  <c r="AO34" i="17"/>
  <c r="AW34" i="17" s="1"/>
  <c r="AG34" i="17" s="1"/>
  <c r="AN34" i="17"/>
  <c r="AV34" i="17" s="1"/>
  <c r="AF34" i="17" s="1"/>
  <c r="AM34" i="17"/>
  <c r="AU34" i="17" s="1"/>
  <c r="AE34" i="17" s="1"/>
  <c r="AL34" i="17"/>
  <c r="AT34" i="17" s="1"/>
  <c r="AD34" i="17" s="1"/>
  <c r="AN69" i="17"/>
  <c r="AV69" i="17" s="1"/>
  <c r="AF69" i="17" s="1"/>
  <c r="AM69" i="17"/>
  <c r="AU69" i="17" s="1"/>
  <c r="AE69" i="17" s="1"/>
  <c r="AL69" i="17"/>
  <c r="AT69" i="17" s="1"/>
  <c r="AD69" i="17" s="1"/>
  <c r="AO69" i="17"/>
  <c r="AW69" i="17" s="1"/>
  <c r="AG69" i="17" s="1"/>
  <c r="AO45" i="17"/>
  <c r="AW45" i="17" s="1"/>
  <c r="AG45" i="17" s="1"/>
  <c r="AN45" i="17"/>
  <c r="AV45" i="17" s="1"/>
  <c r="AF45" i="17" s="1"/>
  <c r="AM45" i="17"/>
  <c r="AU45" i="17" s="1"/>
  <c r="AE45" i="17" s="1"/>
  <c r="AL45" i="17"/>
  <c r="AT45" i="17" s="1"/>
  <c r="AD45" i="17" s="1"/>
  <c r="DT106" i="17"/>
  <c r="DS81" i="17"/>
  <c r="DT29" i="17"/>
  <c r="EI69" i="14"/>
  <c r="EG52" i="14"/>
  <c r="DS99" i="17"/>
  <c r="DS51" i="17"/>
  <c r="DS15" i="17"/>
  <c r="DS103" i="17"/>
  <c r="DS46" i="17"/>
  <c r="DS22" i="17"/>
  <c r="CY8" i="17"/>
  <c r="DH7" i="17"/>
  <c r="AL24" i="17"/>
  <c r="AT24" i="17" s="1"/>
  <c r="AD24" i="17" s="1"/>
  <c r="AO24" i="17"/>
  <c r="AW24" i="17" s="1"/>
  <c r="AG24" i="17" s="1"/>
  <c r="AN24" i="17"/>
  <c r="AV24" i="17" s="1"/>
  <c r="AF24" i="17" s="1"/>
  <c r="AM24" i="17"/>
  <c r="AU24" i="17" s="1"/>
  <c r="AE24" i="17" s="1"/>
  <c r="AM12" i="17"/>
  <c r="AU12" i="17" s="1"/>
  <c r="AE12" i="17" s="1"/>
  <c r="AL12" i="17"/>
  <c r="AT12" i="17" s="1"/>
  <c r="AD12" i="17" s="1"/>
  <c r="AO12" i="17"/>
  <c r="AW12" i="17" s="1"/>
  <c r="AG12" i="17" s="1"/>
  <c r="AN12" i="17"/>
  <c r="AV12" i="17" s="1"/>
  <c r="AF12" i="17" s="1"/>
  <c r="DT124" i="17"/>
  <c r="DS63" i="17"/>
  <c r="DS37" i="17"/>
  <c r="DT6" i="17"/>
  <c r="DS6" i="17"/>
  <c r="EI115" i="14"/>
  <c r="EH115" i="14"/>
  <c r="EI39" i="14"/>
  <c r="EG24" i="14"/>
  <c r="DT125" i="17"/>
  <c r="DR125" i="17"/>
  <c r="AN123" i="17"/>
  <c r="AV123" i="17" s="1"/>
  <c r="AM123" i="17"/>
  <c r="AU123" i="17" s="1"/>
  <c r="AE123" i="17" s="1"/>
  <c r="AL123" i="17"/>
  <c r="AT123" i="17" s="1"/>
  <c r="AD123" i="17" s="1"/>
  <c r="AO123" i="17"/>
  <c r="AW123" i="17" s="1"/>
  <c r="DS70" i="17"/>
  <c r="DS30" i="17"/>
  <c r="DS14" i="17"/>
  <c r="EG72" i="14"/>
  <c r="EG48" i="14"/>
  <c r="DT90" i="17"/>
  <c r="DR75" i="17"/>
  <c r="DS55" i="17"/>
  <c r="DS31" i="17"/>
  <c r="EH125" i="14"/>
  <c r="EI110" i="14"/>
  <c r="EH86" i="14"/>
  <c r="EG71" i="14"/>
  <c r="EG41" i="14"/>
  <c r="EH17" i="14"/>
  <c r="EH6" i="14"/>
  <c r="AL70" i="17"/>
  <c r="AT70" i="17" s="1"/>
  <c r="AD70" i="17" s="1"/>
  <c r="AO70" i="17"/>
  <c r="AW70" i="17" s="1"/>
  <c r="AG70" i="17" s="1"/>
  <c r="AN70" i="17"/>
  <c r="AV70" i="17" s="1"/>
  <c r="AF70" i="17" s="1"/>
  <c r="AM70" i="17"/>
  <c r="AU70" i="17" s="1"/>
  <c r="AE70" i="17" s="1"/>
  <c r="DR98" i="17"/>
  <c r="DT34" i="17"/>
  <c r="EG103" i="14"/>
  <c r="EH36" i="14"/>
  <c r="AM43" i="17"/>
  <c r="AU43" i="17" s="1"/>
  <c r="AE43" i="17" s="1"/>
  <c r="AL43" i="17"/>
  <c r="AT43" i="17" s="1"/>
  <c r="AD43" i="17" s="1"/>
  <c r="AO43" i="17"/>
  <c r="AW43" i="17" s="1"/>
  <c r="AG43" i="17" s="1"/>
  <c r="AN43" i="17"/>
  <c r="AV43" i="17" s="1"/>
  <c r="AF43" i="17" s="1"/>
  <c r="DR114" i="17"/>
  <c r="DS89" i="17"/>
  <c r="DR13" i="17"/>
  <c r="EG28" i="14"/>
  <c r="EG18" i="14"/>
  <c r="AM57" i="17"/>
  <c r="AU57" i="17" s="1"/>
  <c r="AE57" i="17" s="1"/>
  <c r="AL57" i="17"/>
  <c r="AT57" i="17" s="1"/>
  <c r="AD57" i="17" s="1"/>
  <c r="AO57" i="17"/>
  <c r="AW57" i="17" s="1"/>
  <c r="AG57" i="17" s="1"/>
  <c r="AN57" i="17"/>
  <c r="AV57" i="17" s="1"/>
  <c r="AF57" i="17" s="1"/>
  <c r="DS23" i="17"/>
  <c r="DS67" i="17"/>
  <c r="AM52" i="17"/>
  <c r="AU52" i="17" s="1"/>
  <c r="AE52" i="17" s="1"/>
  <c r="AL52" i="17"/>
  <c r="AT52" i="17" s="1"/>
  <c r="AD52" i="17" s="1"/>
  <c r="AO52" i="17"/>
  <c r="AW52" i="17" s="1"/>
  <c r="AG52" i="17" s="1"/>
  <c r="AN52" i="17"/>
  <c r="AV52" i="17" s="1"/>
  <c r="AF52" i="17" s="1"/>
  <c r="AL42" i="17"/>
  <c r="AT42" i="17" s="1"/>
  <c r="AD42" i="17" s="1"/>
  <c r="AO42" i="17"/>
  <c r="AW42" i="17" s="1"/>
  <c r="AG42" i="17" s="1"/>
  <c r="AN42" i="17"/>
  <c r="AV42" i="17" s="1"/>
  <c r="AF42" i="17" s="1"/>
  <c r="AM42" i="17"/>
  <c r="AU42" i="17" s="1"/>
  <c r="AE42" i="17" s="1"/>
  <c r="DS68" i="17"/>
  <c r="DS32" i="17"/>
  <c r="EH105" i="14"/>
  <c r="EG87" i="14"/>
  <c r="AL105" i="17"/>
  <c r="AT105" i="17" s="1"/>
  <c r="AD105" i="17" s="1"/>
  <c r="AO105" i="17"/>
  <c r="AW105" i="17" s="1"/>
  <c r="AG105" i="17" s="1"/>
  <c r="AN105" i="17"/>
  <c r="AV105" i="17" s="1"/>
  <c r="AF105" i="17" s="1"/>
  <c r="AM105" i="17"/>
  <c r="AU105" i="17" s="1"/>
  <c r="AE105" i="17" s="1"/>
  <c r="DR88" i="17"/>
  <c r="DR73" i="17"/>
  <c r="DT18" i="17"/>
  <c r="EH100" i="14"/>
  <c r="AN71" i="17"/>
  <c r="AV71" i="17" s="1"/>
  <c r="AF71" i="17" s="1"/>
  <c r="AM71" i="17"/>
  <c r="AU71" i="17" s="1"/>
  <c r="AE71" i="17" s="1"/>
  <c r="AL71" i="17"/>
  <c r="AT71" i="17" s="1"/>
  <c r="AD71" i="17" s="1"/>
  <c r="AO71" i="17"/>
  <c r="AW71" i="17" s="1"/>
  <c r="AG71" i="17" s="1"/>
  <c r="DT121" i="17"/>
  <c r="DR91" i="17"/>
  <c r="DS5" i="17"/>
  <c r="EI99" i="14"/>
  <c r="EH99" i="14"/>
  <c r="EH82" i="14"/>
  <c r="EH74" i="14"/>
  <c r="EG9" i="14"/>
  <c r="AN110" i="17"/>
  <c r="AV110" i="17" s="1"/>
  <c r="AF110" i="17" s="1"/>
  <c r="AM110" i="17"/>
  <c r="AU110" i="17" s="1"/>
  <c r="AE110" i="17" s="1"/>
  <c r="AL110" i="17"/>
  <c r="AT110" i="17" s="1"/>
  <c r="AD110" i="17" s="1"/>
  <c r="AO110" i="17"/>
  <c r="AW110" i="17" s="1"/>
  <c r="AG110" i="17" s="1"/>
  <c r="DT111" i="17"/>
  <c r="DS111" i="17"/>
  <c r="DR79" i="17"/>
  <c r="DT36" i="17"/>
  <c r="DT20" i="17"/>
  <c r="DR11" i="17"/>
  <c r="EG124" i="14"/>
  <c r="EI106" i="14"/>
  <c r="EH42" i="14"/>
  <c r="DR104" i="17"/>
  <c r="DR28" i="17"/>
  <c r="EI40" i="14"/>
  <c r="DR42" i="17"/>
  <c r="AN102" i="17"/>
  <c r="AV102" i="17" s="1"/>
  <c r="AF102" i="17" s="1"/>
  <c r="AM102" i="17"/>
  <c r="AU102" i="17" s="1"/>
  <c r="AE102" i="17" s="1"/>
  <c r="AL102" i="17"/>
  <c r="AT102" i="17" s="1"/>
  <c r="AD102" i="17" s="1"/>
  <c r="AO102" i="17"/>
  <c r="AW102" i="17" s="1"/>
  <c r="AG102" i="17" s="1"/>
  <c r="AO36" i="17"/>
  <c r="AW36" i="17" s="1"/>
  <c r="AG36" i="17" s="1"/>
  <c r="AN36" i="17"/>
  <c r="AV36" i="17" s="1"/>
  <c r="AF36" i="17" s="1"/>
  <c r="AM36" i="17"/>
  <c r="AU36" i="17" s="1"/>
  <c r="AE36" i="17" s="1"/>
  <c r="AL36" i="17"/>
  <c r="AT36" i="17" s="1"/>
  <c r="AD36" i="17" s="1"/>
  <c r="AL96" i="17"/>
  <c r="AT96" i="17" s="1"/>
  <c r="AD96" i="17" s="1"/>
  <c r="AO96" i="17"/>
  <c r="AW96" i="17" s="1"/>
  <c r="AG96" i="17" s="1"/>
  <c r="AN96" i="17"/>
  <c r="AV96" i="17" s="1"/>
  <c r="AF96" i="17" s="1"/>
  <c r="AM96" i="17"/>
  <c r="AU96" i="17" s="1"/>
  <c r="AE96" i="17" s="1"/>
  <c r="DS87" i="17"/>
  <c r="DS33" i="17"/>
  <c r="DS21" i="17"/>
  <c r="EI73" i="14"/>
  <c r="EH53" i="14"/>
  <c r="AL86" i="17"/>
  <c r="AT86" i="17" s="1"/>
  <c r="AD86" i="17" s="1"/>
  <c r="AO86" i="17"/>
  <c r="AW86" i="17" s="1"/>
  <c r="AG86" i="17" s="1"/>
  <c r="AN86" i="17"/>
  <c r="AV86" i="17" s="1"/>
  <c r="AF86" i="17" s="1"/>
  <c r="AM86" i="17"/>
  <c r="AU86" i="17" s="1"/>
  <c r="AE86" i="17" s="1"/>
  <c r="AL121" i="17"/>
  <c r="AT121" i="17" s="1"/>
  <c r="AD121" i="17" s="1"/>
  <c r="AO121" i="17"/>
  <c r="AW121" i="17" s="1"/>
  <c r="AN121" i="17"/>
  <c r="AV121" i="17" s="1"/>
  <c r="AM121" i="17"/>
  <c r="AU121" i="17" s="1"/>
  <c r="AE121" i="17" s="1"/>
  <c r="DR95" i="17"/>
  <c r="AL10" i="17"/>
  <c r="AT10" i="17" s="1"/>
  <c r="AD10" i="17" s="1"/>
  <c r="AO10" i="17"/>
  <c r="AW10" i="17" s="1"/>
  <c r="AG10" i="17" s="1"/>
  <c r="AN10" i="17"/>
  <c r="AV10" i="17" s="1"/>
  <c r="AF10" i="17" s="1"/>
  <c r="AM10" i="17"/>
  <c r="AU10" i="17" s="1"/>
  <c r="AE10" i="17" s="1"/>
  <c r="DT39" i="17"/>
  <c r="EI31" i="14"/>
  <c r="AM114" i="17"/>
  <c r="AU114" i="17" s="1"/>
  <c r="AE114" i="17" s="1"/>
  <c r="AL114" i="17"/>
  <c r="AT114" i="17" s="1"/>
  <c r="AD114" i="17" s="1"/>
  <c r="AO114" i="17"/>
  <c r="AW114" i="17" s="1"/>
  <c r="AN114" i="17"/>
  <c r="AV114" i="17" s="1"/>
  <c r="AF114" i="17" s="1"/>
  <c r="AO112" i="17"/>
  <c r="AW112" i="17" s="1"/>
  <c r="AN112" i="17"/>
  <c r="AV112" i="17" s="1"/>
  <c r="AF112" i="17" s="1"/>
  <c r="AM112" i="17"/>
  <c r="AU112" i="17" s="1"/>
  <c r="AE112" i="17" s="1"/>
  <c r="AL112" i="17"/>
  <c r="AT112" i="17" s="1"/>
  <c r="AD112" i="17" s="1"/>
  <c r="AN77" i="17"/>
  <c r="AV77" i="17" s="1"/>
  <c r="AF77" i="17" s="1"/>
  <c r="AM77" i="17"/>
  <c r="AU77" i="17" s="1"/>
  <c r="AE77" i="17" s="1"/>
  <c r="AL77" i="17"/>
  <c r="AT77" i="17" s="1"/>
  <c r="AD77" i="17" s="1"/>
  <c r="AO77" i="17"/>
  <c r="AW77" i="17" s="1"/>
  <c r="AG77" i="17" s="1"/>
  <c r="AO21" i="17"/>
  <c r="AW21" i="17" s="1"/>
  <c r="AG21" i="17" s="1"/>
  <c r="AN21" i="17"/>
  <c r="AV21" i="17" s="1"/>
  <c r="AF21" i="17" s="1"/>
  <c r="AM21" i="17"/>
  <c r="AU21" i="17" s="1"/>
  <c r="AE21" i="17" s="1"/>
  <c r="AL21" i="17"/>
  <c r="AT21" i="17" s="1"/>
  <c r="AD21" i="17" s="1"/>
  <c r="EG21" i="14"/>
  <c r="AN106" i="17"/>
  <c r="AV106" i="17" s="1"/>
  <c r="AF106" i="17" s="1"/>
  <c r="AM106" i="17"/>
  <c r="AU106" i="17" s="1"/>
  <c r="AE106" i="17" s="1"/>
  <c r="AL106" i="17"/>
  <c r="AT106" i="17" s="1"/>
  <c r="AD106" i="17" s="1"/>
  <c r="AO106" i="17"/>
  <c r="AW106" i="17" s="1"/>
  <c r="AG106" i="17" s="1"/>
  <c r="AN120" i="17"/>
  <c r="AV120" i="17" s="1"/>
  <c r="AM120" i="17"/>
  <c r="AU120" i="17" s="1"/>
  <c r="AE120" i="17" s="1"/>
  <c r="AL120" i="17"/>
  <c r="AT120" i="17" s="1"/>
  <c r="AD120" i="17" s="1"/>
  <c r="AO120" i="17"/>
  <c r="AW120" i="17" s="1"/>
  <c r="AN48" i="17"/>
  <c r="AV48" i="17" s="1"/>
  <c r="AF48" i="17" s="1"/>
  <c r="AM48" i="17"/>
  <c r="AU48" i="17" s="1"/>
  <c r="AE48" i="17" s="1"/>
  <c r="AL48" i="17"/>
  <c r="AT48" i="17" s="1"/>
  <c r="AD48" i="17" s="1"/>
  <c r="AO48" i="17"/>
  <c r="AW48" i="17" s="1"/>
  <c r="AG48" i="17" s="1"/>
  <c r="AN68" i="17"/>
  <c r="AV68" i="17" s="1"/>
  <c r="AF68" i="17" s="1"/>
  <c r="AM68" i="17"/>
  <c r="AU68" i="17" s="1"/>
  <c r="AE68" i="17" s="1"/>
  <c r="AL68" i="17"/>
  <c r="AT68" i="17" s="1"/>
  <c r="AD68" i="17" s="1"/>
  <c r="AO68" i="17"/>
  <c r="AW68" i="17" s="1"/>
  <c r="AG68" i="17" s="1"/>
  <c r="AO60" i="17"/>
  <c r="AW60" i="17" s="1"/>
  <c r="AG60" i="17" s="1"/>
  <c r="AN60" i="17"/>
  <c r="AV60" i="17" s="1"/>
  <c r="AF60" i="17" s="1"/>
  <c r="AM60" i="17"/>
  <c r="AU60" i="17" s="1"/>
  <c r="AE60" i="17" s="1"/>
  <c r="AL60" i="17"/>
  <c r="AT60" i="17" s="1"/>
  <c r="AD60" i="17" s="1"/>
  <c r="AM118" i="17"/>
  <c r="AU118" i="17" s="1"/>
  <c r="AE118" i="17" s="1"/>
  <c r="AL118" i="17"/>
  <c r="AT118" i="17" s="1"/>
  <c r="AD118" i="17" s="1"/>
  <c r="AO118" i="17"/>
  <c r="AW118" i="17" s="1"/>
  <c r="AN118" i="17"/>
  <c r="AV118" i="17" s="1"/>
  <c r="AF118" i="17" s="1"/>
  <c r="AN108" i="17"/>
  <c r="AV108" i="17" s="1"/>
  <c r="AF108" i="17" s="1"/>
  <c r="AM108" i="17"/>
  <c r="AU108" i="17" s="1"/>
  <c r="AE108" i="17" s="1"/>
  <c r="AL108" i="17"/>
  <c r="AT108" i="17" s="1"/>
  <c r="AD108" i="17" s="1"/>
  <c r="AO108" i="17"/>
  <c r="AW108" i="17" s="1"/>
  <c r="AG108" i="17" s="1"/>
  <c r="AN113" i="17"/>
  <c r="AV113" i="17" s="1"/>
  <c r="AF113" i="17" s="1"/>
  <c r="AM113" i="17"/>
  <c r="AU113" i="17" s="1"/>
  <c r="AE113" i="17" s="1"/>
  <c r="AL113" i="17"/>
  <c r="AT113" i="17" s="1"/>
  <c r="AD113" i="17" s="1"/>
  <c r="AO113" i="17"/>
  <c r="AW113" i="17" s="1"/>
  <c r="AO25" i="17"/>
  <c r="AW25" i="17" s="1"/>
  <c r="AG25" i="17" s="1"/>
  <c r="AN25" i="17"/>
  <c r="AV25" i="17" s="1"/>
  <c r="AF25" i="17" s="1"/>
  <c r="AM25" i="17"/>
  <c r="AU25" i="17" s="1"/>
  <c r="AE25" i="17" s="1"/>
  <c r="AL25" i="17"/>
  <c r="AT25" i="17" s="1"/>
  <c r="AD25" i="17" s="1"/>
  <c r="DS73" i="17"/>
  <c r="AM67" i="17"/>
  <c r="AU67" i="17" s="1"/>
  <c r="AE67" i="17" s="1"/>
  <c r="AL67" i="17"/>
  <c r="AT67" i="17" s="1"/>
  <c r="AD67" i="17" s="1"/>
  <c r="AO67" i="17"/>
  <c r="AW67" i="17" s="1"/>
  <c r="AG67" i="17" s="1"/>
  <c r="AN67" i="17"/>
  <c r="AV67" i="17" s="1"/>
  <c r="AF67" i="17" s="1"/>
  <c r="DR121" i="17"/>
  <c r="AM126" i="17"/>
  <c r="AU126" i="17" s="1"/>
  <c r="AL126" i="17"/>
  <c r="AT126" i="17" s="1"/>
  <c r="AO126" i="17"/>
  <c r="AW126" i="17" s="1"/>
  <c r="AN126" i="17"/>
  <c r="AV126" i="17" s="1"/>
  <c r="DS79" i="17"/>
  <c r="AM59" i="17"/>
  <c r="AU59" i="17" s="1"/>
  <c r="AE59" i="17" s="1"/>
  <c r="AL59" i="17"/>
  <c r="AT59" i="17" s="1"/>
  <c r="AD59" i="17" s="1"/>
  <c r="AO59" i="17"/>
  <c r="AW59" i="17" s="1"/>
  <c r="AG59" i="17" s="1"/>
  <c r="AN59" i="17"/>
  <c r="AV59" i="17" s="1"/>
  <c r="AF59" i="17" s="1"/>
  <c r="EH49" i="14"/>
  <c r="AO58" i="17"/>
  <c r="AW58" i="17" s="1"/>
  <c r="AG58" i="17" s="1"/>
  <c r="AN58" i="17"/>
  <c r="AV58" i="17" s="1"/>
  <c r="AF58" i="17" s="1"/>
  <c r="AM58" i="17"/>
  <c r="AU58" i="17" s="1"/>
  <c r="AE58" i="17" s="1"/>
  <c r="AL58" i="17"/>
  <c r="AT58" i="17" s="1"/>
  <c r="AD58" i="17" s="1"/>
  <c r="AO88" i="17"/>
  <c r="AW88" i="17" s="1"/>
  <c r="AG88" i="17" s="1"/>
  <c r="AN88" i="17"/>
  <c r="AV88" i="17" s="1"/>
  <c r="AF88" i="17" s="1"/>
  <c r="AM88" i="17"/>
  <c r="AU88" i="17" s="1"/>
  <c r="AE88" i="17" s="1"/>
  <c r="AL88" i="17"/>
  <c r="AT88" i="17" s="1"/>
  <c r="AD88" i="17" s="1"/>
  <c r="AL103" i="17"/>
  <c r="AT103" i="17" s="1"/>
  <c r="AD103" i="17" s="1"/>
  <c r="AO103" i="17"/>
  <c r="AW103" i="17" s="1"/>
  <c r="AG103" i="17" s="1"/>
  <c r="AN103" i="17"/>
  <c r="AV103" i="17" s="1"/>
  <c r="AF103" i="17" s="1"/>
  <c r="AM103" i="17"/>
  <c r="AU103" i="17" s="1"/>
  <c r="AE103" i="17" s="1"/>
  <c r="DR77" i="17"/>
  <c r="AN37" i="17"/>
  <c r="AV37" i="17" s="1"/>
  <c r="AF37" i="17" s="1"/>
  <c r="AM37" i="17"/>
  <c r="AU37" i="17" s="1"/>
  <c r="AE37" i="17" s="1"/>
  <c r="AL37" i="17"/>
  <c r="AT37" i="17" s="1"/>
  <c r="AD37" i="17" s="1"/>
  <c r="AO37" i="17"/>
  <c r="AW37" i="17" s="1"/>
  <c r="AG37" i="17" s="1"/>
  <c r="DR92" i="17"/>
  <c r="DR81" i="17"/>
  <c r="DR65" i="17"/>
  <c r="DS49" i="17"/>
  <c r="EG69" i="14"/>
  <c r="EH56" i="14"/>
  <c r="EI46" i="14"/>
  <c r="EH10" i="14"/>
  <c r="EG10" i="14"/>
  <c r="AN99" i="17"/>
  <c r="AV99" i="17" s="1"/>
  <c r="AF99" i="17" s="1"/>
  <c r="AM99" i="17"/>
  <c r="AU99" i="17" s="1"/>
  <c r="AE99" i="17" s="1"/>
  <c r="AL99" i="17"/>
  <c r="AT99" i="17" s="1"/>
  <c r="AD99" i="17" s="1"/>
  <c r="AO99" i="17"/>
  <c r="AW99" i="17" s="1"/>
  <c r="AG99" i="17" s="1"/>
  <c r="AM89" i="17"/>
  <c r="AU89" i="17" s="1"/>
  <c r="AE89" i="17" s="1"/>
  <c r="AL89" i="17"/>
  <c r="AT89" i="17" s="1"/>
  <c r="AD89" i="17" s="1"/>
  <c r="AO89" i="17"/>
  <c r="AW89" i="17" s="1"/>
  <c r="AG89" i="17" s="1"/>
  <c r="AN89" i="17"/>
  <c r="AV89" i="17" s="1"/>
  <c r="AF89" i="17" s="1"/>
  <c r="AM63" i="17"/>
  <c r="AU63" i="17" s="1"/>
  <c r="AE63" i="17" s="1"/>
  <c r="AL63" i="17"/>
  <c r="AT63" i="17" s="1"/>
  <c r="AD63" i="17" s="1"/>
  <c r="AO63" i="17"/>
  <c r="AW63" i="17" s="1"/>
  <c r="AG63" i="17" s="1"/>
  <c r="AN63" i="17"/>
  <c r="AV63" i="17" s="1"/>
  <c r="AF63" i="17" s="1"/>
  <c r="AM55" i="17"/>
  <c r="AU55" i="17" s="1"/>
  <c r="AE55" i="17" s="1"/>
  <c r="AL55" i="17"/>
  <c r="AT55" i="17" s="1"/>
  <c r="AD55" i="17" s="1"/>
  <c r="AO55" i="17"/>
  <c r="AW55" i="17" s="1"/>
  <c r="AG55" i="17" s="1"/>
  <c r="AN55" i="17"/>
  <c r="AV55" i="17" s="1"/>
  <c r="AF55" i="17" s="1"/>
  <c r="DS115" i="17"/>
  <c r="DT99" i="17"/>
  <c r="DT71" i="17"/>
  <c r="DR51" i="17"/>
  <c r="DR15" i="17"/>
  <c r="EH122" i="14"/>
  <c r="EI85" i="14"/>
  <c r="EH21" i="14"/>
  <c r="EH13" i="14"/>
  <c r="EH7" i="14"/>
  <c r="AL74" i="17"/>
  <c r="AT74" i="17" s="1"/>
  <c r="AD74" i="17" s="1"/>
  <c r="AO74" i="17"/>
  <c r="AW74" i="17" s="1"/>
  <c r="AG74" i="17" s="1"/>
  <c r="AN74" i="17"/>
  <c r="AV74" i="17" s="1"/>
  <c r="AF74" i="17" s="1"/>
  <c r="AM74" i="17"/>
  <c r="AU74" i="17" s="1"/>
  <c r="AE74" i="17" s="1"/>
  <c r="AM14" i="17"/>
  <c r="AU14" i="17" s="1"/>
  <c r="AE14" i="17" s="1"/>
  <c r="AL14" i="17"/>
  <c r="AT14" i="17" s="1"/>
  <c r="AD14" i="17" s="1"/>
  <c r="AO14" i="17"/>
  <c r="AW14" i="17" s="1"/>
  <c r="AG14" i="17" s="1"/>
  <c r="AN14" i="17"/>
  <c r="AV14" i="17" s="1"/>
  <c r="AF14" i="17" s="1"/>
  <c r="DT120" i="17"/>
  <c r="DS96" i="17"/>
  <c r="DS72" i="17"/>
  <c r="DS60" i="17"/>
  <c r="DR46" i="17"/>
  <c r="DR27" i="17"/>
  <c r="EH114" i="14"/>
  <c r="EH91" i="14"/>
  <c r="DT83" i="17"/>
  <c r="EI22" i="14"/>
  <c r="EG22" i="14"/>
  <c r="EH11" i="14"/>
  <c r="EI108" i="14"/>
  <c r="EG108" i="14"/>
  <c r="EI19" i="14"/>
  <c r="EG19" i="14"/>
  <c r="AL84" i="17"/>
  <c r="AT84" i="17" s="1"/>
  <c r="AD84" i="17" s="1"/>
  <c r="AO84" i="17"/>
  <c r="AW84" i="17" s="1"/>
  <c r="AG84" i="17" s="1"/>
  <c r="AM84" i="17"/>
  <c r="AU84" i="17" s="1"/>
  <c r="AE84" i="17" s="1"/>
  <c r="AN84" i="17"/>
  <c r="AV84" i="17" s="1"/>
  <c r="AF84" i="17" s="1"/>
  <c r="AN44" i="17"/>
  <c r="AV44" i="17" s="1"/>
  <c r="AF44" i="17" s="1"/>
  <c r="AM44" i="17"/>
  <c r="AU44" i="17" s="1"/>
  <c r="AE44" i="17" s="1"/>
  <c r="AL44" i="17"/>
  <c r="AT44" i="17" s="1"/>
  <c r="AD44" i="17" s="1"/>
  <c r="AO44" i="17"/>
  <c r="AW44" i="17" s="1"/>
  <c r="AG44" i="17" s="1"/>
  <c r="DS124" i="17"/>
  <c r="DS97" i="17"/>
  <c r="DT80" i="17"/>
  <c r="DT63" i="17"/>
  <c r="DT37" i="17"/>
  <c r="DR6" i="17"/>
  <c r="EG115" i="14"/>
  <c r="EI79" i="14"/>
  <c r="EH39" i="14"/>
  <c r="AN83" i="17"/>
  <c r="AV83" i="17" s="1"/>
  <c r="AF83" i="17" s="1"/>
  <c r="AM83" i="17"/>
  <c r="AU83" i="17" s="1"/>
  <c r="AE83" i="17" s="1"/>
  <c r="AL83" i="17"/>
  <c r="AT83" i="17" s="1"/>
  <c r="AD83" i="17" s="1"/>
  <c r="AO83" i="17"/>
  <c r="AW83" i="17" s="1"/>
  <c r="AG83" i="17" s="1"/>
  <c r="AO51" i="17"/>
  <c r="AW51" i="17" s="1"/>
  <c r="AG51" i="17" s="1"/>
  <c r="AN51" i="17"/>
  <c r="AV51" i="17" s="1"/>
  <c r="AF51" i="17" s="1"/>
  <c r="AM51" i="17"/>
  <c r="AU51" i="17" s="1"/>
  <c r="AE51" i="17" s="1"/>
  <c r="AL51" i="17"/>
  <c r="AT51" i="17" s="1"/>
  <c r="AD51" i="17" s="1"/>
  <c r="AM47" i="17"/>
  <c r="AU47" i="17" s="1"/>
  <c r="AE47" i="17" s="1"/>
  <c r="AL47" i="17"/>
  <c r="AT47" i="17" s="1"/>
  <c r="AD47" i="17" s="1"/>
  <c r="AO47" i="17"/>
  <c r="AW47" i="17" s="1"/>
  <c r="AG47" i="17" s="1"/>
  <c r="AN47" i="17"/>
  <c r="AV47" i="17" s="1"/>
  <c r="AF47" i="17" s="1"/>
  <c r="AM23" i="17"/>
  <c r="AU23" i="17" s="1"/>
  <c r="AE23" i="17" s="1"/>
  <c r="AL23" i="17"/>
  <c r="AT23" i="17" s="1"/>
  <c r="AD23" i="17" s="1"/>
  <c r="AO23" i="17"/>
  <c r="AW23" i="17" s="1"/>
  <c r="AG23" i="17" s="1"/>
  <c r="AN23" i="17"/>
  <c r="AV23" i="17" s="1"/>
  <c r="AF23" i="17" s="1"/>
  <c r="DR112" i="17"/>
  <c r="DS53" i="17"/>
  <c r="DT30" i="17"/>
  <c r="DR14" i="17"/>
  <c r="EG116" i="14"/>
  <c r="EH98" i="14"/>
  <c r="EH88" i="14"/>
  <c r="EI72" i="14"/>
  <c r="EI48" i="14"/>
  <c r="AL115" i="17"/>
  <c r="AT115" i="17" s="1"/>
  <c r="AD115" i="17" s="1"/>
  <c r="AO115" i="17"/>
  <c r="AW115" i="17" s="1"/>
  <c r="AN115" i="17"/>
  <c r="AV115" i="17" s="1"/>
  <c r="AF115" i="17" s="1"/>
  <c r="AM115" i="17"/>
  <c r="AU115" i="17" s="1"/>
  <c r="AE115" i="17" s="1"/>
  <c r="AN81" i="17"/>
  <c r="AV81" i="17" s="1"/>
  <c r="AF81" i="17" s="1"/>
  <c r="AM81" i="17"/>
  <c r="AU81" i="17" s="1"/>
  <c r="AE81" i="17" s="1"/>
  <c r="AL81" i="17"/>
  <c r="AT81" i="17" s="1"/>
  <c r="AD81" i="17" s="1"/>
  <c r="AO81" i="17"/>
  <c r="AW81" i="17" s="1"/>
  <c r="AG81" i="17" s="1"/>
  <c r="AO41" i="17"/>
  <c r="AW41" i="17" s="1"/>
  <c r="AG41" i="17" s="1"/>
  <c r="AN41" i="17"/>
  <c r="AV41" i="17" s="1"/>
  <c r="AF41" i="17" s="1"/>
  <c r="AM41" i="17"/>
  <c r="AU41" i="17" s="1"/>
  <c r="AE41" i="17" s="1"/>
  <c r="AL41" i="17"/>
  <c r="AT41" i="17" s="1"/>
  <c r="AD41" i="17" s="1"/>
  <c r="DR118" i="17"/>
  <c r="DR90" i="17"/>
  <c r="DS75" i="17"/>
  <c r="DR31" i="17"/>
  <c r="DS26" i="17"/>
  <c r="DR17" i="17"/>
  <c r="EI125" i="14"/>
  <c r="EI86" i="14"/>
  <c r="EH81" i="14"/>
  <c r="EH41" i="14"/>
  <c r="EG17" i="14"/>
  <c r="DM7" i="14"/>
  <c r="DM8" i="14" s="1"/>
  <c r="AM32" i="17"/>
  <c r="AU32" i="17" s="1"/>
  <c r="AE32" i="17" s="1"/>
  <c r="AL32" i="17"/>
  <c r="AT32" i="17" s="1"/>
  <c r="AD32" i="17" s="1"/>
  <c r="AO32" i="17"/>
  <c r="AW32" i="17" s="1"/>
  <c r="AG32" i="17" s="1"/>
  <c r="AN32" i="17"/>
  <c r="AV32" i="17" s="1"/>
  <c r="AF32" i="17" s="1"/>
  <c r="DT74" i="17"/>
  <c r="DR74" i="17"/>
  <c r="DR62" i="17"/>
  <c r="DR48" i="17"/>
  <c r="EI54" i="14"/>
  <c r="EH54" i="14"/>
  <c r="EI38" i="14"/>
  <c r="EH26" i="14"/>
  <c r="AN79" i="17"/>
  <c r="AV79" i="17" s="1"/>
  <c r="AF79" i="17" s="1"/>
  <c r="AM79" i="17"/>
  <c r="AU79" i="17" s="1"/>
  <c r="AE79" i="17" s="1"/>
  <c r="AL79" i="17"/>
  <c r="AT79" i="17" s="1"/>
  <c r="AD79" i="17" s="1"/>
  <c r="AO79" i="17"/>
  <c r="AW79" i="17" s="1"/>
  <c r="AG79" i="17" s="1"/>
  <c r="DS114" i="17"/>
  <c r="DT89" i="17"/>
  <c r="EI92" i="14"/>
  <c r="EI28" i="14"/>
  <c r="AM30" i="17"/>
  <c r="AU30" i="17" s="1"/>
  <c r="AE30" i="17" s="1"/>
  <c r="AL30" i="17"/>
  <c r="AT30" i="17" s="1"/>
  <c r="AD30" i="17" s="1"/>
  <c r="AO30" i="17"/>
  <c r="AW30" i="17" s="1"/>
  <c r="AG30" i="17" s="1"/>
  <c r="AN30" i="17"/>
  <c r="AV30" i="17" s="1"/>
  <c r="AF30" i="17" s="1"/>
  <c r="AL20" i="17"/>
  <c r="AT20" i="17" s="1"/>
  <c r="AD20" i="17" s="1"/>
  <c r="AO20" i="17"/>
  <c r="AW20" i="17" s="1"/>
  <c r="AG20" i="17" s="1"/>
  <c r="AN20" i="17"/>
  <c r="AV20" i="17" s="1"/>
  <c r="AF20" i="17" s="1"/>
  <c r="AM20" i="17"/>
  <c r="AU20" i="17" s="1"/>
  <c r="AE20" i="17" s="1"/>
  <c r="DS84" i="17"/>
  <c r="DR40" i="17"/>
  <c r="EG105" i="14"/>
  <c r="EH87" i="14"/>
  <c r="EG68" i="14"/>
  <c r="EI43" i="14"/>
  <c r="EG43" i="14"/>
  <c r="EI8" i="14"/>
  <c r="AN22" i="17"/>
  <c r="AV22" i="17" s="1"/>
  <c r="AF22" i="17" s="1"/>
  <c r="AM22" i="17"/>
  <c r="AU22" i="17" s="1"/>
  <c r="AE22" i="17" s="1"/>
  <c r="AL22" i="17"/>
  <c r="AT22" i="17" s="1"/>
  <c r="AD22" i="17" s="1"/>
  <c r="AO22" i="17"/>
  <c r="AW22" i="17" s="1"/>
  <c r="AG22" i="17" s="1"/>
  <c r="AN97" i="17"/>
  <c r="AV97" i="17" s="1"/>
  <c r="AF97" i="17" s="1"/>
  <c r="AM97" i="17"/>
  <c r="AU97" i="17" s="1"/>
  <c r="AE97" i="17" s="1"/>
  <c r="AL97" i="17"/>
  <c r="AT97" i="17" s="1"/>
  <c r="AD97" i="17" s="1"/>
  <c r="AO97" i="17"/>
  <c r="AW97" i="17" s="1"/>
  <c r="AG97" i="17" s="1"/>
  <c r="AM91" i="17"/>
  <c r="AU91" i="17" s="1"/>
  <c r="AE91" i="17" s="1"/>
  <c r="AL91" i="17"/>
  <c r="AT91" i="17" s="1"/>
  <c r="AD91" i="17" s="1"/>
  <c r="AO91" i="17"/>
  <c r="AW91" i="17" s="1"/>
  <c r="AG91" i="17" s="1"/>
  <c r="AN91" i="17"/>
  <c r="AV91" i="17" s="1"/>
  <c r="AF91" i="17" s="1"/>
  <c r="AN73" i="17"/>
  <c r="AV73" i="17" s="1"/>
  <c r="AF73" i="17" s="1"/>
  <c r="AM73" i="17"/>
  <c r="AU73" i="17" s="1"/>
  <c r="AE73" i="17" s="1"/>
  <c r="AL73" i="17"/>
  <c r="AT73" i="17" s="1"/>
  <c r="AD73" i="17" s="1"/>
  <c r="AO73" i="17"/>
  <c r="AW73" i="17" s="1"/>
  <c r="AG73" i="17" s="1"/>
  <c r="AM61" i="17"/>
  <c r="AU61" i="17" s="1"/>
  <c r="AE61" i="17" s="1"/>
  <c r="AL61" i="17"/>
  <c r="AT61" i="17" s="1"/>
  <c r="AD61" i="17" s="1"/>
  <c r="AO61" i="17"/>
  <c r="AW61" i="17" s="1"/>
  <c r="AG61" i="17" s="1"/>
  <c r="AN61" i="17"/>
  <c r="AV61" i="17" s="1"/>
  <c r="AF61" i="17" s="1"/>
  <c r="DR113" i="17"/>
  <c r="DS113" i="17"/>
  <c r="DT88" i="17"/>
  <c r="DT73" i="17"/>
  <c r="DS61" i="17"/>
  <c r="DR44" i="17"/>
  <c r="DR18" i="17"/>
  <c r="EH117" i="14"/>
  <c r="EG76" i="14"/>
  <c r="EG60" i="14"/>
  <c r="EH20" i="14"/>
  <c r="DS109" i="17"/>
  <c r="DT109" i="17"/>
  <c r="DT91" i="17"/>
  <c r="DS57" i="17"/>
  <c r="DR38" i="17"/>
  <c r="DR5" i="17"/>
  <c r="EG99" i="14"/>
  <c r="EI82" i="14"/>
  <c r="EG74" i="14"/>
  <c r="AL116" i="17"/>
  <c r="AT116" i="17" s="1"/>
  <c r="AD116" i="17" s="1"/>
  <c r="AO116" i="17"/>
  <c r="AW116" i="17" s="1"/>
  <c r="AN116" i="17"/>
  <c r="AV116" i="17" s="1"/>
  <c r="AF116" i="17" s="1"/>
  <c r="AM116" i="17"/>
  <c r="AU116" i="17" s="1"/>
  <c r="AE116" i="17" s="1"/>
  <c r="AO92" i="17"/>
  <c r="AW92" i="17" s="1"/>
  <c r="AG92" i="17" s="1"/>
  <c r="AN92" i="17"/>
  <c r="AV92" i="17" s="1"/>
  <c r="AF92" i="17" s="1"/>
  <c r="AL92" i="17"/>
  <c r="AT92" i="17" s="1"/>
  <c r="AD92" i="17" s="1"/>
  <c r="AM92" i="17"/>
  <c r="AU92" i="17" s="1"/>
  <c r="AE92" i="17" s="1"/>
  <c r="DR111" i="17"/>
  <c r="DT79" i="17"/>
  <c r="DR66" i="17"/>
  <c r="DR36" i="17"/>
  <c r="DR20" i="17"/>
  <c r="DS11" i="17"/>
  <c r="DT11" i="17"/>
  <c r="DR126" i="17"/>
  <c r="DT126" i="17"/>
  <c r="EH90" i="14"/>
  <c r="EI42" i="14"/>
  <c r="EG16" i="14"/>
  <c r="EG12" i="14"/>
  <c r="EG33" i="14"/>
  <c r="AN31" i="17"/>
  <c r="AV31" i="17" s="1"/>
  <c r="AF31" i="17" s="1"/>
  <c r="AM31" i="17"/>
  <c r="AU31" i="17" s="1"/>
  <c r="AE31" i="17" s="1"/>
  <c r="AL31" i="17"/>
  <c r="AT31" i="17" s="1"/>
  <c r="AD31" i="17" s="1"/>
  <c r="AO31" i="17"/>
  <c r="AW31" i="17" s="1"/>
  <c r="AG31" i="17" s="1"/>
  <c r="AM19" i="17"/>
  <c r="AU19" i="17" s="1"/>
  <c r="AE19" i="17" s="1"/>
  <c r="AL19" i="17"/>
  <c r="AT19" i="17" s="1"/>
  <c r="AD19" i="17" s="1"/>
  <c r="AO19" i="17"/>
  <c r="AW19" i="17" s="1"/>
  <c r="AG19" i="17" s="1"/>
  <c r="AN19" i="17"/>
  <c r="AV19" i="17" s="1"/>
  <c r="AF19" i="17" s="1"/>
  <c r="DT104" i="17"/>
  <c r="DS28" i="17"/>
  <c r="DT42" i="17"/>
  <c r="EI75" i="14"/>
  <c r="EG57" i="14"/>
  <c r="AO16" i="17"/>
  <c r="AW16" i="17" s="1"/>
  <c r="AG16" i="17" s="1"/>
  <c r="AN16" i="17"/>
  <c r="AV16" i="17" s="1"/>
  <c r="AF16" i="17" s="1"/>
  <c r="AM16" i="17"/>
  <c r="AU16" i="17" s="1"/>
  <c r="AE16" i="17" s="1"/>
  <c r="AL16" i="17"/>
  <c r="AT16" i="17" s="1"/>
  <c r="AD16" i="17" s="1"/>
  <c r="DR117" i="17"/>
  <c r="DS101" i="17"/>
  <c r="DR87" i="17"/>
  <c r="DS69" i="17"/>
  <c r="DT56" i="17"/>
  <c r="DS41" i="17"/>
  <c r="DT33" i="17"/>
  <c r="DT21" i="17"/>
  <c r="DR8" i="17"/>
  <c r="EI121" i="14"/>
  <c r="EG121" i="14"/>
  <c r="EI107" i="14"/>
  <c r="EH107" i="14"/>
  <c r="EI44" i="14"/>
  <c r="EH15" i="14"/>
  <c r="AO62" i="17"/>
  <c r="AW62" i="17" s="1"/>
  <c r="AG62" i="17" s="1"/>
  <c r="AN62" i="17"/>
  <c r="AV62" i="17" s="1"/>
  <c r="AF62" i="17" s="1"/>
  <c r="AM62" i="17"/>
  <c r="AU62" i="17" s="1"/>
  <c r="AE62" i="17" s="1"/>
  <c r="AL62" i="17"/>
  <c r="AT62" i="17" s="1"/>
  <c r="AD62" i="17" s="1"/>
  <c r="AN40" i="17"/>
  <c r="AV40" i="17" s="1"/>
  <c r="AF40" i="17" s="1"/>
  <c r="AM40" i="17"/>
  <c r="AU40" i="17" s="1"/>
  <c r="AE40" i="17" s="1"/>
  <c r="AL40" i="17"/>
  <c r="AT40" i="17" s="1"/>
  <c r="AD40" i="17" s="1"/>
  <c r="AO40" i="17"/>
  <c r="AW40" i="17" s="1"/>
  <c r="AG40" i="17" s="1"/>
  <c r="AM28" i="17"/>
  <c r="AU28" i="17" s="1"/>
  <c r="AE28" i="17" s="1"/>
  <c r="AL28" i="17"/>
  <c r="AT28" i="17" s="1"/>
  <c r="AD28" i="17" s="1"/>
  <c r="AO28" i="17"/>
  <c r="AW28" i="17" s="1"/>
  <c r="AG28" i="17" s="1"/>
  <c r="AN28" i="17"/>
  <c r="AV28" i="17" s="1"/>
  <c r="AF28" i="17" s="1"/>
  <c r="AM119" i="17"/>
  <c r="AU119" i="17" s="1"/>
  <c r="AE119" i="17" s="1"/>
  <c r="AL119" i="17"/>
  <c r="AT119" i="17" s="1"/>
  <c r="AD119" i="17" s="1"/>
  <c r="AO119" i="17"/>
  <c r="AW119" i="17" s="1"/>
  <c r="AN119" i="17"/>
  <c r="AV119" i="17" s="1"/>
  <c r="AF119" i="17" s="1"/>
  <c r="DT45" i="17"/>
  <c r="DR45" i="17"/>
  <c r="DR9" i="17"/>
  <c r="AM65" i="17"/>
  <c r="AU65" i="17" s="1"/>
  <c r="AE65" i="17" s="1"/>
  <c r="AL65" i="17"/>
  <c r="AT65" i="17" s="1"/>
  <c r="AD65" i="17" s="1"/>
  <c r="AO65" i="17"/>
  <c r="AW65" i="17" s="1"/>
  <c r="AG65" i="17" s="1"/>
  <c r="AN65" i="17"/>
  <c r="AV65" i="17" s="1"/>
  <c r="AF65" i="17" s="1"/>
  <c r="DT122" i="17"/>
  <c r="DR110" i="17"/>
  <c r="DS58" i="17"/>
  <c r="DT119" i="17"/>
  <c r="DR39" i="17"/>
  <c r="EI64" i="14"/>
  <c r="EH31" i="14"/>
  <c r="AM117" i="17"/>
  <c r="AU117" i="17" s="1"/>
  <c r="AE117" i="17" s="1"/>
  <c r="AL117" i="17"/>
  <c r="AT117" i="17" s="1"/>
  <c r="AD117" i="17" s="1"/>
  <c r="AO117" i="17"/>
  <c r="AW117" i="17" s="1"/>
  <c r="AN117" i="17"/>
  <c r="AV117" i="17" s="1"/>
  <c r="AF117" i="17" s="1"/>
  <c r="AO27" i="17"/>
  <c r="AW27" i="17" s="1"/>
  <c r="AG27" i="17" s="1"/>
  <c r="AN27" i="17"/>
  <c r="AV27" i="17" s="1"/>
  <c r="AF27" i="17" s="1"/>
  <c r="AM27" i="17"/>
  <c r="AU27" i="17" s="1"/>
  <c r="AE27" i="17" s="1"/>
  <c r="AL27" i="17"/>
  <c r="AT27" i="17" s="1"/>
  <c r="AD27" i="17" s="1"/>
  <c r="DS71" i="17"/>
  <c r="DS125" i="17"/>
  <c r="AL76" i="17"/>
  <c r="AT76" i="17" s="1"/>
  <c r="AD76" i="17" s="1"/>
  <c r="AO76" i="17"/>
  <c r="AW76" i="17" s="1"/>
  <c r="AG76" i="17" s="1"/>
  <c r="AN76" i="17"/>
  <c r="AV76" i="17" s="1"/>
  <c r="AF76" i="17" s="1"/>
  <c r="AM76" i="17"/>
  <c r="AU76" i="17" s="1"/>
  <c r="AE76" i="17" s="1"/>
  <c r="AL107" i="17"/>
  <c r="AT107" i="17" s="1"/>
  <c r="AD107" i="17" s="1"/>
  <c r="AO107" i="17"/>
  <c r="AW107" i="17" s="1"/>
  <c r="AG107" i="17" s="1"/>
  <c r="AN107" i="17"/>
  <c r="AV107" i="17" s="1"/>
  <c r="AF107" i="17" s="1"/>
  <c r="AM107" i="17"/>
  <c r="AU107" i="17" s="1"/>
  <c r="AE107" i="17" s="1"/>
  <c r="EG30" i="14"/>
  <c r="DR105" i="17"/>
  <c r="AM29" i="17"/>
  <c r="AU29" i="17" s="1"/>
  <c r="AE29" i="17" s="1"/>
  <c r="AL29" i="17"/>
  <c r="AT29" i="17" s="1"/>
  <c r="AD29" i="17" s="1"/>
  <c r="AO29" i="17"/>
  <c r="AW29" i="17" s="1"/>
  <c r="AG29" i="17" s="1"/>
  <c r="AN29" i="17"/>
  <c r="AV29" i="17" s="1"/>
  <c r="AF29" i="17" s="1"/>
  <c r="AO66" i="17"/>
  <c r="AW66" i="17" s="1"/>
  <c r="AG66" i="17" s="1"/>
  <c r="AN66" i="17"/>
  <c r="AV66" i="17" s="1"/>
  <c r="AF66" i="17" s="1"/>
  <c r="AM66" i="17"/>
  <c r="AU66" i="17" s="1"/>
  <c r="AE66" i="17" s="1"/>
  <c r="AL66" i="17"/>
  <c r="AT66" i="17" s="1"/>
  <c r="AD66" i="17" s="1"/>
  <c r="AL98" i="17"/>
  <c r="AT98" i="17" s="1"/>
  <c r="AD98" i="17" s="1"/>
  <c r="AO98" i="17"/>
  <c r="AW98" i="17" s="1"/>
  <c r="AG98" i="17" s="1"/>
  <c r="AN98" i="17"/>
  <c r="AV98" i="17" s="1"/>
  <c r="AF98" i="17" s="1"/>
  <c r="AM98" i="17"/>
  <c r="AU98" i="17" s="1"/>
  <c r="AE98" i="17" s="1"/>
  <c r="AN8" i="17"/>
  <c r="AV8" i="17" s="1"/>
  <c r="AF8" i="17" s="1"/>
  <c r="AM8" i="17"/>
  <c r="AU8" i="17" s="1"/>
  <c r="AE8" i="17" s="1"/>
  <c r="AL8" i="17"/>
  <c r="AT8" i="17" s="1"/>
  <c r="AD8" i="17" s="1"/>
  <c r="AO8" i="17"/>
  <c r="AW8" i="17" s="1"/>
  <c r="AG8" i="17" s="1"/>
  <c r="AM50" i="17"/>
  <c r="AU50" i="17" s="1"/>
  <c r="AE50" i="17" s="1"/>
  <c r="AL50" i="17"/>
  <c r="AT50" i="17" s="1"/>
  <c r="AD50" i="17" s="1"/>
  <c r="AO50" i="17"/>
  <c r="AW50" i="17" s="1"/>
  <c r="AG50" i="17" s="1"/>
  <c r="AN50" i="17"/>
  <c r="AV50" i="17" s="1"/>
  <c r="AF50" i="17" s="1"/>
  <c r="AM18" i="17"/>
  <c r="AU18" i="17" s="1"/>
  <c r="AE18" i="17" s="1"/>
  <c r="AL18" i="17"/>
  <c r="AT18" i="17" s="1"/>
  <c r="AD18" i="17" s="1"/>
  <c r="AO18" i="17"/>
  <c r="AW18" i="17" s="1"/>
  <c r="AG18" i="17" s="1"/>
  <c r="AN18" i="17"/>
  <c r="AV18" i="17" s="1"/>
  <c r="AF18" i="17" s="1"/>
  <c r="EG123" i="14"/>
  <c r="AO56" i="17"/>
  <c r="AW56" i="17" s="1"/>
  <c r="AG56" i="17" s="1"/>
  <c r="AN56" i="17"/>
  <c r="AV56" i="17" s="1"/>
  <c r="AF56" i="17" s="1"/>
  <c r="AM56" i="17"/>
  <c r="AU56" i="17" s="1"/>
  <c r="AE56" i="17" s="1"/>
  <c r="AL56" i="17"/>
  <c r="AT56" i="17" s="1"/>
  <c r="AD56" i="17" s="1"/>
  <c r="AL78" i="17"/>
  <c r="AT78" i="17" s="1"/>
  <c r="AD78" i="17" s="1"/>
  <c r="AO78" i="17"/>
  <c r="AW78" i="17" s="1"/>
  <c r="AG78" i="17" s="1"/>
  <c r="AN78" i="17"/>
  <c r="AV78" i="17" s="1"/>
  <c r="AF78" i="17" s="1"/>
  <c r="AM78" i="17"/>
  <c r="AU78" i="17" s="1"/>
  <c r="AE78" i="17" s="1"/>
  <c r="AO54" i="17"/>
  <c r="AW54" i="17" s="1"/>
  <c r="AG54" i="17" s="1"/>
  <c r="AN54" i="17"/>
  <c r="AV54" i="17" s="1"/>
  <c r="AF54" i="17" s="1"/>
  <c r="AM54" i="17"/>
  <c r="AU54" i="17" s="1"/>
  <c r="AE54" i="17" s="1"/>
  <c r="AL54" i="17"/>
  <c r="AT54" i="17" s="1"/>
  <c r="AD54" i="17" s="1"/>
  <c r="DR43" i="17"/>
  <c r="DR35" i="17"/>
  <c r="DS12" i="17"/>
  <c r="X158" i="15"/>
  <c r="BA158" i="15" s="1"/>
  <c r="T158" i="15"/>
  <c r="AW158" i="15" s="1"/>
  <c r="W158" i="15"/>
  <c r="AZ158" i="15" s="1"/>
  <c r="S158" i="15"/>
  <c r="AV158" i="15" s="1"/>
  <c r="Z158" i="15"/>
  <c r="BC158" i="15" s="1"/>
  <c r="V158" i="15"/>
  <c r="AY158" i="15" s="1"/>
  <c r="R158" i="15"/>
  <c r="AU158" i="15" s="1"/>
  <c r="AL158" i="15"/>
  <c r="Y158" i="15"/>
  <c r="BB158" i="15" s="1"/>
  <c r="U158" i="15"/>
  <c r="AX158" i="15" s="1"/>
  <c r="EH123" i="14"/>
  <c r="EG77" i="14"/>
  <c r="EG37" i="14"/>
  <c r="DS93" i="17"/>
  <c r="DS76" i="17"/>
  <c r="DR76" i="17"/>
  <c r="DT59" i="17"/>
  <c r="DR59" i="17"/>
  <c r="DS43" i="17"/>
  <c r="DS35" i="17"/>
  <c r="P160" i="15"/>
  <c r="Q159" i="15"/>
  <c r="EH109" i="14"/>
  <c r="EH77" i="14"/>
  <c r="EI65" i="14"/>
  <c r="EG65" i="14"/>
  <c r="EG45" i="14"/>
  <c r="AN104" i="17"/>
  <c r="AV104" i="17" s="1"/>
  <c r="AF104" i="17" s="1"/>
  <c r="AM104" i="17"/>
  <c r="AU104" i="17" s="1"/>
  <c r="AE104" i="17" s="1"/>
  <c r="AL104" i="17"/>
  <c r="AT104" i="17" s="1"/>
  <c r="AD104" i="17" s="1"/>
  <c r="AO104" i="17"/>
  <c r="AW104" i="17" s="1"/>
  <c r="AG104" i="17" s="1"/>
  <c r="AN101" i="17"/>
  <c r="AV101" i="17" s="1"/>
  <c r="AF101" i="17" s="1"/>
  <c r="AM101" i="17"/>
  <c r="AU101" i="17" s="1"/>
  <c r="AE101" i="17" s="1"/>
  <c r="AL101" i="17"/>
  <c r="AT101" i="17" s="1"/>
  <c r="AD101" i="17" s="1"/>
  <c r="AO101" i="17"/>
  <c r="AW101" i="17" s="1"/>
  <c r="AG101" i="17" s="1"/>
  <c r="AO6" i="17"/>
  <c r="AW6" i="17" s="1"/>
  <c r="AG6" i="17" s="1"/>
  <c r="AN6" i="17"/>
  <c r="AV6" i="17" s="1"/>
  <c r="AF6" i="17" s="1"/>
  <c r="AM6" i="17"/>
  <c r="AU6" i="17" s="1"/>
  <c r="AE6" i="17" s="1"/>
  <c r="AL6" i="17"/>
  <c r="AT6" i="17" s="1"/>
  <c r="AD6" i="17" s="1"/>
  <c r="DS116" i="17"/>
  <c r="DT81" i="17"/>
  <c r="DR49" i="17"/>
  <c r="DR29" i="17"/>
  <c r="EG112" i="14"/>
  <c r="EG56" i="14"/>
  <c r="DT115" i="17"/>
  <c r="DR115" i="17"/>
  <c r="DT51" i="17"/>
  <c r="DT15" i="17"/>
  <c r="CX8" i="17"/>
  <c r="DG7" i="17"/>
  <c r="EG122" i="14"/>
  <c r="EI102" i="14"/>
  <c r="EH78" i="14"/>
  <c r="EI21" i="14"/>
  <c r="DL8" i="14"/>
  <c r="DT103" i="17"/>
  <c r="DR96" i="17"/>
  <c r="DT7" i="17"/>
  <c r="EI114" i="14"/>
  <c r="EG114" i="14"/>
  <c r="EG66" i="14"/>
  <c r="EH47" i="14"/>
  <c r="DR83" i="17"/>
  <c r="EI59" i="14"/>
  <c r="EG11" i="14"/>
  <c r="DT82" i="17"/>
  <c r="DR82" i="17"/>
  <c r="AO94" i="17"/>
  <c r="AW94" i="17" s="1"/>
  <c r="AG94" i="17" s="1"/>
  <c r="AN94" i="17"/>
  <c r="AV94" i="17" s="1"/>
  <c r="AF94" i="17" s="1"/>
  <c r="AM94" i="17"/>
  <c r="AU94" i="17" s="1"/>
  <c r="AE94" i="17" s="1"/>
  <c r="AL94" i="17"/>
  <c r="AT94" i="17" s="1"/>
  <c r="AD94" i="17" s="1"/>
  <c r="DT97" i="17"/>
  <c r="DS80" i="17"/>
  <c r="DT16" i="17"/>
  <c r="EI95" i="14"/>
  <c r="EH79" i="14"/>
  <c r="EI67" i="14"/>
  <c r="EH24" i="14"/>
  <c r="AM93" i="17"/>
  <c r="AU93" i="17" s="1"/>
  <c r="AE93" i="17" s="1"/>
  <c r="AL93" i="17"/>
  <c r="AT93" i="17" s="1"/>
  <c r="AD93" i="17" s="1"/>
  <c r="AO93" i="17"/>
  <c r="AW93" i="17" s="1"/>
  <c r="AG93" i="17" s="1"/>
  <c r="AN93" i="17"/>
  <c r="AV93" i="17" s="1"/>
  <c r="AF93" i="17" s="1"/>
  <c r="AM87" i="17"/>
  <c r="AU87" i="17" s="1"/>
  <c r="AE87" i="17" s="1"/>
  <c r="AL87" i="17"/>
  <c r="AT87" i="17" s="1"/>
  <c r="AD87" i="17" s="1"/>
  <c r="AN87" i="17"/>
  <c r="AV87" i="17" s="1"/>
  <c r="AF87" i="17" s="1"/>
  <c r="AO87" i="17"/>
  <c r="AW87" i="17" s="1"/>
  <c r="AG87" i="17" s="1"/>
  <c r="AN75" i="17"/>
  <c r="AV75" i="17" s="1"/>
  <c r="AF75" i="17" s="1"/>
  <c r="AM75" i="17"/>
  <c r="AU75" i="17" s="1"/>
  <c r="AE75" i="17" s="1"/>
  <c r="AL75" i="17"/>
  <c r="AT75" i="17" s="1"/>
  <c r="AD75" i="17" s="1"/>
  <c r="AO75" i="17"/>
  <c r="AW75" i="17" s="1"/>
  <c r="AG75" i="17" s="1"/>
  <c r="AM39" i="17"/>
  <c r="AU39" i="17" s="1"/>
  <c r="AE39" i="17" s="1"/>
  <c r="AL39" i="17"/>
  <c r="AT39" i="17" s="1"/>
  <c r="AD39" i="17" s="1"/>
  <c r="AO39" i="17"/>
  <c r="AW39" i="17" s="1"/>
  <c r="AG39" i="17" s="1"/>
  <c r="AN39" i="17"/>
  <c r="AV39" i="17" s="1"/>
  <c r="AF39" i="17" s="1"/>
  <c r="AL35" i="17"/>
  <c r="AT35" i="17" s="1"/>
  <c r="AD35" i="17" s="1"/>
  <c r="AO35" i="17"/>
  <c r="AW35" i="17" s="1"/>
  <c r="AG35" i="17" s="1"/>
  <c r="AN35" i="17"/>
  <c r="AV35" i="17" s="1"/>
  <c r="AF35" i="17" s="1"/>
  <c r="AM35" i="17"/>
  <c r="AU35" i="17" s="1"/>
  <c r="AE35" i="17" s="1"/>
  <c r="AN11" i="17"/>
  <c r="AV11" i="17" s="1"/>
  <c r="AF11" i="17" s="1"/>
  <c r="AM11" i="17"/>
  <c r="AU11" i="17" s="1"/>
  <c r="AE11" i="17" s="1"/>
  <c r="AL11" i="17"/>
  <c r="AT11" i="17" s="1"/>
  <c r="AD11" i="17" s="1"/>
  <c r="AO11" i="17"/>
  <c r="AW11" i="17" s="1"/>
  <c r="AG11" i="17" s="1"/>
  <c r="DS112" i="17"/>
  <c r="DT70" i="17"/>
  <c r="EH48" i="14"/>
  <c r="AL53" i="17"/>
  <c r="AT53" i="17" s="1"/>
  <c r="AD53" i="17" s="1"/>
  <c r="AM53" i="17"/>
  <c r="AU53" i="17" s="1"/>
  <c r="AE53" i="17" s="1"/>
  <c r="AO53" i="17"/>
  <c r="AW53" i="17" s="1"/>
  <c r="AG53" i="17" s="1"/>
  <c r="AN53" i="17"/>
  <c r="AV53" i="17" s="1"/>
  <c r="AF53" i="17" s="1"/>
  <c r="DT118" i="17"/>
  <c r="DT17" i="17"/>
  <c r="AL100" i="17"/>
  <c r="AT100" i="17" s="1"/>
  <c r="AD100" i="17" s="1"/>
  <c r="AO100" i="17"/>
  <c r="AW100" i="17" s="1"/>
  <c r="AG100" i="17" s="1"/>
  <c r="AN100" i="17"/>
  <c r="AV100" i="17" s="1"/>
  <c r="AF100" i="17" s="1"/>
  <c r="AM100" i="17"/>
  <c r="AU100" i="17" s="1"/>
  <c r="AE100" i="17" s="1"/>
  <c r="DR108" i="17"/>
  <c r="DT114" i="17"/>
  <c r="EI120" i="14"/>
  <c r="EH28" i="14"/>
  <c r="AL109" i="17"/>
  <c r="AT109" i="17" s="1"/>
  <c r="AD109" i="17" s="1"/>
  <c r="AO109" i="17"/>
  <c r="AW109" i="17" s="1"/>
  <c r="AG109" i="17" s="1"/>
  <c r="AN109" i="17"/>
  <c r="AV109" i="17" s="1"/>
  <c r="AF109" i="17" s="1"/>
  <c r="AM109" i="17"/>
  <c r="AU109" i="17" s="1"/>
  <c r="AE109" i="17" s="1"/>
  <c r="EI83" i="14"/>
  <c r="AL80" i="17"/>
  <c r="AT80" i="17" s="1"/>
  <c r="AD80" i="17" s="1"/>
  <c r="AO80" i="17"/>
  <c r="AW80" i="17" s="1"/>
  <c r="AG80" i="17" s="1"/>
  <c r="AN80" i="17"/>
  <c r="AV80" i="17" s="1"/>
  <c r="AF80" i="17" s="1"/>
  <c r="AM80" i="17"/>
  <c r="AU80" i="17" s="1"/>
  <c r="AE80" i="17" s="1"/>
  <c r="DS52" i="17"/>
  <c r="AO90" i="17"/>
  <c r="AW90" i="17" s="1"/>
  <c r="AG90" i="17" s="1"/>
  <c r="AN90" i="17"/>
  <c r="AV90" i="17" s="1"/>
  <c r="AF90" i="17" s="1"/>
  <c r="AM90" i="17"/>
  <c r="AU90" i="17" s="1"/>
  <c r="AE90" i="17" s="1"/>
  <c r="AL90" i="17"/>
  <c r="AT90" i="17" s="1"/>
  <c r="AD90" i="17" s="1"/>
  <c r="AO49" i="17"/>
  <c r="AW49" i="17" s="1"/>
  <c r="AG49" i="17" s="1"/>
  <c r="AN49" i="17"/>
  <c r="AV49" i="17" s="1"/>
  <c r="AF49" i="17" s="1"/>
  <c r="AM49" i="17"/>
  <c r="AU49" i="17" s="1"/>
  <c r="AE49" i="17" s="1"/>
  <c r="AL49" i="17"/>
  <c r="AT49" i="17" s="1"/>
  <c r="AD49" i="17" s="1"/>
  <c r="DT113" i="17"/>
  <c r="DR24" i="17"/>
  <c r="EG117" i="14"/>
  <c r="EG100" i="14"/>
  <c r="EH76" i="14"/>
  <c r="AN95" i="17"/>
  <c r="AV95" i="17" s="1"/>
  <c r="AF95" i="17" s="1"/>
  <c r="AM95" i="17"/>
  <c r="AU95" i="17" s="1"/>
  <c r="AE95" i="17" s="1"/>
  <c r="AL95" i="17"/>
  <c r="AT95" i="17" s="1"/>
  <c r="AD95" i="17" s="1"/>
  <c r="AO95" i="17"/>
  <c r="AW95" i="17" s="1"/>
  <c r="AG95" i="17" s="1"/>
  <c r="AN15" i="17"/>
  <c r="AV15" i="17" s="1"/>
  <c r="AF15" i="17" s="1"/>
  <c r="AM15" i="17"/>
  <c r="AU15" i="17" s="1"/>
  <c r="AE15" i="17" s="1"/>
  <c r="AL15" i="17"/>
  <c r="AT15" i="17" s="1"/>
  <c r="AD15" i="17" s="1"/>
  <c r="AO15" i="17"/>
  <c r="AW15" i="17" s="1"/>
  <c r="AG15" i="17" s="1"/>
  <c r="DR109" i="17"/>
  <c r="DT78" i="17"/>
  <c r="DT38" i="17"/>
  <c r="DT19" i="17"/>
  <c r="EI74" i="14"/>
  <c r="AO122" i="17"/>
  <c r="AW122" i="17" s="1"/>
  <c r="AN122" i="17"/>
  <c r="AV122" i="17" s="1"/>
  <c r="AM122" i="17"/>
  <c r="AU122" i="17" s="1"/>
  <c r="AE122" i="17" s="1"/>
  <c r="AL122" i="17"/>
  <c r="AT122" i="17" s="1"/>
  <c r="AD122" i="17" s="1"/>
  <c r="AL38" i="17"/>
  <c r="AT38" i="17" s="1"/>
  <c r="AD38" i="17" s="1"/>
  <c r="AN38" i="17"/>
  <c r="AV38" i="17" s="1"/>
  <c r="AF38" i="17" s="1"/>
  <c r="AM38" i="17"/>
  <c r="AU38" i="17" s="1"/>
  <c r="AE38" i="17" s="1"/>
  <c r="AO38" i="17"/>
  <c r="AW38" i="17" s="1"/>
  <c r="AG38" i="17" s="1"/>
  <c r="AM26" i="17"/>
  <c r="AU26" i="17" s="1"/>
  <c r="AE26" i="17" s="1"/>
  <c r="AL26" i="17"/>
  <c r="AT26" i="17" s="1"/>
  <c r="AD26" i="17" s="1"/>
  <c r="AO26" i="17"/>
  <c r="AW26" i="17" s="1"/>
  <c r="AG26" i="17" s="1"/>
  <c r="AN26" i="17"/>
  <c r="AV26" i="17" s="1"/>
  <c r="AF26" i="17" s="1"/>
  <c r="DT102" i="17"/>
  <c r="DT50" i="17"/>
  <c r="EI33" i="14"/>
  <c r="AO7" i="17"/>
  <c r="AW7" i="17" s="1"/>
  <c r="AG7" i="17" s="1"/>
  <c r="AN7" i="17"/>
  <c r="AV7" i="17" s="1"/>
  <c r="AF7" i="17" s="1"/>
  <c r="AM7" i="17"/>
  <c r="AU7" i="17" s="1"/>
  <c r="AE7" i="17" s="1"/>
  <c r="AL7" i="17"/>
  <c r="AT7" i="17" s="1"/>
  <c r="AD7" i="17" s="1"/>
  <c r="AN85" i="17"/>
  <c r="AV85" i="17" s="1"/>
  <c r="AF85" i="17" s="1"/>
  <c r="AM85" i="17"/>
  <c r="AU85" i="17" s="1"/>
  <c r="AE85" i="17" s="1"/>
  <c r="AL85" i="17"/>
  <c r="AT85" i="17" s="1"/>
  <c r="AD85" i="17" s="1"/>
  <c r="AO85" i="17"/>
  <c r="AW85" i="17" s="1"/>
  <c r="AG85" i="17" s="1"/>
  <c r="AN13" i="17"/>
  <c r="AV13" i="17" s="1"/>
  <c r="AF13" i="17" s="1"/>
  <c r="AM13" i="17"/>
  <c r="AU13" i="17" s="1"/>
  <c r="AE13" i="17" s="1"/>
  <c r="AL13" i="17"/>
  <c r="AT13" i="17" s="1"/>
  <c r="AD13" i="17" s="1"/>
  <c r="AO13" i="17"/>
  <c r="AW13" i="17" s="1"/>
  <c r="AG13" i="17" s="1"/>
  <c r="EG75" i="14"/>
  <c r="AL72" i="17"/>
  <c r="AT72" i="17" s="1"/>
  <c r="AD72" i="17" s="1"/>
  <c r="AO72" i="17"/>
  <c r="AW72" i="17" s="1"/>
  <c r="AG72" i="17" s="1"/>
  <c r="AN72" i="17"/>
  <c r="AV72" i="17" s="1"/>
  <c r="AF72" i="17" s="1"/>
  <c r="AM72" i="17"/>
  <c r="AU72" i="17" s="1"/>
  <c r="AE72" i="17" s="1"/>
  <c r="AO64" i="17"/>
  <c r="AW64" i="17" s="1"/>
  <c r="AG64" i="17" s="1"/>
  <c r="AN64" i="17"/>
  <c r="AV64" i="17" s="1"/>
  <c r="AF64" i="17" s="1"/>
  <c r="AM64" i="17"/>
  <c r="AU64" i="17" s="1"/>
  <c r="AE64" i="17" s="1"/>
  <c r="AL64" i="17"/>
  <c r="AT64" i="17" s="1"/>
  <c r="AD64" i="17" s="1"/>
  <c r="DT101" i="17"/>
  <c r="DT69" i="17"/>
  <c r="DR56" i="17"/>
  <c r="DR33" i="17"/>
  <c r="EG107" i="14"/>
  <c r="EG73" i="14"/>
  <c r="EG44" i="14"/>
  <c r="EG15" i="14"/>
  <c r="AL124" i="17"/>
  <c r="AT124" i="17" s="1"/>
  <c r="AD124" i="17" s="1"/>
  <c r="AM124" i="17"/>
  <c r="AU124" i="17" s="1"/>
  <c r="AN124" i="17"/>
  <c r="AV124" i="17" s="1"/>
  <c r="AO124" i="17"/>
  <c r="AW124" i="17" s="1"/>
  <c r="AL111" i="17"/>
  <c r="AT111" i="17" s="1"/>
  <c r="AD111" i="17" s="1"/>
  <c r="AO111" i="17"/>
  <c r="AW111" i="17" s="1"/>
  <c r="AG111" i="17" s="1"/>
  <c r="AN111" i="17"/>
  <c r="AV111" i="17" s="1"/>
  <c r="AF111" i="17" s="1"/>
  <c r="AM111" i="17"/>
  <c r="AU111" i="17" s="1"/>
  <c r="AE111" i="17" s="1"/>
  <c r="EG62" i="14"/>
  <c r="AM17" i="17"/>
  <c r="AU17" i="17" s="1"/>
  <c r="AE17" i="17" s="1"/>
  <c r="AL17" i="17"/>
  <c r="AT17" i="17" s="1"/>
  <c r="AD17" i="17" s="1"/>
  <c r="AO17" i="17"/>
  <c r="AW17" i="17" s="1"/>
  <c r="AG17" i="17" s="1"/>
  <c r="AN17" i="17"/>
  <c r="AV17" i="17" s="1"/>
  <c r="AF17" i="17" s="1"/>
  <c r="DR122" i="17"/>
  <c r="DS54" i="17"/>
  <c r="DR54" i="17"/>
  <c r="EG64" i="14"/>
  <c r="EH64" i="14"/>
  <c r="DN9" i="14" l="1"/>
  <c r="Q160" i="15"/>
  <c r="P161" i="15"/>
  <c r="DH8" i="17"/>
  <c r="CY9" i="17"/>
  <c r="CW9" i="17"/>
  <c r="DF8" i="17"/>
  <c r="CX9" i="17"/>
  <c r="DG8" i="17"/>
  <c r="X159" i="15"/>
  <c r="BA159" i="15" s="1"/>
  <c r="T159" i="15"/>
  <c r="AW159" i="15" s="1"/>
  <c r="W159" i="15"/>
  <c r="AZ159" i="15" s="1"/>
  <c r="S159" i="15"/>
  <c r="AV159" i="15" s="1"/>
  <c r="Z159" i="15"/>
  <c r="BC159" i="15" s="1"/>
  <c r="V159" i="15"/>
  <c r="AY159" i="15" s="1"/>
  <c r="R159" i="15"/>
  <c r="AU159" i="15" s="1"/>
  <c r="AL159" i="15"/>
  <c r="Y159" i="15"/>
  <c r="BB159" i="15" s="1"/>
  <c r="U159" i="15"/>
  <c r="AX159" i="15" s="1"/>
  <c r="DL9" i="14"/>
  <c r="DU8" i="14"/>
  <c r="DM9" i="14"/>
  <c r="DV8" i="14"/>
  <c r="DN10" i="14"/>
  <c r="DW9" i="14"/>
  <c r="DW10" i="14" l="1"/>
  <c r="DN11" i="14"/>
  <c r="DG9" i="17"/>
  <c r="CX10" i="17"/>
  <c r="Q161" i="15"/>
  <c r="P162" i="15"/>
  <c r="CY10" i="17"/>
  <c r="DH9" i="17"/>
  <c r="DU9" i="14"/>
  <c r="DL10" i="14"/>
  <c r="DM10" i="14"/>
  <c r="DV9" i="14"/>
  <c r="CW10" i="17"/>
  <c r="DF9" i="17"/>
  <c r="AL160" i="15"/>
  <c r="Y160" i="15"/>
  <c r="BB160" i="15" s="1"/>
  <c r="U160" i="15"/>
  <c r="AX160" i="15" s="1"/>
  <c r="X160" i="15"/>
  <c r="BA160" i="15" s="1"/>
  <c r="T160" i="15"/>
  <c r="AW160" i="15" s="1"/>
  <c r="W160" i="15"/>
  <c r="AZ160" i="15" s="1"/>
  <c r="S160" i="15"/>
  <c r="AV160" i="15" s="1"/>
  <c r="Z160" i="15"/>
  <c r="BC160" i="15" s="1"/>
  <c r="V160" i="15"/>
  <c r="AY160" i="15" s="1"/>
  <c r="R160" i="15"/>
  <c r="AU160" i="15" s="1"/>
  <c r="DF10" i="17" l="1"/>
  <c r="CW11" i="17"/>
  <c r="AL161" i="15"/>
  <c r="Y161" i="15"/>
  <c r="BB161" i="15" s="1"/>
  <c r="U161" i="15"/>
  <c r="AX161" i="15" s="1"/>
  <c r="X161" i="15"/>
  <c r="BA161" i="15" s="1"/>
  <c r="T161" i="15"/>
  <c r="AW161" i="15" s="1"/>
  <c r="W161" i="15"/>
  <c r="AZ161" i="15" s="1"/>
  <c r="S161" i="15"/>
  <c r="AV161" i="15" s="1"/>
  <c r="Z161" i="15"/>
  <c r="BC161" i="15" s="1"/>
  <c r="V161" i="15"/>
  <c r="AY161" i="15" s="1"/>
  <c r="R161" i="15"/>
  <c r="AU161" i="15" s="1"/>
  <c r="CX11" i="17"/>
  <c r="DG10" i="17"/>
  <c r="DM11" i="14"/>
  <c r="DV10" i="14"/>
  <c r="CY11" i="17"/>
  <c r="DH10" i="17"/>
  <c r="DL11" i="14"/>
  <c r="DU10" i="14"/>
  <c r="Q162" i="15"/>
  <c r="P163" i="15"/>
  <c r="DN12" i="14"/>
  <c r="DW11" i="14"/>
  <c r="AL162" i="15" l="1"/>
  <c r="Y162" i="15"/>
  <c r="BB162" i="15" s="1"/>
  <c r="U162" i="15"/>
  <c r="AX162" i="15" s="1"/>
  <c r="X162" i="15"/>
  <c r="BA162" i="15" s="1"/>
  <c r="T162" i="15"/>
  <c r="AW162" i="15" s="1"/>
  <c r="W162" i="15"/>
  <c r="AZ162" i="15" s="1"/>
  <c r="S162" i="15"/>
  <c r="AV162" i="15" s="1"/>
  <c r="Z162" i="15"/>
  <c r="BC162" i="15" s="1"/>
  <c r="V162" i="15"/>
  <c r="AY162" i="15" s="1"/>
  <c r="R162" i="15"/>
  <c r="AU162" i="15" s="1"/>
  <c r="DH11" i="17"/>
  <c r="CY12" i="17"/>
  <c r="CX12" i="17"/>
  <c r="DG11" i="17"/>
  <c r="DW12" i="14"/>
  <c r="DN13" i="14"/>
  <c r="DU11" i="14"/>
  <c r="DL12" i="14"/>
  <c r="DV11" i="14"/>
  <c r="DM12" i="14"/>
  <c r="Q163" i="15"/>
  <c r="P164" i="15"/>
  <c r="CW12" i="17"/>
  <c r="DF11" i="17"/>
  <c r="DG12" i="17" l="1"/>
  <c r="CX13" i="17"/>
  <c r="DM13" i="14"/>
  <c r="DV12" i="14"/>
  <c r="DN14" i="14"/>
  <c r="DW13" i="14"/>
  <c r="CY13" i="17"/>
  <c r="DH12" i="17"/>
  <c r="Z163" i="15"/>
  <c r="BC163" i="15" s="1"/>
  <c r="V163" i="15"/>
  <c r="AY163" i="15" s="1"/>
  <c r="R163" i="15"/>
  <c r="AU163" i="15" s="1"/>
  <c r="AL163" i="15"/>
  <c r="Y163" i="15"/>
  <c r="BB163" i="15" s="1"/>
  <c r="U163" i="15"/>
  <c r="AX163" i="15" s="1"/>
  <c r="X163" i="15"/>
  <c r="BA163" i="15" s="1"/>
  <c r="T163" i="15"/>
  <c r="AW163" i="15" s="1"/>
  <c r="W163" i="15"/>
  <c r="AZ163" i="15" s="1"/>
  <c r="S163" i="15"/>
  <c r="AV163" i="15" s="1"/>
  <c r="CW13" i="17"/>
  <c r="DF12" i="17"/>
  <c r="Q164" i="15"/>
  <c r="P165" i="15"/>
  <c r="DL13" i="14"/>
  <c r="DU12" i="14"/>
  <c r="DF13" i="17" l="1"/>
  <c r="CW14" i="17"/>
  <c r="Z164" i="15"/>
  <c r="BC164" i="15" s="1"/>
  <c r="V164" i="15"/>
  <c r="AY164" i="15" s="1"/>
  <c r="R164" i="15"/>
  <c r="AU164" i="15" s="1"/>
  <c r="AL164" i="15"/>
  <c r="Y164" i="15"/>
  <c r="BB164" i="15" s="1"/>
  <c r="U164" i="15"/>
  <c r="AX164" i="15" s="1"/>
  <c r="X164" i="15"/>
  <c r="BA164" i="15" s="1"/>
  <c r="T164" i="15"/>
  <c r="AW164" i="15" s="1"/>
  <c r="W164" i="15"/>
  <c r="AZ164" i="15" s="1"/>
  <c r="S164" i="15"/>
  <c r="AV164" i="15" s="1"/>
  <c r="DN15" i="14"/>
  <c r="DW14" i="14"/>
  <c r="DL14" i="14"/>
  <c r="DU13" i="14"/>
  <c r="DH13" i="17"/>
  <c r="CY14" i="17"/>
  <c r="DM14" i="14"/>
  <c r="DV13" i="14"/>
  <c r="Q165" i="15"/>
  <c r="P166" i="15"/>
  <c r="CX14" i="17"/>
  <c r="DG13" i="17"/>
  <c r="Z165" i="15" l="1"/>
  <c r="BC165" i="15" s="1"/>
  <c r="V165" i="15"/>
  <c r="AY165" i="15" s="1"/>
  <c r="R165" i="15"/>
  <c r="AU165" i="15" s="1"/>
  <c r="AL165" i="15"/>
  <c r="Y165" i="15"/>
  <c r="BB165" i="15" s="1"/>
  <c r="U165" i="15"/>
  <c r="AX165" i="15" s="1"/>
  <c r="X165" i="15"/>
  <c r="BA165" i="15" s="1"/>
  <c r="T165" i="15"/>
  <c r="AW165" i="15" s="1"/>
  <c r="W165" i="15"/>
  <c r="AZ165" i="15" s="1"/>
  <c r="S165" i="15"/>
  <c r="AV165" i="15" s="1"/>
  <c r="DW15" i="14"/>
  <c r="DN16" i="14"/>
  <c r="DG14" i="17"/>
  <c r="CX15" i="17"/>
  <c r="DM15" i="14"/>
  <c r="DV14" i="14"/>
  <c r="DU14" i="14"/>
  <c r="DL15" i="14"/>
  <c r="Q166" i="15"/>
  <c r="P167" i="15"/>
  <c r="CY15" i="17"/>
  <c r="DH14" i="17"/>
  <c r="DF14" i="17"/>
  <c r="CW15" i="17"/>
  <c r="CW16" i="17" l="1"/>
  <c r="DF15" i="17"/>
  <c r="P168" i="15"/>
  <c r="Q167" i="15"/>
  <c r="DN17" i="14"/>
  <c r="DW16" i="14"/>
  <c r="DL16" i="14"/>
  <c r="DU15" i="14"/>
  <c r="CX16" i="17"/>
  <c r="DG15" i="17"/>
  <c r="CY16" i="17"/>
  <c r="DH15" i="17"/>
  <c r="W166" i="15"/>
  <c r="AZ166" i="15" s="1"/>
  <c r="S166" i="15"/>
  <c r="AV166" i="15" s="1"/>
  <c r="Z166" i="15"/>
  <c r="BC166" i="15" s="1"/>
  <c r="V166" i="15"/>
  <c r="AY166" i="15" s="1"/>
  <c r="R166" i="15"/>
  <c r="AU166" i="15" s="1"/>
  <c r="AL166" i="15"/>
  <c r="Y166" i="15"/>
  <c r="BB166" i="15" s="1"/>
  <c r="U166" i="15"/>
  <c r="AX166" i="15" s="1"/>
  <c r="X166" i="15"/>
  <c r="BA166" i="15" s="1"/>
  <c r="T166" i="15"/>
  <c r="AW166" i="15" s="1"/>
  <c r="DM16" i="14"/>
  <c r="DV15" i="14"/>
  <c r="W167" i="15" l="1"/>
  <c r="AZ167" i="15" s="1"/>
  <c r="S167" i="15"/>
  <c r="AV167" i="15" s="1"/>
  <c r="Z167" i="15"/>
  <c r="BC167" i="15" s="1"/>
  <c r="V167" i="15"/>
  <c r="AY167" i="15" s="1"/>
  <c r="R167" i="15"/>
  <c r="AU167" i="15" s="1"/>
  <c r="AL167" i="15"/>
  <c r="Y167" i="15"/>
  <c r="BB167" i="15" s="1"/>
  <c r="U167" i="15"/>
  <c r="AX167" i="15" s="1"/>
  <c r="X167" i="15"/>
  <c r="BA167" i="15" s="1"/>
  <c r="T167" i="15"/>
  <c r="AW167" i="15" s="1"/>
  <c r="DM17" i="14"/>
  <c r="DV16" i="14"/>
  <c r="CY17" i="17"/>
  <c r="DH16" i="17"/>
  <c r="DU16" i="14"/>
  <c r="DL17" i="14"/>
  <c r="P169" i="15"/>
  <c r="Q168" i="15"/>
  <c r="CX17" i="17"/>
  <c r="DG16" i="17"/>
  <c r="DN18" i="14"/>
  <c r="DW17" i="14"/>
  <c r="CW17" i="17"/>
  <c r="DF16" i="17"/>
  <c r="DW18" i="14" l="1"/>
  <c r="DN19" i="14"/>
  <c r="CY18" i="17"/>
  <c r="DH17" i="17"/>
  <c r="DU17" i="14"/>
  <c r="DL18" i="14"/>
  <c r="CW18" i="17"/>
  <c r="DF17" i="17"/>
  <c r="CX18" i="17"/>
  <c r="DG17" i="17"/>
  <c r="DV17" i="14"/>
  <c r="DM18" i="14"/>
  <c r="X168" i="15"/>
  <c r="BA168" i="15" s="1"/>
  <c r="T168" i="15"/>
  <c r="AW168" i="15" s="1"/>
  <c r="W168" i="15"/>
  <c r="AZ168" i="15" s="1"/>
  <c r="S168" i="15"/>
  <c r="AV168" i="15" s="1"/>
  <c r="Z168" i="15"/>
  <c r="BC168" i="15" s="1"/>
  <c r="V168" i="15"/>
  <c r="AY168" i="15" s="1"/>
  <c r="R168" i="15"/>
  <c r="AU168" i="15" s="1"/>
  <c r="AU32" i="15" s="1"/>
  <c r="AL168" i="15"/>
  <c r="Y168" i="15"/>
  <c r="BB168" i="15" s="1"/>
  <c r="U168" i="15"/>
  <c r="AX168" i="15" s="1"/>
  <c r="Q169" i="15"/>
  <c r="P170" i="15"/>
  <c r="Z169" i="15" l="1"/>
  <c r="BC169" i="15" s="1"/>
  <c r="V169" i="15"/>
  <c r="AY169" i="15" s="1"/>
  <c r="AL169" i="15"/>
  <c r="Y169" i="15"/>
  <c r="BB169" i="15" s="1"/>
  <c r="U169" i="15"/>
  <c r="AX169" i="15" s="1"/>
  <c r="X169" i="15"/>
  <c r="BA169" i="15" s="1"/>
  <c r="T169" i="15"/>
  <c r="AW169" i="15" s="1"/>
  <c r="AW32" i="15" s="1"/>
  <c r="W169" i="15"/>
  <c r="AZ169" i="15" s="1"/>
  <c r="S169" i="15"/>
  <c r="AV169" i="15" s="1"/>
  <c r="AV32" i="15" s="1"/>
  <c r="Q170" i="15"/>
  <c r="P171" i="15"/>
  <c r="Q171" i="15" s="1"/>
  <c r="DM19" i="14"/>
  <c r="DV18" i="14"/>
  <c r="CW19" i="17"/>
  <c r="DF18" i="17"/>
  <c r="DH18" i="17"/>
  <c r="CY19" i="17"/>
  <c r="DL19" i="14"/>
  <c r="DU18" i="14"/>
  <c r="DN20" i="14"/>
  <c r="DW19" i="14"/>
  <c r="CX19" i="17"/>
  <c r="DG18" i="17"/>
  <c r="DM20" i="14" l="1"/>
  <c r="DV19" i="14"/>
  <c r="DG19" i="17"/>
  <c r="CX20" i="17"/>
  <c r="DU19" i="14"/>
  <c r="DL20" i="14"/>
  <c r="CW20" i="17"/>
  <c r="DF19" i="17"/>
  <c r="Z171" i="15"/>
  <c r="BC171" i="15" s="1"/>
  <c r="AL171" i="15"/>
  <c r="CY20" i="17"/>
  <c r="DH19" i="17"/>
  <c r="AL170" i="15"/>
  <c r="Y170" i="15"/>
  <c r="BB170" i="15" s="1"/>
  <c r="BB32" i="15" s="1"/>
  <c r="U170" i="15"/>
  <c r="AX170" i="15" s="1"/>
  <c r="AX32" i="15" s="1"/>
  <c r="X170" i="15"/>
  <c r="BA170" i="15" s="1"/>
  <c r="BA32" i="15" s="1"/>
  <c r="W170" i="15"/>
  <c r="AZ170" i="15" s="1"/>
  <c r="AZ32" i="15" s="1"/>
  <c r="Z170" i="15"/>
  <c r="BC170" i="15" s="1"/>
  <c r="V170" i="15"/>
  <c r="AY170" i="15" s="1"/>
  <c r="AY32" i="15" s="1"/>
  <c r="DN21" i="14"/>
  <c r="DW20" i="14"/>
  <c r="CY21" i="17" l="1"/>
  <c r="DH20" i="17"/>
  <c r="DF20" i="17"/>
  <c r="CW21" i="17"/>
  <c r="DL21" i="14"/>
  <c r="DU20" i="14"/>
  <c r="BC32" i="15"/>
  <c r="AS32" i="15" s="1"/>
  <c r="M29" i="15" s="1"/>
  <c r="DM21" i="14"/>
  <c r="DV20" i="14"/>
  <c r="DW21" i="14"/>
  <c r="DN22" i="14"/>
  <c r="CX21" i="17"/>
  <c r="DG20" i="17"/>
  <c r="DN23" i="14" l="1"/>
  <c r="DW22" i="14"/>
  <c r="DL22" i="14"/>
  <c r="DU21" i="14"/>
  <c r="CY22" i="17"/>
  <c r="DH21" i="17"/>
  <c r="CX22" i="17"/>
  <c r="DG21" i="17"/>
  <c r="DM22" i="14"/>
  <c r="DV21" i="14"/>
  <c r="CW22" i="17"/>
  <c r="DF21" i="17"/>
  <c r="CW23" i="17" l="1"/>
  <c r="DF22" i="17"/>
  <c r="CX23" i="17"/>
  <c r="DG22" i="17"/>
  <c r="DU22" i="14"/>
  <c r="DL23" i="14"/>
  <c r="DV22" i="14"/>
  <c r="DM23" i="14"/>
  <c r="DH22" i="17"/>
  <c r="CY23" i="17"/>
  <c r="DN24" i="14"/>
  <c r="DW23" i="14"/>
  <c r="DM24" i="14" l="1"/>
  <c r="DV23" i="14"/>
  <c r="DN25" i="14"/>
  <c r="DW24" i="14"/>
  <c r="DG23" i="17"/>
  <c r="CX24" i="17"/>
  <c r="CY24" i="17"/>
  <c r="DH23" i="17"/>
  <c r="DL24" i="14"/>
  <c r="DU23" i="14"/>
  <c r="CW24" i="17"/>
  <c r="DF23" i="17"/>
  <c r="DF24" i="17" l="1"/>
  <c r="CW25" i="17"/>
  <c r="CY25" i="17"/>
  <c r="DH24" i="17"/>
  <c r="DW25" i="14"/>
  <c r="DN26" i="14"/>
  <c r="CX25" i="17"/>
  <c r="DG24" i="17"/>
  <c r="DU24" i="14"/>
  <c r="DL25" i="14"/>
  <c r="DM25" i="14"/>
  <c r="DV24" i="14"/>
  <c r="DM26" i="14" l="1"/>
  <c r="DV25" i="14"/>
  <c r="CX26" i="17"/>
  <c r="DG25" i="17"/>
  <c r="CY26" i="17"/>
  <c r="DH25" i="17"/>
  <c r="DN27" i="14"/>
  <c r="DW26" i="14"/>
  <c r="CW26" i="17"/>
  <c r="DF25" i="17"/>
  <c r="DU25" i="14"/>
  <c r="DL26" i="14"/>
  <c r="DH26" i="17" l="1"/>
  <c r="CY27" i="17"/>
  <c r="DL27" i="14"/>
  <c r="DU26" i="14"/>
  <c r="DW27" i="14"/>
  <c r="DN28" i="14"/>
  <c r="DF26" i="17"/>
  <c r="CW27" i="17"/>
  <c r="DG26" i="17"/>
  <c r="CX27" i="17"/>
  <c r="DV26" i="14"/>
  <c r="DM27" i="14"/>
  <c r="DM28" i="14" l="1"/>
  <c r="DV27" i="14"/>
  <c r="CW28" i="17"/>
  <c r="DF27" i="17"/>
  <c r="DL28" i="14"/>
  <c r="DU27" i="14"/>
  <c r="DN29" i="14"/>
  <c r="DW28" i="14"/>
  <c r="DH27" i="17"/>
  <c r="CY28" i="17"/>
  <c r="DG27" i="17"/>
  <c r="CX28" i="17"/>
  <c r="CX29" i="17" l="1"/>
  <c r="DG28" i="17"/>
  <c r="DN30" i="14"/>
  <c r="DW29" i="14"/>
  <c r="DF28" i="17"/>
  <c r="CW29" i="17"/>
  <c r="DH28" i="17"/>
  <c r="CY29" i="17"/>
  <c r="DU28" i="14"/>
  <c r="DL29" i="14"/>
  <c r="DM29" i="14"/>
  <c r="DV28" i="14"/>
  <c r="CY30" i="17" l="1"/>
  <c r="DH29" i="17"/>
  <c r="DM30" i="14"/>
  <c r="DV29" i="14"/>
  <c r="DN31" i="14"/>
  <c r="DW30" i="14"/>
  <c r="CW30" i="17"/>
  <c r="DF29" i="17"/>
  <c r="DU29" i="14"/>
  <c r="DL30" i="14"/>
  <c r="CX30" i="17"/>
  <c r="DG29" i="17"/>
  <c r="DF30" i="17" l="1"/>
  <c r="CW31" i="17"/>
  <c r="DV30" i="14"/>
  <c r="DM31" i="14"/>
  <c r="DG30" i="17"/>
  <c r="CX31" i="17"/>
  <c r="DU30" i="14"/>
  <c r="DL31" i="14"/>
  <c r="DN32" i="14"/>
  <c r="DW31" i="14"/>
  <c r="CY31" i="17"/>
  <c r="DH30" i="17"/>
  <c r="DW32" i="14" l="1"/>
  <c r="DN33" i="14"/>
  <c r="DL32" i="14"/>
  <c r="DU31" i="14"/>
  <c r="DM32" i="14"/>
  <c r="DV31" i="14"/>
  <c r="CX32" i="17"/>
  <c r="DG31" i="17"/>
  <c r="CY32" i="17"/>
  <c r="DH31" i="17"/>
  <c r="CW32" i="17"/>
  <c r="DF31" i="17"/>
  <c r="DG32" i="17" l="1"/>
  <c r="CX33" i="17"/>
  <c r="DL33" i="14"/>
  <c r="DU32" i="14"/>
  <c r="CW33" i="17"/>
  <c r="DF32" i="17"/>
  <c r="DW33" i="14"/>
  <c r="DN34" i="14"/>
  <c r="DH32" i="17"/>
  <c r="CY33" i="17"/>
  <c r="DM33" i="14"/>
  <c r="DV32" i="14"/>
  <c r="DW34" i="14" l="1"/>
  <c r="DN35" i="14"/>
  <c r="DL34" i="14"/>
  <c r="DU33" i="14"/>
  <c r="DM34" i="14"/>
  <c r="DV33" i="14"/>
  <c r="DH33" i="17"/>
  <c r="CY34" i="17"/>
  <c r="CX34" i="17"/>
  <c r="DG33" i="17"/>
  <c r="DF33" i="17"/>
  <c r="CW34" i="17"/>
  <c r="CW35" i="17" l="1"/>
  <c r="DF34" i="17"/>
  <c r="CY35" i="17"/>
  <c r="DH34" i="17"/>
  <c r="DG34" i="17"/>
  <c r="CX35" i="17"/>
  <c r="DL35" i="14"/>
  <c r="DU34" i="14"/>
  <c r="DW35" i="14"/>
  <c r="DN36" i="14"/>
  <c r="DV34" i="14"/>
  <c r="DM35" i="14"/>
  <c r="DM36" i="14" l="1"/>
  <c r="DV35" i="14"/>
  <c r="DU35" i="14"/>
  <c r="DL36" i="14"/>
  <c r="CY36" i="17"/>
  <c r="DH35" i="17"/>
  <c r="DN37" i="14"/>
  <c r="DW36" i="14"/>
  <c r="CX36" i="17"/>
  <c r="DG35" i="17"/>
  <c r="DF35" i="17"/>
  <c r="CW36" i="17"/>
  <c r="CW37" i="17" l="1"/>
  <c r="DF36" i="17"/>
  <c r="DL37" i="14"/>
  <c r="DU36" i="14"/>
  <c r="DW37" i="14"/>
  <c r="DN38" i="14"/>
  <c r="CX37" i="17"/>
  <c r="DG36" i="17"/>
  <c r="CY37" i="17"/>
  <c r="DH36" i="17"/>
  <c r="DV36" i="14"/>
  <c r="DM37" i="14"/>
  <c r="DM38" i="14" l="1"/>
  <c r="DV37" i="14"/>
  <c r="DL38" i="14"/>
  <c r="DU37" i="14"/>
  <c r="DN39" i="14"/>
  <c r="DW38" i="14"/>
  <c r="CX38" i="17"/>
  <c r="DG37" i="17"/>
  <c r="CY38" i="17"/>
  <c r="DH37" i="17"/>
  <c r="CW38" i="17"/>
  <c r="DF37" i="17"/>
  <c r="DG38" i="17" l="1"/>
  <c r="CX39" i="17"/>
  <c r="DU38" i="14"/>
  <c r="DL39" i="14"/>
  <c r="DF38" i="17"/>
  <c r="CW39" i="17"/>
  <c r="DH38" i="17"/>
  <c r="CY39" i="17"/>
  <c r="DN40" i="14"/>
  <c r="DW39" i="14"/>
  <c r="DM39" i="14"/>
  <c r="DV38" i="14"/>
  <c r="DH39" i="17" l="1"/>
  <c r="CY40" i="17"/>
  <c r="DU39" i="14"/>
  <c r="DL40" i="14"/>
  <c r="DM40" i="14"/>
  <c r="DV39" i="14"/>
  <c r="CW40" i="17"/>
  <c r="DF39" i="17"/>
  <c r="DG39" i="17"/>
  <c r="CX40" i="17"/>
  <c r="DN41" i="14"/>
  <c r="DW40" i="14"/>
  <c r="DL41" i="14" l="1"/>
  <c r="DU40" i="14"/>
  <c r="DF40" i="17"/>
  <c r="CW41" i="17"/>
  <c r="CX41" i="17"/>
  <c r="DG40" i="17"/>
  <c r="DH40" i="17"/>
  <c r="CY41" i="17"/>
  <c r="DN42" i="14"/>
  <c r="DW41" i="14"/>
  <c r="DM41" i="14"/>
  <c r="DV40" i="14"/>
  <c r="CY42" i="17" l="1"/>
  <c r="DH41" i="17"/>
  <c r="DF41" i="17"/>
  <c r="CW42" i="17"/>
  <c r="DM42" i="14"/>
  <c r="DV41" i="14"/>
  <c r="DN43" i="14"/>
  <c r="DW42" i="14"/>
  <c r="DG41" i="17"/>
  <c r="CX42" i="17"/>
  <c r="DL42" i="14"/>
  <c r="DU41" i="14"/>
  <c r="DM43" i="14" l="1"/>
  <c r="DV42" i="14"/>
  <c r="DF42" i="17"/>
  <c r="CW43" i="17"/>
  <c r="DN44" i="14"/>
  <c r="DW43" i="14"/>
  <c r="DL43" i="14"/>
  <c r="DU42" i="14"/>
  <c r="DG42" i="17"/>
  <c r="CX43" i="17"/>
  <c r="DH42" i="17"/>
  <c r="CY43" i="17"/>
  <c r="CW44" i="17" l="1"/>
  <c r="DF43" i="17"/>
  <c r="DL44" i="14"/>
  <c r="DU43" i="14"/>
  <c r="DH43" i="17"/>
  <c r="CY44" i="17"/>
  <c r="DG43" i="17"/>
  <c r="CX44" i="17"/>
  <c r="DN45" i="14"/>
  <c r="DW44" i="14"/>
  <c r="DM44" i="14"/>
  <c r="DV43" i="14"/>
  <c r="CX45" i="17" l="1"/>
  <c r="DG44" i="17"/>
  <c r="DL45" i="14"/>
  <c r="DU44" i="14"/>
  <c r="DM45" i="14"/>
  <c r="DV44" i="14"/>
  <c r="DH44" i="17"/>
  <c r="CY45" i="17"/>
  <c r="DN46" i="14"/>
  <c r="DW45" i="14"/>
  <c r="DF44" i="17"/>
  <c r="CW45" i="17"/>
  <c r="CY46" i="17" l="1"/>
  <c r="DH45" i="17"/>
  <c r="DL46" i="14"/>
  <c r="DU45" i="14"/>
  <c r="DF45" i="17"/>
  <c r="CW46" i="17"/>
  <c r="DW46" i="14"/>
  <c r="DN47" i="14"/>
  <c r="DM46" i="14"/>
  <c r="DV45" i="14"/>
  <c r="DG45" i="17"/>
  <c r="CX46" i="17"/>
  <c r="DG46" i="17" l="1"/>
  <c r="CX47" i="17"/>
  <c r="DN48" i="14"/>
  <c r="DW47" i="14"/>
  <c r="DL47" i="14"/>
  <c r="DU46" i="14"/>
  <c r="DF46" i="17"/>
  <c r="CW47" i="17"/>
  <c r="DM47" i="14"/>
  <c r="DV46" i="14"/>
  <c r="DH46" i="17"/>
  <c r="CY47" i="17"/>
  <c r="CW48" i="17" l="1"/>
  <c r="DF47" i="17"/>
  <c r="DN49" i="14"/>
  <c r="DW48" i="14"/>
  <c r="DH47" i="17"/>
  <c r="CY48" i="17"/>
  <c r="DG47" i="17"/>
  <c r="CX48" i="17"/>
  <c r="DV47" i="14"/>
  <c r="DM48" i="14"/>
  <c r="DL48" i="14"/>
  <c r="DU47" i="14"/>
  <c r="CX49" i="17" l="1"/>
  <c r="DG48" i="17"/>
  <c r="DU48" i="14"/>
  <c r="DL49" i="14"/>
  <c r="DW49" i="14"/>
  <c r="DN50" i="14"/>
  <c r="DM49" i="14"/>
  <c r="DV48" i="14"/>
  <c r="CY49" i="17"/>
  <c r="DH48" i="17"/>
  <c r="DF48" i="17"/>
  <c r="CW49" i="17"/>
  <c r="CW50" i="17" l="1"/>
  <c r="DF49" i="17"/>
  <c r="DL50" i="14"/>
  <c r="DU49" i="14"/>
  <c r="DV49" i="14"/>
  <c r="DM50" i="14"/>
  <c r="DH49" i="17"/>
  <c r="CY50" i="17"/>
  <c r="DW50" i="14"/>
  <c r="DN51" i="14"/>
  <c r="DG49" i="17"/>
  <c r="CX50" i="17"/>
  <c r="DN52" i="14" l="1"/>
  <c r="DW51" i="14"/>
  <c r="CX51" i="17"/>
  <c r="DG50" i="17"/>
  <c r="CY51" i="17"/>
  <c r="DH50" i="17"/>
  <c r="DM51" i="14"/>
  <c r="DV50" i="14"/>
  <c r="DF50" i="17"/>
  <c r="CW51" i="17"/>
  <c r="DU50" i="14"/>
  <c r="DL51" i="14"/>
  <c r="DL52" i="14" l="1"/>
  <c r="DU51" i="14"/>
  <c r="DV51" i="14"/>
  <c r="DM52" i="14"/>
  <c r="DG51" i="17"/>
  <c r="CX52" i="17"/>
  <c r="CW52" i="17"/>
  <c r="DF51" i="17"/>
  <c r="DH51" i="17"/>
  <c r="CY52" i="17"/>
  <c r="DW52" i="14"/>
  <c r="DN53" i="14"/>
  <c r="DM53" i="14" l="1"/>
  <c r="DV52" i="14"/>
  <c r="DW53" i="14"/>
  <c r="DN54" i="14"/>
  <c r="CW53" i="17"/>
  <c r="DF52" i="17"/>
  <c r="CY53" i="17"/>
  <c r="DH52" i="17"/>
  <c r="CX53" i="17"/>
  <c r="DG52" i="17"/>
  <c r="DU52" i="14"/>
  <c r="DL53" i="14"/>
  <c r="DL54" i="14" l="1"/>
  <c r="DU53" i="14"/>
  <c r="DW54" i="14"/>
  <c r="DN55" i="14"/>
  <c r="CY54" i="17"/>
  <c r="DH53" i="17"/>
  <c r="CX54" i="17"/>
  <c r="DG53" i="17"/>
  <c r="DF53" i="17"/>
  <c r="CW54" i="17"/>
  <c r="DV53" i="14"/>
  <c r="DM54" i="14"/>
  <c r="DN56" i="14" l="1"/>
  <c r="DW55" i="14"/>
  <c r="DG54" i="17"/>
  <c r="CX55" i="17"/>
  <c r="DV54" i="14"/>
  <c r="DM55" i="14"/>
  <c r="CW55" i="17"/>
  <c r="DF54" i="17"/>
  <c r="DH54" i="17"/>
  <c r="CY55" i="17"/>
  <c r="DU54" i="14"/>
  <c r="DL55" i="14"/>
  <c r="DL56" i="14" l="1"/>
  <c r="DU55" i="14"/>
  <c r="CX56" i="17"/>
  <c r="DG55" i="17"/>
  <c r="DF55" i="17"/>
  <c r="CW56" i="17"/>
  <c r="CY56" i="17"/>
  <c r="DH55" i="17"/>
  <c r="DM56" i="14"/>
  <c r="DV55" i="14"/>
  <c r="DW56" i="14"/>
  <c r="DN57" i="14"/>
  <c r="DN58" i="14" l="1"/>
  <c r="DW57" i="14"/>
  <c r="DG56" i="17"/>
  <c r="CX57" i="17"/>
  <c r="DH56" i="17"/>
  <c r="CY57" i="17"/>
  <c r="CW57" i="17"/>
  <c r="DF56" i="17"/>
  <c r="DM57" i="14"/>
  <c r="DV56" i="14"/>
  <c r="DL57" i="14"/>
  <c r="DU56" i="14"/>
  <c r="CX58" i="17" l="1"/>
  <c r="DG57" i="17"/>
  <c r="DL58" i="14"/>
  <c r="DU57" i="14"/>
  <c r="DF57" i="17"/>
  <c r="CW58" i="17"/>
  <c r="CY58" i="17"/>
  <c r="DH57" i="17"/>
  <c r="DV57" i="14"/>
  <c r="DM58" i="14"/>
  <c r="DW58" i="14"/>
  <c r="DN59" i="14"/>
  <c r="DN60" i="14" l="1"/>
  <c r="DW59" i="14"/>
  <c r="DH58" i="17"/>
  <c r="CY59" i="17"/>
  <c r="DU58" i="14"/>
  <c r="DL59" i="14"/>
  <c r="DM59" i="14"/>
  <c r="DV58" i="14"/>
  <c r="CW59" i="17"/>
  <c r="DF58" i="17"/>
  <c r="DG58" i="17"/>
  <c r="CX59" i="17"/>
  <c r="CX60" i="17" l="1"/>
  <c r="DG59" i="17"/>
  <c r="CY60" i="17"/>
  <c r="DH59" i="17"/>
  <c r="DM60" i="14"/>
  <c r="DV59" i="14"/>
  <c r="DL60" i="14"/>
  <c r="DU59" i="14"/>
  <c r="DF59" i="17"/>
  <c r="CW60" i="17"/>
  <c r="DW60" i="14"/>
  <c r="DN61" i="14"/>
  <c r="DN62" i="14" l="1"/>
  <c r="DW61" i="14"/>
  <c r="DL61" i="14"/>
  <c r="DU60" i="14"/>
  <c r="DH60" i="17"/>
  <c r="CY61" i="17"/>
  <c r="CW61" i="17"/>
  <c r="DF60" i="17"/>
  <c r="DV60" i="14"/>
  <c r="DM61" i="14"/>
  <c r="DG60" i="17"/>
  <c r="CX61" i="17"/>
  <c r="CX62" i="17" l="1"/>
  <c r="DG61" i="17"/>
  <c r="DF61" i="17"/>
  <c r="CW62" i="17"/>
  <c r="DU61" i="14"/>
  <c r="DL62" i="14"/>
  <c r="DM62" i="14"/>
  <c r="DV61" i="14"/>
  <c r="CY62" i="17"/>
  <c r="DH61" i="17"/>
  <c r="DW62" i="14"/>
  <c r="DN63" i="14"/>
  <c r="DN64" i="14" l="1"/>
  <c r="DW63" i="14"/>
  <c r="CW63" i="17"/>
  <c r="DF62" i="17"/>
  <c r="DV62" i="14"/>
  <c r="DM63" i="14"/>
  <c r="DL63" i="14"/>
  <c r="DU62" i="14"/>
  <c r="DH62" i="17"/>
  <c r="CY63" i="17"/>
  <c r="DG62" i="17"/>
  <c r="CX63" i="17"/>
  <c r="CX64" i="17" l="1"/>
  <c r="DG63" i="17"/>
  <c r="DU63" i="14"/>
  <c r="DL64" i="14"/>
  <c r="DF63" i="17"/>
  <c r="CW64" i="17"/>
  <c r="CY64" i="17"/>
  <c r="DH63" i="17"/>
  <c r="DM64" i="14"/>
  <c r="DV63" i="14"/>
  <c r="DW64" i="14"/>
  <c r="DN65" i="14"/>
  <c r="DL65" i="14" l="1"/>
  <c r="DU64" i="14"/>
  <c r="DN66" i="14"/>
  <c r="DW65" i="14"/>
  <c r="DH64" i="17"/>
  <c r="CY65" i="17"/>
  <c r="CW65" i="17"/>
  <c r="DF64" i="17"/>
  <c r="DM65" i="14"/>
  <c r="DV64" i="14"/>
  <c r="DG64" i="17"/>
  <c r="CX65" i="17"/>
  <c r="CX66" i="17" l="1"/>
  <c r="DG65" i="17"/>
  <c r="DF65" i="17"/>
  <c r="CW66" i="17"/>
  <c r="DN67" i="14"/>
  <c r="DW66" i="14"/>
  <c r="CY66" i="17"/>
  <c r="DH65" i="17"/>
  <c r="DV65" i="14"/>
  <c r="DM66" i="14"/>
  <c r="DL66" i="14"/>
  <c r="DU65" i="14"/>
  <c r="DN68" i="14" l="1"/>
  <c r="DW67" i="14"/>
  <c r="CW67" i="17"/>
  <c r="DF66" i="17"/>
  <c r="DH66" i="17"/>
  <c r="CY67" i="17"/>
  <c r="DU66" i="14"/>
  <c r="DL67" i="14"/>
  <c r="DV66" i="14"/>
  <c r="DM67" i="14"/>
  <c r="CX67" i="17"/>
  <c r="DG66" i="17"/>
  <c r="DL68" i="14" l="1"/>
  <c r="DU67" i="14"/>
  <c r="CX68" i="17"/>
  <c r="DG67" i="17"/>
  <c r="CW68" i="17"/>
  <c r="DF67" i="17"/>
  <c r="DM68" i="14"/>
  <c r="DV67" i="14"/>
  <c r="CY68" i="17"/>
  <c r="DH67" i="17"/>
  <c r="DW68" i="14"/>
  <c r="DN69" i="14"/>
  <c r="DN70" i="14" l="1"/>
  <c r="DW69" i="14"/>
  <c r="CX69" i="17"/>
  <c r="DG68" i="17"/>
  <c r="DM69" i="14"/>
  <c r="DV68" i="14"/>
  <c r="DH68" i="17"/>
  <c r="CY69" i="17"/>
  <c r="CW69" i="17"/>
  <c r="DF68" i="17"/>
  <c r="DL69" i="14"/>
  <c r="DU68" i="14"/>
  <c r="CY70" i="17" l="1"/>
  <c r="DH69" i="17"/>
  <c r="DG69" i="17"/>
  <c r="CX70" i="17"/>
  <c r="DL70" i="14"/>
  <c r="DU69" i="14"/>
  <c r="DF69" i="17"/>
  <c r="CW70" i="17"/>
  <c r="DV69" i="14"/>
  <c r="DM70" i="14"/>
  <c r="DN71" i="14"/>
  <c r="DW70" i="14"/>
  <c r="CX71" i="17" l="1"/>
  <c r="DG70" i="17"/>
  <c r="DN72" i="14"/>
  <c r="DW71" i="14"/>
  <c r="DV70" i="14"/>
  <c r="DM71" i="14"/>
  <c r="CW71" i="17"/>
  <c r="DF70" i="17"/>
  <c r="DU70" i="14"/>
  <c r="DL71" i="14"/>
  <c r="DH70" i="17"/>
  <c r="CY71" i="17"/>
  <c r="CY72" i="17" l="1"/>
  <c r="DH71" i="17"/>
  <c r="DF71" i="17"/>
  <c r="CW72" i="17"/>
  <c r="DW72" i="14"/>
  <c r="DN73" i="14"/>
  <c r="DL72" i="14"/>
  <c r="DU71" i="14"/>
  <c r="DM72" i="14"/>
  <c r="DV71" i="14"/>
  <c r="DG71" i="17"/>
  <c r="CX72" i="17"/>
  <c r="DM73" i="14" l="1"/>
  <c r="DV72" i="14"/>
  <c r="CX73" i="17"/>
  <c r="DG72" i="17"/>
  <c r="CW73" i="17"/>
  <c r="DF72" i="17"/>
  <c r="DN74" i="14"/>
  <c r="DW73" i="14"/>
  <c r="DH72" i="17"/>
  <c r="CY73" i="17"/>
  <c r="DL73" i="14"/>
  <c r="DU72" i="14"/>
  <c r="DN75" i="14" l="1"/>
  <c r="DW74" i="14"/>
  <c r="DG73" i="17"/>
  <c r="CX74" i="17"/>
  <c r="DL74" i="14"/>
  <c r="DU73" i="14"/>
  <c r="CY74" i="17"/>
  <c r="DH73" i="17"/>
  <c r="DF73" i="17"/>
  <c r="CW74" i="17"/>
  <c r="DV73" i="14"/>
  <c r="DM74" i="14"/>
  <c r="CX75" i="17" l="1"/>
  <c r="DG74" i="17"/>
  <c r="DH74" i="17"/>
  <c r="CY75" i="17"/>
  <c r="DV74" i="14"/>
  <c r="DM75" i="14"/>
  <c r="CW75" i="17"/>
  <c r="DF74" i="17"/>
  <c r="DU74" i="14"/>
  <c r="DL75" i="14"/>
  <c r="DN76" i="14"/>
  <c r="DW75" i="14"/>
  <c r="DL76" i="14" l="1"/>
  <c r="DU75" i="14"/>
  <c r="CY76" i="17"/>
  <c r="DH75" i="17"/>
  <c r="DM76" i="14"/>
  <c r="DV75" i="14"/>
  <c r="DW76" i="14"/>
  <c r="DN77" i="14"/>
  <c r="DF75" i="17"/>
  <c r="CW76" i="17"/>
  <c r="DG75" i="17"/>
  <c r="CX76" i="17"/>
  <c r="CX77" i="17" l="1"/>
  <c r="DG76" i="17"/>
  <c r="DH76" i="17"/>
  <c r="CY77" i="17"/>
  <c r="DN78" i="14"/>
  <c r="DW77" i="14"/>
  <c r="CW77" i="17"/>
  <c r="DF76" i="17"/>
  <c r="DM77" i="14"/>
  <c r="DV76" i="14"/>
  <c r="DL77" i="14"/>
  <c r="DU76" i="14"/>
  <c r="CY78" i="17" l="1"/>
  <c r="DH77" i="17"/>
  <c r="DF77" i="17"/>
  <c r="CW78" i="17"/>
  <c r="DL78" i="14"/>
  <c r="DU77" i="14"/>
  <c r="DV77" i="14"/>
  <c r="DM78" i="14"/>
  <c r="DN79" i="14"/>
  <c r="DW78" i="14"/>
  <c r="DG77" i="17"/>
  <c r="CX78" i="17"/>
  <c r="DM79" i="14" l="1"/>
  <c r="DV78" i="14"/>
  <c r="CW79" i="17"/>
  <c r="DF78" i="17"/>
  <c r="CX79" i="17"/>
  <c r="DG78" i="17"/>
  <c r="DW79" i="14"/>
  <c r="DN80" i="14"/>
  <c r="DL79" i="14"/>
  <c r="DU78" i="14"/>
  <c r="DH78" i="17"/>
  <c r="CY79" i="17"/>
  <c r="DN81" i="14" l="1"/>
  <c r="DW80" i="14"/>
  <c r="DF79" i="17"/>
  <c r="CW80" i="17"/>
  <c r="CY80" i="17"/>
  <c r="DH79" i="17"/>
  <c r="DL80" i="14"/>
  <c r="DU79" i="14"/>
  <c r="DG79" i="17"/>
  <c r="CX80" i="17"/>
  <c r="DM80" i="14"/>
  <c r="DV79" i="14"/>
  <c r="CW81" i="17" l="1"/>
  <c r="DF80" i="17"/>
  <c r="DL81" i="14"/>
  <c r="DU80" i="14"/>
  <c r="DM81" i="14"/>
  <c r="DV80" i="14"/>
  <c r="CX81" i="17"/>
  <c r="DG80" i="17"/>
  <c r="DH80" i="17"/>
  <c r="CY81" i="17"/>
  <c r="DN82" i="14"/>
  <c r="DW81" i="14"/>
  <c r="DG81" i="17" l="1"/>
  <c r="CX82" i="17"/>
  <c r="DL82" i="14"/>
  <c r="DU81" i="14"/>
  <c r="DN83" i="14"/>
  <c r="DW82" i="14"/>
  <c r="CY82" i="17"/>
  <c r="DH81" i="17"/>
  <c r="DM82" i="14"/>
  <c r="DV81" i="14"/>
  <c r="DF81" i="17"/>
  <c r="CW82" i="17"/>
  <c r="CW83" i="17" l="1"/>
  <c r="DF82" i="17"/>
  <c r="DM83" i="14"/>
  <c r="DV82" i="14"/>
  <c r="DH82" i="17"/>
  <c r="CY83" i="17"/>
  <c r="DL83" i="14"/>
  <c r="DU82" i="14"/>
  <c r="CX83" i="17"/>
  <c r="DG82" i="17"/>
  <c r="DN84" i="14"/>
  <c r="DW83" i="14"/>
  <c r="DG83" i="17" l="1"/>
  <c r="CX84" i="17"/>
  <c r="CW84" i="17"/>
  <c r="DF83" i="17"/>
  <c r="DN85" i="14"/>
  <c r="DW84" i="14"/>
  <c r="DL84" i="14"/>
  <c r="DU83" i="14"/>
  <c r="DM84" i="14"/>
  <c r="DV83" i="14"/>
  <c r="CY84" i="17"/>
  <c r="DH83" i="17"/>
  <c r="DM85" i="14" l="1"/>
  <c r="DV84" i="14"/>
  <c r="DW85" i="14"/>
  <c r="DN86" i="14"/>
  <c r="DH84" i="17"/>
  <c r="CY85" i="17"/>
  <c r="DL85" i="14"/>
  <c r="DU84" i="14"/>
  <c r="CW85" i="17"/>
  <c r="DF84" i="17"/>
  <c r="CX85" i="17"/>
  <c r="DG84" i="17"/>
  <c r="CW86" i="17" l="1"/>
  <c r="DF85" i="17"/>
  <c r="DM86" i="14"/>
  <c r="DV85" i="14"/>
  <c r="DN87" i="14"/>
  <c r="DW86" i="14"/>
  <c r="CX86" i="17"/>
  <c r="DG85" i="17"/>
  <c r="DL86" i="14"/>
  <c r="DU85" i="14"/>
  <c r="CY86" i="17"/>
  <c r="DH85" i="17"/>
  <c r="DW87" i="14" l="1"/>
  <c r="DN88" i="14"/>
  <c r="DG86" i="17"/>
  <c r="CX87" i="17"/>
  <c r="DH86" i="17"/>
  <c r="CY87" i="17"/>
  <c r="DM87" i="14"/>
  <c r="DV86" i="14"/>
  <c r="DL87" i="14"/>
  <c r="DU86" i="14"/>
  <c r="CW87" i="17"/>
  <c r="DF86" i="17"/>
  <c r="CX88" i="17" l="1"/>
  <c r="DG87" i="17"/>
  <c r="DM88" i="14"/>
  <c r="DV87" i="14"/>
  <c r="DN89" i="14"/>
  <c r="DW88" i="14"/>
  <c r="DF87" i="17"/>
  <c r="CW88" i="17"/>
  <c r="CY88" i="17"/>
  <c r="DH87" i="17"/>
  <c r="DL88" i="14"/>
  <c r="DU87" i="14"/>
  <c r="CW89" i="17" l="1"/>
  <c r="DF88" i="17"/>
  <c r="DM89" i="14"/>
  <c r="DV88" i="14"/>
  <c r="DL89" i="14"/>
  <c r="DU88" i="14"/>
  <c r="DH88" i="17"/>
  <c r="CY89" i="17"/>
  <c r="DW89" i="14"/>
  <c r="DN90" i="14"/>
  <c r="DG88" i="17"/>
  <c r="CX89" i="17"/>
  <c r="CY90" i="17" l="1"/>
  <c r="DH89" i="17"/>
  <c r="DM90" i="14"/>
  <c r="DV89" i="14"/>
  <c r="DN91" i="14"/>
  <c r="DW90" i="14"/>
  <c r="CX90" i="17"/>
  <c r="DG89" i="17"/>
  <c r="DL90" i="14"/>
  <c r="DU89" i="14"/>
  <c r="DF89" i="17"/>
  <c r="CW90" i="17"/>
  <c r="CW91" i="17" l="1"/>
  <c r="DF90" i="17"/>
  <c r="DG90" i="17"/>
  <c r="CX91" i="17"/>
  <c r="DV90" i="14"/>
  <c r="DM91" i="14"/>
  <c r="DU90" i="14"/>
  <c r="DL91" i="14"/>
  <c r="DN92" i="14"/>
  <c r="DW91" i="14"/>
  <c r="DH90" i="17"/>
  <c r="CY91" i="17"/>
  <c r="DN93" i="14" l="1"/>
  <c r="DW92" i="14"/>
  <c r="DF91" i="17"/>
  <c r="CW92" i="17"/>
  <c r="CX92" i="17"/>
  <c r="DG91" i="17"/>
  <c r="CY92" i="17"/>
  <c r="DH91" i="17"/>
  <c r="DL92" i="14"/>
  <c r="DU91" i="14"/>
  <c r="DM92" i="14"/>
  <c r="DV91" i="14"/>
  <c r="DH92" i="17" l="1"/>
  <c r="CY93" i="17"/>
  <c r="CW93" i="17"/>
  <c r="DF92" i="17"/>
  <c r="DV92" i="14"/>
  <c r="DM93" i="14"/>
  <c r="DL93" i="14"/>
  <c r="DU92" i="14"/>
  <c r="DG92" i="17"/>
  <c r="CX93" i="17"/>
  <c r="DW93" i="14"/>
  <c r="DN94" i="14"/>
  <c r="DN95" i="14" l="1"/>
  <c r="DW94" i="14"/>
  <c r="DU93" i="14"/>
  <c r="DL94" i="14"/>
  <c r="DF93" i="17"/>
  <c r="CW94" i="17"/>
  <c r="DM94" i="14"/>
  <c r="DV93" i="14"/>
  <c r="CY94" i="17"/>
  <c r="DH93" i="17"/>
  <c r="CX94" i="17"/>
  <c r="DG93" i="17"/>
  <c r="DL95" i="14" l="1"/>
  <c r="DU94" i="14"/>
  <c r="DV94" i="14"/>
  <c r="DM95" i="14"/>
  <c r="CW95" i="17"/>
  <c r="DF94" i="17"/>
  <c r="CX95" i="17"/>
  <c r="DG94" i="17"/>
  <c r="DH94" i="17"/>
  <c r="CY95" i="17"/>
  <c r="DW95" i="14"/>
  <c r="DN96" i="14"/>
  <c r="DN97" i="14" l="1"/>
  <c r="DW96" i="14"/>
  <c r="DM96" i="14"/>
  <c r="DV95" i="14"/>
  <c r="DG95" i="17"/>
  <c r="CX96" i="17"/>
  <c r="CY96" i="17"/>
  <c r="DH95" i="17"/>
  <c r="DF95" i="17"/>
  <c r="CW96" i="17"/>
  <c r="DU95" i="14"/>
  <c r="DL96" i="14"/>
  <c r="DL97" i="14" l="1"/>
  <c r="DU96" i="14"/>
  <c r="DH96" i="17"/>
  <c r="CY97" i="17"/>
  <c r="DV96" i="14"/>
  <c r="DM97" i="14"/>
  <c r="CW97" i="17"/>
  <c r="DF96" i="17"/>
  <c r="CX97" i="17"/>
  <c r="DG96" i="17"/>
  <c r="DW97" i="14"/>
  <c r="DN98" i="14"/>
  <c r="DN99" i="14" l="1"/>
  <c r="DW98" i="14"/>
  <c r="CY98" i="17"/>
  <c r="DH97" i="17"/>
  <c r="DF97" i="17"/>
  <c r="CW98" i="17"/>
  <c r="DV97" i="14"/>
  <c r="DM98" i="14"/>
  <c r="DG97" i="17"/>
  <c r="CX98" i="17"/>
  <c r="DL98" i="14"/>
  <c r="DU97" i="14"/>
  <c r="DM99" i="14" l="1"/>
  <c r="DV98" i="14"/>
  <c r="DH98" i="17"/>
  <c r="CY99" i="17"/>
  <c r="DU98" i="14"/>
  <c r="DL99" i="14"/>
  <c r="CX99" i="17"/>
  <c r="DG98" i="17"/>
  <c r="CW99" i="17"/>
  <c r="DF98" i="17"/>
  <c r="DW99" i="14"/>
  <c r="DN100" i="14"/>
  <c r="DN101" i="14" l="1"/>
  <c r="DW100" i="14"/>
  <c r="CY100" i="17"/>
  <c r="DH99" i="17"/>
  <c r="DG99" i="17"/>
  <c r="CX100" i="17"/>
  <c r="DF99" i="17"/>
  <c r="CW100" i="17"/>
  <c r="DL100" i="14"/>
  <c r="DU99" i="14"/>
  <c r="DV99" i="14"/>
  <c r="DM100" i="14"/>
  <c r="CW101" i="17" l="1"/>
  <c r="DF100" i="17"/>
  <c r="DM101" i="14"/>
  <c r="DV100" i="14"/>
  <c r="CY101" i="17"/>
  <c r="DH100" i="17"/>
  <c r="CX101" i="17"/>
  <c r="DG100" i="17"/>
  <c r="DU100" i="14"/>
  <c r="DL101" i="14"/>
  <c r="DW101" i="14"/>
  <c r="DN102" i="14"/>
  <c r="DN103" i="14" l="1"/>
  <c r="DW102" i="14"/>
  <c r="CX102" i="17"/>
  <c r="DG101" i="17"/>
  <c r="DV101" i="14"/>
  <c r="DM102" i="14"/>
  <c r="DL102" i="14"/>
  <c r="DU101" i="14"/>
  <c r="DH101" i="17"/>
  <c r="CY102" i="17"/>
  <c r="CW102" i="17"/>
  <c r="DF101" i="17"/>
  <c r="DU102" i="14" l="1"/>
  <c r="DL103" i="14"/>
  <c r="DG102" i="17"/>
  <c r="CX103" i="17"/>
  <c r="CY103" i="17"/>
  <c r="DH102" i="17"/>
  <c r="DM103" i="14"/>
  <c r="DV102" i="14"/>
  <c r="DF102" i="17"/>
  <c r="CW103" i="17"/>
  <c r="DW103" i="14"/>
  <c r="DN104" i="14"/>
  <c r="CX104" i="17" l="1"/>
  <c r="DG103" i="17"/>
  <c r="DV103" i="14"/>
  <c r="DM104" i="14"/>
  <c r="CW104" i="17"/>
  <c r="DF103" i="17"/>
  <c r="DL104" i="14"/>
  <c r="DU103" i="14"/>
  <c r="DN105" i="14"/>
  <c r="DW104" i="14"/>
  <c r="DH103" i="17"/>
  <c r="CY104" i="17"/>
  <c r="DM105" i="14" l="1"/>
  <c r="DV104" i="14"/>
  <c r="DU104" i="14"/>
  <c r="DL105" i="14"/>
  <c r="CY105" i="17"/>
  <c r="DH104" i="17"/>
  <c r="DW105" i="14"/>
  <c r="DN106" i="14"/>
  <c r="DF104" i="17"/>
  <c r="CW105" i="17"/>
  <c r="DG104" i="17"/>
  <c r="CX105" i="17"/>
  <c r="DL106" i="14" l="1"/>
  <c r="DU105" i="14"/>
  <c r="DN107" i="14"/>
  <c r="DW106" i="14"/>
  <c r="CW106" i="17"/>
  <c r="DF105" i="17"/>
  <c r="CX106" i="17"/>
  <c r="DG105" i="17"/>
  <c r="DH105" i="17"/>
  <c r="CY106" i="17"/>
  <c r="DV105" i="14"/>
  <c r="DM106" i="14"/>
  <c r="DF106" i="17" l="1"/>
  <c r="CW107" i="17"/>
  <c r="DM107" i="14"/>
  <c r="DV106" i="14"/>
  <c r="DW107" i="14"/>
  <c r="DN108" i="14"/>
  <c r="DG106" i="17"/>
  <c r="CX107" i="17"/>
  <c r="CY107" i="17"/>
  <c r="DH106" i="17"/>
  <c r="DU106" i="14"/>
  <c r="DL107" i="14"/>
  <c r="DL108" i="14" l="1"/>
  <c r="DU107" i="14"/>
  <c r="CX108" i="17"/>
  <c r="DG107" i="17"/>
  <c r="DV107" i="14"/>
  <c r="DM108" i="14"/>
  <c r="DN109" i="14"/>
  <c r="DW108" i="14"/>
  <c r="CW108" i="17"/>
  <c r="DF107" i="17"/>
  <c r="DH107" i="17"/>
  <c r="CY108" i="17"/>
  <c r="CY109" i="17" l="1"/>
  <c r="DH108" i="17"/>
  <c r="DW109" i="14"/>
  <c r="DN110" i="14"/>
  <c r="CX109" i="17"/>
  <c r="DG108" i="17"/>
  <c r="DM109" i="14"/>
  <c r="DV108" i="14"/>
  <c r="CW109" i="17"/>
  <c r="DF108" i="17"/>
  <c r="DU108" i="14"/>
  <c r="DL109" i="14"/>
  <c r="DN111" i="14" l="1"/>
  <c r="DW110" i="14"/>
  <c r="DV109" i="14"/>
  <c r="DM110" i="14"/>
  <c r="DL110" i="14"/>
  <c r="DU109" i="14"/>
  <c r="CW110" i="17"/>
  <c r="DF109" i="17"/>
  <c r="CX110" i="17"/>
  <c r="DG109" i="17"/>
  <c r="DH109" i="17"/>
  <c r="CY110" i="17"/>
  <c r="DU110" i="14" l="1"/>
  <c r="DL111" i="14"/>
  <c r="CY111" i="17"/>
  <c r="DH110" i="17"/>
  <c r="DM111" i="14"/>
  <c r="DV110" i="14"/>
  <c r="DW111" i="14"/>
  <c r="DN112" i="14"/>
  <c r="DF110" i="17"/>
  <c r="CW111" i="17"/>
  <c r="DG110" i="17"/>
  <c r="CX111" i="17"/>
  <c r="CX112" i="17" l="1"/>
  <c r="DG111" i="17"/>
  <c r="DN113" i="14"/>
  <c r="DW112" i="14"/>
  <c r="CY112" i="17"/>
  <c r="DH111" i="17"/>
  <c r="CW112" i="17"/>
  <c r="DF111" i="17"/>
  <c r="DL112" i="14"/>
  <c r="DU111" i="14"/>
  <c r="DV111" i="14"/>
  <c r="DM112" i="14"/>
  <c r="DU112" i="14" l="1"/>
  <c r="DL113" i="14"/>
  <c r="DH112" i="17"/>
  <c r="CY113" i="17"/>
  <c r="DM113" i="14"/>
  <c r="DV112" i="14"/>
  <c r="CW113" i="17"/>
  <c r="DF112" i="17"/>
  <c r="DW113" i="14"/>
  <c r="DN114" i="14"/>
  <c r="CX113" i="17"/>
  <c r="DG112" i="17"/>
  <c r="CY114" i="17" l="1"/>
  <c r="DH113" i="17"/>
  <c r="DG113" i="17"/>
  <c r="CX114" i="17"/>
  <c r="CW114" i="17"/>
  <c r="DF113" i="17"/>
  <c r="DL114" i="14"/>
  <c r="DU113" i="14"/>
  <c r="DN115" i="14"/>
  <c r="DW114" i="14"/>
  <c r="DV113" i="14"/>
  <c r="DM114" i="14"/>
  <c r="DM115" i="14" l="1"/>
  <c r="DV114" i="14"/>
  <c r="CX115" i="17"/>
  <c r="DG114" i="17"/>
  <c r="DU114" i="14"/>
  <c r="DL115" i="14"/>
  <c r="DW115" i="14"/>
  <c r="DN116" i="14"/>
  <c r="DF114" i="17"/>
  <c r="CW115" i="17"/>
  <c r="CY115" i="17"/>
  <c r="DH114" i="17"/>
  <c r="DN117" i="14" l="1"/>
  <c r="DW116" i="14"/>
  <c r="CX116" i="17"/>
  <c r="DG115" i="17"/>
  <c r="CW116" i="17"/>
  <c r="DF115" i="17"/>
  <c r="DL116" i="14"/>
  <c r="DU115" i="14"/>
  <c r="CY116" i="17"/>
  <c r="DH115" i="17"/>
  <c r="DV115" i="14"/>
  <c r="DM116" i="14"/>
  <c r="DM117" i="14" l="1"/>
  <c r="DV116" i="14"/>
  <c r="CX117" i="17"/>
  <c r="DG116" i="17"/>
  <c r="DU116" i="14"/>
  <c r="DL117" i="14"/>
  <c r="CY117" i="17"/>
  <c r="DH116" i="17"/>
  <c r="CW117" i="17"/>
  <c r="DF116" i="17"/>
  <c r="DW117" i="14"/>
  <c r="DN118" i="14"/>
  <c r="DN119" i="14" l="1"/>
  <c r="DW118" i="14"/>
  <c r="CY118" i="17"/>
  <c r="DH117" i="17"/>
  <c r="DG117" i="17"/>
  <c r="CX118" i="17"/>
  <c r="DL118" i="14"/>
  <c r="DU117" i="14"/>
  <c r="CW118" i="17"/>
  <c r="DF117" i="17"/>
  <c r="DV117" i="14"/>
  <c r="DM118" i="14"/>
  <c r="CX119" i="17" l="1"/>
  <c r="DG118" i="17"/>
  <c r="DM119" i="14"/>
  <c r="DV118" i="14"/>
  <c r="CW119" i="17"/>
  <c r="DF118" i="17"/>
  <c r="DU118" i="14"/>
  <c r="DL119" i="14"/>
  <c r="CY119" i="17"/>
  <c r="DH118" i="17"/>
  <c r="DW119" i="14"/>
  <c r="DN120" i="14"/>
  <c r="CY120" i="17" l="1"/>
  <c r="DH119" i="17"/>
  <c r="DN121" i="14"/>
  <c r="DW120" i="14"/>
  <c r="DL120" i="14"/>
  <c r="DU119" i="14"/>
  <c r="DF119" i="17"/>
  <c r="CW120" i="17"/>
  <c r="DV119" i="14"/>
  <c r="DM120" i="14"/>
  <c r="CX120" i="17"/>
  <c r="DG119" i="17"/>
  <c r="CW121" i="17" l="1"/>
  <c r="DF120" i="17"/>
  <c r="DG120" i="17"/>
  <c r="CX121" i="17"/>
  <c r="DN122" i="14"/>
  <c r="DW121" i="14"/>
  <c r="DM121" i="14"/>
  <c r="DV120" i="14"/>
  <c r="DU120" i="14"/>
  <c r="DL121" i="14"/>
  <c r="DH120" i="17"/>
  <c r="CY121" i="17"/>
  <c r="CX122" i="17" l="1"/>
  <c r="DG121" i="17"/>
  <c r="CY122" i="17"/>
  <c r="DH121" i="17"/>
  <c r="DM122" i="14"/>
  <c r="DV121" i="14"/>
  <c r="DL122" i="14"/>
  <c r="DU121" i="14"/>
  <c r="DW122" i="14"/>
  <c r="DN123" i="14"/>
  <c r="DF121" i="17"/>
  <c r="CW122" i="17"/>
  <c r="CW123" i="17" l="1"/>
  <c r="DF122" i="17"/>
  <c r="DL123" i="14"/>
  <c r="DU122" i="14"/>
  <c r="CY123" i="17"/>
  <c r="DH122" i="17"/>
  <c r="DN124" i="14"/>
  <c r="DW123" i="14"/>
  <c r="DM123" i="14"/>
  <c r="DV122" i="14"/>
  <c r="CX123" i="17"/>
  <c r="DG122" i="17"/>
  <c r="CX124" i="17" l="1"/>
  <c r="DG123" i="17"/>
  <c r="DL124" i="14"/>
  <c r="DU123" i="14"/>
  <c r="DN125" i="14"/>
  <c r="DW124" i="14"/>
  <c r="DV123" i="14"/>
  <c r="DM124" i="14"/>
  <c r="DH123" i="17"/>
  <c r="CY124" i="17"/>
  <c r="CW124" i="17"/>
  <c r="DF123" i="17"/>
  <c r="DN126" i="14" l="1"/>
  <c r="DW125" i="14"/>
  <c r="DM125" i="14"/>
  <c r="DV124" i="14"/>
  <c r="DF124" i="17"/>
  <c r="CW125" i="17"/>
  <c r="DU124" i="14"/>
  <c r="DL125" i="14"/>
  <c r="CY125" i="17"/>
  <c r="DH124" i="17"/>
  <c r="CX125" i="17"/>
  <c r="DG124" i="17"/>
  <c r="DH125" i="17" l="1"/>
  <c r="CY126" i="17"/>
  <c r="DH126" i="17" s="1"/>
  <c r="DL126" i="14"/>
  <c r="DU125" i="14"/>
  <c r="CX126" i="17"/>
  <c r="DG126" i="17" s="1"/>
  <c r="DG125" i="17"/>
  <c r="DM126" i="14"/>
  <c r="DV125" i="14"/>
  <c r="CW126" i="17"/>
  <c r="DF126" i="17" s="1"/>
  <c r="DF125" i="17"/>
  <c r="DW126" i="14"/>
  <c r="DN127" i="14"/>
  <c r="DW127" i="14" s="1"/>
  <c r="DM127" i="14" l="1"/>
  <c r="DV127" i="14" s="1"/>
  <c r="DV126" i="14"/>
  <c r="DL127" i="14"/>
  <c r="DU127" i="14" s="1"/>
  <c r="DU126" i="14"/>
</calcChain>
</file>

<file path=xl/sharedStrings.xml><?xml version="1.0" encoding="utf-8"?>
<sst xmlns="http://schemas.openxmlformats.org/spreadsheetml/2006/main" count="850" uniqueCount="441">
  <si>
    <t>USA</t>
  </si>
  <si>
    <t>EURO</t>
  </si>
  <si>
    <t>FUERZA ELECTROMOTRIZ DEL ACUMULADOR PLOMO ÁCIDO</t>
  </si>
  <si>
    <r>
      <t xml:space="preserve">do  </t>
    </r>
    <r>
      <rPr>
        <b/>
        <sz val="10"/>
        <color theme="1"/>
        <rFont val="Times New Roman"/>
        <family val="1"/>
      </rPr>
      <t>[</t>
    </r>
    <r>
      <rPr>
        <b/>
        <i/>
        <sz val="10"/>
        <color theme="1"/>
        <rFont val="Times New Roman"/>
        <family val="1"/>
      </rPr>
      <t>g/l</t>
    </r>
    <r>
      <rPr>
        <b/>
        <sz val="10"/>
        <color theme="1"/>
        <rFont val="Times New Roman"/>
        <family val="1"/>
      </rPr>
      <t>]</t>
    </r>
    <r>
      <rPr>
        <b/>
        <i/>
        <sz val="10"/>
        <color theme="1"/>
        <rFont val="Times New Roman"/>
        <family val="1"/>
      </rPr>
      <t xml:space="preserve">  =</t>
    </r>
  </si>
  <si>
    <t>m  =</t>
  </si>
  <si>
    <t>V/(gr/lt)</t>
  </si>
  <si>
    <r>
      <t xml:space="preserve">To  </t>
    </r>
    <r>
      <rPr>
        <b/>
        <sz val="10"/>
        <color theme="1"/>
        <rFont val="Times New Roman"/>
        <family val="1"/>
      </rPr>
      <t>[</t>
    </r>
    <r>
      <rPr>
        <b/>
        <i/>
        <sz val="10"/>
        <color theme="1"/>
        <rFont val="Times New Roman"/>
        <family val="1"/>
      </rPr>
      <t>ºC</t>
    </r>
    <r>
      <rPr>
        <b/>
        <sz val="10"/>
        <color theme="1"/>
        <rFont val="Times New Roman"/>
        <family val="1"/>
      </rPr>
      <t xml:space="preserve">]  </t>
    </r>
    <r>
      <rPr>
        <b/>
        <i/>
        <sz val="10"/>
        <color theme="1"/>
        <rFont val="Times New Roman"/>
        <family val="1"/>
      </rPr>
      <t>=</t>
    </r>
  </si>
  <si>
    <t>n  =</t>
  </si>
  <si>
    <t>V</t>
  </si>
  <si>
    <t>[ºF]</t>
  </si>
  <si>
    <r>
      <t xml:space="preserve">U(do,To)  </t>
    </r>
    <r>
      <rPr>
        <b/>
        <sz val="10"/>
        <color theme="1"/>
        <rFont val="Times New Roman"/>
        <family val="1"/>
      </rPr>
      <t>[</t>
    </r>
    <r>
      <rPr>
        <b/>
        <i/>
        <sz val="10"/>
        <color theme="1"/>
        <rFont val="Times New Roman"/>
        <family val="1"/>
      </rPr>
      <t>V</t>
    </r>
    <r>
      <rPr>
        <b/>
        <sz val="10"/>
        <color theme="1"/>
        <rFont val="Times New Roman"/>
        <family val="1"/>
      </rPr>
      <t xml:space="preserve">]  </t>
    </r>
    <r>
      <rPr>
        <b/>
        <i/>
        <sz val="10"/>
        <color theme="1"/>
        <rFont val="Times New Roman"/>
        <family val="1"/>
      </rPr>
      <t>=</t>
    </r>
  </si>
  <si>
    <r>
      <rPr>
        <b/>
        <sz val="10"/>
        <color theme="1"/>
        <rFont val="GreekS"/>
      </rPr>
      <t>a</t>
    </r>
    <r>
      <rPr>
        <b/>
        <sz val="10"/>
        <color theme="1"/>
        <rFont val="Times New Roman"/>
        <family val="1"/>
      </rPr>
      <t xml:space="preserve">  =</t>
    </r>
  </si>
  <si>
    <t>V/ºC</t>
  </si>
  <si>
    <t>[ºC]</t>
  </si>
  <si>
    <t>d [gr/lt]</t>
  </si>
  <si>
    <t>Tensión electrquímica natural Ue [V/c]</t>
  </si>
  <si>
    <t>T ºC</t>
  </si>
  <si>
    <t>xi</t>
  </si>
  <si>
    <t>yi(T)</t>
  </si>
  <si>
    <t>xi = d</t>
  </si>
  <si>
    <t>yi</t>
  </si>
  <si>
    <r>
      <t>xi</t>
    </r>
    <r>
      <rPr>
        <sz val="8"/>
        <color theme="1"/>
        <rFont val="Arial"/>
        <family val="2"/>
      </rPr>
      <t>²</t>
    </r>
  </si>
  <si>
    <t>xi*yi</t>
  </si>
  <si>
    <t>U(T,d)</t>
  </si>
  <si>
    <t>∑ =</t>
  </si>
  <si>
    <t>xi = T [ºC]</t>
  </si>
  <si>
    <r>
      <t>XI</t>
    </r>
    <r>
      <rPr>
        <sz val="8"/>
        <color theme="1"/>
        <rFont val="Arial"/>
        <family val="2"/>
      </rPr>
      <t>²</t>
    </r>
  </si>
  <si>
    <t>yi = Uo [V]</t>
  </si>
  <si>
    <t>yi* = Uo* [V]</t>
  </si>
  <si>
    <r>
      <rPr>
        <b/>
        <sz val="8"/>
        <color theme="1"/>
        <rFont val="GreekC"/>
      </rPr>
      <t>e</t>
    </r>
    <r>
      <rPr>
        <b/>
        <sz val="8"/>
        <color theme="1"/>
        <rFont val="Arial"/>
        <family val="2"/>
      </rPr>
      <t>²</t>
    </r>
    <r>
      <rPr>
        <b/>
        <sz val="8"/>
        <color theme="1"/>
        <rFont val="Arial Unicode MS"/>
        <family val="2"/>
      </rPr>
      <t xml:space="preserve">  =</t>
    </r>
  </si>
  <si>
    <t>D(d)  =</t>
  </si>
  <si>
    <t>D(m)  =</t>
  </si>
  <si>
    <t>Uo  =</t>
  </si>
  <si>
    <t>do  =</t>
  </si>
  <si>
    <t>g / l</t>
  </si>
  <si>
    <t>a  =</t>
  </si>
  <si>
    <t>T0  =</t>
  </si>
  <si>
    <t>ºC</t>
  </si>
  <si>
    <t>D(n)  =</t>
  </si>
  <si>
    <t>D(T)  =</t>
  </si>
  <si>
    <t>e[%]=</t>
  </si>
  <si>
    <t>Da  =</t>
  </si>
  <si>
    <t>a(T)  =</t>
  </si>
  <si>
    <t>Db  =</t>
  </si>
  <si>
    <t>b(T)  =</t>
  </si>
  <si>
    <r>
      <t xml:space="preserve">avi </t>
    </r>
    <r>
      <rPr>
        <b/>
        <i/>
        <sz val="8"/>
        <color theme="1"/>
        <rFont val="Times New Roman"/>
        <family val="1"/>
      </rPr>
      <t>mín</t>
    </r>
    <r>
      <rPr>
        <b/>
        <i/>
        <sz val="11"/>
        <color theme="1"/>
        <rFont val="Times New Roman"/>
        <family val="1"/>
      </rPr>
      <t xml:space="preserve">  =</t>
    </r>
  </si>
  <si>
    <t>Datos:</t>
  </si>
  <si>
    <r>
      <t xml:space="preserve">i  </t>
    </r>
    <r>
      <rPr>
        <sz val="11"/>
        <color theme="1"/>
        <rFont val="Times New Roman"/>
        <family val="1"/>
      </rPr>
      <t>[%]  =</t>
    </r>
  </si>
  <si>
    <r>
      <t>n</t>
    </r>
    <r>
      <rPr>
        <b/>
        <i/>
        <sz val="8"/>
        <color theme="1"/>
        <rFont val="Times New Roman"/>
        <family val="1"/>
      </rPr>
      <t>dr</t>
    </r>
    <r>
      <rPr>
        <b/>
        <i/>
        <sz val="11"/>
        <color theme="1"/>
        <rFont val="Times New Roman"/>
        <family val="1"/>
      </rPr>
      <t xml:space="preserve">  =  f (q</t>
    </r>
    <r>
      <rPr>
        <b/>
        <i/>
        <sz val="8"/>
        <color theme="1"/>
        <rFont val="Times New Roman"/>
        <family val="1"/>
      </rPr>
      <t>d</t>
    </r>
    <r>
      <rPr>
        <b/>
        <sz val="11"/>
        <color theme="1"/>
        <rFont val="Times New Roman"/>
        <family val="1"/>
      </rPr>
      <t>)</t>
    </r>
  </si>
  <si>
    <r>
      <t>n</t>
    </r>
    <r>
      <rPr>
        <b/>
        <i/>
        <sz val="8"/>
        <color theme="1"/>
        <rFont val="Times New Roman"/>
        <family val="1"/>
      </rPr>
      <t>a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</si>
  <si>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i/>
        <sz val="11"/>
        <color theme="1"/>
        <rFont val="Times New Roman"/>
        <family val="1"/>
      </rPr>
      <t>c/año</t>
    </r>
    <r>
      <rPr>
        <sz val="11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</si>
  <si>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 xml:space="preserve">dr </t>
    </r>
    <r>
      <rPr>
        <b/>
        <sz val="11"/>
        <color theme="1"/>
        <rFont val="Times New Roman"/>
        <family val="1"/>
      </rPr>
      <t>[0/1]</t>
    </r>
  </si>
  <si>
    <r>
      <t>n*</t>
    </r>
    <r>
      <rPr>
        <b/>
        <i/>
        <sz val="8"/>
        <color theme="1"/>
        <rFont val="Times New Roman"/>
        <family val="1"/>
      </rPr>
      <t>dr</t>
    </r>
  </si>
  <si>
    <r>
      <t>n</t>
    </r>
    <r>
      <rPr>
        <b/>
        <i/>
        <sz val="8"/>
        <color theme="1"/>
        <rFont val="Times New Roman"/>
        <family val="1"/>
      </rPr>
      <t>dr</t>
    </r>
  </si>
  <si>
    <r>
      <t>t</t>
    </r>
    <r>
      <rPr>
        <b/>
        <i/>
        <sz val="8"/>
        <color theme="1"/>
        <rFont val="Times New Roman"/>
        <family val="1"/>
      </rPr>
      <t>vu</t>
    </r>
  </si>
  <si>
    <r>
      <t>1 / q</t>
    </r>
    <r>
      <rPr>
        <b/>
        <i/>
        <sz val="8"/>
        <color theme="1"/>
        <rFont val="Times New Roman"/>
        <family val="1"/>
      </rPr>
      <t>d</t>
    </r>
    <r>
      <rPr>
        <b/>
        <i/>
        <sz val="11"/>
        <color theme="1"/>
        <rFont val="Times New Roman"/>
        <family val="1"/>
      </rPr>
      <t/>
    </r>
  </si>
  <si>
    <r>
      <t>q</t>
    </r>
    <r>
      <rPr>
        <b/>
        <i/>
        <sz val="8"/>
        <color theme="1"/>
        <rFont val="Times New Roman"/>
        <family val="1"/>
      </rPr>
      <t>d</t>
    </r>
  </si>
  <si>
    <t>avi</t>
  </si>
  <si>
    <r>
      <t xml:space="preserve">q </t>
    </r>
    <r>
      <rPr>
        <b/>
        <i/>
        <sz val="8"/>
        <color theme="1"/>
        <rFont val="Times New Roman"/>
        <family val="1"/>
      </rPr>
      <t>mín</t>
    </r>
  </si>
  <si>
    <r>
      <t>t</t>
    </r>
    <r>
      <rPr>
        <b/>
        <i/>
        <sz val="8"/>
        <color theme="1"/>
        <rFont val="Times New Roman"/>
        <family val="1"/>
      </rPr>
      <t>vu máx</t>
    </r>
  </si>
  <si>
    <r>
      <t>[</t>
    </r>
    <r>
      <rPr>
        <i/>
        <sz val="11"/>
        <color theme="1"/>
        <rFont val="Times New Roman"/>
        <family val="1"/>
      </rPr>
      <t>c</t>
    </r>
    <r>
      <rPr>
        <sz val="11"/>
        <color theme="1"/>
        <rFont val="Times New Roman"/>
        <family val="1"/>
      </rPr>
      <t>]</t>
    </r>
  </si>
  <si>
    <r>
      <t>[</t>
    </r>
    <r>
      <rPr>
        <i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]</t>
    </r>
  </si>
  <si>
    <r>
      <t>[</t>
    </r>
    <r>
      <rPr>
        <i/>
        <sz val="11"/>
        <color theme="1"/>
        <rFont val="Times New Roman"/>
        <family val="1"/>
      </rPr>
      <t>0/1</t>
    </r>
    <r>
      <rPr>
        <sz val="11"/>
        <color theme="1"/>
        <rFont val="Times New Roman"/>
        <family val="1"/>
      </rPr>
      <t>]</t>
    </r>
  </si>
  <si>
    <t>OPTOMIZACIÓN  PROFUNDIDAD  DE  LAS  DESCARGAS</t>
  </si>
  <si>
    <r>
      <rPr>
        <b/>
        <i/>
        <sz val="11"/>
        <color theme="1"/>
        <rFont val="Times New Roman"/>
        <family val="1"/>
      </rPr>
      <t>i</t>
    </r>
    <r>
      <rPr>
        <b/>
        <i/>
        <sz val="8"/>
        <color theme="1"/>
        <rFont val="Times New Roman"/>
        <family val="1"/>
      </rPr>
      <t>a</t>
    </r>
    <r>
      <rPr>
        <b/>
        <sz val="11"/>
        <color theme="1"/>
        <rFont val="Times New Roman"/>
        <family val="1"/>
      </rPr>
      <t xml:space="preserve">  [%]</t>
    </r>
  </si>
  <si>
    <r>
      <rPr>
        <b/>
        <i/>
        <sz val="11"/>
        <color theme="1"/>
        <rFont val="Times New Roman"/>
        <family val="1"/>
      </rPr>
      <t>q</t>
    </r>
    <r>
      <rPr>
        <b/>
        <i/>
        <sz val="8"/>
        <color theme="1"/>
        <rFont val="Times New Roman"/>
        <family val="1"/>
      </rPr>
      <t>dr</t>
    </r>
    <r>
      <rPr>
        <b/>
        <sz val="11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0/1</t>
    </r>
    <r>
      <rPr>
        <sz val="11"/>
        <color theme="1"/>
        <rFont val="Times New Roman"/>
        <family val="1"/>
      </rPr>
      <t>]</t>
    </r>
    <r>
      <rPr>
        <b/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</rPr>
      <t>óptimo</t>
    </r>
  </si>
  <si>
    <r>
      <rPr>
        <b/>
        <i/>
        <sz val="11"/>
        <color theme="1"/>
        <rFont val="Times New Roman"/>
        <family val="1"/>
      </rPr>
      <t>t</t>
    </r>
    <r>
      <rPr>
        <b/>
        <i/>
        <sz val="8"/>
        <color theme="1"/>
        <rFont val="Times New Roman"/>
        <family val="1"/>
      </rPr>
      <t>vu</t>
    </r>
    <r>
      <rPr>
        <b/>
        <sz val="11"/>
        <color theme="1"/>
        <rFont val="Times New Roman"/>
        <family val="1"/>
      </rPr>
      <t xml:space="preserve"> [</t>
    </r>
    <r>
      <rPr>
        <b/>
        <i/>
        <sz val="11"/>
        <color theme="1"/>
        <rFont val="Times New Roman"/>
        <family val="1"/>
      </rPr>
      <t>a</t>
    </r>
    <r>
      <rPr>
        <b/>
        <sz val="11"/>
        <color theme="1"/>
        <rFont val="Times New Roman"/>
        <family val="1"/>
      </rPr>
      <t>]</t>
    </r>
  </si>
  <si>
    <r>
      <rPr>
        <b/>
        <i/>
        <sz val="11"/>
        <color theme="1"/>
        <rFont val="Times New Roman"/>
        <family val="1"/>
      </rPr>
      <t xml:space="preserve">avi </t>
    </r>
    <r>
      <rPr>
        <b/>
        <i/>
        <sz val="8"/>
        <color theme="1"/>
        <rFont val="Times New Roman"/>
        <family val="1"/>
      </rPr>
      <t>mín</t>
    </r>
    <r>
      <rPr>
        <b/>
        <sz val="11"/>
        <color theme="1"/>
        <rFont val="Times New Roman"/>
        <family val="1"/>
      </rPr>
      <t xml:space="preserve"> 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0/1</t>
    </r>
    <r>
      <rPr>
        <sz val="11"/>
        <color theme="1"/>
        <rFont val="Times New Roman"/>
        <family val="1"/>
      </rPr>
      <t>]</t>
    </r>
  </si>
  <si>
    <r>
      <rPr>
        <b/>
        <i/>
        <sz val="11"/>
        <color theme="1"/>
        <rFont val="Times New Roman"/>
        <family val="1"/>
      </rPr>
      <t>avi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0/1</t>
    </r>
    <r>
      <rPr>
        <sz val="11"/>
        <color theme="1"/>
        <rFont val="Times New Roman"/>
        <family val="1"/>
      </rPr>
      <t xml:space="preserve">] ; </t>
    </r>
    <r>
      <rPr>
        <b/>
        <i/>
        <sz val="11"/>
        <color theme="1"/>
        <rFont val="Times New Roman"/>
        <family val="1"/>
      </rPr>
      <t>q</t>
    </r>
    <r>
      <rPr>
        <b/>
        <i/>
        <sz val="8"/>
        <color theme="1"/>
        <rFont val="Times New Roman"/>
        <family val="1"/>
      </rPr>
      <t>dr</t>
    </r>
    <r>
      <rPr>
        <sz val="11"/>
        <color theme="1"/>
        <rFont val="Times New Roman"/>
        <family val="1"/>
      </rPr>
      <t xml:space="preserve">  =  1,0</t>
    </r>
  </si>
  <si>
    <t>Número de Avogadro:</t>
  </si>
  <si>
    <r>
      <t>N</t>
    </r>
    <r>
      <rPr>
        <b/>
        <i/>
        <sz val="8"/>
        <color theme="1"/>
        <rFont val="Times New Roman"/>
        <family val="1"/>
      </rPr>
      <t>A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</si>
  <si>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i/>
        <sz val="11"/>
        <color theme="1"/>
        <rFont val="Times New Roman"/>
        <family val="1"/>
      </rPr>
      <t>u/mol</t>
    </r>
    <r>
      <rPr>
        <sz val="11"/>
        <color theme="1"/>
        <rFont val="Times New Roman"/>
        <family val="1"/>
      </rPr>
      <t>]</t>
    </r>
  </si>
  <si>
    <t>Litio</t>
  </si>
  <si>
    <t>Aluminio</t>
  </si>
  <si>
    <t>Fierro</t>
  </si>
  <si>
    <t>Cobre</t>
  </si>
  <si>
    <t>Hifrógeno</t>
  </si>
  <si>
    <t>Plomo</t>
  </si>
  <si>
    <t>Oro</t>
  </si>
  <si>
    <t>Azufre</t>
  </si>
  <si>
    <t>Oxígeno</t>
  </si>
  <si>
    <t>Carga del Electrón:</t>
  </si>
  <si>
    <t>e  =</t>
  </si>
  <si>
    <r>
      <t>[</t>
    </r>
    <r>
      <rPr>
        <i/>
        <sz val="11"/>
        <color theme="1"/>
        <rFont val="Times New Roman"/>
        <family val="1"/>
      </rPr>
      <t>C</t>
    </r>
    <r>
      <rPr>
        <sz val="11"/>
        <color theme="1"/>
        <rFont val="Times New Roman"/>
        <family val="1"/>
      </rPr>
      <t>]</t>
    </r>
  </si>
  <si>
    <t>Li</t>
  </si>
  <si>
    <t>Al</t>
  </si>
  <si>
    <t>Fe</t>
  </si>
  <si>
    <t>Cu</t>
  </si>
  <si>
    <t>H</t>
  </si>
  <si>
    <t>Pb</t>
  </si>
  <si>
    <t>Au</t>
  </si>
  <si>
    <t>S</t>
  </si>
  <si>
    <t>O</t>
  </si>
  <si>
    <r>
      <t>F</t>
    </r>
    <r>
      <rPr>
        <b/>
        <i/>
        <sz val="11"/>
        <color theme="1"/>
        <rFont val="Times New Roman"/>
        <family val="1"/>
      </rPr>
      <t xml:space="preserve"> =</t>
    </r>
  </si>
  <si>
    <t>Número atómico:</t>
  </si>
  <si>
    <t>masa atómica:</t>
  </si>
  <si>
    <r>
      <t>[</t>
    </r>
    <r>
      <rPr>
        <i/>
        <sz val="11"/>
        <color theme="1"/>
        <rFont val="Times New Roman"/>
        <family val="1"/>
      </rPr>
      <t>g / mol</t>
    </r>
    <r>
      <rPr>
        <sz val="11"/>
        <color theme="1"/>
        <rFont val="Times New Roman"/>
        <family val="1"/>
      </rPr>
      <t>]</t>
    </r>
  </si>
  <si>
    <t>Valencia:</t>
  </si>
  <si>
    <r>
      <t>[</t>
    </r>
    <r>
      <rPr>
        <i/>
        <sz val="11"/>
        <color theme="1"/>
        <rFont val="Times New Roman"/>
        <family val="1"/>
      </rPr>
      <t>e / u</t>
    </r>
    <r>
      <rPr>
        <sz val="11"/>
        <color theme="1"/>
        <rFont val="Times New Roman"/>
        <family val="1"/>
      </rPr>
      <t>]</t>
    </r>
  </si>
  <si>
    <t>Electronegatividad (Pauling):</t>
  </si>
  <si>
    <t>1ª energía de ionización:</t>
  </si>
  <si>
    <r>
      <t>[</t>
    </r>
    <r>
      <rPr>
        <i/>
        <sz val="11"/>
        <color theme="1"/>
        <rFont val="Times New Roman"/>
        <family val="1"/>
      </rPr>
      <t>KJ / mol</t>
    </r>
    <r>
      <rPr>
        <sz val="11"/>
        <color theme="1"/>
        <rFont val="Times New Roman"/>
        <family val="1"/>
      </rPr>
      <t>]</t>
    </r>
  </si>
  <si>
    <t>2ª Energía de ionización</t>
  </si>
  <si>
    <r>
      <t>[kJ</t>
    </r>
    <r>
      <rPr>
        <i/>
        <sz val="11"/>
        <color theme="1"/>
        <rFont val="Times New Roman"/>
        <family val="1"/>
      </rPr>
      <t>/mol</t>
    </r>
    <r>
      <rPr>
        <sz val="11"/>
        <color theme="1"/>
        <rFont val="Times New Roman"/>
        <family val="1"/>
      </rPr>
      <t>]</t>
    </r>
  </si>
  <si>
    <t>densidad:</t>
  </si>
  <si>
    <t>d  =</t>
  </si>
  <si>
    <r>
      <t>[kg</t>
    </r>
    <r>
      <rPr>
        <i/>
        <sz val="11"/>
        <color theme="1"/>
        <rFont val="Times New Roman"/>
        <family val="1"/>
      </rPr>
      <t>/m</t>
    </r>
    <r>
      <rPr>
        <sz val="11"/>
        <color theme="1"/>
        <rFont val="Times New Roman"/>
        <family val="1"/>
      </rPr>
      <t>³]</t>
    </r>
  </si>
  <si>
    <t>Conductividad eléctrica:</t>
  </si>
  <si>
    <r>
      <t>[</t>
    </r>
    <r>
      <rPr>
        <i/>
        <sz val="11"/>
        <color theme="1"/>
        <rFont val="Times New Roman"/>
        <family val="1"/>
      </rPr>
      <t>MS/m</t>
    </r>
    <r>
      <rPr>
        <sz val="11"/>
        <color theme="1"/>
        <rFont val="Times New Roman"/>
        <family val="1"/>
      </rPr>
      <t>]</t>
    </r>
  </si>
  <si>
    <t>Conductividad térmica:</t>
  </si>
  <si>
    <r>
      <t>[</t>
    </r>
    <r>
      <rPr>
        <i/>
        <sz val="11"/>
        <color theme="1"/>
        <rFont val="Times New Roman"/>
        <family val="1"/>
      </rPr>
      <t>W/K m</t>
    </r>
    <r>
      <rPr>
        <sz val="11"/>
        <color theme="1"/>
        <rFont val="Times New Roman"/>
        <family val="1"/>
      </rPr>
      <t>]</t>
    </r>
  </si>
  <si>
    <t>80.2</t>
  </si>
  <si>
    <t>1ª tensión de ionización:</t>
  </si>
  <si>
    <r>
      <t>[</t>
    </r>
    <r>
      <rPr>
        <i/>
        <sz val="11"/>
        <color theme="1"/>
        <rFont val="Times New Roman"/>
        <family val="1"/>
      </rPr>
      <t>V</t>
    </r>
    <r>
      <rPr>
        <sz val="11"/>
        <color theme="1"/>
        <rFont val="Times New Roman"/>
        <family val="1"/>
      </rPr>
      <t>]</t>
    </r>
  </si>
  <si>
    <t>2ª tensión de ionización:</t>
  </si>
  <si>
    <t>masa unitaria:</t>
  </si>
  <si>
    <t>Mu  =</t>
  </si>
  <si>
    <r>
      <t>[K</t>
    </r>
    <r>
      <rPr>
        <i/>
        <sz val="11"/>
        <color theme="1"/>
        <rFont val="Times New Roman"/>
        <family val="1"/>
      </rPr>
      <t>g / mol</t>
    </r>
    <r>
      <rPr>
        <sz val="11"/>
        <color theme="1"/>
        <rFont val="Times New Roman"/>
        <family val="1"/>
      </rPr>
      <t>]</t>
    </r>
  </si>
  <si>
    <t>Volumen unitario:</t>
  </si>
  <si>
    <t>Vu  =  ma / d  =</t>
  </si>
  <si>
    <r>
      <t>[</t>
    </r>
    <r>
      <rPr>
        <i/>
        <sz val="11"/>
        <color theme="1"/>
        <rFont val="Times New Roman"/>
        <family val="1"/>
      </rPr>
      <t>l / mol</t>
    </r>
    <r>
      <rPr>
        <sz val="11"/>
        <color theme="1"/>
        <rFont val="Times New Roman"/>
        <family val="1"/>
      </rPr>
      <t>]</t>
    </r>
  </si>
  <si>
    <t>Volumen átomico:</t>
  </si>
  <si>
    <r>
      <t>Va  =  Vu / N</t>
    </r>
    <r>
      <rPr>
        <b/>
        <i/>
        <sz val="8"/>
        <color theme="1"/>
        <rFont val="Times New Roman"/>
        <family val="1"/>
      </rPr>
      <t>A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</si>
  <si>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i/>
        <sz val="11"/>
        <color theme="1"/>
        <rFont val="Times New Roman"/>
        <family val="1"/>
      </rPr>
      <t>m3/u</t>
    </r>
    <r>
      <rPr>
        <sz val="11"/>
        <color theme="1"/>
        <rFont val="Times New Roman"/>
        <family val="1"/>
      </rPr>
      <t>]</t>
    </r>
  </si>
  <si>
    <t>Radio atómico equivalente (cálculo esférico):</t>
  </si>
  <si>
    <t>Ra  =</t>
  </si>
  <si>
    <r>
      <t>[</t>
    </r>
    <r>
      <rPr>
        <i/>
        <sz val="11"/>
        <color theme="1"/>
        <rFont val="Times New Roman"/>
        <family val="1"/>
      </rPr>
      <t>m</t>
    </r>
    <r>
      <rPr>
        <sz val="11"/>
        <color theme="1"/>
        <rFont val="Times New Roman"/>
        <family val="1"/>
      </rPr>
      <t>]</t>
    </r>
  </si>
  <si>
    <r>
      <t>[</t>
    </r>
    <r>
      <rPr>
        <i/>
        <sz val="11"/>
        <color theme="1"/>
        <rFont val="Times New Roman"/>
        <family val="1"/>
      </rPr>
      <t>pm</t>
    </r>
    <r>
      <rPr>
        <sz val="11"/>
        <color theme="1"/>
        <rFont val="Times New Roman"/>
        <family val="1"/>
      </rPr>
      <t>]</t>
    </r>
  </si>
  <si>
    <t>Superficie cuadrada,área atómica :</t>
  </si>
  <si>
    <t>Sca  =</t>
  </si>
  <si>
    <r>
      <t>[</t>
    </r>
    <r>
      <rPr>
        <i/>
        <sz val="11"/>
        <color theme="1"/>
        <rFont val="Times New Roman"/>
        <family val="1"/>
      </rPr>
      <t>m</t>
    </r>
    <r>
      <rPr>
        <i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]</t>
    </r>
  </si>
  <si>
    <t>Superficie initaria monoatómica cubierta:</t>
  </si>
  <si>
    <r>
      <t>Su  =  Sca*N</t>
    </r>
    <r>
      <rPr>
        <b/>
        <i/>
        <sz val="8"/>
        <color theme="1"/>
        <rFont val="Times New Roman"/>
        <family val="1"/>
      </rPr>
      <t>A</t>
    </r>
    <r>
      <rPr>
        <b/>
        <i/>
        <sz val="11"/>
        <color theme="1"/>
        <rFont val="Times New Roman"/>
        <family val="1"/>
      </rPr>
      <t xml:space="preserve">  =</t>
    </r>
  </si>
  <si>
    <t>Carga eléctrica unitaria:</t>
  </si>
  <si>
    <r>
      <t>Qu  =  F</t>
    </r>
    <r>
      <rPr>
        <b/>
        <i/>
        <sz val="11"/>
        <color theme="1"/>
        <rFont val="Times New Roman"/>
        <family val="1"/>
      </rPr>
      <t>*v  =</t>
    </r>
  </si>
  <si>
    <r>
      <t>[</t>
    </r>
    <r>
      <rPr>
        <i/>
        <sz val="11"/>
        <color theme="1"/>
        <rFont val="Times New Roman"/>
        <family val="1"/>
      </rPr>
      <t>C / mol</t>
    </r>
    <r>
      <rPr>
        <sz val="11"/>
        <color theme="1"/>
        <rFont val="Times New Roman"/>
        <family val="1"/>
      </rPr>
      <t>]</t>
    </r>
  </si>
  <si>
    <t>Tensión electroquímica acumulador:</t>
  </si>
  <si>
    <t>Ue  =</t>
  </si>
  <si>
    <t>Energía eléctrica unitaria:</t>
  </si>
  <si>
    <t>Eu  =  Qu*Ue  =</t>
  </si>
  <si>
    <r>
      <t>[</t>
    </r>
    <r>
      <rPr>
        <i/>
        <sz val="11"/>
        <color theme="1"/>
        <rFont val="Times New Roman"/>
        <family val="1"/>
      </rPr>
      <t>J / mol</t>
    </r>
    <r>
      <rPr>
        <sz val="11"/>
        <color theme="1"/>
        <rFont val="Times New Roman"/>
        <family val="1"/>
      </rPr>
      <t>]</t>
    </r>
  </si>
  <si>
    <r>
      <t>[</t>
    </r>
    <r>
      <rPr>
        <i/>
        <sz val="11"/>
        <color theme="1"/>
        <rFont val="Times New Roman"/>
        <family val="1"/>
      </rPr>
      <t>Wh / mol</t>
    </r>
    <r>
      <rPr>
        <sz val="11"/>
        <color theme="1"/>
        <rFont val="Times New Roman"/>
        <family val="1"/>
      </rPr>
      <t>]</t>
    </r>
  </si>
  <si>
    <t>Densidad de carga:</t>
  </si>
  <si>
    <t>dQ  =  Qu / Mu  =</t>
  </si>
  <si>
    <r>
      <t>[</t>
    </r>
    <r>
      <rPr>
        <i/>
        <sz val="11"/>
        <color theme="1"/>
        <rFont val="Times New Roman"/>
        <family val="1"/>
      </rPr>
      <t>C / Kg</t>
    </r>
    <r>
      <rPr>
        <sz val="11"/>
        <color theme="1"/>
        <rFont val="Times New Roman"/>
        <family val="1"/>
      </rPr>
      <t>]</t>
    </r>
  </si>
  <si>
    <r>
      <t>[</t>
    </r>
    <r>
      <rPr>
        <i/>
        <sz val="11"/>
        <color theme="1"/>
        <rFont val="Times New Roman"/>
        <family val="1"/>
      </rPr>
      <t>Ah / Kg</t>
    </r>
    <r>
      <rPr>
        <sz val="11"/>
        <color theme="1"/>
        <rFont val="Times New Roman"/>
        <family val="1"/>
      </rPr>
      <t>]</t>
    </r>
  </si>
  <si>
    <t>Densidad de enegía:</t>
  </si>
  <si>
    <t>dE  =  Qu / Mu  =</t>
  </si>
  <si>
    <r>
      <t>[</t>
    </r>
    <r>
      <rPr>
        <i/>
        <sz val="11"/>
        <color theme="1"/>
        <rFont val="Times New Roman"/>
        <family val="1"/>
      </rPr>
      <t>Wh / Kg</t>
    </r>
    <r>
      <rPr>
        <sz val="11"/>
        <color theme="1"/>
        <rFont val="Times New Roman"/>
        <family val="1"/>
      </rPr>
      <t>]</t>
    </r>
  </si>
  <si>
    <t>ABSOLYTE, Mod.:</t>
  </si>
  <si>
    <t>100 A 39</t>
  </si>
  <si>
    <r>
      <t>U</t>
    </r>
    <r>
      <rPr>
        <b/>
        <i/>
        <sz val="8"/>
        <rFont val="Times New Roman"/>
        <family val="1"/>
      </rPr>
      <t>e</t>
    </r>
    <r>
      <rPr>
        <b/>
        <i/>
        <sz val="11"/>
        <rFont val="Times New Roman"/>
        <family val="1"/>
      </rPr>
      <t xml:space="preserve">  =</t>
    </r>
  </si>
  <si>
    <r>
      <t>[</t>
    </r>
    <r>
      <rPr>
        <i/>
        <sz val="11"/>
        <color theme="1"/>
        <rFont val="Times New Roman"/>
        <family val="1"/>
      </rPr>
      <t>V/c</t>
    </r>
    <r>
      <rPr>
        <sz val="11"/>
        <color theme="1"/>
        <rFont val="Times New Roman"/>
        <family val="1"/>
      </rPr>
      <t>]</t>
    </r>
  </si>
  <si>
    <r>
      <t>U</t>
    </r>
    <r>
      <rPr>
        <b/>
        <i/>
        <sz val="8"/>
        <rFont val="Times New Roman"/>
        <family val="1"/>
      </rPr>
      <t>Fl</t>
    </r>
    <r>
      <rPr>
        <b/>
        <i/>
        <sz val="1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</si>
  <si>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r</t>
    </r>
    <r>
      <rPr>
        <b/>
        <i/>
        <sz val="11"/>
        <rFont val="Times New Roman"/>
        <family val="1"/>
      </rPr>
      <t xml:space="preserve">  =</t>
    </r>
  </si>
  <si>
    <r>
      <t>I</t>
    </r>
    <r>
      <rPr>
        <b/>
        <i/>
        <sz val="8"/>
        <rFont val="Times New Roman"/>
        <family val="1"/>
      </rPr>
      <t>r,0</t>
    </r>
    <r>
      <rPr>
        <b/>
        <i/>
        <sz val="11"/>
        <rFont val="Times New Roman"/>
        <family val="1"/>
      </rPr>
      <t xml:space="preserve">  =</t>
    </r>
  </si>
  <si>
    <r>
      <t>R</t>
    </r>
    <r>
      <rPr>
        <b/>
        <i/>
        <sz val="8"/>
        <color theme="1"/>
        <rFont val="Times New Roman"/>
        <family val="1"/>
      </rPr>
      <t>p,0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</si>
  <si>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i/>
        <sz val="11"/>
        <color theme="1"/>
        <rFont val="Times New Roman"/>
        <family val="1"/>
      </rPr>
      <t>m</t>
    </r>
    <r>
      <rPr>
        <b/>
        <sz val="11"/>
        <color theme="1"/>
        <rFont val="GreekC"/>
      </rPr>
      <t>W</t>
    </r>
    <r>
      <rPr>
        <sz val="11"/>
        <color theme="1"/>
        <rFont val="Times New Roman"/>
        <family val="1"/>
      </rPr>
      <t>]</t>
    </r>
  </si>
  <si>
    <r>
      <t>[</t>
    </r>
    <r>
      <rPr>
        <b/>
        <sz val="11"/>
        <color theme="1"/>
        <rFont val="GreekC"/>
      </rPr>
      <t>W</t>
    </r>
    <r>
      <rPr>
        <sz val="11"/>
        <color theme="1"/>
        <rFont val="Times New Roman"/>
        <family val="1"/>
      </rPr>
      <t>]</t>
    </r>
  </si>
  <si>
    <t>n</t>
  </si>
  <si>
    <t>t</t>
  </si>
  <si>
    <r>
      <t>i</t>
    </r>
    <r>
      <rPr>
        <b/>
        <i/>
        <sz val="8"/>
        <color theme="1"/>
        <rFont val="Times New Roman"/>
        <family val="1"/>
      </rPr>
      <t>r</t>
    </r>
    <r>
      <rPr>
        <b/>
        <i/>
        <sz val="11"/>
        <color theme="1"/>
        <rFont val="Times New Roman"/>
        <family val="1"/>
      </rPr>
      <t xml:space="preserve"> 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]</t>
    </r>
  </si>
  <si>
    <r>
      <t>I</t>
    </r>
    <r>
      <rPr>
        <b/>
        <i/>
        <sz val="8"/>
        <color theme="1"/>
        <rFont val="Times New Roman"/>
        <family val="1"/>
      </rPr>
      <t>dn</t>
    </r>
  </si>
  <si>
    <r>
      <t>q</t>
    </r>
    <r>
      <rPr>
        <b/>
        <i/>
        <sz val="8"/>
        <color theme="1"/>
        <rFont val="Times New Roman"/>
        <family val="1"/>
      </rPr>
      <t>r</t>
    </r>
    <r>
      <rPr>
        <b/>
        <i/>
        <sz val="11"/>
        <color theme="1"/>
        <rFont val="Times New Roman"/>
        <family val="1"/>
      </rPr>
      <t xml:space="preserve"> 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</si>
  <si>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>n</t>
    </r>
  </si>
  <si>
    <r>
      <t>Q</t>
    </r>
    <r>
      <rPr>
        <b/>
        <i/>
        <sz val="8"/>
        <color theme="1"/>
        <rFont val="Times New Roman"/>
        <family val="1"/>
      </rPr>
      <t>I</t>
    </r>
  </si>
  <si>
    <r>
      <t>R</t>
    </r>
    <r>
      <rPr>
        <b/>
        <i/>
        <sz val="8"/>
        <color theme="1"/>
        <rFont val="Times New Roman"/>
        <family val="1"/>
      </rPr>
      <t>i,d</t>
    </r>
  </si>
  <si>
    <r>
      <t>R</t>
    </r>
    <r>
      <rPr>
        <b/>
        <i/>
        <sz val="8"/>
        <color theme="1"/>
        <rFont val="Times New Roman"/>
        <family val="1"/>
      </rPr>
      <t>i,r</t>
    </r>
  </si>
  <si>
    <r>
      <t>U</t>
    </r>
    <r>
      <rPr>
        <b/>
        <i/>
        <sz val="8"/>
        <color theme="1"/>
        <rFont val="Times New Roman"/>
        <family val="1"/>
      </rPr>
      <t>Fl</t>
    </r>
  </si>
  <si>
    <r>
      <t>U</t>
    </r>
    <r>
      <rPr>
        <b/>
        <i/>
        <sz val="8"/>
        <color theme="1"/>
        <rFont val="Times New Roman"/>
        <family val="1"/>
      </rPr>
      <t>H2O</t>
    </r>
  </si>
  <si>
    <r>
      <t>U</t>
    </r>
    <r>
      <rPr>
        <b/>
        <i/>
        <sz val="8"/>
        <color theme="1"/>
        <rFont val="Times New Roman"/>
        <family val="1"/>
      </rPr>
      <t>H2O</t>
    </r>
    <r>
      <rPr>
        <b/>
        <i/>
        <sz val="11"/>
        <color theme="1"/>
        <rFont val="Times New Roman"/>
        <family val="1"/>
      </rPr>
      <t>+U</t>
    </r>
    <r>
      <rPr>
        <b/>
        <i/>
        <sz val="8"/>
        <color theme="1"/>
        <rFont val="Times New Roman"/>
        <family val="1"/>
      </rPr>
      <t>gas</t>
    </r>
  </si>
  <si>
    <r>
      <t>Q</t>
    </r>
    <r>
      <rPr>
        <b/>
        <i/>
        <sz val="8"/>
        <color theme="1"/>
        <rFont val="Times New Roman"/>
        <family val="1"/>
      </rPr>
      <t>I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</si>
  <si>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i/>
        <sz val="11"/>
        <color theme="1"/>
        <rFont val="Times New Roman"/>
        <family val="1"/>
      </rPr>
      <t>A h</t>
    </r>
    <r>
      <rPr>
        <sz val="11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</si>
  <si>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>n</t>
    </r>
    <r>
      <rPr>
        <b/>
        <i/>
        <sz val="11"/>
        <color theme="1"/>
        <rFont val="Times New Roman"/>
        <family val="1"/>
      </rPr>
      <t xml:space="preserve">  =</t>
    </r>
  </si>
  <si>
    <r>
      <t>t</t>
    </r>
    <r>
      <rPr>
        <b/>
        <i/>
        <sz val="8"/>
        <color theme="1"/>
        <rFont val="Times New Roman"/>
        <family val="1"/>
      </rPr>
      <t>n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</si>
  <si>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i/>
        <sz val="11"/>
        <color theme="1"/>
        <rFont val="Times New Roman"/>
        <family val="1"/>
      </rPr>
      <t>h</t>
    </r>
    <r>
      <rPr>
        <sz val="11"/>
        <color theme="1"/>
        <rFont val="Times New Roman"/>
        <family val="1"/>
      </rPr>
      <t>]</t>
    </r>
  </si>
  <si>
    <r>
      <t>I</t>
    </r>
    <r>
      <rPr>
        <b/>
        <i/>
        <sz val="8"/>
        <color theme="1"/>
        <rFont val="Times New Roman"/>
        <family val="1"/>
      </rPr>
      <t>dn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</si>
  <si>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i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]</t>
    </r>
  </si>
  <si>
    <r>
      <t>t</t>
    </r>
    <r>
      <rPr>
        <b/>
        <i/>
        <sz val="8"/>
        <color theme="1"/>
        <rFont val="Times New Roman"/>
        <family val="1"/>
      </rPr>
      <t>r</t>
    </r>
    <r>
      <rPr>
        <b/>
        <i/>
        <sz val="11"/>
        <color theme="1"/>
        <rFont val="Times New Roman"/>
        <family val="1"/>
      </rPr>
      <t xml:space="preserve">  =</t>
    </r>
  </si>
  <si>
    <r>
      <t>Q</t>
    </r>
    <r>
      <rPr>
        <b/>
        <i/>
        <sz val="8"/>
        <color theme="1"/>
        <rFont val="Times New Roman"/>
        <family val="1"/>
      </rPr>
      <t>n</t>
    </r>
    <r>
      <rPr>
        <b/>
        <i/>
        <sz val="11"/>
        <color theme="1"/>
        <rFont val="Times New Roman"/>
        <family val="1"/>
      </rPr>
      <t>/Q</t>
    </r>
    <r>
      <rPr>
        <b/>
        <i/>
        <sz val="8"/>
        <color theme="1"/>
        <rFont val="Times New Roman"/>
        <family val="1"/>
      </rPr>
      <t>I</t>
    </r>
    <r>
      <rPr>
        <b/>
        <i/>
        <sz val="11"/>
        <color theme="1"/>
        <rFont val="Times New Roman"/>
        <family val="1"/>
      </rPr>
      <t xml:space="preserve">  =</t>
    </r>
  </si>
  <si>
    <r>
      <t>R</t>
    </r>
    <r>
      <rPr>
        <b/>
        <i/>
        <sz val="8"/>
        <color theme="1"/>
        <rFont val="Times New Roman"/>
        <family val="1"/>
      </rPr>
      <t>e,0</t>
    </r>
    <r>
      <rPr>
        <b/>
        <i/>
        <sz val="11"/>
        <color theme="1"/>
        <rFont val="Times New Roman"/>
        <family val="1"/>
      </rPr>
      <t xml:space="preserve">  =</t>
    </r>
  </si>
  <si>
    <t>WORLEY PARSONS, Mod.:</t>
  </si>
  <si>
    <t>SLPB 68105100</t>
  </si>
  <si>
    <r>
      <t>u</t>
    </r>
    <r>
      <rPr>
        <b/>
        <i/>
        <sz val="8"/>
        <rFont val="Times New Roman"/>
        <family val="1"/>
      </rPr>
      <t>d,0,n</t>
    </r>
    <r>
      <rPr>
        <b/>
        <i/>
        <sz val="1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</si>
  <si>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n</t>
    </r>
    <r>
      <rPr>
        <b/>
        <i/>
        <sz val="11"/>
        <rFont val="Times New Roman"/>
        <family val="1"/>
      </rPr>
      <t xml:space="preserve"> =</t>
    </r>
  </si>
  <si>
    <r>
      <t>U</t>
    </r>
    <r>
      <rPr>
        <b/>
        <i/>
        <sz val="8"/>
        <rFont val="Times New Roman"/>
        <family val="1"/>
      </rPr>
      <t>f</t>
    </r>
    <r>
      <rPr>
        <b/>
        <i/>
        <sz val="11"/>
        <rFont val="Times New Roman"/>
        <family val="1"/>
      </rPr>
      <t xml:space="preserve"> =</t>
    </r>
  </si>
  <si>
    <r>
      <t>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</si>
  <si>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>C</t>
    </r>
    <r>
      <rPr>
        <b/>
        <i/>
        <sz val="11"/>
        <color theme="1"/>
        <rFont val="Times New Roman"/>
        <family val="1"/>
      </rPr>
      <t xml:space="preserve"> 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</si>
  <si>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>r</t>
    </r>
    <r>
      <rPr>
        <b/>
        <i/>
        <sz val="11"/>
        <color theme="1"/>
        <rFont val="Times New Roman"/>
        <family val="1"/>
      </rPr>
      <t xml:space="preserve">  =  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+ q</t>
    </r>
    <r>
      <rPr>
        <b/>
        <i/>
        <sz val="8"/>
        <color theme="1"/>
        <rFont val="Times New Roman"/>
        <family val="1"/>
      </rPr>
      <t>C</t>
    </r>
    <r>
      <rPr>
        <b/>
        <i/>
        <sz val="11"/>
        <color theme="1"/>
        <rFont val="Times New Roman"/>
        <family val="1"/>
      </rPr>
      <t xml:space="preserve"> 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]</t>
    </r>
  </si>
  <si>
    <r>
      <rPr>
        <b/>
        <sz val="11"/>
        <color theme="1"/>
        <rFont val="GreekC"/>
      </rPr>
      <t>D</t>
    </r>
    <r>
      <rPr>
        <b/>
        <i/>
        <sz val="11"/>
        <color theme="1"/>
        <rFont val="Times New Roman"/>
        <family val="1"/>
      </rPr>
      <t>t</t>
    </r>
    <r>
      <rPr>
        <b/>
        <i/>
        <sz val="8"/>
        <color theme="1"/>
        <rFont val="Times New Roman"/>
        <family val="1"/>
      </rPr>
      <t>1</t>
    </r>
  </si>
  <si>
    <r>
      <rPr>
        <b/>
        <sz val="11"/>
        <color theme="1"/>
        <rFont val="GreekC"/>
      </rPr>
      <t>D</t>
    </r>
    <r>
      <rPr>
        <b/>
        <i/>
        <sz val="11"/>
        <color theme="1"/>
        <rFont val="Times New Roman"/>
        <family val="1"/>
      </rPr>
      <t>t</t>
    </r>
    <r>
      <rPr>
        <b/>
        <i/>
        <sz val="8"/>
        <color theme="1"/>
        <rFont val="Times New Roman"/>
        <family val="1"/>
      </rPr>
      <t>2</t>
    </r>
  </si>
  <si>
    <r>
      <rPr>
        <b/>
        <sz val="11"/>
        <color theme="1"/>
        <rFont val="GreekC"/>
      </rPr>
      <t>D</t>
    </r>
    <r>
      <rPr>
        <b/>
        <i/>
        <sz val="11"/>
        <color theme="1"/>
        <rFont val="Times New Roman"/>
        <family val="1"/>
      </rPr>
      <t>t</t>
    </r>
    <r>
      <rPr>
        <b/>
        <i/>
        <sz val="8"/>
        <color theme="1"/>
        <rFont val="Times New Roman"/>
        <family val="1"/>
      </rPr>
      <t>3</t>
    </r>
  </si>
  <si>
    <r>
      <t>t</t>
    </r>
    <r>
      <rPr>
        <b/>
        <i/>
        <sz val="8"/>
        <color theme="1"/>
        <rFont val="Times New Roman"/>
        <family val="1"/>
      </rPr>
      <t>1</t>
    </r>
  </si>
  <si>
    <r>
      <t>t</t>
    </r>
    <r>
      <rPr>
        <b/>
        <i/>
        <sz val="8"/>
        <color theme="1"/>
        <rFont val="Times New Roman"/>
        <family val="1"/>
      </rPr>
      <t>2</t>
    </r>
  </si>
  <si>
    <r>
      <t>t</t>
    </r>
    <r>
      <rPr>
        <b/>
        <i/>
        <sz val="8"/>
        <color theme="1"/>
        <rFont val="Times New Roman"/>
        <family val="1"/>
      </rPr>
      <t>3</t>
    </r>
  </si>
  <si>
    <r>
      <rPr>
        <b/>
        <i/>
        <sz val="11"/>
        <color theme="1"/>
        <rFont val="Times New Roman"/>
        <family val="1"/>
      </rPr>
      <t>U</t>
    </r>
    <r>
      <rPr>
        <b/>
        <i/>
        <sz val="8"/>
        <color theme="1"/>
        <rFont val="Times New Roman"/>
        <family val="1"/>
      </rPr>
      <t>Fl</t>
    </r>
  </si>
  <si>
    <r>
      <t>Q</t>
    </r>
    <r>
      <rPr>
        <b/>
        <i/>
        <sz val="8"/>
        <color theme="1"/>
        <rFont val="Times New Roman"/>
        <family val="1"/>
      </rPr>
      <t>c</t>
    </r>
    <r>
      <rPr>
        <b/>
        <i/>
        <sz val="11"/>
        <color theme="1"/>
        <rFont val="Times New Roman"/>
        <family val="1"/>
      </rPr>
      <t xml:space="preserve">  =</t>
    </r>
  </si>
  <si>
    <r>
      <t>Q</t>
    </r>
    <r>
      <rPr>
        <b/>
        <i/>
        <sz val="8"/>
        <color theme="1"/>
        <rFont val="Times New Roman"/>
        <family val="1"/>
      </rPr>
      <t>I</t>
    </r>
    <r>
      <rPr>
        <b/>
        <i/>
        <sz val="11"/>
        <color theme="1"/>
        <rFont val="Times New Roman"/>
        <family val="1"/>
      </rPr>
      <t>-Q</t>
    </r>
    <r>
      <rPr>
        <b/>
        <i/>
        <sz val="8"/>
        <color theme="1"/>
        <rFont val="Times New Roman"/>
        <family val="1"/>
      </rPr>
      <t>C</t>
    </r>
    <r>
      <rPr>
        <b/>
        <i/>
        <sz val="11"/>
        <color theme="1"/>
        <rFont val="Times New Roman"/>
        <family val="1"/>
      </rPr>
      <t xml:space="preserve">  =</t>
    </r>
  </si>
  <si>
    <t>C  =</t>
  </si>
  <si>
    <r>
      <t>[</t>
    </r>
    <r>
      <rPr>
        <i/>
        <sz val="11"/>
        <color theme="1"/>
        <rFont val="Times New Roman"/>
        <family val="1"/>
      </rPr>
      <t>Ah/V</t>
    </r>
    <r>
      <rPr>
        <sz val="11"/>
        <color theme="1"/>
        <rFont val="Times New Roman"/>
        <family val="1"/>
      </rPr>
      <t>]</t>
    </r>
  </si>
  <si>
    <r>
      <t>[</t>
    </r>
    <r>
      <rPr>
        <i/>
        <sz val="11"/>
        <color theme="1"/>
        <rFont val="Times New Roman"/>
        <family val="1"/>
      </rPr>
      <t>F</t>
    </r>
    <r>
      <rPr>
        <sz val="11"/>
        <color theme="1"/>
        <rFont val="Times New Roman"/>
        <family val="1"/>
      </rPr>
      <t>]</t>
    </r>
  </si>
  <si>
    <r>
      <t>R</t>
    </r>
    <r>
      <rPr>
        <b/>
        <i/>
        <sz val="8"/>
        <color theme="1"/>
        <rFont val="Times New Roman"/>
        <family val="1"/>
      </rPr>
      <t>p,0+Re,0</t>
    </r>
    <r>
      <rPr>
        <b/>
        <i/>
        <sz val="11"/>
        <color theme="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</si>
  <si>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e</t>
    </r>
    <r>
      <rPr>
        <i/>
        <sz val="11"/>
        <rFont val="Times New Roman"/>
        <family val="1"/>
      </rPr>
      <t xml:space="preserve">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V/c</t>
    </r>
    <r>
      <rPr>
        <sz val="11"/>
        <rFont val="Times New Roman"/>
        <family val="1"/>
      </rPr>
      <t>]</t>
    </r>
    <r>
      <rPr>
        <i/>
        <sz val="11"/>
        <rFont val="Times New Roman"/>
        <family val="1"/>
      </rPr>
      <t xml:space="preserve"> =</t>
    </r>
  </si>
  <si>
    <t>6V 50 A09</t>
  </si>
  <si>
    <r>
      <t xml:space="preserve">Corrientes constantes a la descarga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A</t>
    </r>
    <r>
      <rPr>
        <sz val="11"/>
        <rFont val="Times New Roman"/>
        <family val="1"/>
      </rPr>
      <t>]</t>
    </r>
  </si>
  <si>
    <r>
      <t>u</t>
    </r>
    <r>
      <rPr>
        <b/>
        <i/>
        <sz val="8"/>
        <rFont val="Times New Roman"/>
        <family val="1"/>
      </rPr>
      <t>f</t>
    </r>
    <r>
      <rPr>
        <i/>
        <sz val="11"/>
        <rFont val="Times New Roman"/>
        <family val="1"/>
      </rPr>
      <t xml:space="preserve">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V/c</t>
    </r>
    <r>
      <rPr>
        <sz val="11"/>
        <rFont val="Times New Roman"/>
        <family val="1"/>
      </rPr>
      <t>]</t>
    </r>
  </si>
  <si>
    <r>
      <rPr>
        <b/>
        <i/>
        <sz val="11"/>
        <rFont val="Times New Roman"/>
        <family val="1"/>
      </rPr>
      <t>t</t>
    </r>
    <r>
      <rPr>
        <b/>
        <sz val="11"/>
        <rFont val="Arial"/>
        <family val="2"/>
      </rPr>
      <t xml:space="preserve">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h</t>
    </r>
    <r>
      <rPr>
        <sz val="11"/>
        <rFont val="Times New Roman"/>
        <family val="1"/>
      </rPr>
      <t>]</t>
    </r>
  </si>
  <si>
    <r>
      <t>m</t>
    </r>
    <r>
      <rPr>
        <sz val="11"/>
        <color theme="1"/>
        <rFont val="GreekC"/>
      </rPr>
      <t>W</t>
    </r>
  </si>
  <si>
    <t>Ah</t>
  </si>
  <si>
    <t>D  =</t>
  </si>
  <si>
    <t>DA  =</t>
  </si>
  <si>
    <t>A =</t>
  </si>
  <si>
    <t>DB  =</t>
  </si>
  <si>
    <t>B =</t>
  </si>
  <si>
    <t>S=</t>
  </si>
  <si>
    <t>id  =</t>
  </si>
  <si>
    <t>i</t>
  </si>
  <si>
    <t>q</t>
  </si>
  <si>
    <r>
      <rPr>
        <b/>
        <sz val="10"/>
        <color theme="1"/>
        <rFont val="GreekC"/>
      </rPr>
      <t>D</t>
    </r>
    <r>
      <rPr>
        <b/>
        <i/>
        <sz val="10"/>
        <color theme="1"/>
        <rFont val="Times New Roman"/>
        <family val="1"/>
      </rPr>
      <t>u</t>
    </r>
  </si>
  <si>
    <r>
      <t>i</t>
    </r>
    <r>
      <rPr>
        <b/>
        <sz val="10"/>
        <color theme="1"/>
        <rFont val="Calibri"/>
        <family val="2"/>
      </rPr>
      <t>²</t>
    </r>
  </si>
  <si>
    <r>
      <rPr>
        <b/>
        <sz val="10"/>
        <rFont val="GreekC"/>
      </rPr>
      <t>D</t>
    </r>
    <r>
      <rPr>
        <b/>
        <i/>
        <sz val="10"/>
        <rFont val="Times New Roman"/>
        <family val="1"/>
      </rPr>
      <t>u i q</t>
    </r>
  </si>
  <si>
    <r>
      <rPr>
        <b/>
        <sz val="10"/>
        <rFont val="Times New Roman"/>
        <family val="1"/>
      </rPr>
      <t>(</t>
    </r>
    <r>
      <rPr>
        <b/>
        <sz val="10"/>
        <rFont val="GreekC"/>
      </rPr>
      <t>D</t>
    </r>
    <r>
      <rPr>
        <b/>
        <i/>
        <sz val="10"/>
        <rFont val="Times New Roman"/>
        <family val="1"/>
      </rPr>
      <t>u q</t>
    </r>
    <r>
      <rPr>
        <b/>
        <sz val="10"/>
        <rFont val="Times New Roman"/>
        <family val="1"/>
      </rPr>
      <t>)</t>
    </r>
    <r>
      <rPr>
        <b/>
        <sz val="10"/>
        <rFont val="Calibri"/>
        <family val="2"/>
      </rPr>
      <t>²</t>
    </r>
  </si>
  <si>
    <r>
      <rPr>
        <b/>
        <sz val="10"/>
        <rFont val="GreekC"/>
      </rPr>
      <t>D</t>
    </r>
    <r>
      <rPr>
        <b/>
        <i/>
        <sz val="10"/>
        <rFont val="Times New Roman"/>
        <family val="1"/>
      </rPr>
      <t>u i</t>
    </r>
  </si>
  <si>
    <r>
      <rPr>
        <b/>
        <sz val="10"/>
        <rFont val="Times New Roman"/>
        <family val="1"/>
      </rPr>
      <t>(</t>
    </r>
    <r>
      <rPr>
        <b/>
        <sz val="10"/>
        <rFont val="GreekC"/>
      </rPr>
      <t>D</t>
    </r>
    <r>
      <rPr>
        <b/>
        <i/>
        <sz val="10"/>
        <rFont val="Times New Roman"/>
        <family val="1"/>
      </rPr>
      <t>u</t>
    </r>
    <r>
      <rPr>
        <b/>
        <sz val="10"/>
        <rFont val="Calibri"/>
        <family val="2"/>
      </rPr>
      <t>²</t>
    </r>
    <r>
      <rPr>
        <b/>
        <i/>
        <sz val="10"/>
        <rFont val="Times New Roman"/>
        <family val="1"/>
      </rPr>
      <t xml:space="preserve"> q</t>
    </r>
    <r>
      <rPr>
        <b/>
        <sz val="10"/>
        <rFont val="Times New Roman"/>
        <family val="1"/>
      </rPr>
      <t>)</t>
    </r>
  </si>
  <si>
    <t>qd</t>
  </si>
  <si>
    <r>
      <t xml:space="preserve">t </t>
    </r>
    <r>
      <rPr>
        <sz val="10"/>
        <color theme="1"/>
        <rFont val="Times New Roman"/>
        <family val="1"/>
      </rPr>
      <t>[</t>
    </r>
    <r>
      <rPr>
        <i/>
        <sz val="10"/>
        <color theme="1"/>
        <rFont val="Times New Roman"/>
        <family val="1"/>
      </rPr>
      <t>h</t>
    </r>
    <r>
      <rPr>
        <sz val="10"/>
        <color theme="1"/>
        <rFont val="Times New Roman"/>
        <family val="1"/>
      </rPr>
      <t>]  =</t>
    </r>
  </si>
  <si>
    <t xml:space="preserve">  ABSOLYTE: 100 A Series</t>
  </si>
  <si>
    <t>Recarga:</t>
  </si>
  <si>
    <r>
      <t>Q</t>
    </r>
    <r>
      <rPr>
        <b/>
        <i/>
        <sz val="8"/>
        <color theme="1"/>
        <rFont val="Times New Roman"/>
        <family val="1"/>
      </rPr>
      <t>C,r</t>
    </r>
    <r>
      <rPr>
        <b/>
        <i/>
        <sz val="11"/>
        <color theme="1"/>
        <rFont val="Times New Roman"/>
        <family val="1"/>
      </rPr>
      <t xml:space="preserve">  =</t>
    </r>
  </si>
  <si>
    <r>
      <rPr>
        <b/>
        <sz val="11"/>
        <color theme="1"/>
        <rFont val="GreekC"/>
      </rPr>
      <t>D</t>
    </r>
    <r>
      <rPr>
        <b/>
        <i/>
        <sz val="11"/>
        <color theme="1"/>
        <rFont val="Times New Roman"/>
        <family val="1"/>
      </rPr>
      <t>Q</t>
    </r>
    <r>
      <rPr>
        <b/>
        <sz val="8"/>
        <color theme="1"/>
        <rFont val="Times New Roman"/>
        <family val="1"/>
      </rPr>
      <t>(</t>
    </r>
    <r>
      <rPr>
        <b/>
        <i/>
        <sz val="8"/>
        <color theme="1"/>
        <rFont val="Times New Roman"/>
        <family val="1"/>
      </rPr>
      <t>Cd,n</t>
    </r>
    <r>
      <rPr>
        <b/>
        <sz val="8"/>
        <color theme="1"/>
        <rFont val="Times New Roman"/>
        <family val="1"/>
      </rPr>
      <t>)</t>
    </r>
    <r>
      <rPr>
        <b/>
        <i/>
        <sz val="11"/>
        <color theme="1"/>
        <rFont val="Times New Roman"/>
        <family val="1"/>
      </rPr>
      <t xml:space="preserve">  =</t>
    </r>
  </si>
  <si>
    <r>
      <t>U</t>
    </r>
    <r>
      <rPr>
        <b/>
        <i/>
        <sz val="8"/>
        <color theme="1"/>
        <rFont val="Times New Roman"/>
        <family val="1"/>
      </rPr>
      <t>r</t>
    </r>
    <r>
      <rPr>
        <b/>
        <i/>
        <sz val="11"/>
        <color theme="1"/>
        <rFont val="Times New Roman"/>
        <family val="1"/>
      </rPr>
      <t xml:space="preserve">  =</t>
    </r>
  </si>
  <si>
    <r>
      <t>i</t>
    </r>
    <r>
      <rPr>
        <b/>
        <i/>
        <sz val="8"/>
        <color theme="1"/>
        <rFont val="Times New Roman"/>
        <family val="1"/>
      </rPr>
      <t>r</t>
    </r>
  </si>
  <si>
    <r>
      <t>U</t>
    </r>
    <r>
      <rPr>
        <b/>
        <i/>
        <sz val="8"/>
        <color theme="1"/>
        <rFont val="Times New Roman"/>
        <family val="1"/>
      </rPr>
      <t>Fin</t>
    </r>
  </si>
  <si>
    <r>
      <t xml:space="preserve">t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h</t>
    </r>
    <r>
      <rPr>
        <sz val="11"/>
        <rFont val="Times New Roman"/>
        <family val="1"/>
      </rPr>
      <t>]  =</t>
    </r>
  </si>
  <si>
    <r>
      <rPr>
        <b/>
        <sz val="11"/>
        <color theme="1"/>
        <rFont val="GreekC"/>
      </rPr>
      <t>G</t>
    </r>
    <r>
      <rPr>
        <b/>
        <i/>
        <sz val="8"/>
        <color theme="1"/>
        <rFont val="Times New Roman"/>
        <family val="1"/>
      </rPr>
      <t>r</t>
    </r>
    <r>
      <rPr>
        <b/>
        <i/>
        <sz val="11"/>
        <color theme="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</si>
  <si>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Fin</t>
    </r>
    <r>
      <rPr>
        <b/>
        <i/>
        <sz val="11"/>
        <rFont val="Times New Roman"/>
        <family val="1"/>
      </rPr>
      <t xml:space="preserve">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V/c</t>
    </r>
    <r>
      <rPr>
        <sz val="11"/>
        <rFont val="Times New Roman"/>
        <family val="1"/>
      </rPr>
      <t>]</t>
    </r>
  </si>
  <si>
    <r>
      <t>q</t>
    </r>
    <r>
      <rPr>
        <b/>
        <i/>
        <sz val="8"/>
        <rFont val="Times New Roman"/>
        <family val="1"/>
      </rPr>
      <t>d</t>
    </r>
    <r>
      <rPr>
        <b/>
        <i/>
        <sz val="11"/>
        <rFont val="Times New Roman"/>
        <family val="1"/>
      </rPr>
      <t xml:space="preserve"> 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Ah</t>
    </r>
    <r>
      <rPr>
        <sz val="11"/>
        <rFont val="Times New Roman"/>
        <family val="1"/>
      </rPr>
      <t>]</t>
    </r>
  </si>
  <si>
    <t>N</t>
  </si>
  <si>
    <r>
      <t>q</t>
    </r>
    <r>
      <rPr>
        <b/>
        <i/>
        <sz val="8"/>
        <color theme="1"/>
        <rFont val="Times New Roman"/>
        <family val="1"/>
      </rPr>
      <t>r</t>
    </r>
  </si>
  <si>
    <r>
      <t>t</t>
    </r>
    <r>
      <rPr>
        <b/>
        <i/>
        <sz val="8"/>
        <color theme="1"/>
        <rFont val="Times New Roman"/>
        <family val="1"/>
      </rPr>
      <t xml:space="preserve">r1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h</t>
    </r>
    <r>
      <rPr>
        <sz val="11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</si>
  <si>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>re</t>
    </r>
  </si>
  <si>
    <r>
      <t>q</t>
    </r>
    <r>
      <rPr>
        <b/>
        <i/>
        <sz val="8"/>
        <color theme="1"/>
        <rFont val="Times New Roman"/>
        <family val="1"/>
      </rPr>
      <t>rC</t>
    </r>
  </si>
  <si>
    <r>
      <t>q</t>
    </r>
    <r>
      <rPr>
        <b/>
        <i/>
        <sz val="8"/>
        <color theme="1"/>
        <rFont val="Times New Roman"/>
        <family val="1"/>
      </rPr>
      <t>re</t>
    </r>
    <r>
      <rPr>
        <b/>
        <i/>
        <sz val="11"/>
        <color theme="1"/>
        <rFont val="Times New Roman"/>
        <family val="1"/>
      </rPr>
      <t>+q</t>
    </r>
    <r>
      <rPr>
        <b/>
        <i/>
        <sz val="8"/>
        <color theme="1"/>
        <rFont val="Times New Roman"/>
        <family val="1"/>
      </rPr>
      <t>rC</t>
    </r>
  </si>
  <si>
    <r>
      <t>q</t>
    </r>
    <r>
      <rPr>
        <b/>
        <i/>
        <sz val="8"/>
        <color theme="1"/>
        <rFont val="Times New Roman"/>
        <family val="1"/>
      </rPr>
      <t>r</t>
    </r>
    <r>
      <rPr>
        <b/>
        <i/>
        <sz val="11"/>
        <color theme="1"/>
        <rFont val="Times New Roman"/>
        <family val="1"/>
      </rPr>
      <t>=q</t>
    </r>
    <r>
      <rPr>
        <b/>
        <i/>
        <sz val="8"/>
        <color theme="1"/>
        <rFont val="Times New Roman"/>
        <family val="1"/>
      </rPr>
      <t>re</t>
    </r>
    <r>
      <rPr>
        <b/>
        <i/>
        <sz val="11"/>
        <color theme="1"/>
        <rFont val="Times New Roman"/>
        <family val="1"/>
      </rPr>
      <t>+q</t>
    </r>
    <r>
      <rPr>
        <b/>
        <i/>
        <sz val="8"/>
        <color theme="1"/>
        <rFont val="Times New Roman"/>
        <family val="1"/>
      </rPr>
      <t>rC</t>
    </r>
    <r>
      <rPr>
        <b/>
        <i/>
        <sz val="11"/>
        <color theme="1"/>
        <rFont val="Times New Roman"/>
        <family val="1"/>
      </rPr>
      <t>, contr.</t>
    </r>
  </si>
  <si>
    <r>
      <t>i</t>
    </r>
    <r>
      <rPr>
        <b/>
        <i/>
        <sz val="8"/>
        <color theme="1"/>
        <rFont val="Times New Roman"/>
        <family val="1"/>
      </rPr>
      <t>r</t>
    </r>
    <r>
      <rPr>
        <b/>
        <i/>
        <sz val="10"/>
        <color theme="1"/>
        <rFont val="Times New Roman"/>
        <family val="1"/>
      </rPr>
      <t>, contr.</t>
    </r>
  </si>
  <si>
    <r>
      <t>i</t>
    </r>
    <r>
      <rPr>
        <b/>
        <i/>
        <sz val="8"/>
        <color theme="1"/>
        <rFont val="Times New Roman"/>
        <family val="1"/>
      </rPr>
      <t>r,n,máx</t>
    </r>
  </si>
  <si>
    <r>
      <t>u</t>
    </r>
    <r>
      <rPr>
        <b/>
        <i/>
        <sz val="8"/>
        <color theme="1"/>
        <rFont val="Times New Roman"/>
        <family val="1"/>
      </rPr>
      <t>e</t>
    </r>
  </si>
  <si>
    <r>
      <t>u</t>
    </r>
    <r>
      <rPr>
        <b/>
        <i/>
        <sz val="8"/>
        <color theme="1"/>
        <rFont val="Times New Roman"/>
        <family val="1"/>
      </rPr>
      <t>C</t>
    </r>
  </si>
  <si>
    <r>
      <t>U</t>
    </r>
    <r>
      <rPr>
        <b/>
        <i/>
        <sz val="8"/>
        <color theme="1"/>
        <rFont val="Times New Roman"/>
        <family val="1"/>
      </rPr>
      <t>r máx</t>
    </r>
  </si>
  <si>
    <r>
      <t>I</t>
    </r>
    <r>
      <rPr>
        <b/>
        <i/>
        <sz val="8"/>
        <rFont val="Times New Roman"/>
        <family val="1"/>
      </rPr>
      <t>d</t>
    </r>
  </si>
  <si>
    <r>
      <t>q</t>
    </r>
    <r>
      <rPr>
        <b/>
        <i/>
        <sz val="8"/>
        <color theme="1"/>
        <rFont val="Times New Roman"/>
        <family val="1"/>
      </rPr>
      <t>e</t>
    </r>
  </si>
  <si>
    <r>
      <t>q</t>
    </r>
    <r>
      <rPr>
        <b/>
        <i/>
        <sz val="8"/>
        <color theme="1"/>
        <rFont val="Times New Roman"/>
        <family val="1"/>
      </rPr>
      <t>d</t>
    </r>
    <r>
      <rPr>
        <b/>
        <i/>
        <sz val="11"/>
        <color theme="1"/>
        <rFont val="Times New Roman"/>
        <family val="1"/>
      </rPr>
      <t xml:space="preserve">  =  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+ q</t>
    </r>
    <r>
      <rPr>
        <b/>
        <i/>
        <sz val="8"/>
        <color theme="1"/>
        <rFont val="Times New Roman"/>
        <family val="1"/>
      </rPr>
      <t>C</t>
    </r>
  </si>
  <si>
    <r>
      <t>I</t>
    </r>
    <r>
      <rPr>
        <b/>
        <i/>
        <sz val="8"/>
        <color theme="1"/>
        <rFont val="Times New Roman"/>
        <family val="1"/>
      </rPr>
      <t>n</t>
    </r>
  </si>
  <si>
    <r>
      <t>q</t>
    </r>
    <r>
      <rPr>
        <b/>
        <i/>
        <sz val="8"/>
        <color theme="1"/>
        <rFont val="Times New Roman"/>
        <family val="1"/>
      </rPr>
      <t>C</t>
    </r>
  </si>
  <si>
    <r>
      <t>t</t>
    </r>
    <r>
      <rPr>
        <b/>
        <i/>
        <sz val="8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h</t>
    </r>
    <r>
      <rPr>
        <sz val="11"/>
        <color theme="1"/>
        <rFont val="Times New Roman"/>
        <family val="1"/>
      </rPr>
      <t>]</t>
    </r>
  </si>
  <si>
    <r>
      <t>I</t>
    </r>
    <r>
      <rPr>
        <b/>
        <i/>
        <sz val="8"/>
        <color theme="1"/>
        <rFont val="Times New Roman"/>
        <family val="1"/>
      </rPr>
      <t>d</t>
    </r>
  </si>
  <si>
    <r>
      <t>q</t>
    </r>
    <r>
      <rPr>
        <b/>
        <i/>
        <sz val="8"/>
        <color theme="1"/>
        <rFont val="Times New Roman"/>
        <family val="1"/>
      </rPr>
      <t>E</t>
    </r>
  </si>
  <si>
    <r>
      <rPr>
        <b/>
        <sz val="11"/>
        <color theme="1"/>
        <rFont val="GreekC"/>
      </rPr>
      <t>D</t>
    </r>
    <r>
      <rPr>
        <b/>
        <sz val="11"/>
        <color theme="1"/>
        <rFont val="Times New Roman"/>
        <family val="1"/>
      </rPr>
      <t>(</t>
    </r>
    <r>
      <rPr>
        <b/>
        <i/>
        <sz val="11"/>
        <color theme="1"/>
        <rFont val="Times New Roman"/>
        <family val="1"/>
      </rPr>
      <t>q</t>
    </r>
    <r>
      <rPr>
        <b/>
        <i/>
        <sz val="8"/>
        <color theme="1"/>
        <rFont val="Times New Roman"/>
        <family val="1"/>
      </rPr>
      <t>d</t>
    </r>
    <r>
      <rPr>
        <b/>
        <i/>
        <sz val="11"/>
        <color theme="1"/>
        <rFont val="Times New Roman"/>
        <family val="1"/>
      </rPr>
      <t>-q</t>
    </r>
    <r>
      <rPr>
        <b/>
        <i/>
        <sz val="8"/>
        <color theme="1"/>
        <rFont val="Times New Roman"/>
        <family val="1"/>
      </rPr>
      <t>d</t>
    </r>
    <r>
      <rPr>
        <b/>
        <i/>
        <sz val="11"/>
        <color theme="1"/>
        <rFont val="Times New Roman"/>
        <family val="1"/>
      </rPr>
      <t>*</t>
    </r>
    <r>
      <rPr>
        <b/>
        <sz val="11"/>
        <color theme="1"/>
        <rFont val="Times New Roman"/>
        <family val="1"/>
      </rPr>
      <t>)</t>
    </r>
    <r>
      <rPr>
        <b/>
        <sz val="11"/>
        <color theme="1"/>
        <rFont val="Calibri"/>
        <family val="2"/>
      </rPr>
      <t>²</t>
    </r>
  </si>
  <si>
    <t>Ecuación simpificada:</t>
  </si>
  <si>
    <r>
      <t>[</t>
    </r>
    <r>
      <rPr>
        <i/>
        <sz val="9"/>
        <color theme="1"/>
        <rFont val="Times New Roman"/>
        <family val="1"/>
      </rPr>
      <t>h</t>
    </r>
    <r>
      <rPr>
        <sz val="9"/>
        <color theme="1"/>
        <rFont val="Times New Roman"/>
        <family val="1"/>
      </rPr>
      <t>]</t>
    </r>
  </si>
  <si>
    <r>
      <t>[</t>
    </r>
    <r>
      <rPr>
        <i/>
        <sz val="9"/>
        <color theme="1"/>
        <rFont val="Times New Roman"/>
        <family val="1"/>
      </rPr>
      <t>A</t>
    </r>
    <r>
      <rPr>
        <sz val="9"/>
        <color theme="1"/>
        <rFont val="Times New Roman"/>
        <family val="1"/>
      </rPr>
      <t>]</t>
    </r>
  </si>
  <si>
    <r>
      <t>u</t>
    </r>
    <r>
      <rPr>
        <b/>
        <i/>
        <sz val="8"/>
        <rFont val="Times New Roman"/>
        <family val="1"/>
      </rPr>
      <t>fin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V/c</t>
    </r>
    <r>
      <rPr>
        <sz val="11"/>
        <rFont val="Times New Roman"/>
        <family val="1"/>
      </rPr>
      <t>]</t>
    </r>
  </si>
  <si>
    <r>
      <t>U</t>
    </r>
    <r>
      <rPr>
        <b/>
        <i/>
        <sz val="8"/>
        <rFont val="Times New Roman"/>
        <family val="1"/>
      </rPr>
      <t>fl</t>
    </r>
    <r>
      <rPr>
        <b/>
        <i/>
        <sz val="11"/>
        <rFont val="Times New Roman"/>
        <family val="1"/>
      </rPr>
      <t xml:space="preserve">  =</t>
    </r>
  </si>
  <si>
    <r>
      <t>[</t>
    </r>
    <r>
      <rPr>
        <i/>
        <sz val="9"/>
        <color theme="1"/>
        <rFont val="Times New Roman"/>
        <family val="1"/>
      </rPr>
      <t>V</t>
    </r>
    <r>
      <rPr>
        <sz val="9"/>
        <color theme="1"/>
        <rFont val="Times New Roman"/>
        <family val="1"/>
      </rPr>
      <t>]</t>
    </r>
  </si>
  <si>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Ah</t>
    </r>
    <r>
      <rPr>
        <sz val="11"/>
        <color theme="1"/>
        <rFont val="Times New Roman"/>
        <family val="1"/>
      </rPr>
      <t>]</t>
    </r>
  </si>
  <si>
    <r>
      <t>U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</si>
  <si>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V/c</t>
    </r>
    <r>
      <rPr>
        <sz val="11"/>
        <color theme="1"/>
        <rFont val="Times New Roman"/>
        <family val="1"/>
      </rPr>
      <t>]</t>
    </r>
  </si>
  <si>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h</t>
    </r>
    <r>
      <rPr>
        <sz val="11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</si>
  <si>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</si>
  <si>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n</t>
    </r>
    <r>
      <rPr>
        <b/>
        <i/>
        <sz val="11"/>
        <rFont val="Times New Roman"/>
        <family val="1"/>
      </rPr>
      <t xml:space="preserve">  =</t>
    </r>
  </si>
  <si>
    <r>
      <t>I</t>
    </r>
    <r>
      <rPr>
        <b/>
        <i/>
        <sz val="8"/>
        <color theme="1"/>
        <rFont val="Times New Roman"/>
        <family val="1"/>
      </rPr>
      <t>n</t>
    </r>
    <r>
      <rPr>
        <b/>
        <i/>
        <sz val="11"/>
        <color theme="1"/>
        <rFont val="Times New Roman"/>
        <family val="1"/>
      </rPr>
      <t xml:space="preserve">  =</t>
    </r>
  </si>
  <si>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</si>
  <si>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</si>
  <si>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fin,adm</t>
    </r>
    <r>
      <rPr>
        <b/>
        <i/>
        <sz val="11"/>
        <rFont val="Times New Roman"/>
        <family val="1"/>
      </rPr>
      <t xml:space="preserve">  =</t>
    </r>
  </si>
  <si>
    <r>
      <t>U</t>
    </r>
    <r>
      <rPr>
        <b/>
        <i/>
        <sz val="8"/>
        <color theme="1"/>
        <rFont val="Times New Roman"/>
        <family val="1"/>
      </rPr>
      <t>fl</t>
    </r>
    <r>
      <rPr>
        <b/>
        <i/>
        <sz val="11"/>
        <color theme="1"/>
        <rFont val="Times New Roman"/>
        <family val="1"/>
      </rPr>
      <t xml:space="preserve">  =</t>
    </r>
  </si>
  <si>
    <r>
      <t>R</t>
    </r>
    <r>
      <rPr>
        <b/>
        <i/>
        <sz val="8"/>
        <color theme="1"/>
        <rFont val="Times New Roman"/>
        <family val="1"/>
      </rPr>
      <t>0</t>
    </r>
    <r>
      <rPr>
        <b/>
        <i/>
        <sz val="11"/>
        <color theme="1"/>
        <rFont val="Times New Roman"/>
        <family val="1"/>
      </rPr>
      <t xml:space="preserve">  =</t>
    </r>
  </si>
  <si>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m</t>
    </r>
    <r>
      <rPr>
        <sz val="11"/>
        <color theme="1"/>
        <rFont val="GreekC"/>
      </rPr>
      <t>W</t>
    </r>
    <r>
      <rPr>
        <sz val="11"/>
        <color theme="1"/>
        <rFont val="Times New Roman"/>
        <family val="1"/>
      </rPr>
      <t>]</t>
    </r>
  </si>
  <si>
    <r>
      <t>U</t>
    </r>
    <r>
      <rPr>
        <b/>
        <i/>
        <sz val="8"/>
        <rFont val="Times New Roman"/>
        <family val="1"/>
      </rPr>
      <t>Er</t>
    </r>
    <r>
      <rPr>
        <b/>
        <i/>
        <sz val="11"/>
        <rFont val="Times New Roman"/>
        <family val="1"/>
      </rPr>
      <t xml:space="preserve">  =  U</t>
    </r>
    <r>
      <rPr>
        <b/>
        <i/>
        <sz val="8"/>
        <rFont val="Times New Roman"/>
        <family val="1"/>
      </rPr>
      <t>fl</t>
    </r>
    <r>
      <rPr>
        <b/>
        <i/>
        <sz val="11"/>
        <rFont val="Times New Roman"/>
        <family val="1"/>
      </rPr>
      <t xml:space="preserve"> - U</t>
    </r>
    <r>
      <rPr>
        <b/>
        <i/>
        <sz val="8"/>
        <rFont val="Times New Roman"/>
        <family val="1"/>
      </rPr>
      <t>e</t>
    </r>
    <r>
      <rPr>
        <b/>
        <i/>
        <sz val="11"/>
        <rFont val="Times New Roman"/>
        <family val="1"/>
      </rPr>
      <t xml:space="preserve">  = </t>
    </r>
  </si>
  <si>
    <r>
      <t>U</t>
    </r>
    <r>
      <rPr>
        <b/>
        <i/>
        <sz val="8"/>
        <color theme="1"/>
        <rFont val="Times New Roman"/>
        <family val="1"/>
      </rPr>
      <t>n</t>
    </r>
    <r>
      <rPr>
        <b/>
        <i/>
        <sz val="11"/>
        <color theme="1"/>
        <rFont val="Times New Roman"/>
        <family val="1"/>
      </rPr>
      <t xml:space="preserve">  =</t>
    </r>
  </si>
  <si>
    <r>
      <t>R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</si>
  <si>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máx</t>
    </r>
    <r>
      <rPr>
        <b/>
        <i/>
        <sz val="11"/>
        <rFont val="Times New Roman"/>
        <family val="1"/>
      </rPr>
      <t xml:space="preserve">  =</t>
    </r>
  </si>
  <si>
    <r>
      <t>U</t>
    </r>
    <r>
      <rPr>
        <b/>
        <i/>
        <sz val="8"/>
        <color theme="1"/>
        <rFont val="Times New Roman"/>
        <family val="1"/>
      </rPr>
      <t>fin adm</t>
    </r>
    <r>
      <rPr>
        <b/>
        <i/>
        <sz val="11"/>
        <color theme="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</si>
  <si>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H2O</t>
    </r>
    <r>
      <rPr>
        <b/>
        <i/>
        <sz val="11"/>
        <rFont val="Times New Roman"/>
        <family val="1"/>
      </rPr>
      <t xml:space="preserve">  =</t>
    </r>
  </si>
  <si>
    <r>
      <t>R</t>
    </r>
    <r>
      <rPr>
        <b/>
        <i/>
        <sz val="8"/>
        <color theme="1"/>
        <rFont val="Times New Roman"/>
        <family val="1"/>
      </rPr>
      <t>0</t>
    </r>
    <r>
      <rPr>
        <b/>
        <i/>
        <sz val="11"/>
        <color theme="1"/>
        <rFont val="Times New Roman"/>
        <family val="1"/>
      </rPr>
      <t>+R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</si>
  <si>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Q</t>
    </r>
    <r>
      <rPr>
        <b/>
        <i/>
        <sz val="8"/>
        <color theme="1"/>
        <rFont val="Times New Roman"/>
        <family val="1"/>
      </rPr>
      <t>n</t>
    </r>
    <r>
      <rPr>
        <b/>
        <sz val="11"/>
        <color theme="1"/>
        <rFont val="Times New Roman"/>
        <family val="1"/>
      </rPr>
      <t>/</t>
    </r>
    <r>
      <rPr>
        <b/>
        <i/>
        <sz val="11"/>
        <color theme="1"/>
        <rFont val="Times New Roman"/>
        <family val="1"/>
      </rPr>
      <t>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</si>
  <si>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U</t>
    </r>
    <r>
      <rPr>
        <b/>
        <sz val="9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  U</t>
    </r>
    <r>
      <rPr>
        <b/>
        <i/>
        <sz val="8"/>
        <color theme="1"/>
        <rFont val="Times New Roman"/>
        <family val="1"/>
      </rPr>
      <t>fl</t>
    </r>
    <r>
      <rPr>
        <b/>
        <i/>
        <sz val="11"/>
        <color theme="1"/>
        <rFont val="Times New Roman"/>
        <family val="1"/>
      </rPr>
      <t>-U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</si>
  <si>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i/>
        <sz val="9"/>
        <color theme="1"/>
        <rFont val="Times New Roman"/>
        <family val="1"/>
      </rPr>
      <t>Ah</t>
    </r>
    <r>
      <rPr>
        <sz val="9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</si>
  <si>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>E</t>
    </r>
    <r>
      <rPr>
        <b/>
        <sz val="11"/>
        <color theme="1"/>
        <rFont val="Times New Roman"/>
        <family val="1"/>
      </rPr>
      <t>/</t>
    </r>
    <r>
      <rPr>
        <b/>
        <i/>
        <sz val="11"/>
        <color theme="1"/>
        <rFont val="Times New Roman"/>
        <family val="1"/>
      </rPr>
      <t>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</si>
  <si>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C</t>
    </r>
    <r>
      <rPr>
        <b/>
        <i/>
        <sz val="9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</si>
  <si>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Ah/V</t>
    </r>
    <r>
      <rPr>
        <sz val="11"/>
        <color theme="1"/>
        <rFont val="Times New Roman"/>
        <family val="1"/>
      </rPr>
      <t>]</t>
    </r>
  </si>
  <si>
    <r>
      <t>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  </t>
    </r>
    <r>
      <rPr>
        <b/>
        <sz val="11"/>
        <color theme="1"/>
        <rFont val="Times New Roman"/>
        <family val="1"/>
      </rPr>
      <t>(</t>
    </r>
    <r>
      <rPr>
        <b/>
        <i/>
        <sz val="11"/>
        <color theme="1"/>
        <rFont val="Times New Roman"/>
        <family val="1"/>
      </rPr>
      <t>U</t>
    </r>
    <r>
      <rPr>
        <b/>
        <i/>
        <sz val="8"/>
        <color theme="1"/>
        <rFont val="Times New Roman"/>
        <family val="1"/>
      </rPr>
      <t xml:space="preserve">fl </t>
    </r>
    <r>
      <rPr>
        <b/>
        <i/>
        <sz val="11"/>
        <color theme="1"/>
        <rFont val="Times New Roman"/>
        <family val="1"/>
      </rPr>
      <t>- U</t>
    </r>
    <r>
      <rPr>
        <b/>
        <i/>
        <sz val="8"/>
        <color theme="1"/>
        <rFont val="Times New Roman"/>
        <family val="1"/>
      </rPr>
      <t>e</t>
    </r>
    <r>
      <rPr>
        <b/>
        <sz val="11"/>
        <color theme="1"/>
        <rFont val="Times New Roman"/>
        <family val="1"/>
      </rPr>
      <t>)*C</t>
    </r>
    <r>
      <rPr>
        <b/>
        <i/>
        <sz val="8"/>
        <color theme="1"/>
        <rFont val="Times New Roman"/>
        <family val="1"/>
      </rPr>
      <t>E</t>
    </r>
    <r>
      <rPr>
        <b/>
        <sz val="11"/>
        <color theme="1"/>
        <rFont val="Times New Roman"/>
        <family val="1"/>
      </rPr>
      <t xml:space="preserve">  =</t>
    </r>
  </si>
  <si>
    <r>
      <t>s</t>
    </r>
    <r>
      <rPr>
        <sz val="11"/>
        <color theme="1"/>
        <rFont val="Arial"/>
        <family val="2"/>
      </rPr>
      <t xml:space="preserve">  =</t>
    </r>
  </si>
  <si>
    <t>[%]</t>
  </si>
  <si>
    <r>
      <t>[</t>
    </r>
    <r>
      <rPr>
        <i/>
        <sz val="9"/>
        <color theme="1"/>
        <rFont val="Times New Roman"/>
        <family val="1"/>
      </rPr>
      <t>Ah/V</t>
    </r>
    <r>
      <rPr>
        <sz val="9"/>
        <color theme="1"/>
        <rFont val="Times New Roman"/>
        <family val="1"/>
      </rPr>
      <t>]</t>
    </r>
  </si>
  <si>
    <r>
      <t>[</t>
    </r>
    <r>
      <rPr>
        <b/>
        <sz val="9"/>
        <color theme="1"/>
        <rFont val="GreekC"/>
      </rPr>
      <t>m</t>
    </r>
    <r>
      <rPr>
        <i/>
        <sz val="9"/>
        <color theme="1"/>
        <rFont val="Times New Roman"/>
        <family val="1"/>
      </rPr>
      <t>F</t>
    </r>
    <r>
      <rPr>
        <sz val="9"/>
        <color theme="1"/>
        <rFont val="Times New Roman"/>
        <family val="1"/>
      </rPr>
      <t>]</t>
    </r>
  </si>
  <si>
    <r>
      <t>S</t>
    </r>
    <r>
      <rPr>
        <sz val="11"/>
        <rFont val="Arial"/>
        <family val="2"/>
      </rPr>
      <t xml:space="preserve">  =</t>
    </r>
  </si>
  <si>
    <r>
      <t>s</t>
    </r>
    <r>
      <rPr>
        <sz val="11"/>
        <rFont val="Arial"/>
        <family val="2"/>
      </rPr>
      <t xml:space="preserve">  =</t>
    </r>
  </si>
  <si>
    <r>
      <t>I</t>
    </r>
    <r>
      <rPr>
        <b/>
        <i/>
        <sz val="8"/>
        <color theme="1"/>
        <rFont val="Times New Roman"/>
        <family val="1"/>
      </rPr>
      <t>d,n</t>
    </r>
    <r>
      <rPr>
        <b/>
        <i/>
        <sz val="11"/>
        <color theme="1"/>
        <rFont val="Times New Roman"/>
        <family val="1"/>
      </rPr>
      <t xml:space="preserve"> =  I</t>
    </r>
    <r>
      <rPr>
        <b/>
        <i/>
        <sz val="8"/>
        <color theme="1"/>
        <rFont val="Times New Roman"/>
        <family val="1"/>
      </rPr>
      <t>r,n</t>
    </r>
    <r>
      <rPr>
        <b/>
        <i/>
        <sz val="11"/>
        <color theme="1"/>
        <rFont val="Times New Roman"/>
        <family val="1"/>
      </rPr>
      <t xml:space="preserve">  =    I</t>
    </r>
    <r>
      <rPr>
        <b/>
        <i/>
        <sz val="8"/>
        <color theme="1"/>
        <rFont val="Times New Roman"/>
        <family val="1"/>
      </rPr>
      <t>máx</t>
    </r>
    <r>
      <rPr>
        <b/>
        <i/>
        <sz val="11"/>
        <color theme="1"/>
        <rFont val="Times New Roman"/>
        <family val="1"/>
      </rPr>
      <t xml:space="preserve">   =</t>
    </r>
  </si>
  <si>
    <r>
      <t>t</t>
    </r>
    <r>
      <rPr>
        <b/>
        <i/>
        <sz val="8"/>
        <color theme="1"/>
        <rFont val="Times New Roman"/>
        <family val="1"/>
      </rPr>
      <t>d,n</t>
    </r>
    <r>
      <rPr>
        <b/>
        <i/>
        <sz val="11"/>
        <color theme="1"/>
        <rFont val="Times New Roman"/>
        <family val="1"/>
      </rPr>
      <t xml:space="preserve"> =</t>
    </r>
  </si>
  <si>
    <r>
      <t>q</t>
    </r>
    <r>
      <rPr>
        <b/>
        <i/>
        <sz val="8"/>
        <rFont val="Times New Roman"/>
        <family val="1"/>
      </rPr>
      <t>d</t>
    </r>
  </si>
  <si>
    <r>
      <t>U</t>
    </r>
    <r>
      <rPr>
        <b/>
        <i/>
        <sz val="8"/>
        <rFont val="Times New Roman"/>
        <family val="1"/>
      </rPr>
      <t>Fin</t>
    </r>
  </si>
  <si>
    <r>
      <t>U*</t>
    </r>
    <r>
      <rPr>
        <b/>
        <i/>
        <sz val="8"/>
        <rFont val="Times New Roman"/>
        <family val="1"/>
      </rPr>
      <t>Fin</t>
    </r>
  </si>
  <si>
    <r>
      <rPr>
        <b/>
        <sz val="11"/>
        <rFont val="GreekC"/>
      </rPr>
      <t>D</t>
    </r>
    <r>
      <rPr>
        <b/>
        <i/>
        <sz val="11"/>
        <rFont val="Times New Roman"/>
        <family val="1"/>
      </rPr>
      <t>U²</t>
    </r>
  </si>
  <si>
    <r>
      <t>q*</t>
    </r>
    <r>
      <rPr>
        <b/>
        <i/>
        <sz val="8"/>
        <rFont val="Times New Roman"/>
        <family val="1"/>
      </rPr>
      <t>d</t>
    </r>
  </si>
  <si>
    <r>
      <t>u</t>
    </r>
    <r>
      <rPr>
        <b/>
        <i/>
        <sz val="8"/>
        <rFont val="Times New Roman"/>
        <family val="1"/>
      </rPr>
      <t>e</t>
    </r>
    <r>
      <rPr>
        <b/>
        <i/>
        <sz val="1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</si>
  <si>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E</t>
    </r>
    <r>
      <rPr>
        <b/>
        <i/>
        <sz val="11"/>
        <rFont val="Times New Roman"/>
        <family val="1"/>
      </rPr>
      <t xml:space="preserve">  =</t>
    </r>
  </si>
  <si>
    <r>
      <t>u</t>
    </r>
    <r>
      <rPr>
        <b/>
        <i/>
        <sz val="8"/>
        <rFont val="Times New Roman"/>
        <family val="1"/>
      </rPr>
      <t>d</t>
    </r>
    <r>
      <rPr>
        <b/>
        <i/>
        <sz val="11"/>
        <rFont val="Times New Roman"/>
        <family val="1"/>
      </rPr>
      <t xml:space="preserve">  =</t>
    </r>
  </si>
  <si>
    <r>
      <t>Q</t>
    </r>
    <r>
      <rPr>
        <b/>
        <i/>
        <sz val="8"/>
        <rFont val="Times New Roman"/>
        <family val="1"/>
      </rPr>
      <t>e</t>
    </r>
  </si>
  <si>
    <r>
      <t>Q</t>
    </r>
    <r>
      <rPr>
        <b/>
        <i/>
        <sz val="8"/>
        <rFont val="Times New Roman"/>
        <family val="1"/>
      </rPr>
      <t>n</t>
    </r>
  </si>
  <si>
    <r>
      <t>t</t>
    </r>
    <r>
      <rPr>
        <b/>
        <i/>
        <sz val="8"/>
        <rFont val="Times New Roman"/>
        <family val="1"/>
      </rPr>
      <t>d</t>
    </r>
  </si>
  <si>
    <r>
      <rPr>
        <b/>
        <i/>
        <sz val="11"/>
        <color theme="1"/>
        <rFont val="Times New Roman"/>
        <family val="1"/>
      </rPr>
      <t>R</t>
    </r>
    <r>
      <rPr>
        <b/>
        <i/>
        <sz val="8"/>
        <color theme="1"/>
        <rFont val="Times New Roman"/>
        <family val="1"/>
      </rPr>
      <t>0</t>
    </r>
    <r>
      <rPr>
        <b/>
        <i/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>=</t>
    </r>
  </si>
  <si>
    <r>
      <t>[</t>
    </r>
    <r>
      <rPr>
        <i/>
        <sz val="9"/>
        <color theme="1"/>
        <rFont val="Times New Roman"/>
        <family val="1"/>
      </rPr>
      <t>m</t>
    </r>
    <r>
      <rPr>
        <b/>
        <sz val="9"/>
        <color theme="1"/>
        <rFont val="GreekC"/>
      </rPr>
      <t>W</t>
    </r>
    <r>
      <rPr>
        <sz val="9"/>
        <color theme="1"/>
        <rFont val="Times New Roman"/>
        <family val="1"/>
      </rPr>
      <t>]</t>
    </r>
  </si>
  <si>
    <r>
      <t>[</t>
    </r>
    <r>
      <rPr>
        <b/>
        <sz val="9"/>
        <color theme="1"/>
        <rFont val="GreekC"/>
      </rPr>
      <t>W</t>
    </r>
    <r>
      <rPr>
        <sz val="9"/>
        <color theme="1"/>
        <rFont val="Times New Roman"/>
        <family val="1"/>
      </rPr>
      <t>]</t>
    </r>
  </si>
  <si>
    <r>
      <rPr>
        <b/>
        <i/>
        <sz val="11"/>
        <color theme="1"/>
        <rFont val="Times New Roman"/>
        <family val="1"/>
      </rPr>
      <t>R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>=</t>
    </r>
  </si>
  <si>
    <r>
      <rPr>
        <b/>
        <i/>
        <sz val="11"/>
        <color theme="1"/>
        <rFont val="Times New Roman"/>
        <family val="1"/>
      </rPr>
      <t>R</t>
    </r>
    <r>
      <rPr>
        <b/>
        <i/>
        <sz val="8"/>
        <color theme="1"/>
        <rFont val="Times New Roman"/>
        <family val="1"/>
      </rPr>
      <t>0</t>
    </r>
    <r>
      <rPr>
        <b/>
        <i/>
        <sz val="11"/>
        <color theme="1"/>
        <rFont val="Times New Roman"/>
        <family val="1"/>
      </rPr>
      <t>+R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>=</t>
    </r>
  </si>
  <si>
    <r>
      <t>Q</t>
    </r>
    <r>
      <rPr>
        <b/>
        <sz val="8"/>
        <color theme="1"/>
        <rFont val="Times New Roman"/>
        <family val="1"/>
      </rPr>
      <t>(</t>
    </r>
    <r>
      <rPr>
        <b/>
        <i/>
        <sz val="8"/>
        <color theme="1"/>
        <rFont val="Times New Roman"/>
        <family val="1"/>
      </rPr>
      <t>n</t>
    </r>
    <r>
      <rPr>
        <b/>
        <sz val="8"/>
        <color theme="1"/>
        <rFont val="Times New Roman"/>
        <family val="1"/>
      </rPr>
      <t>)</t>
    </r>
    <r>
      <rPr>
        <b/>
        <i/>
        <sz val="11"/>
        <color theme="1"/>
        <rFont val="Times New Roman"/>
        <family val="1"/>
      </rPr>
      <t xml:space="preserve">  =</t>
    </r>
  </si>
  <si>
    <r>
      <rPr>
        <b/>
        <sz val="11"/>
        <color theme="1"/>
        <rFont val="GreekC"/>
      </rPr>
      <t>D</t>
    </r>
    <r>
      <rPr>
        <b/>
        <i/>
        <sz val="11"/>
        <color theme="1"/>
        <rFont val="Times New Roman"/>
        <family val="1"/>
      </rPr>
      <t>Q</t>
    </r>
    <r>
      <rPr>
        <b/>
        <i/>
        <sz val="8"/>
        <color theme="1"/>
        <rFont val="Times New Roman"/>
        <family val="1"/>
      </rPr>
      <t>C,n</t>
    </r>
    <r>
      <rPr>
        <b/>
        <i/>
        <sz val="11"/>
        <color theme="1"/>
        <rFont val="Times New Roman"/>
        <family val="1"/>
      </rPr>
      <t xml:space="preserve">  =  Q</t>
    </r>
    <r>
      <rPr>
        <b/>
        <sz val="8"/>
        <color theme="1"/>
        <rFont val="Times New Roman"/>
        <family val="1"/>
      </rPr>
      <t>(</t>
    </r>
    <r>
      <rPr>
        <b/>
        <i/>
        <sz val="8"/>
        <color theme="1"/>
        <rFont val="Times New Roman"/>
        <family val="1"/>
      </rPr>
      <t>n</t>
    </r>
    <r>
      <rPr>
        <b/>
        <sz val="8"/>
        <color theme="1"/>
        <rFont val="Times New Roman"/>
        <family val="1"/>
      </rPr>
      <t>)</t>
    </r>
    <r>
      <rPr>
        <b/>
        <sz val="11"/>
        <color theme="1"/>
        <rFont val="Times New Roman"/>
        <family val="1"/>
      </rPr>
      <t xml:space="preserve"> </t>
    </r>
    <r>
      <rPr>
        <b/>
        <i/>
        <sz val="11"/>
        <color theme="1"/>
        <rFont val="Times New Roman"/>
        <family val="1"/>
      </rPr>
      <t>- 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</si>
  <si>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t</t>
    </r>
    <r>
      <rPr>
        <b/>
        <sz val="8"/>
        <color theme="1"/>
        <rFont val="Times New Roman"/>
        <family val="1"/>
      </rPr>
      <t>(</t>
    </r>
    <r>
      <rPr>
        <b/>
        <i/>
        <sz val="8"/>
        <color theme="1"/>
        <rFont val="Times New Roman"/>
        <family val="1"/>
      </rPr>
      <t>n</t>
    </r>
    <r>
      <rPr>
        <b/>
        <sz val="8"/>
        <color theme="1"/>
        <rFont val="Times New Roman"/>
        <family val="1"/>
      </rPr>
      <t>)</t>
    </r>
    <r>
      <rPr>
        <b/>
        <i/>
        <sz val="11"/>
        <color theme="1"/>
        <rFont val="Times New Roman"/>
        <family val="1"/>
      </rPr>
      <t xml:space="preserve">  =</t>
    </r>
  </si>
  <si>
    <r>
      <t>I</t>
    </r>
    <r>
      <rPr>
        <b/>
        <sz val="8"/>
        <color theme="1"/>
        <rFont val="Times New Roman"/>
        <family val="1"/>
      </rPr>
      <t>(</t>
    </r>
    <r>
      <rPr>
        <b/>
        <i/>
        <sz val="8"/>
        <color theme="1"/>
        <rFont val="Times New Roman"/>
        <family val="1"/>
      </rPr>
      <t>n</t>
    </r>
    <r>
      <rPr>
        <b/>
        <sz val="8"/>
        <color theme="1"/>
        <rFont val="Times New Roman"/>
        <family val="1"/>
      </rPr>
      <t>)</t>
    </r>
    <r>
      <rPr>
        <b/>
        <i/>
        <sz val="11"/>
        <color theme="1"/>
        <rFont val="Times New Roman"/>
        <family val="1"/>
      </rPr>
      <t xml:space="preserve">  =</t>
    </r>
  </si>
  <si>
    <r>
      <t>uf</t>
    </r>
    <r>
      <rPr>
        <b/>
        <i/>
        <sz val="8"/>
        <rFont val="Times New Roman"/>
        <family val="1"/>
      </rPr>
      <t>in</t>
    </r>
    <r>
      <rPr>
        <b/>
        <i/>
        <sz val="11"/>
        <rFont val="Times New Roman"/>
        <family val="1"/>
      </rPr>
      <t xml:space="preserve">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V/c</t>
    </r>
    <r>
      <rPr>
        <sz val="11"/>
        <rFont val="Times New Roman"/>
        <family val="1"/>
      </rPr>
      <t>]</t>
    </r>
  </si>
  <si>
    <r>
      <t>Q</t>
    </r>
    <r>
      <rPr>
        <b/>
        <i/>
        <sz val="8"/>
        <rFont val="Times New Roman"/>
        <family val="1"/>
      </rPr>
      <t>fin</t>
    </r>
    <r>
      <rPr>
        <b/>
        <i/>
        <sz val="11"/>
        <rFont val="Times New Roman"/>
        <family val="1"/>
      </rPr>
      <t xml:space="preserve"> 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Ah</t>
    </r>
    <r>
      <rPr>
        <sz val="11"/>
        <rFont val="Times New Roman"/>
        <family val="1"/>
      </rPr>
      <t>]</t>
    </r>
  </si>
  <si>
    <r>
      <t>s</t>
    </r>
    <r>
      <rPr>
        <b/>
        <sz val="11"/>
        <color theme="1"/>
        <rFont val="Calibri"/>
        <family val="2"/>
      </rPr>
      <t xml:space="preserve">  =</t>
    </r>
  </si>
  <si>
    <t>%</t>
  </si>
  <si>
    <t>Q</t>
  </si>
  <si>
    <t>I*</t>
  </si>
  <si>
    <r>
      <t>I</t>
    </r>
    <r>
      <rPr>
        <b/>
        <i/>
        <sz val="8"/>
        <color theme="1"/>
        <rFont val="Times New Roman"/>
        <family val="1"/>
      </rPr>
      <t>j</t>
    </r>
  </si>
  <si>
    <r>
      <t>Q</t>
    </r>
    <r>
      <rPr>
        <b/>
        <i/>
        <sz val="8"/>
        <rFont val="Times New Roman"/>
        <family val="1"/>
      </rPr>
      <t>d</t>
    </r>
    <r>
      <rPr>
        <b/>
        <i/>
        <sz val="11"/>
        <rFont val="Times New Roman"/>
        <family val="1"/>
      </rPr>
      <t xml:space="preserve">  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Ah</t>
    </r>
    <r>
      <rPr>
        <sz val="11"/>
        <rFont val="Times New Roman"/>
        <family val="1"/>
      </rPr>
      <t>]</t>
    </r>
  </si>
  <si>
    <r>
      <rPr>
        <sz val="11"/>
        <color theme="1"/>
        <rFont val="Times New Roman"/>
        <family val="1"/>
      </rPr>
      <t>[</t>
    </r>
    <r>
      <rPr>
        <sz val="11"/>
        <color theme="1"/>
        <rFont val="GreekC"/>
      </rPr>
      <t>W</t>
    </r>
    <r>
      <rPr>
        <sz val="11"/>
        <color theme="1"/>
        <rFont val="Times New Roman"/>
        <family val="1"/>
      </rPr>
      <t>]</t>
    </r>
  </si>
  <si>
    <r>
      <t>u</t>
    </r>
    <r>
      <rPr>
        <b/>
        <i/>
        <sz val="8"/>
        <rFont val="Times New Roman"/>
        <family val="1"/>
      </rPr>
      <t>Fin</t>
    </r>
    <r>
      <rPr>
        <sz val="11"/>
        <rFont val="Times New Roman"/>
        <family val="1"/>
      </rPr>
      <t>[</t>
    </r>
    <r>
      <rPr>
        <i/>
        <sz val="11"/>
        <rFont val="Times New Roman"/>
        <family val="1"/>
      </rPr>
      <t>V/c</t>
    </r>
    <r>
      <rPr>
        <sz val="11"/>
        <rFont val="Times New Roman"/>
        <family val="1"/>
      </rPr>
      <t>]</t>
    </r>
  </si>
  <si>
    <r>
      <rPr>
        <b/>
        <sz val="11"/>
        <color theme="1"/>
        <rFont val="GreekC"/>
      </rPr>
      <t>D</t>
    </r>
    <r>
      <rPr>
        <b/>
        <i/>
        <sz val="11"/>
        <color theme="1"/>
        <rFont val="Times New Roman"/>
        <family val="1"/>
      </rPr>
      <t>Q</t>
    </r>
    <r>
      <rPr>
        <b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</si>
  <si>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t>SLPB 68106100</t>
  </si>
  <si>
    <r>
      <t>i</t>
    </r>
    <r>
      <rPr>
        <b/>
        <i/>
        <sz val="8"/>
        <color theme="1"/>
        <rFont val="Times New Roman"/>
        <family val="1"/>
      </rPr>
      <t>d</t>
    </r>
    <r>
      <rPr>
        <b/>
        <i/>
        <sz val="11"/>
        <color theme="1"/>
        <rFont val="Times New Roman"/>
        <family val="1"/>
      </rPr>
      <t xml:space="preserve">  =</t>
    </r>
  </si>
  <si>
    <r>
      <t xml:space="preserve">q </t>
    </r>
    <r>
      <rPr>
        <sz val="10"/>
        <color theme="1"/>
        <rFont val="Times New Roman"/>
        <family val="1"/>
      </rPr>
      <t>[</t>
    </r>
    <r>
      <rPr>
        <i/>
        <sz val="10"/>
        <color theme="1"/>
        <rFont val="Times New Roman"/>
        <family val="1"/>
      </rPr>
      <t>mAh</t>
    </r>
    <r>
      <rPr>
        <sz val="10"/>
        <color theme="1"/>
        <rFont val="Times New Roman"/>
        <family val="1"/>
      </rPr>
      <t>]</t>
    </r>
  </si>
  <si>
    <r>
      <t>u</t>
    </r>
    <r>
      <rPr>
        <b/>
        <i/>
        <sz val="8"/>
        <color theme="1"/>
        <rFont val="Times New Roman"/>
        <family val="1"/>
      </rPr>
      <t>d</t>
    </r>
  </si>
  <si>
    <r>
      <t>u</t>
    </r>
    <r>
      <rPr>
        <b/>
        <sz val="8"/>
        <color theme="1"/>
        <rFont val="Times New Roman"/>
        <family val="1"/>
      </rPr>
      <t>E</t>
    </r>
  </si>
  <si>
    <r>
      <t>Q</t>
    </r>
    <r>
      <rPr>
        <b/>
        <i/>
        <sz val="8"/>
        <color theme="1"/>
        <rFont val="Times New Roman"/>
        <family val="1"/>
      </rPr>
      <t>E</t>
    </r>
  </si>
  <si>
    <r>
      <t>U</t>
    </r>
    <r>
      <rPr>
        <b/>
        <i/>
        <sz val="8"/>
        <color theme="1"/>
        <rFont val="Times New Roman"/>
        <family val="1"/>
      </rPr>
      <t>e</t>
    </r>
  </si>
  <si>
    <r>
      <t xml:space="preserve">i </t>
    </r>
    <r>
      <rPr>
        <sz val="10"/>
        <color theme="1"/>
        <rFont val="Times New Roman"/>
        <family val="1"/>
      </rPr>
      <t>[</t>
    </r>
    <r>
      <rPr>
        <i/>
        <sz val="10"/>
        <color theme="1"/>
        <rFont val="Times New Roman"/>
        <family val="1"/>
      </rPr>
      <t>mA</t>
    </r>
    <r>
      <rPr>
        <sz val="10"/>
        <color theme="1"/>
        <rFont val="Times New Roman"/>
        <family val="1"/>
      </rPr>
      <t>]</t>
    </r>
  </si>
  <si>
    <r>
      <t xml:space="preserve">q </t>
    </r>
    <r>
      <rPr>
        <sz val="10"/>
        <color theme="1"/>
        <rFont val="Times New Roman"/>
        <family val="1"/>
      </rPr>
      <t>[</t>
    </r>
    <r>
      <rPr>
        <i/>
        <sz val="10"/>
        <color theme="1"/>
        <rFont val="Times New Roman"/>
        <family val="1"/>
      </rPr>
      <t>Ah</t>
    </r>
    <r>
      <rPr>
        <sz val="10"/>
        <color theme="1"/>
        <rFont val="Times New Roman"/>
        <family val="1"/>
      </rPr>
      <t>]</t>
    </r>
  </si>
  <si>
    <r>
      <t xml:space="preserve">i </t>
    </r>
    <r>
      <rPr>
        <sz val="10"/>
        <color theme="1"/>
        <rFont val="Times New Roman"/>
        <family val="1"/>
      </rPr>
      <t>[</t>
    </r>
    <r>
      <rPr>
        <i/>
        <sz val="10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]</t>
    </r>
  </si>
  <si>
    <t>Descarga:</t>
  </si>
  <si>
    <r>
      <t>U</t>
    </r>
    <r>
      <rPr>
        <b/>
        <i/>
        <sz val="8"/>
        <rFont val="Times New Roman"/>
        <family val="1"/>
      </rPr>
      <t>Fin</t>
    </r>
    <r>
      <rPr>
        <b/>
        <i/>
        <sz val="11"/>
        <rFont val="Times New Roman"/>
        <family val="1"/>
      </rPr>
      <t xml:space="preserve">  =</t>
    </r>
  </si>
  <si>
    <r>
      <rPr>
        <b/>
        <sz val="11"/>
        <rFont val="GreekC"/>
      </rPr>
      <t>D</t>
    </r>
    <r>
      <rPr>
        <b/>
        <i/>
        <sz val="11"/>
        <rFont val="Times New Roman"/>
        <family val="1"/>
      </rPr>
      <t>U</t>
    </r>
    <r>
      <rPr>
        <b/>
        <sz val="8"/>
        <rFont val="Times New Roman"/>
        <family val="1"/>
      </rPr>
      <t>(</t>
    </r>
    <r>
      <rPr>
        <b/>
        <i/>
        <sz val="8"/>
        <rFont val="Times New Roman"/>
        <family val="1"/>
      </rPr>
      <t>C,d,0</t>
    </r>
    <r>
      <rPr>
        <b/>
        <sz val="8"/>
        <rFont val="Times New Roman"/>
        <family val="1"/>
      </rPr>
      <t>)</t>
    </r>
    <r>
      <rPr>
        <b/>
        <i/>
        <sz val="11"/>
        <rFont val="Times New Roman"/>
        <family val="1"/>
      </rPr>
      <t xml:space="preserve">  =  U</t>
    </r>
    <r>
      <rPr>
        <b/>
        <i/>
        <sz val="8"/>
        <rFont val="Times New Roman"/>
        <family val="1"/>
      </rPr>
      <t>Fl</t>
    </r>
    <r>
      <rPr>
        <b/>
        <i/>
        <sz val="11"/>
        <rFont val="Times New Roman"/>
        <family val="1"/>
      </rPr>
      <t xml:space="preserve"> - U</t>
    </r>
    <r>
      <rPr>
        <b/>
        <i/>
        <sz val="8"/>
        <rFont val="Times New Roman"/>
        <family val="1"/>
      </rPr>
      <t>e</t>
    </r>
    <r>
      <rPr>
        <b/>
        <i/>
        <sz val="11"/>
        <rFont val="Times New Roman"/>
        <family val="1"/>
      </rPr>
      <t xml:space="preserve">  = </t>
    </r>
  </si>
  <si>
    <t xml:space="preserve">  </t>
  </si>
  <si>
    <r>
      <t>i</t>
    </r>
    <r>
      <rPr>
        <b/>
        <i/>
        <sz val="8"/>
        <color theme="1"/>
        <rFont val="Times New Roman"/>
        <family val="1"/>
      </rPr>
      <t>d,n</t>
    </r>
    <r>
      <rPr>
        <b/>
        <i/>
        <sz val="11"/>
        <color theme="1"/>
        <rFont val="Times New Roman"/>
        <family val="1"/>
      </rPr>
      <t xml:space="preserve"> =</t>
    </r>
  </si>
  <si>
    <r>
      <t>Q</t>
    </r>
    <r>
      <rPr>
        <b/>
        <sz val="8"/>
        <color theme="1"/>
        <rFont val="Times New Roman"/>
        <family val="1"/>
      </rPr>
      <t>E)</t>
    </r>
    <r>
      <rPr>
        <b/>
        <i/>
        <sz val="11"/>
        <color theme="1"/>
        <rFont val="Times New Roman"/>
        <family val="1"/>
      </rPr>
      <t xml:space="preserve">  =  </t>
    </r>
    <r>
      <rPr>
        <b/>
        <sz val="11"/>
        <color theme="1"/>
        <rFont val="Times New Roman"/>
        <family val="1"/>
      </rPr>
      <t>(</t>
    </r>
    <r>
      <rPr>
        <b/>
        <i/>
        <sz val="11"/>
        <color theme="1"/>
        <rFont val="Times New Roman"/>
        <family val="1"/>
      </rPr>
      <t>U</t>
    </r>
    <r>
      <rPr>
        <b/>
        <i/>
        <sz val="8"/>
        <color theme="1"/>
        <rFont val="Times New Roman"/>
        <family val="1"/>
      </rPr>
      <t xml:space="preserve">fl </t>
    </r>
    <r>
      <rPr>
        <b/>
        <i/>
        <sz val="11"/>
        <color theme="1"/>
        <rFont val="Times New Roman"/>
        <family val="1"/>
      </rPr>
      <t>- U</t>
    </r>
    <r>
      <rPr>
        <b/>
        <i/>
        <sz val="8"/>
        <color theme="1"/>
        <rFont val="Times New Roman"/>
        <family val="1"/>
      </rPr>
      <t>e</t>
    </r>
    <r>
      <rPr>
        <b/>
        <sz val="11"/>
        <color theme="1"/>
        <rFont val="Times New Roman"/>
        <family val="1"/>
      </rPr>
      <t>)*C</t>
    </r>
    <r>
      <rPr>
        <b/>
        <sz val="8"/>
        <color theme="1"/>
        <rFont val="Times New Roman"/>
        <family val="1"/>
      </rPr>
      <t>E</t>
    </r>
    <r>
      <rPr>
        <b/>
        <sz val="11"/>
        <color theme="1"/>
        <rFont val="Times New Roman"/>
        <family val="1"/>
      </rPr>
      <t xml:space="preserve">  =</t>
    </r>
  </si>
  <si>
    <r>
      <rPr>
        <b/>
        <i/>
        <sz val="11"/>
        <color theme="1"/>
        <rFont val="Times New Roman"/>
        <family val="1"/>
      </rPr>
      <t>R</t>
    </r>
    <r>
      <rPr>
        <b/>
        <i/>
        <sz val="8"/>
        <color theme="1"/>
        <rFont val="Times New Roman"/>
        <family val="1"/>
      </rPr>
      <t>p,0</t>
    </r>
    <r>
      <rPr>
        <b/>
        <i/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>=</t>
    </r>
  </si>
  <si>
    <t>Id* Re  =</t>
  </si>
  <si>
    <r>
      <rPr>
        <b/>
        <i/>
        <sz val="11"/>
        <color theme="1"/>
        <rFont val="Times New Roman"/>
        <family val="1"/>
      </rPr>
      <t>R</t>
    </r>
    <r>
      <rPr>
        <b/>
        <i/>
        <sz val="8"/>
        <color theme="1"/>
        <rFont val="Times New Roman"/>
        <family val="1"/>
      </rPr>
      <t>p,0</t>
    </r>
    <r>
      <rPr>
        <b/>
        <i/>
        <sz val="11"/>
        <color theme="1"/>
        <rFont val="Times New Roman"/>
        <family val="1"/>
      </rPr>
      <t>+R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>=</t>
    </r>
  </si>
  <si>
    <t>C*(UFin-Ue)  =</t>
  </si>
  <si>
    <r>
      <t>Q</t>
    </r>
    <r>
      <rPr>
        <b/>
        <sz val="8"/>
        <color theme="1"/>
        <rFont val="Times New Roman"/>
        <family val="1"/>
      </rPr>
      <t>(</t>
    </r>
    <r>
      <rPr>
        <b/>
        <i/>
        <sz val="8"/>
        <color theme="1"/>
        <rFont val="Times New Roman"/>
        <family val="1"/>
      </rPr>
      <t>C,d,0</t>
    </r>
    <r>
      <rPr>
        <b/>
        <sz val="8"/>
        <color theme="1"/>
        <rFont val="Times New Roman"/>
        <family val="1"/>
      </rPr>
      <t>)</t>
    </r>
    <r>
      <rPr>
        <b/>
        <i/>
        <sz val="11"/>
        <color theme="1"/>
        <rFont val="Times New Roman"/>
        <family val="1"/>
      </rPr>
      <t xml:space="preserve">  =  </t>
    </r>
    <r>
      <rPr>
        <b/>
        <sz val="11"/>
        <color theme="1"/>
        <rFont val="Times New Roman"/>
        <family val="1"/>
      </rPr>
      <t>(</t>
    </r>
    <r>
      <rPr>
        <b/>
        <i/>
        <sz val="11"/>
        <color theme="1"/>
        <rFont val="Times New Roman"/>
        <family val="1"/>
      </rPr>
      <t>U</t>
    </r>
    <r>
      <rPr>
        <b/>
        <i/>
        <sz val="8"/>
        <color theme="1"/>
        <rFont val="Times New Roman"/>
        <family val="1"/>
      </rPr>
      <t xml:space="preserve">Fl </t>
    </r>
    <r>
      <rPr>
        <b/>
        <i/>
        <sz val="11"/>
        <color theme="1"/>
        <rFont val="Times New Roman"/>
        <family val="1"/>
      </rPr>
      <t>- U</t>
    </r>
    <r>
      <rPr>
        <b/>
        <i/>
        <sz val="8"/>
        <color theme="1"/>
        <rFont val="Times New Roman"/>
        <family val="1"/>
      </rPr>
      <t>e</t>
    </r>
    <r>
      <rPr>
        <b/>
        <sz val="11"/>
        <color theme="1"/>
        <rFont val="Times New Roman"/>
        <family val="1"/>
      </rPr>
      <t>)*C  =</t>
    </r>
  </si>
  <si>
    <r>
      <t>Q</t>
    </r>
    <r>
      <rPr>
        <b/>
        <i/>
        <sz val="8"/>
        <color theme="1"/>
        <rFont val="Times New Roman"/>
        <family val="1"/>
      </rPr>
      <t xml:space="preserve">n </t>
    </r>
    <r>
      <rPr>
        <b/>
        <sz val="11"/>
        <color theme="1"/>
        <rFont val="Times New Roman"/>
        <family val="1"/>
      </rPr>
      <t xml:space="preserve">/ </t>
    </r>
    <r>
      <rPr>
        <b/>
        <i/>
        <sz val="11"/>
        <color theme="1"/>
        <rFont val="Times New Roman"/>
        <family val="1"/>
      </rPr>
      <t>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</si>
  <si>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b/>
        <i/>
        <sz val="10"/>
        <color theme="1"/>
        <rFont val="Times New Roman"/>
        <family val="1"/>
      </rPr>
      <t>0/1</t>
    </r>
    <r>
      <rPr>
        <b/>
        <sz val="11"/>
        <color theme="1"/>
        <rFont val="Times New Roman"/>
        <family val="1"/>
      </rPr>
      <t>]</t>
    </r>
  </si>
  <si>
    <t>C*(UFl-Ue)  =</t>
  </si>
  <si>
    <r>
      <t>U</t>
    </r>
    <r>
      <rPr>
        <b/>
        <i/>
        <sz val="8"/>
        <rFont val="Times New Roman"/>
        <family val="1"/>
      </rPr>
      <t>fin adm</t>
    </r>
    <r>
      <rPr>
        <b/>
        <i/>
        <sz val="11"/>
        <rFont val="Times New Roman"/>
        <family val="1"/>
      </rPr>
      <t xml:space="preserve">  =</t>
    </r>
  </si>
  <si>
    <r>
      <t>Q</t>
    </r>
    <r>
      <rPr>
        <b/>
        <sz val="8"/>
        <color theme="1"/>
        <rFont val="Times New Roman"/>
        <family val="1"/>
      </rPr>
      <t xml:space="preserve">E </t>
    </r>
    <r>
      <rPr>
        <b/>
        <sz val="11"/>
        <color theme="1"/>
        <rFont val="Times New Roman"/>
        <family val="1"/>
      </rPr>
      <t xml:space="preserve">/ </t>
    </r>
    <r>
      <rPr>
        <b/>
        <i/>
        <sz val="11"/>
        <color theme="1"/>
        <rFont val="Times New Roman"/>
        <family val="1"/>
      </rPr>
      <t>Q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</si>
  <si>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C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</si>
  <si>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s</t>
    </r>
    <r>
      <rPr>
        <b/>
        <i/>
        <sz val="11"/>
        <color theme="1"/>
        <rFont val="Calibri"/>
        <family val="2"/>
        <scheme val="minor"/>
      </rPr>
      <t xml:space="preserve">  =</t>
    </r>
  </si>
  <si>
    <r>
      <t>i</t>
    </r>
    <r>
      <rPr>
        <b/>
        <i/>
        <sz val="8"/>
        <color theme="1"/>
        <rFont val="Times New Roman"/>
        <family val="1"/>
      </rPr>
      <t xml:space="preserve">d </t>
    </r>
    <r>
      <rPr>
        <b/>
        <i/>
        <sz val="10"/>
        <color theme="1"/>
        <rFont val="Times New Roman"/>
        <family val="1"/>
      </rPr>
      <t xml:space="preserve"> =</t>
    </r>
  </si>
  <si>
    <r>
      <t>u</t>
    </r>
    <r>
      <rPr>
        <b/>
        <i/>
        <sz val="8"/>
        <color theme="1"/>
        <rFont val="Times New Roman"/>
        <family val="1"/>
      </rPr>
      <t>d</t>
    </r>
    <r>
      <rPr>
        <b/>
        <i/>
        <sz val="11"/>
        <color theme="1"/>
        <rFont val="Times New Roman"/>
        <family val="1"/>
      </rPr>
      <t>*</t>
    </r>
  </si>
  <si>
    <r>
      <t>u</t>
    </r>
    <r>
      <rPr>
        <b/>
        <i/>
        <sz val="8"/>
        <color theme="1"/>
        <rFont val="Times New Roman"/>
        <family val="1"/>
      </rPr>
      <t>dj</t>
    </r>
  </si>
  <si>
    <r>
      <rPr>
        <b/>
        <sz val="11"/>
        <color theme="1"/>
        <rFont val="Times New Roman"/>
        <family val="1"/>
      </rPr>
      <t>(</t>
    </r>
    <r>
      <rPr>
        <b/>
        <sz val="11"/>
        <color theme="1"/>
        <rFont val="GreekC"/>
      </rPr>
      <t>D</t>
    </r>
    <r>
      <rPr>
        <b/>
        <i/>
        <sz val="11"/>
        <color theme="1"/>
        <rFont val="Times New Roman"/>
        <family val="1"/>
      </rPr>
      <t>u</t>
    </r>
    <r>
      <rPr>
        <b/>
        <i/>
        <sz val="8"/>
        <color theme="1"/>
        <rFont val="Times New Roman"/>
        <family val="1"/>
      </rPr>
      <t>dj</t>
    </r>
    <r>
      <rPr>
        <b/>
        <sz val="11"/>
        <color theme="1"/>
        <rFont val="Times New Roman"/>
        <family val="1"/>
      </rPr>
      <t>)</t>
    </r>
    <r>
      <rPr>
        <b/>
        <sz val="11"/>
        <color theme="1"/>
        <rFont val="Calibri"/>
        <family val="2"/>
      </rPr>
      <t>²</t>
    </r>
  </si>
  <si>
    <r>
      <rPr>
        <b/>
        <i/>
        <sz val="11"/>
        <color theme="1"/>
        <rFont val="GreekC"/>
      </rPr>
      <t>s</t>
    </r>
    <r>
      <rPr>
        <b/>
        <i/>
        <sz val="11"/>
        <color theme="1"/>
        <rFont val="Times New Roman"/>
        <family val="1"/>
      </rPr>
      <t xml:space="preserve">  =</t>
    </r>
  </si>
  <si>
    <r>
      <t>[</t>
    </r>
    <r>
      <rPr>
        <sz val="8"/>
        <color theme="1"/>
        <rFont val="Times New Roman"/>
        <family val="1"/>
      </rPr>
      <t>0/1</t>
    </r>
    <r>
      <rPr>
        <sz val="11"/>
        <color theme="1"/>
        <rFont val="Times New Roman"/>
        <family val="1"/>
      </rPr>
      <t>]</t>
    </r>
  </si>
  <si>
    <t>GEOMETRÍA   ACTIVA  CÁTODOS  ACUMULADOR  TIPO  ABSOLYTE  MODELO  100 A 63</t>
  </si>
  <si>
    <t xml:space="preserve">ABSOLYTE  MODELO: </t>
  </si>
  <si>
    <t>100 A</t>
  </si>
  <si>
    <t xml:space="preserve">Cálculo de parámetros eléctroquímicos: </t>
  </si>
  <si>
    <t>V/c</t>
  </si>
  <si>
    <t>Wh</t>
  </si>
  <si>
    <r>
      <t>U</t>
    </r>
    <r>
      <rPr>
        <b/>
        <i/>
        <sz val="8"/>
        <color theme="1"/>
        <rFont val="Times New Roman"/>
        <family val="1"/>
      </rPr>
      <t>f</t>
    </r>
    <r>
      <rPr>
        <b/>
        <i/>
        <sz val="11"/>
        <color theme="1"/>
        <rFont val="Times New Roman"/>
        <family val="1"/>
      </rPr>
      <t xml:space="preserve">  =</t>
    </r>
  </si>
  <si>
    <r>
      <t>U</t>
    </r>
    <r>
      <rPr>
        <b/>
        <i/>
        <sz val="8"/>
        <color theme="1"/>
        <rFont val="Times New Roman"/>
        <family val="1"/>
      </rPr>
      <t>FL</t>
    </r>
    <r>
      <rPr>
        <b/>
        <i/>
        <sz val="11"/>
        <color theme="1"/>
        <rFont val="Times New Roman"/>
        <family val="1"/>
      </rPr>
      <t xml:space="preserve">  =</t>
    </r>
  </si>
  <si>
    <r>
      <t>d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</si>
  <si>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t>g/l  ó kg/m³</t>
  </si>
  <si>
    <r>
      <t>d</t>
    </r>
    <r>
      <rPr>
        <b/>
        <i/>
        <sz val="8"/>
        <color theme="1"/>
        <rFont val="Times New Roman"/>
        <family val="1"/>
      </rPr>
      <t>H2 SO4</t>
    </r>
    <r>
      <rPr>
        <b/>
        <i/>
        <sz val="11"/>
        <color theme="1"/>
        <rFont val="Times New Roman"/>
        <family val="1"/>
      </rPr>
      <t xml:space="preserve">  =</t>
    </r>
  </si>
  <si>
    <r>
      <t>R</t>
    </r>
    <r>
      <rPr>
        <b/>
        <i/>
        <sz val="8"/>
        <color theme="1"/>
        <rFont val="Times New Roman"/>
        <family val="1"/>
      </rPr>
      <t>p</t>
    </r>
    <r>
      <rPr>
        <b/>
        <i/>
        <sz val="11"/>
        <color theme="1"/>
        <rFont val="Times New Roman"/>
        <family val="1"/>
      </rPr>
      <t xml:space="preserve">  =</t>
    </r>
  </si>
  <si>
    <t>μΩ</t>
  </si>
  <si>
    <t>Cálculo de superficie:</t>
  </si>
  <si>
    <r>
      <t>N</t>
    </r>
    <r>
      <rPr>
        <b/>
        <i/>
        <sz val="9"/>
        <color theme="1"/>
        <rFont val="Times New Roman"/>
        <family val="1"/>
      </rPr>
      <t>A</t>
    </r>
    <r>
      <rPr>
        <b/>
        <i/>
        <sz val="11"/>
        <color theme="1"/>
        <rFont val="Times New Roman"/>
        <family val="1"/>
      </rPr>
      <t xml:space="preserve">  =</t>
    </r>
  </si>
  <si>
    <t>u/mol</t>
  </si>
  <si>
    <t>N  =</t>
  </si>
  <si>
    <t>mm</t>
  </si>
  <si>
    <t>F  =</t>
  </si>
  <si>
    <t>C/mol</t>
  </si>
  <si>
    <t>P  =</t>
  </si>
  <si>
    <t>v  =</t>
  </si>
  <si>
    <t>e/u</t>
  </si>
  <si>
    <r>
      <t>d</t>
    </r>
    <r>
      <rPr>
        <b/>
        <i/>
        <sz val="8"/>
        <color theme="1"/>
        <rFont val="Times New Roman"/>
        <family val="1"/>
      </rPr>
      <t>H2 O</t>
    </r>
    <r>
      <rPr>
        <b/>
        <i/>
        <sz val="11"/>
        <color theme="1"/>
        <rFont val="Times New Roman"/>
        <family val="1"/>
      </rPr>
      <t xml:space="preserve">  =</t>
    </r>
  </si>
  <si>
    <t>S / m</t>
  </si>
  <si>
    <t>Nº cátodos (+)  =</t>
  </si>
  <si>
    <t>u/c</t>
  </si>
  <si>
    <t>L  =</t>
  </si>
  <si>
    <t>m</t>
  </si>
  <si>
    <t>W  =</t>
  </si>
  <si>
    <r>
      <t>A / m</t>
    </r>
    <r>
      <rPr>
        <sz val="11"/>
        <color theme="1"/>
        <rFont val="Calibri"/>
        <family val="2"/>
      </rPr>
      <t>²</t>
    </r>
  </si>
  <si>
    <t>H  =</t>
  </si>
  <si>
    <t>2 A + N  =</t>
  </si>
  <si>
    <t>0/1</t>
  </si>
  <si>
    <t>A  =</t>
  </si>
  <si>
    <t>w  =</t>
  </si>
  <si>
    <r>
      <t xml:space="preserve">t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h</t>
    </r>
    <r>
      <rPr>
        <sz val="11"/>
        <color theme="1"/>
        <rFont val="Times New Roman"/>
        <family val="1"/>
      </rPr>
      <t>]</t>
    </r>
  </si>
  <si>
    <r>
      <t xml:space="preserve">I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]</t>
    </r>
  </si>
  <si>
    <r>
      <t xml:space="preserve">Q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A h</t>
    </r>
    <r>
      <rPr>
        <sz val="11"/>
        <color theme="1"/>
        <rFont val="Times New Roman"/>
        <family val="1"/>
      </rPr>
      <t>]</t>
    </r>
  </si>
  <si>
    <r>
      <rPr>
        <b/>
        <i/>
        <sz val="11"/>
        <color theme="1"/>
        <rFont val="Times New Roman"/>
        <family val="1"/>
      </rPr>
      <t>u</t>
    </r>
    <r>
      <rPr>
        <b/>
        <i/>
        <sz val="9"/>
        <color theme="1"/>
        <rFont val="Times New Roman"/>
        <family val="1"/>
      </rPr>
      <t>fin</t>
    </r>
    <r>
      <rPr>
        <b/>
        <i/>
        <sz val="11"/>
        <color theme="1"/>
        <rFont val="Times New Roman"/>
        <family val="1"/>
      </rPr>
      <t xml:space="preserve"> </t>
    </r>
    <r>
      <rPr>
        <b/>
        <sz val="11"/>
        <color theme="1"/>
        <rFont val="Times New Roman"/>
        <family val="1"/>
      </rPr>
      <t>[</t>
    </r>
    <r>
      <rPr>
        <b/>
        <i/>
        <sz val="11"/>
        <color theme="1"/>
        <rFont val="Times New Roman"/>
        <family val="1"/>
      </rPr>
      <t>V</t>
    </r>
    <r>
      <rPr>
        <b/>
        <sz val="11"/>
        <color theme="1"/>
        <rFont val="Times New Roman"/>
        <family val="1"/>
      </rPr>
      <t>]</t>
    </r>
  </si>
  <si>
    <r>
      <t>DG</t>
    </r>
    <r>
      <rPr>
        <b/>
        <sz val="11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Wh</t>
    </r>
    <r>
      <rPr>
        <sz val="11"/>
        <color theme="1"/>
        <rFont val="Times New Roman"/>
        <family val="1"/>
      </rPr>
      <t>]</t>
    </r>
  </si>
  <si>
    <r>
      <t>e</t>
    </r>
    <r>
      <rPr>
        <b/>
        <sz val="11"/>
        <color theme="1"/>
        <rFont val="Calibri"/>
        <family val="2"/>
      </rPr>
      <t xml:space="preserve">² </t>
    </r>
    <r>
      <rPr>
        <sz val="11"/>
        <color theme="1"/>
        <rFont val="Times New Roman"/>
        <family val="1"/>
      </rPr>
      <t>[</t>
    </r>
    <r>
      <rPr>
        <i/>
        <sz val="11"/>
        <color theme="1"/>
        <rFont val="Times New Roman"/>
        <family val="1"/>
      </rPr>
      <t>%</t>
    </r>
    <r>
      <rPr>
        <sz val="11"/>
        <color theme="1"/>
        <rFont val="Times New Roman"/>
        <family val="1"/>
      </rPr>
      <t>]</t>
    </r>
  </si>
  <si>
    <t>h  =</t>
  </si>
  <si>
    <t>s  =  w*h  =</t>
  </si>
  <si>
    <r>
      <t>mm</t>
    </r>
    <r>
      <rPr>
        <sz val="11"/>
        <color theme="1"/>
        <rFont val="Calibri"/>
        <family val="2"/>
      </rPr>
      <t>²</t>
    </r>
  </si>
  <si>
    <r>
      <t>S</t>
    </r>
    <r>
      <rPr>
        <b/>
        <i/>
        <sz val="8"/>
        <color theme="1"/>
        <rFont val="Times New Roman"/>
        <family val="1"/>
      </rPr>
      <t>e</t>
    </r>
    <r>
      <rPr>
        <b/>
        <i/>
        <sz val="11"/>
        <color theme="1"/>
        <rFont val="Times New Roman"/>
        <family val="1"/>
      </rPr>
      <t xml:space="preserve">  =</t>
    </r>
  </si>
  <si>
    <r>
      <t>m</t>
    </r>
    <r>
      <rPr>
        <sz val="11"/>
        <color theme="1"/>
        <rFont val="Calibri"/>
        <family val="2"/>
      </rPr>
      <t>²</t>
    </r>
  </si>
  <si>
    <t>B  =</t>
  </si>
  <si>
    <t>s</t>
  </si>
  <si>
    <t>S/cm</t>
  </si>
  <si>
    <r>
      <t>H</t>
    </r>
    <r>
      <rPr>
        <b/>
        <i/>
        <sz val="8"/>
        <color theme="1"/>
        <rFont val="Times New Roman"/>
        <family val="1"/>
      </rPr>
      <t>2</t>
    </r>
    <r>
      <rPr>
        <b/>
        <i/>
        <sz val="11"/>
        <color theme="1"/>
        <rFont val="Times New Roman"/>
        <family val="1"/>
      </rPr>
      <t xml:space="preserve"> O</t>
    </r>
  </si>
  <si>
    <r>
      <t>H</t>
    </r>
    <r>
      <rPr>
        <b/>
        <i/>
        <sz val="8"/>
        <color theme="1"/>
        <rFont val="Times New Roman"/>
        <family val="1"/>
      </rPr>
      <t xml:space="preserve">2 </t>
    </r>
    <r>
      <rPr>
        <b/>
        <sz val="11"/>
        <color theme="1"/>
        <rFont val="Times New Roman"/>
        <family val="1"/>
      </rPr>
      <t>(</t>
    </r>
    <r>
      <rPr>
        <b/>
        <i/>
        <sz val="11"/>
        <color theme="1"/>
        <rFont val="Times New Roman"/>
        <family val="1"/>
      </rPr>
      <t>SO</t>
    </r>
    <r>
      <rPr>
        <b/>
        <i/>
        <sz val="8"/>
        <color theme="1"/>
        <rFont val="Times New Roman"/>
        <family val="1"/>
      </rPr>
      <t>4</t>
    </r>
    <r>
      <rPr>
        <b/>
        <sz val="11"/>
        <color theme="1"/>
        <rFont val="Times New Roman"/>
        <family val="1"/>
      </rPr>
      <t>)</t>
    </r>
  </si>
  <si>
    <r>
      <t>d</t>
    </r>
    <r>
      <rPr>
        <b/>
        <i/>
        <sz val="8"/>
        <color theme="1"/>
        <rFont val="Times New Roman"/>
        <family val="1"/>
      </rPr>
      <t/>
    </r>
  </si>
  <si>
    <r>
      <t>m</t>
    </r>
    <r>
      <rPr>
        <b/>
        <i/>
        <sz val="8"/>
        <color theme="1"/>
        <rFont val="Times New Roman"/>
        <family val="1"/>
      </rPr>
      <t>m</t>
    </r>
  </si>
  <si>
    <t>g / mol</t>
  </si>
  <si>
    <t>a</t>
  </si>
  <si>
    <t>b</t>
  </si>
  <si>
    <t>S  =</t>
  </si>
  <si>
    <r>
      <t>cm</t>
    </r>
    <r>
      <rPr>
        <sz val="11"/>
        <color theme="1"/>
        <rFont val="Calibri"/>
        <family val="2"/>
      </rPr>
      <t>²</t>
    </r>
  </si>
  <si>
    <t>cm</t>
  </si>
  <si>
    <r>
      <rPr>
        <sz val="11"/>
        <color theme="1"/>
        <rFont val="Times New Roman"/>
        <family val="1"/>
      </rPr>
      <t>Ω</t>
    </r>
    <r>
      <rPr>
        <sz val="11"/>
        <color theme="1"/>
        <rFont val="Calibri"/>
        <family val="2"/>
        <scheme val="minor"/>
      </rPr>
      <t xml:space="preserve"> m</t>
    </r>
  </si>
  <si>
    <t>r  =</t>
  </si>
  <si>
    <r>
      <rPr>
        <sz val="11"/>
        <color theme="1"/>
        <rFont val="Times New Roman"/>
        <family val="1"/>
      </rPr>
      <t>Ω</t>
    </r>
    <r>
      <rPr>
        <sz val="11"/>
        <color theme="1"/>
        <rFont val="Calibri"/>
        <family val="2"/>
        <scheme val="minor"/>
      </rPr>
      <t xml:space="preserve"> cm</t>
    </r>
  </si>
  <si>
    <t>R  =</t>
  </si>
  <si>
    <t>Ω</t>
  </si>
  <si>
    <t>INFORMACIÓN SEGÚN CATÁLGOS</t>
  </si>
  <si>
    <r>
      <t>n</t>
    </r>
    <r>
      <rPr>
        <b/>
        <i/>
        <sz val="8"/>
        <color theme="1"/>
        <rFont val="Times New Roman"/>
        <family val="1"/>
      </rPr>
      <t>ca</t>
    </r>
    <r>
      <rPr>
        <b/>
        <i/>
        <sz val="11"/>
        <color theme="1"/>
        <rFont val="Times New Roman"/>
        <family val="1"/>
      </rPr>
      <t xml:space="preserve">  =</t>
    </r>
  </si>
  <si>
    <t>Σ  =</t>
  </si>
  <si>
    <r>
      <rPr>
        <b/>
        <sz val="11"/>
        <color theme="1"/>
        <rFont val="Times New Roman"/>
        <family val="1"/>
      </rPr>
      <t>(</t>
    </r>
    <r>
      <rPr>
        <b/>
        <i/>
        <sz val="11"/>
        <color theme="1"/>
        <rFont val="Times New Roman"/>
        <family val="1"/>
      </rPr>
      <t>n</t>
    </r>
    <r>
      <rPr>
        <b/>
        <i/>
        <sz val="8"/>
        <color theme="1"/>
        <rFont val="Times New Roman"/>
        <family val="1"/>
      </rPr>
      <t>dr</t>
    </r>
    <r>
      <rPr>
        <b/>
        <i/>
        <sz val="11"/>
        <color theme="1"/>
        <rFont val="Times New Roman"/>
        <family val="1"/>
      </rPr>
      <t>-n*</t>
    </r>
    <r>
      <rPr>
        <b/>
        <i/>
        <sz val="8"/>
        <color theme="1"/>
        <rFont val="Times New Roman"/>
        <family val="1"/>
      </rPr>
      <t>dr</t>
    </r>
    <r>
      <rPr>
        <b/>
        <i/>
        <sz val="11"/>
        <color theme="1"/>
        <rFont val="Times New Roman"/>
        <family val="1"/>
      </rPr>
      <t>)</t>
    </r>
    <r>
      <rPr>
        <b/>
        <sz val="11"/>
        <color theme="1"/>
        <rFont val="Calibri"/>
        <family val="2"/>
      </rPr>
      <t>²</t>
    </r>
  </si>
  <si>
    <t>ECUACIÓN EMPÍRICA</t>
  </si>
  <si>
    <r>
      <t>N</t>
    </r>
    <r>
      <rPr>
        <b/>
        <i/>
        <sz val="8"/>
        <color theme="1"/>
        <rFont val="Times New Roman"/>
        <family val="1"/>
      </rPr>
      <t>n</t>
    </r>
    <r>
      <rPr>
        <b/>
        <i/>
        <sz val="11"/>
        <color theme="1"/>
        <rFont val="Times New Roman"/>
        <family val="1"/>
      </rPr>
      <t xml:space="preserve">  =</t>
    </r>
  </si>
  <si>
    <t>K  =</t>
  </si>
  <si>
    <t>x</t>
  </si>
  <si>
    <t>T</t>
  </si>
  <si>
    <t>Según autor</t>
  </si>
  <si>
    <t>Tabla IEEE std 450 - 1987</t>
  </si>
  <si>
    <t>Factor corrección tamaño de celda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</si>
</sst>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8" formatCode="&quot;$&quot;#,##0.00;[Red]&quot;$&quot;\-#,##0.00"/>
    <numFmt numFmtId="164" formatCode="#,##0.0"/>
    <numFmt numFmtId="165" formatCode="#,##0.000"/>
    <numFmt numFmtId="166" formatCode="0.00000"/>
    <numFmt numFmtId="167" formatCode="0.000"/>
    <numFmt numFmtId="168" formatCode="0.00000000"/>
    <numFmt numFmtId="169" formatCode="0.0000000"/>
    <numFmt numFmtId="170" formatCode="0.0000"/>
    <numFmt numFmtId="171" formatCode="#,##0.0000"/>
    <numFmt numFmtId="172" formatCode="#,##0.00000"/>
    <numFmt numFmtId="173" formatCode="#,##0.0000000"/>
    <numFmt numFmtId="174" formatCode="0.00000E+00"/>
    <numFmt numFmtId="175" formatCode="0.0000E+00"/>
    <numFmt numFmtId="176" formatCode="#,##0.000000"/>
    <numFmt numFmtId="177" formatCode="0.0E+00"/>
    <numFmt numFmtId="178" formatCode="0.0"/>
    <numFmt numFmtId="179" formatCode="0.000000E+00"/>
    <numFmt numFmtId="180" formatCode="0.000000"/>
    <numFmt numFmtId="181" formatCode="0.E+00"/>
    <numFmt numFmtId="182" formatCode="_-* #,##0.00\ &quot;€&quot;_-;\-* #,##0.00\ &quot;€&quot;_-;_-* &quot;-&quot;??\ &quot;€&quot;_-;_-@_-"/>
    <numFmt numFmtId="183" formatCode="0.000E+00"/>
    <numFmt numFmtId="184" formatCode="&quot;$&quot;#,##0.000;[Red]&quot;$&quot;\-#,##0.000"/>
  </numFmts>
  <fonts count="69" x14ac:knownFonts="1">
    <font>
      <sz val="11"/>
      <color theme="1"/>
      <name val="Calibri"/>
      <family val="2"/>
      <scheme val="minor"/>
    </font>
    <font>
      <b/>
      <sz val="8"/>
      <name val="Arial Unicode MS"/>
      <family val="2"/>
    </font>
    <font>
      <sz val="8"/>
      <name val="Arial Unicode MS"/>
      <family val="2"/>
    </font>
    <font>
      <sz val="8"/>
      <color theme="1"/>
      <name val="Arial Unicode MS"/>
      <family val="2"/>
    </font>
    <font>
      <b/>
      <sz val="8"/>
      <color theme="1"/>
      <name val="Arial Unicode MS"/>
      <family val="2"/>
    </font>
    <font>
      <sz val="8"/>
      <color theme="1"/>
      <name val="Arial"/>
      <family val="2"/>
    </font>
    <font>
      <b/>
      <sz val="8"/>
      <color theme="1"/>
      <name val="GreekC"/>
    </font>
    <font>
      <b/>
      <sz val="8"/>
      <color theme="1"/>
      <name val="Arial"/>
      <family val="2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theme="1"/>
      <name val="GreekS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8"/>
      <color theme="1"/>
      <name val="Times New Roman"/>
      <family val="1"/>
    </font>
    <font>
      <b/>
      <sz val="11"/>
      <color theme="1"/>
      <name val="Calibri"/>
      <family val="2"/>
      <scheme val="minor"/>
    </font>
    <font>
      <i/>
      <sz val="8"/>
      <color theme="1"/>
      <name val="Times New Roman"/>
      <family val="1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name val="Times New Roman"/>
      <family val="1"/>
    </font>
    <font>
      <b/>
      <i/>
      <sz val="8"/>
      <name val="Times New Roman"/>
      <family val="1"/>
    </font>
    <font>
      <b/>
      <sz val="11"/>
      <name val="Arial"/>
      <family val="2"/>
    </font>
    <font>
      <b/>
      <sz val="11"/>
      <color theme="1"/>
      <name val="GreekC"/>
    </font>
    <font>
      <sz val="9"/>
      <color theme="1"/>
      <name val="Calibri"/>
      <family val="2"/>
    </font>
    <font>
      <sz val="9"/>
      <name val="Arial"/>
      <family val="2"/>
    </font>
    <font>
      <sz val="9"/>
      <name val="Calibri"/>
      <family val="2"/>
    </font>
    <font>
      <sz val="11"/>
      <color theme="1"/>
      <name val="Calibri"/>
      <family val="2"/>
    </font>
    <font>
      <b/>
      <sz val="10"/>
      <color theme="1"/>
      <name val="Arial Unicode MS"/>
      <family val="2"/>
    </font>
    <font>
      <b/>
      <sz val="11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 Unicode MS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name val="Times New Roman"/>
      <family val="1"/>
    </font>
    <font>
      <sz val="11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GreekC"/>
    </font>
    <font>
      <b/>
      <sz val="10"/>
      <color theme="1"/>
      <name val="GreekC"/>
    </font>
    <font>
      <b/>
      <sz val="10"/>
      <color theme="1"/>
      <name val="Calibri"/>
      <family val="2"/>
    </font>
    <font>
      <b/>
      <sz val="10"/>
      <name val="Arial"/>
      <family val="2"/>
    </font>
    <font>
      <b/>
      <sz val="10"/>
      <name val="GreekC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10"/>
      <name val="Calibri"/>
      <family val="2"/>
    </font>
    <font>
      <sz val="10"/>
      <color theme="1"/>
      <name val="Times New Roman"/>
      <family val="1"/>
    </font>
    <font>
      <sz val="8"/>
      <color theme="1"/>
      <name val="Calibri"/>
      <family val="2"/>
    </font>
    <font>
      <b/>
      <sz val="8"/>
      <color theme="1"/>
      <name val="Times New Roman"/>
      <family val="1"/>
    </font>
    <font>
      <b/>
      <sz val="8"/>
      <name val="Calibri"/>
      <family val="2"/>
      <scheme val="minor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sz val="9"/>
      <color theme="1"/>
      <name val="Times New Roman"/>
      <family val="1"/>
    </font>
    <font>
      <i/>
      <sz val="9"/>
      <color theme="1"/>
      <name val="Times New Roman"/>
      <family val="1"/>
    </font>
    <font>
      <sz val="9"/>
      <name val="Calibri"/>
      <family val="2"/>
      <scheme val="minor"/>
    </font>
    <font>
      <b/>
      <sz val="9"/>
      <color theme="1"/>
      <name val="Times New Roman"/>
      <family val="1"/>
    </font>
    <font>
      <b/>
      <i/>
      <sz val="9"/>
      <color theme="1"/>
      <name val="Times New Roman"/>
      <family val="1"/>
    </font>
    <font>
      <b/>
      <sz val="9"/>
      <color theme="1"/>
      <name val="GreekC"/>
    </font>
    <font>
      <b/>
      <sz val="11"/>
      <name val="GreekC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8"/>
      <name val="Times New Roman"/>
      <family val="1"/>
    </font>
    <font>
      <b/>
      <sz val="9"/>
      <color theme="1"/>
      <name val="Calibri"/>
      <family val="2"/>
      <scheme val="minor"/>
    </font>
    <font>
      <b/>
      <i/>
      <sz val="11"/>
      <color theme="1"/>
      <name val="GreekC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82" fontId="33" fillId="0" borderId="0" applyFont="0" applyFill="0" applyBorder="0" applyAlignment="0" applyProtection="0"/>
  </cellStyleXfs>
  <cellXfs count="1285">
    <xf numFmtId="0" fontId="0" fillId="0" borderId="0" xfId="0"/>
    <xf numFmtId="164" fontId="2" fillId="0" borderId="0" xfId="0" applyNumberFormat="1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165" fontId="2" fillId="0" borderId="5" xfId="0" applyNumberFormat="1" applyFont="1" applyBorder="1" applyAlignment="1">
      <alignment horizontal="center"/>
    </xf>
    <xf numFmtId="0" fontId="3" fillId="0" borderId="0" xfId="0" applyFont="1"/>
    <xf numFmtId="3" fontId="3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3" fontId="3" fillId="0" borderId="0" xfId="0" applyNumberFormat="1" applyFont="1" applyBorder="1"/>
    <xf numFmtId="0" fontId="3" fillId="0" borderId="0" xfId="0" applyFont="1" applyBorder="1"/>
    <xf numFmtId="165" fontId="3" fillId="0" borderId="0" xfId="0" applyNumberFormat="1" applyFont="1" applyBorder="1"/>
    <xf numFmtId="3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0" fontId="1" fillId="0" borderId="4" xfId="0" applyFont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165" fontId="3" fillId="0" borderId="14" xfId="0" applyNumberFormat="1" applyFont="1" applyBorder="1" applyAlignment="1">
      <alignment horizontal="center"/>
    </xf>
    <xf numFmtId="165" fontId="3" fillId="0" borderId="15" xfId="0" applyNumberFormat="1" applyFont="1" applyBorder="1" applyAlignment="1">
      <alignment horizontal="center"/>
    </xf>
    <xf numFmtId="0" fontId="3" fillId="0" borderId="12" xfId="0" applyFont="1" applyBorder="1" applyAlignment="1">
      <alignment horizontal="right"/>
    </xf>
    <xf numFmtId="3" fontId="3" fillId="0" borderId="12" xfId="0" applyNumberFormat="1" applyFont="1" applyBorder="1" applyAlignment="1">
      <alignment horizontal="center"/>
    </xf>
    <xf numFmtId="168" fontId="3" fillId="0" borderId="3" xfId="0" applyNumberFormat="1" applyFont="1" applyBorder="1" applyAlignment="1">
      <alignment horizontal="center"/>
    </xf>
    <xf numFmtId="168" fontId="3" fillId="0" borderId="5" xfId="0" applyNumberFormat="1" applyFont="1" applyBorder="1" applyAlignment="1">
      <alignment horizontal="center"/>
    </xf>
    <xf numFmtId="0" fontId="3" fillId="0" borderId="2" xfId="0" applyFont="1" applyBorder="1" applyAlignment="1"/>
    <xf numFmtId="0" fontId="4" fillId="0" borderId="1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0" xfId="0" applyFont="1" applyBorder="1" applyAlignment="1"/>
    <xf numFmtId="164" fontId="3" fillId="0" borderId="3" xfId="0" applyNumberFormat="1" applyFont="1" applyBorder="1" applyAlignment="1">
      <alignment horizontal="center"/>
    </xf>
    <xf numFmtId="164" fontId="3" fillId="0" borderId="16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/>
    <xf numFmtId="166" fontId="4" fillId="0" borderId="0" xfId="0" applyNumberFormat="1" applyFont="1" applyBorder="1" applyAlignment="1">
      <alignment horizontal="center"/>
    </xf>
    <xf numFmtId="171" fontId="3" fillId="0" borderId="0" xfId="0" applyNumberFormat="1" applyFont="1" applyBorder="1" applyAlignment="1"/>
    <xf numFmtId="164" fontId="3" fillId="0" borderId="1" xfId="0" applyNumberFormat="1" applyFon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170" fontId="3" fillId="0" borderId="11" xfId="0" applyNumberFormat="1" applyFont="1" applyBorder="1" applyAlignment="1">
      <alignment horizontal="center"/>
    </xf>
    <xf numFmtId="164" fontId="3" fillId="0" borderId="13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72" fontId="3" fillId="0" borderId="9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3" fillId="0" borderId="8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3" fillId="0" borderId="14" xfId="0" applyFont="1" applyBorder="1" applyAlignment="1">
      <alignment horizontal="right"/>
    </xf>
    <xf numFmtId="3" fontId="2" fillId="3" borderId="12" xfId="0" applyNumberFormat="1" applyFont="1" applyFill="1" applyBorder="1" applyAlignment="1">
      <alignment horizontal="center"/>
    </xf>
    <xf numFmtId="165" fontId="2" fillId="3" borderId="12" xfId="0" applyNumberFormat="1" applyFont="1" applyFill="1" applyBorder="1" applyAlignment="1">
      <alignment horizontal="center"/>
    </xf>
    <xf numFmtId="0" fontId="4" fillId="0" borderId="15" xfId="0" applyFont="1" applyBorder="1" applyAlignment="1">
      <alignment horizontal="center" vertical="center"/>
    </xf>
    <xf numFmtId="170" fontId="3" fillId="0" borderId="1" xfId="0" applyNumberFormat="1" applyFont="1" applyBorder="1" applyAlignment="1">
      <alignment horizontal="center"/>
    </xf>
    <xf numFmtId="170" fontId="3" fillId="0" borderId="4" xfId="0" applyNumberFormat="1" applyFont="1" applyBorder="1" applyAlignment="1">
      <alignment horizontal="center"/>
    </xf>
    <xf numFmtId="170" fontId="3" fillId="0" borderId="9" xfId="0" applyNumberFormat="1" applyFont="1" applyBorder="1" applyAlignment="1">
      <alignment horizontal="center"/>
    </xf>
    <xf numFmtId="170" fontId="3" fillId="0" borderId="0" xfId="0" applyNumberFormat="1" applyFont="1" applyFill="1" applyBorder="1" applyAlignment="1">
      <alignment horizontal="center"/>
    </xf>
    <xf numFmtId="169" fontId="3" fillId="0" borderId="11" xfId="0" applyNumberFormat="1" applyFont="1" applyBorder="1" applyAlignment="1">
      <alignment horizontal="center"/>
    </xf>
    <xf numFmtId="168" fontId="3" fillId="0" borderId="11" xfId="0" applyNumberFormat="1" applyFont="1" applyBorder="1" applyAlignment="1">
      <alignment horizontal="center"/>
    </xf>
    <xf numFmtId="4" fontId="3" fillId="0" borderId="0" xfId="0" applyNumberFormat="1" applyFont="1" applyBorder="1" applyAlignment="1">
      <alignment horizontal="left"/>
    </xf>
    <xf numFmtId="171" fontId="3" fillId="0" borderId="15" xfId="0" applyNumberFormat="1" applyFont="1" applyBorder="1" applyAlignment="1">
      <alignment horizontal="center"/>
    </xf>
    <xf numFmtId="0" fontId="6" fillId="0" borderId="15" xfId="0" applyFont="1" applyBorder="1" applyAlignment="1">
      <alignment horizontal="right" vertical="center"/>
    </xf>
    <xf numFmtId="171" fontId="3" fillId="0" borderId="12" xfId="0" applyNumberFormat="1" applyFont="1" applyBorder="1" applyAlignment="1">
      <alignment horizontal="center"/>
    </xf>
    <xf numFmtId="164" fontId="3" fillId="0" borderId="15" xfId="0" applyNumberFormat="1" applyFont="1" applyBorder="1" applyAlignment="1">
      <alignment horizontal="center"/>
    </xf>
    <xf numFmtId="167" fontId="3" fillId="0" borderId="0" xfId="0" applyNumberFormat="1" applyFont="1" applyFill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167" fontId="3" fillId="0" borderId="2" xfId="0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7" xfId="0" applyNumberFormat="1" applyFont="1" applyBorder="1" applyAlignment="1">
      <alignment horizontal="center"/>
    </xf>
    <xf numFmtId="3" fontId="3" fillId="2" borderId="12" xfId="0" applyNumberFormat="1" applyFont="1" applyFill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4" fontId="3" fillId="0" borderId="3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/>
    </xf>
    <xf numFmtId="3" fontId="3" fillId="0" borderId="13" xfId="0" applyNumberFormat="1" applyFont="1" applyBorder="1" applyAlignment="1">
      <alignment horizontal="center"/>
    </xf>
    <xf numFmtId="4" fontId="3" fillId="0" borderId="15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4" fontId="3" fillId="0" borderId="6" xfId="0" applyNumberFormat="1" applyFont="1" applyBorder="1" applyAlignment="1">
      <alignment horizontal="center"/>
    </xf>
    <xf numFmtId="172" fontId="3" fillId="0" borderId="8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172" fontId="3" fillId="0" borderId="11" xfId="0" applyNumberFormat="1" applyFont="1" applyBorder="1" applyAlignment="1">
      <alignment horizontal="center"/>
    </xf>
    <xf numFmtId="0" fontId="3" fillId="0" borderId="0" xfId="0" applyFont="1" applyAlignment="1">
      <alignment horizontal="right"/>
    </xf>
    <xf numFmtId="0" fontId="1" fillId="0" borderId="0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3" fillId="0" borderId="5" xfId="0" applyNumberFormat="1" applyFont="1" applyBorder="1" applyAlignment="1">
      <alignment horizontal="center"/>
    </xf>
    <xf numFmtId="165" fontId="3" fillId="0" borderId="9" xfId="0" applyNumberFormat="1" applyFont="1" applyBorder="1" applyAlignment="1">
      <alignment horizontal="center"/>
    </xf>
    <xf numFmtId="165" fontId="3" fillId="0" borderId="10" xfId="0" applyNumberFormat="1" applyFont="1" applyBorder="1" applyAlignment="1">
      <alignment horizontal="center"/>
    </xf>
    <xf numFmtId="165" fontId="3" fillId="0" borderId="11" xfId="0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0" fontId="9" fillId="0" borderId="0" xfId="0" applyFont="1"/>
    <xf numFmtId="3" fontId="3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10" fillId="0" borderId="0" xfId="0" applyFont="1" applyAlignment="1">
      <alignment horizontal="right" vertical="center"/>
    </xf>
    <xf numFmtId="173" fontId="3" fillId="0" borderId="0" xfId="0" applyNumberFormat="1" applyFont="1" applyAlignment="1">
      <alignment horizontal="center"/>
    </xf>
    <xf numFmtId="0" fontId="3" fillId="0" borderId="4" xfId="0" applyFont="1" applyBorder="1" applyAlignment="1"/>
    <xf numFmtId="3" fontId="3" fillId="0" borderId="5" xfId="0" applyNumberFormat="1" applyFont="1" applyBorder="1" applyAlignment="1">
      <alignment horizontal="center"/>
    </xf>
    <xf numFmtId="0" fontId="3" fillId="0" borderId="4" xfId="0" applyFont="1" applyBorder="1"/>
    <xf numFmtId="0" fontId="3" fillId="0" borderId="9" xfId="0" applyFont="1" applyBorder="1"/>
    <xf numFmtId="167" fontId="3" fillId="0" borderId="10" xfId="0" applyNumberFormat="1" applyFont="1" applyBorder="1" applyAlignment="1">
      <alignment horizontal="center"/>
    </xf>
    <xf numFmtId="167" fontId="3" fillId="0" borderId="11" xfId="0" applyNumberFormat="1" applyFont="1" applyBorder="1" applyAlignment="1">
      <alignment horizontal="center"/>
    </xf>
    <xf numFmtId="0" fontId="8" fillId="0" borderId="5" xfId="0" applyFont="1" applyBorder="1" applyAlignment="1">
      <alignment horizontal="right"/>
    </xf>
    <xf numFmtId="0" fontId="8" fillId="0" borderId="11" xfId="0" applyFont="1" applyBorder="1" applyAlignment="1">
      <alignment horizontal="right"/>
    </xf>
    <xf numFmtId="0" fontId="4" fillId="0" borderId="15" xfId="0" applyFont="1" applyBorder="1" applyAlignment="1">
      <alignment horizontal="center"/>
    </xf>
    <xf numFmtId="0" fontId="3" fillId="0" borderId="13" xfId="0" applyFont="1" applyBorder="1"/>
    <xf numFmtId="0" fontId="4" fillId="0" borderId="14" xfId="0" applyFont="1" applyBorder="1" applyAlignment="1">
      <alignment horizontal="center"/>
    </xf>
    <xf numFmtId="0" fontId="3" fillId="0" borderId="15" xfId="0" applyFont="1" applyBorder="1"/>
    <xf numFmtId="1" fontId="3" fillId="0" borderId="5" xfId="0" applyNumberFormat="1" applyFont="1" applyBorder="1" applyAlignment="1">
      <alignment horizontal="center"/>
    </xf>
    <xf numFmtId="165" fontId="3" fillId="0" borderId="2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65" fontId="3" fillId="0" borderId="10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3" fontId="3" fillId="3" borderId="13" xfId="0" applyNumberFormat="1" applyFont="1" applyFill="1" applyBorder="1" applyAlignment="1">
      <alignment horizontal="center"/>
    </xf>
    <xf numFmtId="165" fontId="3" fillId="3" borderId="13" xfId="0" applyNumberFormat="1" applyFont="1" applyFill="1" applyBorder="1" applyAlignment="1">
      <alignment horizontal="center"/>
    </xf>
    <xf numFmtId="165" fontId="3" fillId="3" borderId="14" xfId="0" applyNumberFormat="1" applyFont="1" applyFill="1" applyBorder="1" applyAlignment="1">
      <alignment horizontal="center"/>
    </xf>
    <xf numFmtId="165" fontId="3" fillId="3" borderId="15" xfId="0" applyNumberFormat="1" applyFont="1" applyFill="1" applyBorder="1" applyAlignment="1">
      <alignment horizontal="center"/>
    </xf>
    <xf numFmtId="165" fontId="3" fillId="3" borderId="6" xfId="0" applyNumberFormat="1" applyFont="1" applyFill="1" applyBorder="1" applyAlignment="1">
      <alignment horizontal="center"/>
    </xf>
    <xf numFmtId="165" fontId="3" fillId="3" borderId="7" xfId="0" applyNumberFormat="1" applyFont="1" applyFill="1" applyBorder="1" applyAlignment="1">
      <alignment horizontal="center"/>
    </xf>
    <xf numFmtId="165" fontId="3" fillId="2" borderId="12" xfId="0" applyNumberFormat="1" applyFont="1" applyFill="1" applyBorder="1" applyAlignment="1">
      <alignment horizontal="center"/>
    </xf>
    <xf numFmtId="165" fontId="3" fillId="3" borderId="8" xfId="0" applyNumberFormat="1" applyFont="1" applyFill="1" applyBorder="1" applyAlignment="1">
      <alignment horizontal="center"/>
    </xf>
    <xf numFmtId="3" fontId="3" fillId="3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14" fillId="0" borderId="0" xfId="0" applyFont="1" applyAlignment="1">
      <alignment horizontal="right"/>
    </xf>
    <xf numFmtId="0" fontId="12" fillId="0" borderId="0" xfId="0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174" fontId="18" fillId="0" borderId="0" xfId="0" applyNumberFormat="1" applyFont="1" applyAlignment="1"/>
    <xf numFmtId="0" fontId="16" fillId="0" borderId="0" xfId="0" applyFont="1" applyAlignment="1">
      <alignment horizontal="center"/>
    </xf>
    <xf numFmtId="174" fontId="18" fillId="0" borderId="0" xfId="0" applyNumberFormat="1" applyFont="1" applyAlignment="1">
      <alignment horizontal="center"/>
    </xf>
    <xf numFmtId="0" fontId="14" fillId="0" borderId="0" xfId="0" applyFont="1" applyAlignment="1">
      <alignment horizontal="right" vertical="center"/>
    </xf>
    <xf numFmtId="0" fontId="12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174" fontId="19" fillId="0" borderId="0" xfId="0" applyNumberFormat="1" applyFont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right"/>
    </xf>
    <xf numFmtId="0" fontId="14" fillId="4" borderId="0" xfId="0" applyFont="1" applyFill="1" applyAlignment="1">
      <alignment horizontal="right"/>
    </xf>
    <xf numFmtId="0" fontId="12" fillId="4" borderId="0" xfId="0" applyFont="1" applyFill="1" applyAlignment="1">
      <alignment horizontal="center"/>
    </xf>
    <xf numFmtId="174" fontId="18" fillId="4" borderId="0" xfId="0" applyNumberFormat="1" applyFont="1" applyFill="1" applyAlignment="1">
      <alignment horizontal="center"/>
    </xf>
    <xf numFmtId="3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ont="1" applyFill="1" applyAlignment="1">
      <alignment horizontal="center"/>
    </xf>
    <xf numFmtId="2" fontId="0" fillId="4" borderId="0" xfId="0" applyNumberFormat="1" applyFill="1" applyAlignment="1">
      <alignment horizontal="center"/>
    </xf>
    <xf numFmtId="175" fontId="19" fillId="4" borderId="0" xfId="0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170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176" fontId="0" fillId="0" borderId="0" xfId="0" applyNumberFormat="1" applyAlignment="1">
      <alignment horizontal="center"/>
    </xf>
    <xf numFmtId="167" fontId="0" fillId="0" borderId="0" xfId="0" applyNumberFormat="1" applyFont="1" applyAlignment="1">
      <alignment horizontal="center"/>
    </xf>
    <xf numFmtId="11" fontId="20" fillId="0" borderId="0" xfId="0" applyNumberFormat="1" applyFont="1" applyAlignment="1">
      <alignment horizontal="right"/>
    </xf>
    <xf numFmtId="0" fontId="18" fillId="0" borderId="0" xfId="0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2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6" fillId="0" borderId="0" xfId="0" applyFont="1" applyAlignment="1">
      <alignment horizontal="right"/>
    </xf>
    <xf numFmtId="1" fontId="18" fillId="0" borderId="0" xfId="0" applyNumberFormat="1" applyFont="1" applyAlignment="1">
      <alignment horizontal="center"/>
    </xf>
    <xf numFmtId="177" fontId="18" fillId="0" borderId="0" xfId="0" applyNumberFormat="1" applyFont="1" applyAlignment="1">
      <alignment horizontal="center"/>
    </xf>
    <xf numFmtId="2" fontId="25" fillId="0" borderId="2" xfId="0" applyNumberFormat="1" applyFont="1" applyBorder="1" applyAlignment="1">
      <alignment horizontal="center"/>
    </xf>
    <xf numFmtId="2" fontId="24" fillId="0" borderId="3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2" fontId="18" fillId="0" borderId="11" xfId="0" applyNumberFormat="1" applyFont="1" applyBorder="1" applyAlignment="1">
      <alignment horizontal="center"/>
    </xf>
    <xf numFmtId="0" fontId="0" fillId="0" borderId="6" xfId="0" applyBorder="1"/>
    <xf numFmtId="0" fontId="14" fillId="0" borderId="8" xfId="0" applyFont="1" applyBorder="1" applyAlignment="1">
      <alignment horizontal="center"/>
    </xf>
    <xf numFmtId="1" fontId="18" fillId="0" borderId="7" xfId="0" applyNumberFormat="1" applyFont="1" applyBorder="1" applyAlignment="1">
      <alignment horizontal="center"/>
    </xf>
    <xf numFmtId="1" fontId="18" fillId="0" borderId="8" xfId="0" applyNumberFormat="1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64" fontId="18" fillId="0" borderId="0" xfId="0" applyNumberFormat="1" applyFont="1" applyBorder="1" applyAlignment="1">
      <alignment horizontal="center"/>
    </xf>
    <xf numFmtId="164" fontId="18" fillId="0" borderId="5" xfId="0" applyNumberFormat="1" applyFont="1" applyBorder="1" applyAlignment="1">
      <alignment horizontal="center"/>
    </xf>
    <xf numFmtId="2" fontId="18" fillId="0" borderId="8" xfId="0" applyNumberFormat="1" applyFont="1" applyBorder="1" applyAlignment="1">
      <alignment horizontal="center"/>
    </xf>
    <xf numFmtId="164" fontId="18" fillId="0" borderId="10" xfId="0" applyNumberFormat="1" applyFont="1" applyBorder="1" applyAlignment="1">
      <alignment horizontal="center"/>
    </xf>
    <xf numFmtId="164" fontId="18" fillId="0" borderId="11" xfId="0" applyNumberFormat="1" applyFont="1" applyBorder="1" applyAlignment="1">
      <alignment horizontal="center"/>
    </xf>
    <xf numFmtId="11" fontId="20" fillId="0" borderId="6" xfId="0" applyNumberFormat="1" applyFont="1" applyBorder="1" applyAlignment="1">
      <alignment horizontal="right"/>
    </xf>
    <xf numFmtId="2" fontId="18" fillId="0" borderId="2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2" fontId="18" fillId="0" borderId="9" xfId="0" applyNumberFormat="1" applyFont="1" applyBorder="1" applyAlignment="1">
      <alignment horizontal="center"/>
    </xf>
    <xf numFmtId="3" fontId="18" fillId="0" borderId="4" xfId="0" applyNumberFormat="1" applyFont="1" applyBorder="1" applyAlignment="1">
      <alignment horizontal="center"/>
    </xf>
    <xf numFmtId="3" fontId="18" fillId="0" borderId="0" xfId="0" applyNumberFormat="1" applyFont="1" applyBorder="1" applyAlignment="1">
      <alignment horizontal="center"/>
    </xf>
    <xf numFmtId="3" fontId="18" fillId="0" borderId="5" xfId="0" applyNumberFormat="1" applyFont="1" applyBorder="1" applyAlignment="1">
      <alignment horizontal="center"/>
    </xf>
    <xf numFmtId="3" fontId="18" fillId="0" borderId="9" xfId="0" applyNumberFormat="1" applyFont="1" applyBorder="1" applyAlignment="1">
      <alignment horizontal="center"/>
    </xf>
    <xf numFmtId="3" fontId="18" fillId="0" borderId="10" xfId="0" applyNumberFormat="1" applyFont="1" applyBorder="1" applyAlignment="1">
      <alignment horizontal="center"/>
    </xf>
    <xf numFmtId="3" fontId="18" fillId="0" borderId="11" xfId="0" applyNumberFormat="1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3" fontId="18" fillId="0" borderId="1" xfId="0" applyNumberFormat="1" applyFont="1" applyBorder="1" applyAlignment="1">
      <alignment horizontal="center"/>
    </xf>
    <xf numFmtId="164" fontId="18" fillId="0" borderId="3" xfId="0" applyNumberFormat="1" applyFont="1" applyBorder="1" applyAlignment="1">
      <alignment horizontal="center"/>
    </xf>
    <xf numFmtId="4" fontId="22" fillId="0" borderId="0" xfId="0" applyNumberFormat="1" applyFont="1" applyAlignment="1">
      <alignment horizontal="center"/>
    </xf>
    <xf numFmtId="2" fontId="18" fillId="0" borderId="3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8" fillId="0" borderId="8" xfId="0" applyNumberFormat="1" applyFont="1" applyBorder="1" applyAlignment="1">
      <alignment horizontal="center"/>
    </xf>
    <xf numFmtId="2" fontId="18" fillId="0" borderId="4" xfId="0" applyNumberFormat="1" applyFont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0" fontId="14" fillId="0" borderId="15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3" fontId="18" fillId="0" borderId="7" xfId="0" applyNumberFormat="1" applyFont="1" applyBorder="1" applyAlignment="1">
      <alignment horizontal="center"/>
    </xf>
    <xf numFmtId="3" fontId="18" fillId="0" borderId="8" xfId="0" applyNumberFormat="1" applyFont="1" applyBorder="1" applyAlignment="1">
      <alignment horizontal="center"/>
    </xf>
    <xf numFmtId="11" fontId="19" fillId="0" borderId="4" xfId="0" applyNumberFormat="1" applyFont="1" applyBorder="1" applyAlignment="1">
      <alignment horizontal="center"/>
    </xf>
    <xf numFmtId="11" fontId="19" fillId="0" borderId="5" xfId="0" applyNumberFormat="1" applyFont="1" applyBorder="1" applyAlignment="1">
      <alignment horizontal="center"/>
    </xf>
    <xf numFmtId="11" fontId="19" fillId="0" borderId="9" xfId="0" applyNumberFormat="1" applyFont="1" applyBorder="1" applyAlignment="1">
      <alignment horizontal="center"/>
    </xf>
    <xf numFmtId="11" fontId="19" fillId="0" borderId="11" xfId="0" applyNumberFormat="1" applyFont="1" applyBorder="1" applyAlignment="1">
      <alignment horizontal="center"/>
    </xf>
    <xf numFmtId="11" fontId="19" fillId="0" borderId="7" xfId="0" applyNumberFormat="1" applyFont="1" applyBorder="1" applyAlignment="1">
      <alignment horizontal="center"/>
    </xf>
    <xf numFmtId="11" fontId="19" fillId="0" borderId="8" xfId="0" applyNumberFormat="1" applyFont="1" applyBorder="1" applyAlignment="1">
      <alignment horizontal="center"/>
    </xf>
    <xf numFmtId="4" fontId="18" fillId="0" borderId="1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4" fontId="18" fillId="0" borderId="3" xfId="0" applyNumberFormat="1" applyFont="1" applyBorder="1" applyAlignment="1">
      <alignment horizontal="center"/>
    </xf>
    <xf numFmtId="4" fontId="18" fillId="0" borderId="4" xfId="0" applyNumberFormat="1" applyFont="1" applyBorder="1" applyAlignment="1">
      <alignment horizontal="center"/>
    </xf>
    <xf numFmtId="4" fontId="18" fillId="0" borderId="0" xfId="0" applyNumberFormat="1" applyFont="1" applyBorder="1" applyAlignment="1">
      <alignment horizontal="center"/>
    </xf>
    <xf numFmtId="4" fontId="18" fillId="0" borderId="5" xfId="0" applyNumberFormat="1" applyFont="1" applyBorder="1" applyAlignment="1">
      <alignment horizontal="center"/>
    </xf>
    <xf numFmtId="4" fontId="18" fillId="0" borderId="9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4" fillId="0" borderId="0" xfId="0" applyFont="1" applyAlignment="1">
      <alignment horizontal="left"/>
    </xf>
    <xf numFmtId="1" fontId="18" fillId="0" borderId="12" xfId="0" applyNumberFormat="1" applyFont="1" applyBorder="1" applyAlignment="1" applyProtection="1">
      <alignment horizontal="center"/>
      <protection locked="0"/>
    </xf>
    <xf numFmtId="2" fontId="18" fillId="0" borderId="12" xfId="0" applyNumberFormat="1" applyFont="1" applyBorder="1" applyAlignment="1" applyProtection="1">
      <alignment horizontal="center"/>
      <protection locked="0"/>
    </xf>
    <xf numFmtId="0" fontId="0" fillId="0" borderId="0" xfId="0" applyProtection="1"/>
    <xf numFmtId="0" fontId="16" fillId="0" borderId="0" xfId="0" applyFont="1" applyAlignment="1" applyProtection="1">
      <alignment horizontal="right"/>
    </xf>
    <xf numFmtId="0" fontId="22" fillId="0" borderId="0" xfId="0" applyFont="1" applyAlignment="1" applyProtection="1">
      <alignment vertical="center"/>
    </xf>
    <xf numFmtId="11" fontId="20" fillId="0" borderId="0" xfId="0" applyNumberFormat="1" applyFont="1" applyAlignment="1" applyProtection="1">
      <alignment horizontal="right"/>
    </xf>
    <xf numFmtId="2" fontId="25" fillId="0" borderId="0" xfId="0" applyNumberFormat="1" applyFont="1" applyAlignment="1" applyProtection="1">
      <alignment horizontal="center"/>
    </xf>
    <xf numFmtId="0" fontId="12" fillId="0" borderId="0" xfId="0" applyFont="1" applyProtection="1"/>
    <xf numFmtId="11" fontId="20" fillId="0" borderId="6" xfId="0" applyNumberFormat="1" applyFont="1" applyBorder="1" applyAlignment="1" applyProtection="1">
      <alignment horizontal="right"/>
    </xf>
    <xf numFmtId="2" fontId="18" fillId="0" borderId="2" xfId="0" applyNumberFormat="1" applyFont="1" applyBorder="1" applyAlignment="1" applyProtection="1">
      <alignment horizontal="center"/>
    </xf>
    <xf numFmtId="2" fontId="25" fillId="0" borderId="2" xfId="0" applyNumberFormat="1" applyFont="1" applyBorder="1" applyAlignment="1" applyProtection="1">
      <alignment horizontal="center"/>
    </xf>
    <xf numFmtId="2" fontId="24" fillId="0" borderId="3" xfId="0" applyNumberFormat="1" applyFont="1" applyBorder="1" applyAlignment="1" applyProtection="1">
      <alignment horizontal="center"/>
    </xf>
    <xf numFmtId="2" fontId="24" fillId="0" borderId="0" xfId="0" applyNumberFormat="1" applyFont="1" applyBorder="1" applyAlignment="1" applyProtection="1">
      <alignment horizontal="center"/>
    </xf>
    <xf numFmtId="11" fontId="20" fillId="0" borderId="1" xfId="0" applyNumberFormat="1" applyFont="1" applyBorder="1" applyAlignment="1" applyProtection="1">
      <alignment horizontal="right"/>
    </xf>
    <xf numFmtId="2" fontId="18" fillId="0" borderId="1" xfId="0" applyNumberFormat="1" applyFont="1" applyBorder="1" applyAlignment="1" applyProtection="1">
      <alignment horizontal="center"/>
    </xf>
    <xf numFmtId="2" fontId="18" fillId="0" borderId="3" xfId="0" applyNumberFormat="1" applyFont="1" applyBorder="1" applyAlignment="1" applyProtection="1">
      <alignment horizontal="center"/>
    </xf>
    <xf numFmtId="0" fontId="14" fillId="0" borderId="0" xfId="0" applyFont="1" applyAlignment="1" applyProtection="1">
      <alignment horizontal="right"/>
    </xf>
    <xf numFmtId="4" fontId="18" fillId="0" borderId="0" xfId="0" applyNumberFormat="1" applyFont="1" applyAlignment="1" applyProtection="1">
      <alignment horizontal="center"/>
    </xf>
    <xf numFmtId="0" fontId="0" fillId="0" borderId="6" xfId="0" applyBorder="1" applyProtection="1"/>
    <xf numFmtId="2" fontId="18" fillId="0" borderId="10" xfId="0" applyNumberFormat="1" applyFont="1" applyBorder="1" applyAlignment="1" applyProtection="1">
      <alignment horizontal="center"/>
    </xf>
    <xf numFmtId="2" fontId="18" fillId="0" borderId="11" xfId="0" applyNumberFormat="1" applyFont="1" applyBorder="1" applyAlignment="1" applyProtection="1">
      <alignment horizontal="center"/>
    </xf>
    <xf numFmtId="2" fontId="18" fillId="0" borderId="0" xfId="0" applyNumberFormat="1" applyFont="1" applyBorder="1" applyAlignment="1" applyProtection="1">
      <alignment horizontal="center"/>
    </xf>
    <xf numFmtId="2" fontId="18" fillId="0" borderId="9" xfId="0" applyNumberFormat="1" applyFont="1" applyBorder="1" applyAlignment="1" applyProtection="1">
      <alignment horizontal="center"/>
    </xf>
    <xf numFmtId="2" fontId="26" fillId="0" borderId="9" xfId="0" applyNumberFormat="1" applyFont="1" applyBorder="1" applyAlignment="1" applyProtection="1">
      <alignment horizontal="center"/>
    </xf>
    <xf numFmtId="0" fontId="0" fillId="0" borderId="10" xfId="0" applyBorder="1" applyProtection="1"/>
    <xf numFmtId="0" fontId="0" fillId="0" borderId="11" xfId="0" applyBorder="1" applyProtection="1"/>
    <xf numFmtId="0" fontId="0" fillId="0" borderId="13" xfId="0" applyBorder="1" applyProtection="1"/>
    <xf numFmtId="0" fontId="0" fillId="0" borderId="15" xfId="0" applyBorder="1" applyProtection="1"/>
    <xf numFmtId="167" fontId="0" fillId="0" borderId="0" xfId="0" applyNumberFormat="1" applyAlignment="1" applyProtection="1">
      <alignment horizontal="center"/>
    </xf>
    <xf numFmtId="0" fontId="14" fillId="0" borderId="8" xfId="0" applyFont="1" applyBorder="1" applyAlignment="1" applyProtection="1">
      <alignment horizontal="center"/>
    </xf>
    <xf numFmtId="0" fontId="14" fillId="0" borderId="12" xfId="0" applyFont="1" applyBorder="1" applyAlignment="1" applyProtection="1">
      <alignment horizontal="center"/>
    </xf>
    <xf numFmtId="0" fontId="14" fillId="0" borderId="1" xfId="0" applyFont="1" applyBorder="1" applyAlignment="1" applyProtection="1">
      <alignment horizontal="center"/>
    </xf>
    <xf numFmtId="0" fontId="14" fillId="0" borderId="1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horizontal="center" vertical="center"/>
    </xf>
    <xf numFmtId="2" fontId="18" fillId="0" borderId="14" xfId="0" applyNumberFormat="1" applyFont="1" applyBorder="1" applyAlignment="1" applyProtection="1">
      <alignment horizontal="center"/>
    </xf>
    <xf numFmtId="1" fontId="18" fillId="0" borderId="7" xfId="0" applyNumberFormat="1" applyFont="1" applyBorder="1" applyAlignment="1" applyProtection="1">
      <alignment horizontal="center"/>
    </xf>
    <xf numFmtId="2" fontId="18" fillId="0" borderId="7" xfId="0" applyNumberFormat="1" applyFont="1" applyBorder="1" applyAlignment="1" applyProtection="1">
      <alignment horizontal="center"/>
    </xf>
    <xf numFmtId="164" fontId="18" fillId="0" borderId="0" xfId="0" applyNumberFormat="1" applyFont="1" applyBorder="1" applyAlignment="1" applyProtection="1">
      <alignment horizontal="center"/>
    </xf>
    <xf numFmtId="164" fontId="18" fillId="0" borderId="5" xfId="0" applyNumberFormat="1" applyFont="1" applyBorder="1" applyAlignment="1" applyProtection="1">
      <alignment horizontal="center"/>
    </xf>
    <xf numFmtId="164" fontId="18" fillId="0" borderId="7" xfId="0" applyNumberFormat="1" applyFont="1" applyBorder="1" applyAlignment="1" applyProtection="1">
      <alignment horizontal="center"/>
    </xf>
    <xf numFmtId="164" fontId="18" fillId="0" borderId="1" xfId="0" applyNumberFormat="1" applyFont="1" applyBorder="1" applyAlignment="1" applyProtection="1">
      <alignment horizontal="center"/>
    </xf>
    <xf numFmtId="164" fontId="18" fillId="0" borderId="2" xfId="0" applyNumberFormat="1" applyFont="1" applyBorder="1" applyAlignment="1" applyProtection="1">
      <alignment horizontal="center"/>
    </xf>
    <xf numFmtId="164" fontId="18" fillId="0" borderId="3" xfId="0" applyNumberFormat="1" applyFont="1" applyBorder="1" applyAlignment="1" applyProtection="1">
      <alignment horizontal="center"/>
    </xf>
    <xf numFmtId="1" fontId="18" fillId="0" borderId="1" xfId="0" applyNumberFormat="1" applyFont="1" applyBorder="1" applyAlignment="1" applyProtection="1">
      <alignment horizontal="center"/>
    </xf>
    <xf numFmtId="1" fontId="18" fillId="0" borderId="2" xfId="0" applyNumberFormat="1" applyFont="1" applyBorder="1" applyAlignment="1" applyProtection="1">
      <alignment horizontal="center"/>
    </xf>
    <xf numFmtId="1" fontId="18" fillId="0" borderId="3" xfId="0" applyNumberFormat="1" applyFont="1" applyBorder="1" applyAlignment="1" applyProtection="1">
      <alignment horizontal="center"/>
    </xf>
    <xf numFmtId="2" fontId="18" fillId="0" borderId="6" xfId="0" applyNumberFormat="1" applyFont="1" applyBorder="1" applyAlignment="1" applyProtection="1">
      <alignment horizontal="center"/>
    </xf>
    <xf numFmtId="2" fontId="18" fillId="0" borderId="5" xfId="0" applyNumberFormat="1" applyFont="1" applyBorder="1" applyAlignment="1" applyProtection="1">
      <alignment horizontal="center"/>
    </xf>
    <xf numFmtId="1" fontId="18" fillId="0" borderId="0" xfId="0" applyNumberFormat="1" applyFont="1" applyAlignment="1" applyProtection="1">
      <alignment horizontal="center"/>
    </xf>
    <xf numFmtId="2" fontId="18" fillId="0" borderId="4" xfId="0" applyNumberFormat="1" applyFont="1" applyBorder="1" applyAlignment="1" applyProtection="1">
      <alignment horizontal="center"/>
    </xf>
    <xf numFmtId="1" fontId="18" fillId="0" borderId="4" xfId="0" applyNumberFormat="1" applyFont="1" applyBorder="1" applyAlignment="1" applyProtection="1">
      <alignment horizontal="center"/>
    </xf>
    <xf numFmtId="1" fontId="18" fillId="0" borderId="0" xfId="0" applyNumberFormat="1" applyFont="1" applyBorder="1" applyAlignment="1" applyProtection="1">
      <alignment horizontal="center"/>
    </xf>
    <xf numFmtId="1" fontId="18" fillId="0" borderId="5" xfId="0" applyNumberFormat="1" applyFont="1" applyBorder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2" fontId="18" fillId="0" borderId="0" xfId="0" applyNumberFormat="1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177" fontId="18" fillId="0" borderId="0" xfId="0" applyNumberFormat="1" applyFont="1" applyAlignment="1" applyProtection="1">
      <alignment horizontal="center"/>
    </xf>
    <xf numFmtId="3" fontId="0" fillId="0" borderId="0" xfId="0" applyNumberFormat="1" applyAlignment="1" applyProtection="1">
      <alignment horizontal="center"/>
    </xf>
    <xf numFmtId="1" fontId="18" fillId="0" borderId="8" xfId="0" applyNumberFormat="1" applyFont="1" applyBorder="1" applyAlignment="1" applyProtection="1">
      <alignment horizontal="center"/>
    </xf>
    <xf numFmtId="2" fontId="18" fillId="0" borderId="8" xfId="0" applyNumberFormat="1" applyFont="1" applyBorder="1" applyAlignment="1" applyProtection="1">
      <alignment horizontal="center"/>
    </xf>
    <xf numFmtId="164" fontId="18" fillId="0" borderId="10" xfId="0" applyNumberFormat="1" applyFont="1" applyBorder="1" applyAlignment="1" applyProtection="1">
      <alignment horizontal="center"/>
    </xf>
    <xf numFmtId="164" fontId="18" fillId="0" borderId="11" xfId="0" applyNumberFormat="1" applyFont="1" applyBorder="1" applyAlignment="1" applyProtection="1">
      <alignment horizontal="center"/>
    </xf>
    <xf numFmtId="164" fontId="18" fillId="0" borderId="8" xfId="0" applyNumberFormat="1" applyFont="1" applyBorder="1" applyAlignment="1" applyProtection="1">
      <alignment horizontal="center"/>
    </xf>
    <xf numFmtId="1" fontId="18" fillId="0" borderId="9" xfId="0" applyNumberFormat="1" applyFont="1" applyBorder="1" applyAlignment="1" applyProtection="1">
      <alignment horizontal="center"/>
    </xf>
    <xf numFmtId="1" fontId="18" fillId="0" borderId="10" xfId="0" applyNumberFormat="1" applyFont="1" applyBorder="1" applyAlignment="1" applyProtection="1">
      <alignment horizontal="center"/>
    </xf>
    <xf numFmtId="1" fontId="18" fillId="0" borderId="11" xfId="0" applyNumberFormat="1" applyFont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Alignment="1" applyProtection="1">
      <alignment horizontal="center"/>
    </xf>
    <xf numFmtId="2" fontId="25" fillId="6" borderId="12" xfId="0" applyNumberFormat="1" applyFont="1" applyFill="1" applyBorder="1" applyAlignment="1" applyProtection="1">
      <alignment horizontal="center"/>
    </xf>
    <xf numFmtId="2" fontId="18" fillId="6" borderId="12" xfId="0" applyNumberFormat="1" applyFont="1" applyFill="1" applyBorder="1" applyAlignment="1" applyProtection="1">
      <alignment horizontal="center"/>
    </xf>
    <xf numFmtId="4" fontId="18" fillId="5" borderId="0" xfId="0" applyNumberFormat="1" applyFont="1" applyFill="1" applyAlignment="1" applyProtection="1">
      <alignment horizontal="center"/>
    </xf>
    <xf numFmtId="2" fontId="18" fillId="5" borderId="0" xfId="0" applyNumberFormat="1" applyFont="1" applyFill="1" applyAlignment="1" applyProtection="1">
      <alignment horizontal="center"/>
    </xf>
    <xf numFmtId="1" fontId="18" fillId="5" borderId="0" xfId="0" applyNumberFormat="1" applyFont="1" applyFill="1" applyAlignment="1" applyProtection="1">
      <alignment horizontal="center"/>
    </xf>
    <xf numFmtId="165" fontId="18" fillId="6" borderId="12" xfId="0" applyNumberFormat="1" applyFont="1" applyFill="1" applyBorder="1" applyAlignment="1" applyProtection="1">
      <alignment horizontal="center"/>
    </xf>
    <xf numFmtId="165" fontId="18" fillId="0" borderId="0" xfId="0" applyNumberFormat="1" applyFont="1" applyAlignment="1" applyProtection="1">
      <alignment horizontal="center"/>
    </xf>
    <xf numFmtId="0" fontId="16" fillId="0" borderId="0" xfId="0" applyFont="1"/>
    <xf numFmtId="0" fontId="0" fillId="0" borderId="0" xfId="0" applyBorder="1"/>
    <xf numFmtId="178" fontId="0" fillId="0" borderId="0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2" fontId="19" fillId="0" borderId="0" xfId="0" applyNumberFormat="1" applyFont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/>
    <xf numFmtId="167" fontId="0" fillId="0" borderId="10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178" fontId="0" fillId="0" borderId="10" xfId="0" applyNumberForma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0" xfId="0" applyFill="1" applyBorder="1"/>
    <xf numFmtId="4" fontId="27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78" fontId="0" fillId="0" borderId="0" xfId="0" applyNumberForma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16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178" fontId="0" fillId="0" borderId="0" xfId="0" applyNumberFormat="1" applyFont="1" applyFill="1" applyBorder="1" applyAlignment="1">
      <alignment horizontal="center"/>
    </xf>
    <xf numFmtId="170" fontId="0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3" fontId="0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4" fillId="0" borderId="0" xfId="0" applyFont="1" applyFill="1" applyBorder="1" applyAlignment="1">
      <alignment horizontal="right" vertic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30" fillId="0" borderId="0" xfId="0" applyFont="1" applyFill="1"/>
    <xf numFmtId="0" fontId="30" fillId="0" borderId="0" xfId="0" applyFont="1" applyFill="1" applyBorder="1"/>
    <xf numFmtId="0" fontId="20" fillId="0" borderId="0" xfId="0" applyFont="1" applyFill="1" applyBorder="1" applyAlignment="1">
      <alignment horizontal="center"/>
    </xf>
    <xf numFmtId="178" fontId="30" fillId="0" borderId="0" xfId="0" applyNumberFormat="1" applyFont="1" applyFill="1" applyBorder="1" applyAlignment="1">
      <alignment horizontal="center"/>
    </xf>
    <xf numFmtId="4" fontId="30" fillId="0" borderId="0" xfId="0" applyNumberFormat="1" applyFont="1" applyFill="1" applyBorder="1" applyAlignment="1">
      <alignment horizontal="center"/>
    </xf>
    <xf numFmtId="170" fontId="30" fillId="0" borderId="0" xfId="0" applyNumberFormat="1" applyFont="1" applyFill="1" applyBorder="1" applyAlignment="1">
      <alignment horizontal="center"/>
    </xf>
    <xf numFmtId="170" fontId="31" fillId="0" borderId="0" xfId="0" applyNumberFormat="1" applyFont="1" applyFill="1" applyBorder="1" applyAlignment="1">
      <alignment horizontal="center"/>
    </xf>
    <xf numFmtId="167" fontId="0" fillId="0" borderId="11" xfId="0" applyNumberFormat="1" applyBorder="1" applyAlignment="1">
      <alignment horizontal="center"/>
    </xf>
    <xf numFmtId="0" fontId="0" fillId="0" borderId="8" xfId="0" applyBorder="1"/>
    <xf numFmtId="167" fontId="0" fillId="0" borderId="14" xfId="0" applyNumberFormat="1" applyBorder="1" applyAlignment="1">
      <alignment horizontal="center"/>
    </xf>
    <xf numFmtId="167" fontId="0" fillId="0" borderId="15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7" fontId="0" fillId="0" borderId="4" xfId="0" applyNumberFormat="1" applyBorder="1" applyAlignment="1">
      <alignment horizontal="center"/>
    </xf>
    <xf numFmtId="167" fontId="0" fillId="0" borderId="9" xfId="0" applyNumberForma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1" fontId="19" fillId="0" borderId="4" xfId="0" applyNumberFormat="1" applyFont="1" applyBorder="1" applyAlignment="1">
      <alignment horizontal="center"/>
    </xf>
    <xf numFmtId="1" fontId="19" fillId="0" borderId="9" xfId="0" applyNumberFormat="1" applyFont="1" applyBorder="1" applyAlignment="1">
      <alignment horizontal="center"/>
    </xf>
    <xf numFmtId="1" fontId="19" fillId="0" borderId="10" xfId="0" applyNumberFormat="1" applyFont="1" applyBorder="1" applyAlignment="1">
      <alignment horizontal="center"/>
    </xf>
    <xf numFmtId="167" fontId="0" fillId="0" borderId="2" xfId="0" applyNumberFormat="1" applyFont="1" applyBorder="1" applyAlignment="1">
      <alignment horizontal="center"/>
    </xf>
    <xf numFmtId="167" fontId="0" fillId="0" borderId="0" xfId="0" applyNumberFormat="1" applyFont="1" applyBorder="1" applyAlignment="1">
      <alignment horizontal="center"/>
    </xf>
    <xf numFmtId="167" fontId="0" fillId="0" borderId="1" xfId="0" applyNumberFormat="1" applyFont="1" applyBorder="1" applyAlignment="1">
      <alignment horizontal="center"/>
    </xf>
    <xf numFmtId="167" fontId="0" fillId="0" borderId="3" xfId="0" applyNumberFormat="1" applyFont="1" applyBorder="1" applyAlignment="1">
      <alignment horizontal="center"/>
    </xf>
    <xf numFmtId="167" fontId="0" fillId="0" borderId="4" xfId="0" applyNumberFormat="1" applyFont="1" applyBorder="1" applyAlignment="1">
      <alignment horizontal="center"/>
    </xf>
    <xf numFmtId="167" fontId="0" fillId="0" borderId="5" xfId="0" applyNumberFormat="1" applyFont="1" applyBorder="1" applyAlignment="1">
      <alignment horizontal="center"/>
    </xf>
    <xf numFmtId="167" fontId="0" fillId="0" borderId="9" xfId="0" applyNumberFormat="1" applyFont="1" applyBorder="1" applyAlignment="1">
      <alignment horizontal="center"/>
    </xf>
    <xf numFmtId="167" fontId="0" fillId="0" borderId="10" xfId="0" applyNumberFormat="1" applyFont="1" applyBorder="1" applyAlignment="1">
      <alignment horizontal="center"/>
    </xf>
    <xf numFmtId="167" fontId="0" fillId="0" borderId="11" xfId="0" applyNumberFormat="1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4" fontId="0" fillId="0" borderId="2" xfId="0" applyNumberFormat="1" applyFill="1" applyBorder="1" applyAlignment="1">
      <alignment horizontal="center"/>
    </xf>
    <xf numFmtId="4" fontId="0" fillId="0" borderId="3" xfId="0" applyNumberFormat="1" applyFill="1" applyBorder="1" applyAlignment="1">
      <alignment horizontal="center"/>
    </xf>
    <xf numFmtId="4" fontId="0" fillId="0" borderId="4" xfId="0" applyNumberFormat="1" applyFill="1" applyBorder="1" applyAlignment="1">
      <alignment horizontal="center"/>
    </xf>
    <xf numFmtId="4" fontId="0" fillId="0" borderId="5" xfId="0" applyNumberFormat="1" applyFill="1" applyBorder="1" applyAlignment="1">
      <alignment horizontal="center"/>
    </xf>
    <xf numFmtId="4" fontId="0" fillId="0" borderId="9" xfId="0" applyNumberFormat="1" applyFill="1" applyBorder="1" applyAlignment="1">
      <alignment horizontal="center"/>
    </xf>
    <xf numFmtId="4" fontId="0" fillId="0" borderId="10" xfId="0" applyNumberFormat="1" applyFill="1" applyBorder="1" applyAlignment="1">
      <alignment horizontal="center"/>
    </xf>
    <xf numFmtId="4" fontId="0" fillId="0" borderId="11" xfId="0" applyNumberFormat="1" applyFill="1" applyBorder="1" applyAlignment="1">
      <alignment horizontal="center"/>
    </xf>
    <xf numFmtId="0" fontId="28" fillId="0" borderId="0" xfId="0" applyFont="1" applyFill="1" applyBorder="1" applyAlignment="1">
      <alignment vertical="center"/>
    </xf>
    <xf numFmtId="4" fontId="30" fillId="0" borderId="1" xfId="0" applyNumberFormat="1" applyFont="1" applyFill="1" applyBorder="1" applyAlignment="1">
      <alignment horizontal="center"/>
    </xf>
    <xf numFmtId="4" fontId="30" fillId="0" borderId="2" xfId="0" applyNumberFormat="1" applyFont="1" applyFill="1" applyBorder="1" applyAlignment="1">
      <alignment horizontal="center"/>
    </xf>
    <xf numFmtId="4" fontId="30" fillId="0" borderId="3" xfId="0" applyNumberFormat="1" applyFont="1" applyFill="1" applyBorder="1" applyAlignment="1">
      <alignment horizontal="center"/>
    </xf>
    <xf numFmtId="4" fontId="30" fillId="0" borderId="4" xfId="0" applyNumberFormat="1" applyFont="1" applyFill="1" applyBorder="1" applyAlignment="1">
      <alignment horizontal="center"/>
    </xf>
    <xf numFmtId="4" fontId="30" fillId="0" borderId="5" xfId="0" applyNumberFormat="1" applyFont="1" applyFill="1" applyBorder="1" applyAlignment="1">
      <alignment horizontal="center"/>
    </xf>
    <xf numFmtId="4" fontId="30" fillId="0" borderId="9" xfId="0" applyNumberFormat="1" applyFont="1" applyFill="1" applyBorder="1" applyAlignment="1">
      <alignment horizontal="center"/>
    </xf>
    <xf numFmtId="4" fontId="30" fillId="0" borderId="10" xfId="0" applyNumberFormat="1" applyFont="1" applyFill="1" applyBorder="1" applyAlignment="1">
      <alignment horizontal="center"/>
    </xf>
    <xf numFmtId="4" fontId="30" fillId="0" borderId="11" xfId="0" applyNumberFormat="1" applyFont="1" applyFill="1" applyBorder="1" applyAlignment="1">
      <alignment horizontal="center"/>
    </xf>
    <xf numFmtId="0" fontId="14" fillId="0" borderId="12" xfId="0" applyFont="1" applyBorder="1"/>
    <xf numFmtId="1" fontId="0" fillId="0" borderId="6" xfId="0" applyNumberFormat="1" applyBorder="1" applyAlignment="1">
      <alignment horizontal="center"/>
    </xf>
    <xf numFmtId="170" fontId="0" fillId="0" borderId="7" xfId="0" applyNumberFormat="1" applyBorder="1" applyAlignment="1">
      <alignment horizontal="center"/>
    </xf>
    <xf numFmtId="170" fontId="0" fillId="0" borderId="8" xfId="0" applyNumberFormat="1" applyBorder="1" applyAlignment="1">
      <alignment horizontal="center"/>
    </xf>
    <xf numFmtId="2" fontId="16" fillId="0" borderId="9" xfId="0" applyNumberFormat="1" applyFont="1" applyBorder="1" applyAlignment="1">
      <alignment vertical="center"/>
    </xf>
    <xf numFmtId="171" fontId="0" fillId="0" borderId="0" xfId="0" applyNumberFormat="1"/>
    <xf numFmtId="178" fontId="0" fillId="0" borderId="0" xfId="0" applyNumberFormat="1" applyAlignment="1">
      <alignment horizontal="center"/>
    </xf>
    <xf numFmtId="172" fontId="3" fillId="0" borderId="14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4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3" fillId="0" borderId="0" xfId="0" applyFont="1" applyAlignment="1">
      <alignment horizontal="center"/>
    </xf>
    <xf numFmtId="165" fontId="32" fillId="0" borderId="0" xfId="0" applyNumberFormat="1" applyFont="1" applyBorder="1" applyAlignment="1">
      <alignment horizontal="center"/>
    </xf>
    <xf numFmtId="0" fontId="32" fillId="0" borderId="0" xfId="0" applyFont="1"/>
    <xf numFmtId="0" fontId="32" fillId="0" borderId="0" xfId="0" applyFont="1" applyBorder="1" applyAlignment="1"/>
    <xf numFmtId="167" fontId="3" fillId="0" borderId="0" xfId="0" applyNumberFormat="1" applyFont="1"/>
    <xf numFmtId="0" fontId="14" fillId="0" borderId="6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34" fillId="0" borderId="0" xfId="0" applyFont="1"/>
    <xf numFmtId="0" fontId="22" fillId="0" borderId="0" xfId="0" applyFont="1" applyAlignment="1">
      <alignment horizontal="center"/>
    </xf>
    <xf numFmtId="0" fontId="37" fillId="0" borderId="0" xfId="0" applyFont="1" applyAlignment="1">
      <alignment vertical="center" wrapText="1"/>
    </xf>
    <xf numFmtId="0" fontId="5" fillId="0" borderId="0" xfId="0" applyFont="1"/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7" fillId="0" borderId="10" xfId="0" applyFont="1" applyBorder="1" applyAlignment="1">
      <alignment horizontal="center"/>
    </xf>
    <xf numFmtId="0" fontId="37" fillId="0" borderId="11" xfId="0" applyFont="1" applyBorder="1" applyAlignment="1">
      <alignment horizontal="center"/>
    </xf>
    <xf numFmtId="178" fontId="38" fillId="0" borderId="0" xfId="0" applyNumberFormat="1" applyFont="1" applyAlignment="1">
      <alignment horizontal="center"/>
    </xf>
    <xf numFmtId="2" fontId="37" fillId="0" borderId="7" xfId="0" applyNumberFormat="1" applyFont="1" applyBorder="1" applyAlignment="1">
      <alignment horizontal="center"/>
    </xf>
    <xf numFmtId="178" fontId="38" fillId="0" borderId="1" xfId="0" applyNumberFormat="1" applyFont="1" applyBorder="1" applyAlignment="1">
      <alignment horizontal="center"/>
    </xf>
    <xf numFmtId="178" fontId="38" fillId="0" borderId="2" xfId="0" applyNumberFormat="1" applyFont="1" applyBorder="1" applyAlignment="1">
      <alignment horizontal="center"/>
    </xf>
    <xf numFmtId="178" fontId="38" fillId="5" borderId="2" xfId="0" applyNumberFormat="1" applyFont="1" applyFill="1" applyBorder="1" applyAlignment="1">
      <alignment horizontal="center"/>
    </xf>
    <xf numFmtId="178" fontId="38" fillId="0" borderId="3" xfId="0" applyNumberFormat="1" applyFont="1" applyBorder="1" applyAlignment="1">
      <alignment horizontal="center"/>
    </xf>
    <xf numFmtId="178" fontId="38" fillId="0" borderId="4" xfId="0" applyNumberFormat="1" applyFont="1" applyBorder="1" applyAlignment="1">
      <alignment horizontal="center"/>
    </xf>
    <xf numFmtId="178" fontId="38" fillId="0" borderId="0" xfId="0" applyNumberFormat="1" applyFont="1" applyBorder="1" applyAlignment="1">
      <alignment horizontal="center"/>
    </xf>
    <xf numFmtId="178" fontId="37" fillId="0" borderId="0" xfId="0" applyNumberFormat="1" applyFont="1" applyBorder="1" applyAlignment="1">
      <alignment horizontal="center"/>
    </xf>
    <xf numFmtId="178" fontId="38" fillId="0" borderId="5" xfId="0" applyNumberFormat="1" applyFont="1" applyBorder="1" applyAlignment="1">
      <alignment horizontal="center"/>
    </xf>
    <xf numFmtId="178" fontId="38" fillId="5" borderId="0" xfId="0" applyNumberFormat="1" applyFont="1" applyFill="1" applyBorder="1" applyAlignment="1">
      <alignment horizontal="center"/>
    </xf>
    <xf numFmtId="179" fontId="5" fillId="0" borderId="0" xfId="0" applyNumberFormat="1" applyFont="1" applyAlignment="1">
      <alignment horizontal="right"/>
    </xf>
    <xf numFmtId="179" fontId="5" fillId="0" borderId="0" xfId="0" applyNumberFormat="1" applyFont="1"/>
    <xf numFmtId="2" fontId="37" fillId="0" borderId="8" xfId="0" applyNumberFormat="1" applyFont="1" applyBorder="1" applyAlignment="1">
      <alignment horizontal="center"/>
    </xf>
    <xf numFmtId="178" fontId="38" fillId="5" borderId="9" xfId="0" applyNumberFormat="1" applyFont="1" applyFill="1" applyBorder="1" applyAlignment="1">
      <alignment horizontal="center"/>
    </xf>
    <xf numFmtId="178" fontId="38" fillId="0" borderId="10" xfId="0" applyNumberFormat="1" applyFont="1" applyBorder="1" applyAlignment="1">
      <alignment horizontal="center"/>
    </xf>
    <xf numFmtId="178" fontId="38" fillId="0" borderId="11" xfId="0" applyNumberFormat="1" applyFont="1" applyBorder="1" applyAlignment="1">
      <alignment horizontal="center"/>
    </xf>
    <xf numFmtId="2" fontId="37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1" fontId="37" fillId="0" borderId="13" xfId="0" applyNumberFormat="1" applyFont="1" applyBorder="1" applyAlignment="1">
      <alignment horizontal="center"/>
    </xf>
    <xf numFmtId="1" fontId="37" fillId="0" borderId="14" xfId="0" applyNumberFormat="1" applyFont="1" applyBorder="1" applyAlignment="1">
      <alignment horizontal="center"/>
    </xf>
    <xf numFmtId="1" fontId="37" fillId="0" borderId="15" xfId="0" applyNumberFormat="1" applyFont="1" applyBorder="1" applyAlignment="1">
      <alignment horizontal="center"/>
    </xf>
    <xf numFmtId="1" fontId="37" fillId="0" borderId="0" xfId="0" applyNumberFormat="1" applyFont="1" applyAlignment="1">
      <alignment horizontal="center"/>
    </xf>
    <xf numFmtId="0" fontId="5" fillId="0" borderId="0" xfId="0" applyFont="1" applyAlignment="1"/>
    <xf numFmtId="2" fontId="37" fillId="0" borderId="6" xfId="0" applyNumberFormat="1" applyFont="1" applyBorder="1" applyAlignment="1">
      <alignment horizontal="center"/>
    </xf>
    <xf numFmtId="180" fontId="5" fillId="0" borderId="0" xfId="0" applyNumberFormat="1" applyFont="1" applyAlignment="1">
      <alignment horizontal="center"/>
    </xf>
    <xf numFmtId="170" fontId="5" fillId="0" borderId="0" xfId="0" applyNumberFormat="1" applyFont="1" applyAlignment="1">
      <alignment horizontal="center"/>
    </xf>
    <xf numFmtId="0" fontId="13" fillId="0" borderId="0" xfId="0" applyFont="1" applyAlignment="1">
      <alignment vertical="center"/>
    </xf>
    <xf numFmtId="177" fontId="5" fillId="0" borderId="0" xfId="0" applyNumberFormat="1" applyFont="1" applyAlignment="1">
      <alignment horizontal="center"/>
    </xf>
    <xf numFmtId="177" fontId="5" fillId="0" borderId="0" xfId="0" applyNumberFormat="1" applyFont="1"/>
    <xf numFmtId="164" fontId="5" fillId="0" borderId="0" xfId="0" applyNumberFormat="1" applyFont="1" applyAlignment="1">
      <alignment horizontal="center"/>
    </xf>
    <xf numFmtId="0" fontId="13" fillId="0" borderId="0" xfId="0" applyFont="1"/>
    <xf numFmtId="177" fontId="5" fillId="0" borderId="0" xfId="0" applyNumberFormat="1" applyFont="1" applyAlignment="1">
      <alignment horizontal="right"/>
    </xf>
    <xf numFmtId="177" fontId="5" fillId="0" borderId="0" xfId="0" applyNumberFormat="1" applyFont="1" applyAlignment="1">
      <alignment horizontal="center" vertical="center"/>
    </xf>
    <xf numFmtId="177" fontId="5" fillId="0" borderId="0" xfId="0" applyNumberFormat="1" applyFont="1" applyAlignment="1"/>
    <xf numFmtId="177" fontId="34" fillId="0" borderId="0" xfId="0" applyNumberFormat="1" applyFont="1" applyAlignment="1">
      <alignment horizontal="center"/>
    </xf>
    <xf numFmtId="177" fontId="23" fillId="0" borderId="0" xfId="0" applyNumberFormat="1" applyFont="1" applyAlignment="1">
      <alignment horizontal="center" vertical="center"/>
    </xf>
    <xf numFmtId="178" fontId="38" fillId="0" borderId="9" xfId="0" applyNumberFormat="1" applyFont="1" applyBorder="1" applyAlignment="1">
      <alignment horizontal="center"/>
    </xf>
    <xf numFmtId="2" fontId="37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5" fillId="0" borderId="1" xfId="0" applyFont="1" applyBorder="1"/>
    <xf numFmtId="0" fontId="8" fillId="0" borderId="6" xfId="0" applyFont="1" applyBorder="1" applyAlignment="1">
      <alignment horizontal="right" vertical="center"/>
    </xf>
    <xf numFmtId="164" fontId="37" fillId="0" borderId="2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5" fillId="0" borderId="3" xfId="0" applyFont="1" applyBorder="1"/>
    <xf numFmtId="2" fontId="5" fillId="0" borderId="2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 vertical="center"/>
    </xf>
    <xf numFmtId="2" fontId="42" fillId="0" borderId="14" xfId="0" applyNumberFormat="1" applyFont="1" applyBorder="1" applyAlignment="1">
      <alignment horizontal="center" vertical="center"/>
    </xf>
    <xf numFmtId="2" fontId="42" fillId="0" borderId="15" xfId="0" applyNumberFormat="1" applyFont="1" applyBorder="1" applyAlignment="1">
      <alignment horizontal="center" vertical="center"/>
    </xf>
    <xf numFmtId="2" fontId="37" fillId="0" borderId="0" xfId="0" applyNumberFormat="1" applyFont="1" applyFill="1" applyBorder="1" applyAlignment="1"/>
    <xf numFmtId="2" fontId="37" fillId="0" borderId="9" xfId="0" applyNumberFormat="1" applyFont="1" applyBorder="1" applyAlignment="1"/>
    <xf numFmtId="0" fontId="8" fillId="0" borderId="8" xfId="0" applyFont="1" applyBorder="1" applyAlignment="1">
      <alignment horizontal="center" vertical="center"/>
    </xf>
    <xf numFmtId="0" fontId="5" fillId="0" borderId="10" xfId="0" applyFont="1" applyBorder="1"/>
    <xf numFmtId="0" fontId="5" fillId="0" borderId="4" xfId="0" applyFont="1" applyBorder="1"/>
    <xf numFmtId="0" fontId="5" fillId="0" borderId="0" xfId="0" applyFont="1" applyBorder="1"/>
    <xf numFmtId="2" fontId="37" fillId="0" borderId="5" xfId="0" applyNumberFormat="1" applyFont="1" applyBorder="1" applyAlignment="1"/>
    <xf numFmtId="2" fontId="37" fillId="0" borderId="0" xfId="0" applyNumberFormat="1" applyFont="1" applyBorder="1" applyAlignment="1"/>
    <xf numFmtId="0" fontId="8" fillId="0" borderId="1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center"/>
    </xf>
    <xf numFmtId="0" fontId="14" fillId="0" borderId="0" xfId="0" applyFont="1" applyBorder="1" applyAlignment="1"/>
    <xf numFmtId="0" fontId="5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" xfId="0" applyFont="1" applyBorder="1"/>
    <xf numFmtId="177" fontId="19" fillId="0" borderId="3" xfId="0" applyNumberFormat="1" applyFont="1" applyBorder="1" applyAlignment="1"/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1" fontId="37" fillId="0" borderId="1" xfId="0" applyNumberFormat="1" applyFont="1" applyBorder="1" applyAlignment="1">
      <alignment horizontal="center"/>
    </xf>
    <xf numFmtId="178" fontId="5" fillId="0" borderId="2" xfId="0" applyNumberFormat="1" applyFont="1" applyBorder="1" applyAlignment="1">
      <alignment horizontal="center"/>
    </xf>
    <xf numFmtId="2" fontId="38" fillId="0" borderId="3" xfId="0" applyNumberFormat="1" applyFont="1" applyBorder="1" applyAlignment="1">
      <alignment horizontal="center"/>
    </xf>
    <xf numFmtId="177" fontId="5" fillId="0" borderId="1" xfId="0" applyNumberFormat="1" applyFont="1" applyBorder="1" applyAlignment="1">
      <alignment horizontal="center"/>
    </xf>
    <xf numFmtId="177" fontId="5" fillId="0" borderId="2" xfId="0" applyNumberFormat="1" applyFont="1" applyBorder="1" applyAlignment="1">
      <alignment horizontal="center"/>
    </xf>
    <xf numFmtId="177" fontId="5" fillId="0" borderId="3" xfId="0" applyNumberFormat="1" applyFont="1" applyBorder="1" applyAlignment="1">
      <alignment horizontal="center"/>
    </xf>
    <xf numFmtId="3" fontId="5" fillId="0" borderId="7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177" fontId="19" fillId="0" borderId="5" xfId="0" applyNumberFormat="1" applyFont="1" applyBorder="1" applyAlignment="1"/>
    <xf numFmtId="3" fontId="5" fillId="0" borderId="4" xfId="0" applyNumberFormat="1" applyFont="1" applyBorder="1" applyAlignment="1">
      <alignment horizontal="center"/>
    </xf>
    <xf numFmtId="1" fontId="37" fillId="0" borderId="4" xfId="0" applyNumberFormat="1" applyFont="1" applyBorder="1" applyAlignment="1">
      <alignment horizontal="center"/>
    </xf>
    <xf numFmtId="178" fontId="5" fillId="0" borderId="0" xfId="0" applyNumberFormat="1" applyFont="1" applyBorder="1" applyAlignment="1">
      <alignment horizontal="center"/>
    </xf>
    <xf numFmtId="2" fontId="38" fillId="0" borderId="5" xfId="0" applyNumberFormat="1" applyFont="1" applyBorder="1" applyAlignment="1">
      <alignment horizontal="center"/>
    </xf>
    <xf numFmtId="177" fontId="5" fillId="0" borderId="4" xfId="0" applyNumberFormat="1" applyFont="1" applyBorder="1" applyAlignment="1">
      <alignment horizontal="center"/>
    </xf>
    <xf numFmtId="177" fontId="5" fillId="0" borderId="0" xfId="0" applyNumberFormat="1" applyFont="1" applyBorder="1" applyAlignment="1">
      <alignment horizontal="center"/>
    </xf>
    <xf numFmtId="177" fontId="5" fillId="0" borderId="5" xfId="0" applyNumberFormat="1" applyFont="1" applyBorder="1" applyAlignment="1">
      <alignment horizontal="center"/>
    </xf>
    <xf numFmtId="1" fontId="37" fillId="0" borderId="9" xfId="0" applyNumberFormat="1" applyFont="1" applyBorder="1" applyAlignment="1">
      <alignment horizontal="center"/>
    </xf>
    <xf numFmtId="178" fontId="5" fillId="0" borderId="10" xfId="0" applyNumberFormat="1" applyFont="1" applyBorder="1" applyAlignment="1">
      <alignment horizontal="center"/>
    </xf>
    <xf numFmtId="2" fontId="38" fillId="0" borderId="11" xfId="0" applyNumberFormat="1" applyFont="1" applyBorder="1" applyAlignment="1">
      <alignment horizontal="center"/>
    </xf>
    <xf numFmtId="177" fontId="5" fillId="0" borderId="9" xfId="0" applyNumberFormat="1" applyFont="1" applyBorder="1" applyAlignment="1">
      <alignment horizontal="center"/>
    </xf>
    <xf numFmtId="177" fontId="5" fillId="0" borderId="10" xfId="0" applyNumberFormat="1" applyFont="1" applyBorder="1" applyAlignment="1">
      <alignment horizontal="center"/>
    </xf>
    <xf numFmtId="177" fontId="5" fillId="0" borderId="11" xfId="0" applyNumberFormat="1" applyFont="1" applyBorder="1" applyAlignment="1">
      <alignment horizontal="center"/>
    </xf>
    <xf numFmtId="164" fontId="5" fillId="0" borderId="0" xfId="0" applyNumberFormat="1" applyFont="1" applyBorder="1"/>
    <xf numFmtId="178" fontId="38" fillId="0" borderId="1" xfId="0" applyNumberFormat="1" applyFont="1" applyFill="1" applyBorder="1" applyAlignment="1">
      <alignment horizontal="center"/>
    </xf>
    <xf numFmtId="178" fontId="38" fillId="0" borderId="4" xfId="0" applyNumberFormat="1" applyFont="1" applyFill="1" applyBorder="1" applyAlignment="1">
      <alignment horizontal="center"/>
    </xf>
    <xf numFmtId="4" fontId="5" fillId="0" borderId="0" xfId="0" applyNumberFormat="1" applyFont="1" applyBorder="1"/>
    <xf numFmtId="0" fontId="5" fillId="0" borderId="9" xfId="0" applyFont="1" applyBorder="1" applyAlignment="1">
      <alignment horizontal="center"/>
    </xf>
    <xf numFmtId="3" fontId="5" fillId="0" borderId="8" xfId="0" applyNumberFormat="1" applyFont="1" applyBorder="1" applyAlignment="1">
      <alignment horizontal="center"/>
    </xf>
    <xf numFmtId="2" fontId="5" fillId="0" borderId="10" xfId="0" applyNumberFormat="1" applyFont="1" applyBorder="1" applyAlignment="1">
      <alignment horizontal="center"/>
    </xf>
    <xf numFmtId="2" fontId="5" fillId="0" borderId="9" xfId="0" applyNumberFormat="1" applyFont="1" applyBorder="1" applyAlignment="1">
      <alignment horizontal="center"/>
    </xf>
    <xf numFmtId="177" fontId="19" fillId="0" borderId="11" xfId="0" applyNumberFormat="1" applyFont="1" applyBorder="1" applyAlignment="1"/>
    <xf numFmtId="3" fontId="5" fillId="0" borderId="9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3" fontId="19" fillId="0" borderId="0" xfId="0" applyNumberFormat="1" applyFont="1" applyFill="1" applyAlignment="1">
      <alignment horizontal="center"/>
    </xf>
    <xf numFmtId="3" fontId="5" fillId="0" borderId="0" xfId="0" applyNumberFormat="1" applyFont="1" applyFill="1" applyAlignment="1">
      <alignment horizontal="center"/>
    </xf>
    <xf numFmtId="3" fontId="37" fillId="0" borderId="0" xfId="0" applyNumberFormat="1" applyFont="1" applyFill="1" applyAlignment="1">
      <alignment horizontal="right" vertical="center"/>
    </xf>
    <xf numFmtId="0" fontId="19" fillId="0" borderId="0" xfId="0" applyFont="1"/>
    <xf numFmtId="0" fontId="16" fillId="0" borderId="0" xfId="0" applyFont="1" applyAlignment="1">
      <alignment horizontal="right" vertical="center"/>
    </xf>
    <xf numFmtId="0" fontId="14" fillId="0" borderId="6" xfId="0" applyFont="1" applyBorder="1" applyAlignment="1"/>
    <xf numFmtId="167" fontId="48" fillId="0" borderId="1" xfId="0" applyNumberFormat="1" applyFont="1" applyBorder="1" applyAlignment="1">
      <alignment horizontal="center"/>
    </xf>
    <xf numFmtId="167" fontId="48" fillId="0" borderId="2" xfId="0" applyNumberFormat="1" applyFont="1" applyBorder="1" applyAlignment="1">
      <alignment horizontal="center"/>
    </xf>
    <xf numFmtId="167" fontId="48" fillId="0" borderId="3" xfId="0" applyNumberFormat="1" applyFont="1" applyBorder="1" applyAlignment="1">
      <alignment horizontal="center"/>
    </xf>
    <xf numFmtId="0" fontId="19" fillId="0" borderId="0" xfId="0" applyFont="1" applyBorder="1"/>
    <xf numFmtId="0" fontId="14" fillId="0" borderId="0" xfId="0" applyFont="1" applyBorder="1" applyAlignment="1">
      <alignment horizontal="right"/>
    </xf>
    <xf numFmtId="2" fontId="48" fillId="0" borderId="0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Alignment="1">
      <alignment vertical="center"/>
    </xf>
    <xf numFmtId="167" fontId="19" fillId="0" borderId="0" xfId="0" applyNumberFormat="1" applyFont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right" vertical="center"/>
    </xf>
    <xf numFmtId="167" fontId="19" fillId="0" borderId="13" xfId="0" applyNumberFormat="1" applyFont="1" applyBorder="1" applyAlignment="1">
      <alignment horizontal="center" vertical="center"/>
    </xf>
    <xf numFmtId="3" fontId="20" fillId="0" borderId="0" xfId="0" applyNumberFormat="1" applyFont="1" applyFill="1" applyBorder="1" applyAlignment="1">
      <alignment vertical="center" wrapText="1"/>
    </xf>
    <xf numFmtId="3" fontId="38" fillId="0" borderId="0" xfId="0" applyNumberFormat="1" applyFont="1" applyFill="1" applyAlignment="1">
      <alignment horizontal="center" vertical="center"/>
    </xf>
    <xf numFmtId="0" fontId="14" fillId="0" borderId="13" xfId="0" applyFont="1" applyBorder="1" applyAlignment="1"/>
    <xf numFmtId="2" fontId="48" fillId="0" borderId="13" xfId="0" applyNumberFormat="1" applyFont="1" applyBorder="1" applyAlignment="1">
      <alignment horizontal="center" vertical="center"/>
    </xf>
    <xf numFmtId="2" fontId="48" fillId="0" borderId="14" xfId="0" applyNumberFormat="1" applyFont="1" applyBorder="1" applyAlignment="1">
      <alignment horizontal="center" vertical="center"/>
    </xf>
    <xf numFmtId="2" fontId="48" fillId="0" borderId="15" xfId="0" applyNumberFormat="1" applyFont="1" applyBorder="1" applyAlignment="1">
      <alignment horizontal="center" vertical="center"/>
    </xf>
    <xf numFmtId="164" fontId="50" fillId="0" borderId="0" xfId="0" applyNumberFormat="1" applyFont="1" applyBorder="1" applyAlignment="1">
      <alignment horizontal="center"/>
    </xf>
    <xf numFmtId="3" fontId="20" fillId="0" borderId="13" xfId="0" applyNumberFormat="1" applyFont="1" applyFill="1" applyBorder="1" applyAlignment="1">
      <alignment horizontal="center" vertical="center"/>
    </xf>
    <xf numFmtId="3" fontId="37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37" fillId="0" borderId="15" xfId="0" applyNumberFormat="1" applyFont="1" applyFill="1" applyBorder="1" applyAlignment="1">
      <alignment horizontal="center"/>
    </xf>
    <xf numFmtId="3" fontId="38" fillId="0" borderId="0" xfId="0" applyNumberFormat="1" applyFont="1" applyFill="1" applyAlignment="1">
      <alignment horizontal="center"/>
    </xf>
    <xf numFmtId="0" fontId="14" fillId="0" borderId="13" xfId="0" applyFont="1" applyBorder="1" applyAlignment="1">
      <alignment vertical="center"/>
    </xf>
    <xf numFmtId="170" fontId="19" fillId="0" borderId="9" xfId="0" applyNumberFormat="1" applyFont="1" applyBorder="1" applyAlignment="1">
      <alignment horizontal="center" vertical="center"/>
    </xf>
    <xf numFmtId="170" fontId="19" fillId="0" borderId="10" xfId="0" applyNumberFormat="1" applyFont="1" applyBorder="1" applyAlignment="1">
      <alignment horizontal="center" vertical="center"/>
    </xf>
    <xf numFmtId="170" fontId="19" fillId="0" borderId="11" xfId="0" applyNumberFormat="1" applyFont="1" applyBorder="1" applyAlignment="1">
      <alignment horizontal="center" vertical="center"/>
    </xf>
    <xf numFmtId="170" fontId="19" fillId="0" borderId="13" xfId="0" applyNumberFormat="1" applyFont="1" applyBorder="1" applyAlignment="1">
      <alignment horizontal="center" vertical="center"/>
    </xf>
    <xf numFmtId="170" fontId="19" fillId="0" borderId="14" xfId="0" applyNumberFormat="1" applyFont="1" applyBorder="1" applyAlignment="1">
      <alignment horizontal="center" vertical="center"/>
    </xf>
    <xf numFmtId="170" fontId="19" fillId="0" borderId="15" xfId="0" applyNumberFormat="1" applyFont="1" applyBorder="1" applyAlignment="1">
      <alignment horizontal="center" vertical="center"/>
    </xf>
    <xf numFmtId="170" fontId="19" fillId="0" borderId="0" xfId="0" applyNumberFormat="1" applyFont="1" applyBorder="1" applyAlignment="1">
      <alignment horizontal="center" vertical="center"/>
    </xf>
    <xf numFmtId="170" fontId="19" fillId="0" borderId="0" xfId="0" applyNumberFormat="1" applyFont="1" applyBorder="1" applyAlignment="1">
      <alignment horizontal="center"/>
    </xf>
    <xf numFmtId="164" fontId="50" fillId="0" borderId="1" xfId="0" applyNumberFormat="1" applyFont="1" applyBorder="1" applyAlignment="1">
      <alignment horizontal="center"/>
    </xf>
    <xf numFmtId="164" fontId="50" fillId="0" borderId="2" xfId="0" applyNumberFormat="1" applyFont="1" applyBorder="1" applyAlignment="1">
      <alignment horizontal="center"/>
    </xf>
    <xf numFmtId="164" fontId="50" fillId="0" borderId="13" xfId="0" applyNumberFormat="1" applyFont="1" applyBorder="1" applyAlignment="1">
      <alignment horizontal="center"/>
    </xf>
    <xf numFmtId="164" fontId="50" fillId="0" borderId="14" xfId="0" applyNumberFormat="1" applyFont="1" applyBorder="1" applyAlignment="1">
      <alignment horizontal="center"/>
    </xf>
    <xf numFmtId="164" fontId="50" fillId="0" borderId="15" xfId="0" applyNumberFormat="1" applyFont="1" applyBorder="1" applyAlignment="1">
      <alignment horizontal="center"/>
    </xf>
    <xf numFmtId="4" fontId="50" fillId="0" borderId="13" xfId="0" applyNumberFormat="1" applyFont="1" applyBorder="1" applyAlignment="1">
      <alignment horizontal="center"/>
    </xf>
    <xf numFmtId="4" fontId="50" fillId="0" borderId="14" xfId="0" applyNumberFormat="1" applyFont="1" applyBorder="1" applyAlignment="1">
      <alignment horizontal="center"/>
    </xf>
    <xf numFmtId="4" fontId="50" fillId="0" borderId="15" xfId="0" applyNumberFormat="1" applyFont="1" applyBorder="1" applyAlignment="1">
      <alignment horizontal="center"/>
    </xf>
    <xf numFmtId="4" fontId="37" fillId="0" borderId="13" xfId="0" applyNumberFormat="1" applyFont="1" applyFill="1" applyBorder="1" applyAlignment="1">
      <alignment horizontal="center"/>
    </xf>
    <xf numFmtId="4" fontId="37" fillId="0" borderId="14" xfId="0" applyNumberFormat="1" applyFont="1" applyFill="1" applyBorder="1" applyAlignment="1">
      <alignment horizontal="center"/>
    </xf>
    <xf numFmtId="4" fontId="37" fillId="0" borderId="15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>
      <alignment horizontal="center"/>
    </xf>
    <xf numFmtId="3" fontId="20" fillId="0" borderId="12" xfId="0" applyNumberFormat="1" applyFont="1" applyFill="1" applyBorder="1" applyAlignment="1">
      <alignment horizontal="right" vertical="center"/>
    </xf>
    <xf numFmtId="0" fontId="27" fillId="0" borderId="12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" fontId="37" fillId="7" borderId="7" xfId="0" applyNumberFormat="1" applyFont="1" applyFill="1" applyBorder="1" applyAlignment="1">
      <alignment horizontal="center"/>
    </xf>
    <xf numFmtId="178" fontId="38" fillId="0" borderId="2" xfId="0" applyNumberFormat="1" applyFont="1" applyFill="1" applyBorder="1" applyAlignment="1">
      <alignment horizontal="center"/>
    </xf>
    <xf numFmtId="178" fontId="38" fillId="0" borderId="3" xfId="0" applyNumberFormat="1" applyFont="1" applyFill="1" applyBorder="1" applyAlignment="1">
      <alignment horizontal="center"/>
    </xf>
    <xf numFmtId="178" fontId="38" fillId="7" borderId="2" xfId="0" applyNumberFormat="1" applyFont="1" applyFill="1" applyBorder="1" applyAlignment="1">
      <alignment horizontal="center"/>
    </xf>
    <xf numFmtId="0" fontId="19" fillId="0" borderId="6" xfId="0" applyFont="1" applyBorder="1" applyAlignment="1">
      <alignment horizontal="center"/>
    </xf>
    <xf numFmtId="167" fontId="19" fillId="0" borderId="7" xfId="0" applyNumberFormat="1" applyFont="1" applyBorder="1" applyAlignment="1">
      <alignment horizontal="center"/>
    </xf>
    <xf numFmtId="167" fontId="19" fillId="0" borderId="4" xfId="0" applyNumberFormat="1" applyFont="1" applyBorder="1" applyAlignment="1">
      <alignment horizontal="center"/>
    </xf>
    <xf numFmtId="167" fontId="19" fillId="0" borderId="0" xfId="0" applyNumberFormat="1" applyFont="1" applyBorder="1" applyAlignment="1">
      <alignment horizontal="center"/>
    </xf>
    <xf numFmtId="167" fontId="19" fillId="0" borderId="5" xfId="0" applyNumberFormat="1" applyFont="1" applyBorder="1" applyAlignment="1">
      <alignment horizontal="center"/>
    </xf>
    <xf numFmtId="167" fontId="19" fillId="0" borderId="0" xfId="0" applyNumberFormat="1" applyFont="1" applyAlignment="1">
      <alignment horizontal="center"/>
    </xf>
    <xf numFmtId="165" fontId="19" fillId="0" borderId="7" xfId="0" applyNumberFormat="1" applyFont="1" applyBorder="1" applyAlignment="1">
      <alignment horizontal="center"/>
    </xf>
    <xf numFmtId="178" fontId="19" fillId="0" borderId="0" xfId="0" applyNumberFormat="1" applyFont="1" applyBorder="1" applyAlignment="1">
      <alignment horizontal="center"/>
    </xf>
    <xf numFmtId="167" fontId="19" fillId="0" borderId="6" xfId="0" applyNumberFormat="1" applyFont="1" applyBorder="1" applyAlignment="1">
      <alignment horizontal="center"/>
    </xf>
    <xf numFmtId="167" fontId="19" fillId="0" borderId="1" xfId="0" applyNumberFormat="1" applyFont="1" applyBorder="1" applyAlignment="1">
      <alignment horizontal="center"/>
    </xf>
    <xf numFmtId="165" fontId="19" fillId="0" borderId="2" xfId="0" applyNumberFormat="1" applyFont="1" applyFill="1" applyBorder="1" applyAlignment="1">
      <alignment horizontal="center"/>
    </xf>
    <xf numFmtId="165" fontId="19" fillId="0" borderId="3" xfId="0" applyNumberFormat="1" applyFont="1" applyFill="1" applyBorder="1" applyAlignment="1">
      <alignment horizontal="center"/>
    </xf>
    <xf numFmtId="2" fontId="52" fillId="0" borderId="7" xfId="0" applyNumberFormat="1" applyFont="1" applyBorder="1" applyAlignment="1">
      <alignment horizontal="center"/>
    </xf>
    <xf numFmtId="167" fontId="19" fillId="0" borderId="0" xfId="0" applyNumberFormat="1" applyFont="1" applyFill="1" applyBorder="1" applyAlignment="1">
      <alignment horizontal="center"/>
    </xf>
    <xf numFmtId="167" fontId="19" fillId="0" borderId="2" xfId="0" applyNumberFormat="1" applyFont="1" applyBorder="1" applyAlignment="1">
      <alignment horizontal="center"/>
    </xf>
    <xf numFmtId="167" fontId="19" fillId="0" borderId="3" xfId="0" applyNumberFormat="1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2" fontId="19" fillId="0" borderId="6" xfId="0" applyNumberFormat="1" applyFont="1" applyBorder="1" applyAlignment="1">
      <alignment horizontal="center"/>
    </xf>
    <xf numFmtId="3" fontId="38" fillId="0" borderId="1" xfId="0" applyNumberFormat="1" applyFont="1" applyFill="1" applyBorder="1" applyAlignment="1">
      <alignment horizontal="center"/>
    </xf>
    <xf numFmtId="4" fontId="19" fillId="0" borderId="6" xfId="0" applyNumberFormat="1" applyFont="1" applyFill="1" applyBorder="1" applyAlignment="1">
      <alignment horizontal="center"/>
    </xf>
    <xf numFmtId="164" fontId="19" fillId="0" borderId="1" xfId="0" applyNumberFormat="1" applyFont="1" applyFill="1" applyBorder="1" applyAlignment="1">
      <alignment horizontal="center"/>
    </xf>
    <xf numFmtId="164" fontId="19" fillId="0" borderId="2" xfId="0" applyNumberFormat="1" applyFont="1" applyFill="1" applyBorder="1" applyAlignment="1">
      <alignment horizontal="center"/>
    </xf>
    <xf numFmtId="164" fontId="19" fillId="0" borderId="3" xfId="0" applyNumberFormat="1" applyFont="1" applyFill="1" applyBorder="1" applyAlignment="1">
      <alignment horizontal="center"/>
    </xf>
    <xf numFmtId="164" fontId="38" fillId="0" borderId="2" xfId="0" applyNumberFormat="1" applyFont="1" applyFill="1" applyBorder="1" applyAlignment="1">
      <alignment horizontal="center"/>
    </xf>
    <xf numFmtId="3" fontId="19" fillId="0" borderId="2" xfId="0" applyNumberFormat="1" applyFont="1" applyFill="1" applyBorder="1" applyAlignment="1">
      <alignment horizontal="center"/>
    </xf>
    <xf numFmtId="3" fontId="19" fillId="0" borderId="4" xfId="0" applyNumberFormat="1" applyFont="1" applyFill="1" applyBorder="1" applyAlignment="1">
      <alignment horizontal="center"/>
    </xf>
    <xf numFmtId="177" fontId="19" fillId="0" borderId="5" xfId="0" applyNumberFormat="1" applyFont="1" applyFill="1" applyBorder="1" applyAlignment="1">
      <alignment horizontal="center"/>
    </xf>
    <xf numFmtId="167" fontId="19" fillId="0" borderId="2" xfId="0" applyNumberFormat="1" applyFont="1" applyFill="1" applyBorder="1" applyAlignment="1">
      <alignment horizontal="center"/>
    </xf>
    <xf numFmtId="167" fontId="19" fillId="0" borderId="3" xfId="0" applyNumberFormat="1" applyFont="1" applyFill="1" applyBorder="1" applyAlignment="1">
      <alignment horizontal="center"/>
    </xf>
    <xf numFmtId="3" fontId="19" fillId="0" borderId="1" xfId="0" applyNumberFormat="1" applyFont="1" applyFill="1" applyBorder="1" applyAlignment="1">
      <alignment horizontal="center"/>
    </xf>
    <xf numFmtId="3" fontId="19" fillId="0" borderId="3" xfId="0" applyNumberFormat="1" applyFont="1" applyFill="1" applyBorder="1" applyAlignment="1">
      <alignment horizontal="center"/>
    </xf>
    <xf numFmtId="4" fontId="37" fillId="0" borderId="7" xfId="0" applyNumberFormat="1" applyFont="1" applyFill="1" applyBorder="1" applyAlignment="1">
      <alignment horizontal="center"/>
    </xf>
    <xf numFmtId="178" fontId="38" fillId="0" borderId="0" xfId="0" applyNumberFormat="1" applyFont="1" applyFill="1" applyBorder="1" applyAlignment="1">
      <alignment horizontal="center"/>
    </xf>
    <xf numFmtId="178" fontId="38" fillId="0" borderId="5" xfId="0" applyNumberFormat="1" applyFont="1" applyFill="1" applyBorder="1" applyAlignment="1">
      <alignment horizontal="center"/>
    </xf>
    <xf numFmtId="0" fontId="19" fillId="0" borderId="7" xfId="0" applyFont="1" applyBorder="1" applyAlignment="1">
      <alignment horizontal="center"/>
    </xf>
    <xf numFmtId="165" fontId="19" fillId="0" borderId="0" xfId="0" applyNumberFormat="1" applyFont="1" applyFill="1" applyBorder="1" applyAlignment="1">
      <alignment horizontal="center"/>
    </xf>
    <xf numFmtId="165" fontId="19" fillId="0" borderId="5" xfId="0" applyNumberFormat="1" applyFont="1" applyFill="1" applyBorder="1" applyAlignment="1">
      <alignment horizontal="center"/>
    </xf>
    <xf numFmtId="0" fontId="19" fillId="0" borderId="5" xfId="0" applyFont="1" applyBorder="1" applyAlignment="1">
      <alignment horizontal="center"/>
    </xf>
    <xf numFmtId="2" fontId="19" fillId="0" borderId="7" xfId="0" applyNumberFormat="1" applyFont="1" applyBorder="1" applyAlignment="1">
      <alignment horizontal="center"/>
    </xf>
    <xf numFmtId="3" fontId="38" fillId="0" borderId="4" xfId="0" applyNumberFormat="1" applyFont="1" applyFill="1" applyBorder="1" applyAlignment="1">
      <alignment horizontal="center"/>
    </xf>
    <xf numFmtId="4" fontId="19" fillId="0" borderId="7" xfId="0" applyNumberFormat="1" applyFont="1" applyFill="1" applyBorder="1" applyAlignment="1">
      <alignment horizontal="center"/>
    </xf>
    <xf numFmtId="164" fontId="19" fillId="0" borderId="4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/>
    </xf>
    <xf numFmtId="164" fontId="19" fillId="0" borderId="5" xfId="0" applyNumberFormat="1" applyFont="1" applyFill="1" applyBorder="1" applyAlignment="1">
      <alignment horizontal="center"/>
    </xf>
    <xf numFmtId="164" fontId="38" fillId="0" borderId="0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167" fontId="19" fillId="0" borderId="5" xfId="0" applyNumberFormat="1" applyFont="1" applyFill="1" applyBorder="1" applyAlignment="1">
      <alignment horizontal="center"/>
    </xf>
    <xf numFmtId="3" fontId="19" fillId="0" borderId="5" xfId="0" applyNumberFormat="1" applyFont="1" applyFill="1" applyBorder="1" applyAlignment="1">
      <alignment horizontal="center"/>
    </xf>
    <xf numFmtId="178" fontId="38" fillId="5" borderId="5" xfId="0" applyNumberFormat="1" applyFont="1" applyFill="1" applyBorder="1" applyAlignment="1">
      <alignment horizontal="center"/>
    </xf>
    <xf numFmtId="178" fontId="19" fillId="0" borderId="0" xfId="0" applyNumberFormat="1" applyFont="1" applyFill="1" applyAlignment="1">
      <alignment horizontal="center"/>
    </xf>
    <xf numFmtId="178" fontId="19" fillId="0" borderId="5" xfId="0" applyNumberFormat="1" applyFont="1" applyFill="1" applyBorder="1" applyAlignment="1">
      <alignment horizontal="center"/>
    </xf>
    <xf numFmtId="167" fontId="19" fillId="0" borderId="0" xfId="0" applyNumberFormat="1" applyFont="1" applyAlignment="1">
      <alignment horizontal="center" vertical="center"/>
    </xf>
    <xf numFmtId="0" fontId="53" fillId="0" borderId="0" xfId="0" applyFont="1" applyAlignment="1">
      <alignment vertical="center"/>
    </xf>
    <xf numFmtId="178" fontId="38" fillId="5" borderId="4" xfId="0" applyNumberFormat="1" applyFont="1" applyFill="1" applyBorder="1" applyAlignment="1">
      <alignment horizontal="center"/>
    </xf>
    <xf numFmtId="4" fontId="37" fillId="0" borderId="8" xfId="0" applyNumberFormat="1" applyFont="1" applyFill="1" applyBorder="1" applyAlignment="1">
      <alignment horizontal="center"/>
    </xf>
    <xf numFmtId="178" fontId="38" fillId="0" borderId="9" xfId="0" applyNumberFormat="1" applyFont="1" applyFill="1" applyBorder="1" applyAlignment="1">
      <alignment horizontal="center"/>
    </xf>
    <xf numFmtId="178" fontId="38" fillId="0" borderId="10" xfId="0" applyNumberFormat="1" applyFont="1" applyFill="1" applyBorder="1" applyAlignment="1">
      <alignment horizontal="center"/>
    </xf>
    <xf numFmtId="178" fontId="38" fillId="0" borderId="11" xfId="0" applyNumberFormat="1" applyFont="1" applyFill="1" applyBorder="1" applyAlignment="1">
      <alignment horizontal="center"/>
    </xf>
    <xf numFmtId="178" fontId="19" fillId="0" borderId="0" xfId="0" applyNumberFormat="1" applyFont="1" applyAlignment="1">
      <alignment horizontal="center"/>
    </xf>
    <xf numFmtId="3" fontId="38" fillId="0" borderId="2" xfId="0" applyNumberFormat="1" applyFont="1" applyFill="1" applyBorder="1" applyAlignment="1">
      <alignment horizontal="center"/>
    </xf>
    <xf numFmtId="3" fontId="38" fillId="0" borderId="3" xfId="0" applyNumberFormat="1" applyFont="1" applyFill="1" applyBorder="1" applyAlignment="1">
      <alignment horizontal="center"/>
    </xf>
    <xf numFmtId="4" fontId="38" fillId="0" borderId="1" xfId="0" applyNumberFormat="1" applyFont="1" applyFill="1" applyBorder="1" applyAlignment="1">
      <alignment horizontal="center"/>
    </xf>
    <xf numFmtId="164" fontId="38" fillId="0" borderId="1" xfId="0" applyNumberFormat="1" applyFont="1" applyFill="1" applyBorder="1" applyAlignment="1">
      <alignment horizontal="center"/>
    </xf>
    <xf numFmtId="164" fontId="38" fillId="0" borderId="3" xfId="0" applyNumberFormat="1" applyFont="1" applyFill="1" applyBorder="1" applyAlignment="1">
      <alignment horizontal="center"/>
    </xf>
    <xf numFmtId="11" fontId="20" fillId="0" borderId="0" xfId="0" applyNumberFormat="1" applyFont="1" applyAlignment="1">
      <alignment horizontal="right" vertical="center"/>
    </xf>
    <xf numFmtId="2" fontId="55" fillId="0" borderId="0" xfId="0" applyNumberFormat="1" applyFont="1" applyAlignment="1">
      <alignment horizontal="center" vertical="center"/>
    </xf>
    <xf numFmtId="4" fontId="38" fillId="0" borderId="4" xfId="0" applyNumberFormat="1" applyFont="1" applyFill="1" applyBorder="1" applyAlignment="1">
      <alignment horizontal="center"/>
    </xf>
    <xf numFmtId="164" fontId="38" fillId="0" borderId="4" xfId="0" applyNumberFormat="1" applyFont="1" applyFill="1" applyBorder="1" applyAlignment="1">
      <alignment horizontal="center"/>
    </xf>
    <xf numFmtId="164" fontId="38" fillId="0" borderId="5" xfId="0" applyNumberFormat="1" applyFont="1" applyFill="1" applyBorder="1" applyAlignment="1">
      <alignment horizontal="center"/>
    </xf>
    <xf numFmtId="0" fontId="14" fillId="0" borderId="0" xfId="0" applyFont="1" applyFill="1" applyBorder="1" applyAlignment="1" applyProtection="1">
      <alignment horizontal="right"/>
    </xf>
    <xf numFmtId="3" fontId="5" fillId="7" borderId="12" xfId="0" applyNumberFormat="1" applyFont="1" applyFill="1" applyBorder="1" applyAlignment="1">
      <alignment horizontal="center"/>
    </xf>
    <xf numFmtId="0" fontId="13" fillId="0" borderId="0" xfId="0" applyFont="1" applyFill="1" applyBorder="1" applyProtection="1"/>
    <xf numFmtId="4" fontId="5" fillId="5" borderId="12" xfId="0" applyNumberFormat="1" applyFont="1" applyFill="1" applyBorder="1" applyAlignment="1" applyProtection="1">
      <alignment horizontal="center"/>
      <protection locked="0"/>
    </xf>
    <xf numFmtId="3" fontId="5" fillId="5" borderId="12" xfId="0" applyNumberFormat="1" applyFont="1" applyFill="1" applyBorder="1" applyAlignment="1" applyProtection="1">
      <alignment horizontal="center"/>
      <protection locked="0"/>
    </xf>
    <xf numFmtId="3" fontId="38" fillId="0" borderId="9" xfId="0" applyNumberFormat="1" applyFont="1" applyFill="1" applyBorder="1" applyAlignment="1">
      <alignment horizontal="center"/>
    </xf>
    <xf numFmtId="4" fontId="5" fillId="7" borderId="12" xfId="0" applyNumberFormat="1" applyFont="1" applyFill="1" applyBorder="1" applyAlignment="1">
      <alignment horizontal="center"/>
    </xf>
    <xf numFmtId="3" fontId="19" fillId="5" borderId="12" xfId="0" applyNumberFormat="1" applyFont="1" applyFill="1" applyBorder="1" applyAlignment="1" applyProtection="1">
      <alignment horizontal="center"/>
      <protection locked="0"/>
    </xf>
    <xf numFmtId="4" fontId="5" fillId="7" borderId="12" xfId="0" applyNumberFormat="1" applyFont="1" applyFill="1" applyBorder="1" applyAlignment="1" applyProtection="1">
      <alignment horizontal="center"/>
    </xf>
    <xf numFmtId="4" fontId="19" fillId="5" borderId="12" xfId="0" applyNumberFormat="1" applyFont="1" applyFill="1" applyBorder="1" applyAlignment="1" applyProtection="1">
      <alignment horizontal="center"/>
      <protection locked="0"/>
    </xf>
    <xf numFmtId="0" fontId="13" fillId="0" borderId="0" xfId="0" applyFont="1" applyFill="1" applyBorder="1" applyAlignment="1" applyProtection="1">
      <alignment vertical="center"/>
    </xf>
    <xf numFmtId="166" fontId="19" fillId="0" borderId="0" xfId="0" applyNumberFormat="1" applyFont="1" applyFill="1" applyBorder="1" applyAlignment="1" applyProtection="1">
      <alignment horizontal="center"/>
    </xf>
    <xf numFmtId="3" fontId="5" fillId="0" borderId="0" xfId="0" applyNumberFormat="1" applyFont="1" applyFill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167" fontId="5" fillId="0" borderId="0" xfId="0" applyNumberFormat="1" applyFont="1" applyFill="1" applyBorder="1" applyAlignment="1" applyProtection="1">
      <alignment horizontal="center"/>
    </xf>
    <xf numFmtId="11" fontId="19" fillId="0" borderId="0" xfId="0" applyNumberFormat="1" applyFont="1" applyFill="1" applyBorder="1" applyAlignment="1" applyProtection="1">
      <alignment horizontal="center"/>
    </xf>
    <xf numFmtId="4" fontId="19" fillId="0" borderId="0" xfId="0" applyNumberFormat="1" applyFont="1" applyFill="1" applyBorder="1" applyAlignment="1" applyProtection="1">
      <alignment horizontal="center"/>
    </xf>
    <xf numFmtId="170" fontId="19" fillId="0" borderId="0" xfId="0" applyNumberFormat="1" applyFont="1" applyFill="1" applyBorder="1" applyAlignment="1" applyProtection="1">
      <alignment horizontal="center"/>
    </xf>
    <xf numFmtId="165" fontId="19" fillId="0" borderId="0" xfId="0" applyNumberFormat="1" applyFont="1" applyFill="1" applyAlignment="1">
      <alignment horizontal="center"/>
    </xf>
    <xf numFmtId="0" fontId="14" fillId="0" borderId="0" xfId="0" applyFont="1" applyFill="1" applyBorder="1" applyAlignment="1" applyProtection="1">
      <alignment horizontal="right" vertical="center"/>
    </xf>
    <xf numFmtId="4" fontId="5" fillId="0" borderId="0" xfId="0" applyNumberFormat="1" applyFont="1" applyFill="1" applyBorder="1" applyAlignment="1" applyProtection="1">
      <alignment horizontal="center"/>
    </xf>
    <xf numFmtId="167" fontId="55" fillId="0" borderId="0" xfId="0" applyNumberFormat="1" applyFont="1" applyFill="1" applyBorder="1" applyAlignment="1" applyProtection="1">
      <alignment horizontal="center" vertical="center"/>
    </xf>
    <xf numFmtId="4" fontId="19" fillId="0" borderId="0" xfId="0" applyNumberFormat="1" applyFont="1" applyFill="1" applyAlignment="1">
      <alignment horizontal="center"/>
    </xf>
    <xf numFmtId="167" fontId="18" fillId="0" borderId="0" xfId="0" applyNumberFormat="1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4" fontId="38" fillId="0" borderId="9" xfId="0" applyNumberFormat="1" applyFont="1" applyFill="1" applyBorder="1" applyAlignment="1">
      <alignment horizontal="center"/>
    </xf>
    <xf numFmtId="164" fontId="38" fillId="0" borderId="9" xfId="0" applyNumberFormat="1" applyFont="1" applyFill="1" applyBorder="1" applyAlignment="1">
      <alignment horizontal="center"/>
    </xf>
    <xf numFmtId="164" fontId="38" fillId="0" borderId="10" xfId="0" applyNumberFormat="1" applyFont="1" applyFill="1" applyBorder="1" applyAlignment="1">
      <alignment horizontal="center"/>
    </xf>
    <xf numFmtId="164" fontId="38" fillId="0" borderId="11" xfId="0" applyNumberFormat="1" applyFont="1" applyFill="1" applyBorder="1" applyAlignment="1">
      <alignment horizontal="center"/>
    </xf>
    <xf numFmtId="3" fontId="23" fillId="0" borderId="0" xfId="0" applyNumberFormat="1" applyFont="1" applyFill="1" applyAlignment="1">
      <alignment horizontal="center" vertical="center"/>
    </xf>
    <xf numFmtId="165" fontId="37" fillId="8" borderId="12" xfId="0" applyNumberFormat="1" applyFont="1" applyFill="1" applyBorder="1" applyAlignment="1">
      <alignment horizontal="center"/>
    </xf>
    <xf numFmtId="0" fontId="12" fillId="0" borderId="0" xfId="0" applyFont="1" applyFill="1" applyBorder="1" applyProtection="1"/>
    <xf numFmtId="0" fontId="14" fillId="0" borderId="0" xfId="0" applyFont="1" applyAlignment="1">
      <alignment vertical="center"/>
    </xf>
    <xf numFmtId="167" fontId="18" fillId="0" borderId="0" xfId="0" applyNumberFormat="1" applyFont="1" applyFill="1" applyBorder="1" applyAlignment="1" applyProtection="1">
      <alignment horizontal="center" vertical="center"/>
    </xf>
    <xf numFmtId="0" fontId="53" fillId="0" borderId="0" xfId="0" applyFont="1" applyAlignment="1">
      <alignment horizontal="left" vertical="center"/>
    </xf>
    <xf numFmtId="4" fontId="38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Alignment="1" applyProtection="1">
      <alignment horizontal="center"/>
    </xf>
    <xf numFmtId="3" fontId="5" fillId="0" borderId="0" xfId="0" applyNumberFormat="1" applyFont="1" applyFill="1" applyAlignment="1" applyProtection="1">
      <alignment horizontal="center"/>
    </xf>
    <xf numFmtId="3" fontId="5" fillId="0" borderId="0" xfId="0" applyNumberFormat="1" applyFont="1" applyFill="1" applyAlignment="1" applyProtection="1">
      <alignment horizontal="center" vertical="center"/>
    </xf>
    <xf numFmtId="3" fontId="17" fillId="0" borderId="0" xfId="0" applyNumberFormat="1" applyFont="1" applyFill="1" applyBorder="1" applyAlignment="1">
      <alignment horizontal="center"/>
    </xf>
    <xf numFmtId="3" fontId="18" fillId="0" borderId="0" xfId="0" applyNumberFormat="1" applyFont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3" fontId="59" fillId="0" borderId="0" xfId="0" applyNumberFormat="1" applyFont="1" applyFill="1" applyBorder="1" applyAlignment="1">
      <alignment horizontal="right" vertical="center"/>
    </xf>
    <xf numFmtId="172" fontId="19" fillId="0" borderId="0" xfId="0" applyNumberFormat="1" applyFont="1" applyFill="1" applyBorder="1" applyAlignment="1">
      <alignment horizontal="center"/>
    </xf>
    <xf numFmtId="165" fontId="37" fillId="0" borderId="0" xfId="0" applyNumberFormat="1" applyFont="1" applyFill="1" applyBorder="1" applyAlignment="1">
      <alignment horizontal="center"/>
    </xf>
    <xf numFmtId="3" fontId="20" fillId="0" borderId="0" xfId="0" applyNumberFormat="1" applyFont="1" applyFill="1" applyBorder="1" applyAlignment="1">
      <alignment horizontal="center" vertical="center"/>
    </xf>
    <xf numFmtId="2" fontId="38" fillId="0" borderId="9" xfId="0" applyNumberFormat="1" applyFont="1" applyFill="1" applyBorder="1" applyAlignment="1">
      <alignment horizontal="center"/>
    </xf>
    <xf numFmtId="2" fontId="38" fillId="0" borderId="10" xfId="0" applyNumberFormat="1" applyFont="1" applyFill="1" applyBorder="1" applyAlignment="1">
      <alignment horizontal="center"/>
    </xf>
    <xf numFmtId="2" fontId="38" fillId="7" borderId="10" xfId="0" applyNumberFormat="1" applyFont="1" applyFill="1" applyBorder="1" applyAlignment="1">
      <alignment horizontal="center"/>
    </xf>
    <xf numFmtId="2" fontId="19" fillId="0" borderId="11" xfId="0" applyNumberFormat="1" applyFont="1" applyFill="1" applyBorder="1" applyAlignment="1">
      <alignment horizontal="center"/>
    </xf>
    <xf numFmtId="178" fontId="19" fillId="0" borderId="0" xfId="0" applyNumberFormat="1" applyFont="1" applyFill="1" applyBorder="1" applyAlignment="1">
      <alignment horizontal="center"/>
    </xf>
    <xf numFmtId="2" fontId="19" fillId="0" borderId="10" xfId="0" applyNumberFormat="1" applyFont="1" applyFill="1" applyBorder="1" applyAlignment="1">
      <alignment horizontal="center"/>
    </xf>
    <xf numFmtId="2" fontId="38" fillId="0" borderId="13" xfId="0" applyNumberFormat="1" applyFont="1" applyFill="1" applyBorder="1" applyAlignment="1">
      <alignment horizontal="center"/>
    </xf>
    <xf numFmtId="2" fontId="38" fillId="0" borderId="14" xfId="0" applyNumberFormat="1" applyFont="1" applyFill="1" applyBorder="1" applyAlignment="1">
      <alignment horizontal="center"/>
    </xf>
    <xf numFmtId="2" fontId="38" fillId="7" borderId="14" xfId="0" applyNumberFormat="1" applyFont="1" applyFill="1" applyBorder="1" applyAlignment="1">
      <alignment horizontal="center"/>
    </xf>
    <xf numFmtId="2" fontId="19" fillId="0" borderId="15" xfId="0" applyNumberFormat="1" applyFont="1" applyFill="1" applyBorder="1" applyAlignment="1">
      <alignment horizontal="center"/>
    </xf>
    <xf numFmtId="167" fontId="19" fillId="0" borderId="4" xfId="0" applyNumberFormat="1" applyFont="1" applyBorder="1" applyAlignment="1">
      <alignment horizontal="center" vertical="center"/>
    </xf>
    <xf numFmtId="167" fontId="19" fillId="0" borderId="5" xfId="0" applyNumberFormat="1" applyFont="1" applyBorder="1" applyAlignment="1">
      <alignment horizontal="center" vertical="center"/>
    </xf>
    <xf numFmtId="167" fontId="19" fillId="0" borderId="7" xfId="0" applyNumberFormat="1" applyFont="1" applyBorder="1" applyAlignment="1">
      <alignment horizontal="center" vertical="center"/>
    </xf>
    <xf numFmtId="165" fontId="19" fillId="0" borderId="7" xfId="0" applyNumberFormat="1" applyFont="1" applyBorder="1" applyAlignment="1">
      <alignment horizontal="center" vertical="center"/>
    </xf>
    <xf numFmtId="178" fontId="19" fillId="0" borderId="0" xfId="0" applyNumberFormat="1" applyFont="1" applyBorder="1" applyAlignment="1">
      <alignment horizontal="center" vertical="center"/>
    </xf>
    <xf numFmtId="3" fontId="20" fillId="0" borderId="14" xfId="0" applyNumberFormat="1" applyFont="1" applyFill="1" applyBorder="1" applyAlignment="1">
      <alignment horizontal="center" vertical="center"/>
    </xf>
    <xf numFmtId="3" fontId="20" fillId="0" borderId="15" xfId="0" applyNumberFormat="1" applyFont="1" applyFill="1" applyBorder="1" applyAlignment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4" fontId="20" fillId="0" borderId="12" xfId="0" applyNumberFormat="1" applyFont="1" applyFill="1" applyBorder="1" applyAlignment="1">
      <alignment horizontal="center" vertical="center"/>
    </xf>
    <xf numFmtId="3" fontId="20" fillId="0" borderId="1" xfId="0" applyNumberFormat="1" applyFont="1" applyFill="1" applyBorder="1" applyAlignment="1">
      <alignment horizontal="center" vertical="center"/>
    </xf>
    <xf numFmtId="3" fontId="20" fillId="0" borderId="3" xfId="0" applyNumberFormat="1" applyFont="1" applyFill="1" applyBorder="1" applyAlignment="1">
      <alignment horizontal="center" vertical="center"/>
    </xf>
    <xf numFmtId="4" fontId="38" fillId="0" borderId="3" xfId="0" applyNumberFormat="1" applyFont="1" applyFill="1" applyBorder="1" applyAlignment="1">
      <alignment horizontal="center"/>
    </xf>
    <xf numFmtId="4" fontId="5" fillId="0" borderId="6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/>
    <xf numFmtId="4" fontId="5" fillId="0" borderId="4" xfId="0" applyNumberFormat="1" applyFont="1" applyFill="1" applyBorder="1" applyAlignment="1">
      <alignment horizontal="center"/>
    </xf>
    <xf numFmtId="165" fontId="5" fillId="0" borderId="5" xfId="0" applyNumberFormat="1" applyFont="1" applyFill="1" applyBorder="1" applyAlignment="1">
      <alignment horizontal="center"/>
    </xf>
    <xf numFmtId="1" fontId="5" fillId="0" borderId="7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4" fontId="5" fillId="7" borderId="0" xfId="0" applyNumberFormat="1" applyFont="1" applyFill="1" applyBorder="1" applyAlignment="1">
      <alignment horizontal="center"/>
    </xf>
    <xf numFmtId="4" fontId="5" fillId="0" borderId="5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2" fontId="5" fillId="7" borderId="2" xfId="0" applyNumberFormat="1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/>
    </xf>
    <xf numFmtId="4" fontId="5" fillId="0" borderId="2" xfId="0" applyNumberFormat="1" applyFont="1" applyFill="1" applyBorder="1" applyAlignment="1">
      <alignment horizontal="center"/>
    </xf>
    <xf numFmtId="4" fontId="5" fillId="7" borderId="2" xfId="0" applyNumberFormat="1" applyFont="1" applyFill="1" applyBorder="1" applyAlignment="1">
      <alignment horizontal="center"/>
    </xf>
    <xf numFmtId="4" fontId="38" fillId="0" borderId="2" xfId="0" applyNumberFormat="1" applyFont="1" applyFill="1" applyBorder="1" applyAlignment="1">
      <alignment horizontal="center"/>
    </xf>
    <xf numFmtId="181" fontId="5" fillId="0" borderId="1" xfId="0" applyNumberFormat="1" applyFont="1" applyFill="1" applyBorder="1" applyAlignment="1">
      <alignment horizontal="center"/>
    </xf>
    <xf numFmtId="181" fontId="5" fillId="0" borderId="3" xfId="0" applyNumberFormat="1" applyFont="1" applyFill="1" applyBorder="1" applyAlignment="1">
      <alignment horizontal="center"/>
    </xf>
    <xf numFmtId="4" fontId="19" fillId="0" borderId="1" xfId="0" applyNumberFormat="1" applyFont="1" applyFill="1" applyBorder="1" applyAlignment="1">
      <alignment horizontal="center"/>
    </xf>
    <xf numFmtId="4" fontId="19" fillId="0" borderId="2" xfId="0" applyNumberFormat="1" applyFont="1" applyFill="1" applyBorder="1" applyAlignment="1">
      <alignment horizontal="center"/>
    </xf>
    <xf numFmtId="4" fontId="19" fillId="0" borderId="3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177" fontId="19" fillId="0" borderId="3" xfId="0" applyNumberFormat="1" applyFont="1" applyBorder="1" applyAlignment="1">
      <alignment horizontal="center"/>
    </xf>
    <xf numFmtId="0" fontId="13" fillId="0" borderId="0" xfId="0" applyFont="1" applyAlignment="1">
      <alignment horizontal="right" vertical="center"/>
    </xf>
    <xf numFmtId="177" fontId="18" fillId="0" borderId="0" xfId="0" applyNumberFormat="1" applyFont="1" applyAlignment="1">
      <alignment horizontal="center" vertical="center"/>
    </xf>
    <xf numFmtId="4" fontId="38" fillId="0" borderId="5" xfId="0" applyNumberFormat="1" applyFont="1" applyFill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1" fontId="38" fillId="0" borderId="7" xfId="0" applyNumberFormat="1" applyFont="1" applyFill="1" applyBorder="1" applyAlignment="1">
      <alignment horizontal="center"/>
    </xf>
    <xf numFmtId="1" fontId="38" fillId="0" borderId="5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5" fillId="7" borderId="0" xfId="0" applyNumberFormat="1" applyFont="1" applyFill="1" applyBorder="1" applyAlignment="1">
      <alignment horizontal="center"/>
    </xf>
    <xf numFmtId="2" fontId="5" fillId="0" borderId="5" xfId="0" applyNumberFormat="1" applyFont="1" applyFill="1" applyBorder="1" applyAlignment="1">
      <alignment horizontal="center"/>
    </xf>
    <xf numFmtId="181" fontId="5" fillId="0" borderId="4" xfId="0" applyNumberFormat="1" applyFont="1" applyFill="1" applyBorder="1" applyAlignment="1">
      <alignment horizontal="center"/>
    </xf>
    <xf numFmtId="181" fontId="5" fillId="0" borderId="5" xfId="0" applyNumberFormat="1" applyFont="1" applyFill="1" applyBorder="1" applyAlignment="1">
      <alignment horizontal="center"/>
    </xf>
    <xf numFmtId="4" fontId="19" fillId="0" borderId="4" xfId="0" applyNumberFormat="1" applyFont="1" applyFill="1" applyBorder="1" applyAlignment="1">
      <alignment horizontal="center"/>
    </xf>
    <xf numFmtId="4" fontId="19" fillId="0" borderId="5" xfId="0" applyNumberFormat="1" applyFont="1" applyFill="1" applyBorder="1" applyAlignment="1">
      <alignment horizontal="center"/>
    </xf>
    <xf numFmtId="177" fontId="19" fillId="0" borderId="5" xfId="0" applyNumberFormat="1" applyFont="1" applyBorder="1" applyAlignment="1">
      <alignment horizontal="center"/>
    </xf>
    <xf numFmtId="167" fontId="19" fillId="0" borderId="0" xfId="0" applyNumberFormat="1" applyFont="1"/>
    <xf numFmtId="3" fontId="38" fillId="5" borderId="4" xfId="0" applyNumberFormat="1" applyFont="1" applyFill="1" applyBorder="1" applyAlignment="1">
      <alignment horizontal="center"/>
    </xf>
    <xf numFmtId="164" fontId="38" fillId="5" borderId="0" xfId="0" applyNumberFormat="1" applyFont="1" applyFill="1" applyBorder="1" applyAlignment="1">
      <alignment horizontal="center"/>
    </xf>
    <xf numFmtId="4" fontId="38" fillId="5" borderId="5" xfId="0" applyNumberFormat="1" applyFont="1" applyFill="1" applyBorder="1" applyAlignment="1">
      <alignment horizontal="center"/>
    </xf>
    <xf numFmtId="4" fontId="5" fillId="5" borderId="7" xfId="0" applyNumberFormat="1" applyFont="1" applyFill="1" applyBorder="1" applyAlignment="1">
      <alignment horizontal="center"/>
    </xf>
    <xf numFmtId="165" fontId="5" fillId="5" borderId="5" xfId="0" applyNumberFormat="1" applyFont="1" applyFill="1" applyBorder="1" applyAlignment="1">
      <alignment horizontal="center"/>
    </xf>
    <xf numFmtId="4" fontId="5" fillId="0" borderId="8" xfId="0" applyNumberFormat="1" applyFont="1" applyFill="1" applyBorder="1" applyAlignment="1">
      <alignment horizontal="center"/>
    </xf>
    <xf numFmtId="3" fontId="5" fillId="5" borderId="0" xfId="0" applyNumberFormat="1" applyFont="1" applyFill="1" applyBorder="1" applyAlignment="1">
      <alignment horizontal="center"/>
    </xf>
    <xf numFmtId="4" fontId="19" fillId="0" borderId="8" xfId="0" applyNumberFormat="1" applyFont="1" applyFill="1" applyBorder="1" applyAlignment="1">
      <alignment horizontal="center"/>
    </xf>
    <xf numFmtId="164" fontId="19" fillId="0" borderId="9" xfId="0" applyNumberFormat="1" applyFont="1" applyFill="1" applyBorder="1" applyAlignment="1">
      <alignment horizontal="center"/>
    </xf>
    <xf numFmtId="164" fontId="19" fillId="0" borderId="10" xfId="0" applyNumberFormat="1" applyFont="1" applyFill="1" applyBorder="1" applyAlignment="1">
      <alignment horizontal="center"/>
    </xf>
    <xf numFmtId="164" fontId="19" fillId="0" borderId="11" xfId="0" applyNumberFormat="1" applyFont="1" applyFill="1" applyBorder="1" applyAlignment="1">
      <alignment horizontal="center"/>
    </xf>
    <xf numFmtId="3" fontId="19" fillId="0" borderId="10" xfId="0" applyNumberFormat="1" applyFont="1" applyFill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3" fontId="19" fillId="0" borderId="9" xfId="0" applyNumberFormat="1" applyFont="1" applyFill="1" applyBorder="1" applyAlignment="1">
      <alignment horizontal="center"/>
    </xf>
    <xf numFmtId="177" fontId="19" fillId="0" borderId="11" xfId="0" applyNumberFormat="1" applyFont="1" applyFill="1" applyBorder="1" applyAlignment="1">
      <alignment horizontal="center"/>
    </xf>
    <xf numFmtId="167" fontId="19" fillId="0" borderId="10" xfId="0" applyNumberFormat="1" applyFont="1" applyFill="1" applyBorder="1" applyAlignment="1">
      <alignment horizontal="center"/>
    </xf>
    <xf numFmtId="167" fontId="19" fillId="0" borderId="11" xfId="0" applyNumberFormat="1" applyFont="1" applyFill="1" applyBorder="1" applyAlignment="1">
      <alignment horizontal="center"/>
    </xf>
    <xf numFmtId="167" fontId="19" fillId="0" borderId="9" xfId="0" applyNumberFormat="1" applyFont="1" applyBorder="1" applyAlignment="1">
      <alignment horizontal="center"/>
    </xf>
    <xf numFmtId="167" fontId="19" fillId="0" borderId="10" xfId="0" applyNumberFormat="1" applyFont="1" applyBorder="1" applyAlignment="1">
      <alignment horizontal="center"/>
    </xf>
    <xf numFmtId="167" fontId="19" fillId="0" borderId="11" xfId="0" applyNumberFormat="1" applyFont="1" applyBorder="1" applyAlignment="1">
      <alignment horizontal="center"/>
    </xf>
    <xf numFmtId="3" fontId="19" fillId="0" borderId="11" xfId="0" applyNumberFormat="1" applyFont="1" applyFill="1" applyBorder="1" applyAlignment="1">
      <alignment horizontal="center"/>
    </xf>
    <xf numFmtId="3" fontId="19" fillId="0" borderId="0" xfId="0" applyNumberFormat="1" applyFont="1" applyAlignment="1">
      <alignment horizontal="center"/>
    </xf>
    <xf numFmtId="4" fontId="38" fillId="0" borderId="11" xfId="0" applyNumberFormat="1" applyFont="1" applyFill="1" applyBorder="1" applyAlignment="1">
      <alignment horizontal="center"/>
    </xf>
    <xf numFmtId="1" fontId="38" fillId="7" borderId="5" xfId="0" applyNumberFormat="1" applyFont="1" applyFill="1" applyBorder="1" applyAlignment="1">
      <alignment horizontal="center"/>
    </xf>
    <xf numFmtId="4" fontId="5" fillId="7" borderId="4" xfId="0" applyNumberFormat="1" applyFont="1" applyFill="1" applyBorder="1" applyAlignment="1">
      <alignment horizontal="center"/>
    </xf>
    <xf numFmtId="4" fontId="5" fillId="7" borderId="5" xfId="0" applyNumberFormat="1" applyFont="1" applyFill="1" applyBorder="1" applyAlignment="1">
      <alignment horizontal="center"/>
    </xf>
    <xf numFmtId="1" fontId="38" fillId="7" borderId="7" xfId="0" applyNumberFormat="1" applyFont="1" applyFill="1" applyBorder="1" applyAlignment="1">
      <alignment horizontal="center"/>
    </xf>
    <xf numFmtId="0" fontId="19" fillId="0" borderId="8" xfId="0" applyFont="1" applyBorder="1" applyAlignment="1">
      <alignment horizontal="center"/>
    </xf>
    <xf numFmtId="167" fontId="19" fillId="0" borderId="8" xfId="0" applyNumberFormat="1" applyFont="1" applyBorder="1" applyAlignment="1">
      <alignment horizontal="center"/>
    </xf>
    <xf numFmtId="165" fontId="19" fillId="0" borderId="8" xfId="0" applyNumberFormat="1" applyFont="1" applyBorder="1" applyAlignment="1">
      <alignment horizontal="center"/>
    </xf>
    <xf numFmtId="165" fontId="19" fillId="0" borderId="10" xfId="0" applyNumberFormat="1" applyFont="1" applyFill="1" applyBorder="1" applyAlignment="1">
      <alignment horizontal="center"/>
    </xf>
    <xf numFmtId="165" fontId="19" fillId="0" borderId="11" xfId="0" applyNumberFormat="1" applyFont="1" applyFill="1" applyBorder="1" applyAlignment="1">
      <alignment horizontal="center"/>
    </xf>
    <xf numFmtId="2" fontId="52" fillId="0" borderId="8" xfId="0" applyNumberFormat="1" applyFont="1" applyBorder="1" applyAlignment="1">
      <alignment horizontal="center"/>
    </xf>
    <xf numFmtId="167" fontId="19" fillId="0" borderId="9" xfId="0" applyNumberFormat="1" applyFont="1" applyFill="1" applyBorder="1" applyAlignment="1">
      <alignment horizontal="center"/>
    </xf>
    <xf numFmtId="0" fontId="19" fillId="0" borderId="11" xfId="0" applyFont="1" applyBorder="1" applyAlignment="1">
      <alignment horizontal="center"/>
    </xf>
    <xf numFmtId="2" fontId="19" fillId="0" borderId="8" xfId="0" applyNumberFormat="1" applyFont="1" applyBorder="1" applyAlignment="1">
      <alignment horizontal="center"/>
    </xf>
    <xf numFmtId="0" fontId="19" fillId="0" borderId="0" xfId="0" applyFont="1" applyFill="1" applyBorder="1"/>
    <xf numFmtId="2" fontId="19" fillId="0" borderId="6" xfId="0" applyNumberFormat="1" applyFont="1" applyFill="1" applyBorder="1" applyAlignment="1">
      <alignment horizontal="center"/>
    </xf>
    <xf numFmtId="167" fontId="19" fillId="0" borderId="1" xfId="0" applyNumberFormat="1" applyFont="1" applyFill="1" applyBorder="1" applyAlignment="1">
      <alignment horizontal="center"/>
    </xf>
    <xf numFmtId="2" fontId="19" fillId="0" borderId="7" xfId="0" applyNumberFormat="1" applyFont="1" applyFill="1" applyBorder="1" applyAlignment="1">
      <alignment horizontal="center"/>
    </xf>
    <xf numFmtId="167" fontId="19" fillId="0" borderId="4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right" vertical="center"/>
    </xf>
    <xf numFmtId="178" fontId="19" fillId="0" borderId="1" xfId="0" applyNumberFormat="1" applyFont="1" applyBorder="1" applyAlignment="1">
      <alignment horizontal="center"/>
    </xf>
    <xf numFmtId="178" fontId="19" fillId="0" borderId="2" xfId="0" applyNumberFormat="1" applyFont="1" applyBorder="1" applyAlignment="1">
      <alignment horizontal="center"/>
    </xf>
    <xf numFmtId="178" fontId="19" fillId="0" borderId="3" xfId="0" applyNumberFormat="1" applyFont="1" applyBorder="1" applyAlignment="1">
      <alignment horizontal="center"/>
    </xf>
    <xf numFmtId="0" fontId="14" fillId="0" borderId="0" xfId="0" applyFont="1" applyBorder="1" applyAlignment="1">
      <alignment horizontal="right" vertical="center"/>
    </xf>
    <xf numFmtId="3" fontId="38" fillId="7" borderId="1" xfId="0" applyNumberFormat="1" applyFont="1" applyFill="1" applyBorder="1" applyAlignment="1">
      <alignment horizontal="center"/>
    </xf>
    <xf numFmtId="164" fontId="38" fillId="7" borderId="2" xfId="0" applyNumberFormat="1" applyFont="1" applyFill="1" applyBorder="1" applyAlignment="1">
      <alignment horizontal="center"/>
    </xf>
    <xf numFmtId="4" fontId="38" fillId="7" borderId="3" xfId="0" applyNumberFormat="1" applyFont="1" applyFill="1" applyBorder="1" applyAlignment="1">
      <alignment horizontal="center"/>
    </xf>
    <xf numFmtId="4" fontId="5" fillId="7" borderId="6" xfId="0" applyNumberFormat="1" applyFont="1" applyFill="1" applyBorder="1" applyAlignment="1">
      <alignment horizontal="center"/>
    </xf>
    <xf numFmtId="3" fontId="5" fillId="7" borderId="0" xfId="0" applyNumberFormat="1" applyFont="1" applyFill="1" applyBorder="1" applyAlignment="1">
      <alignment horizontal="center"/>
    </xf>
    <xf numFmtId="165" fontId="5" fillId="7" borderId="5" xfId="0" applyNumberFormat="1" applyFont="1" applyFill="1" applyBorder="1" applyAlignment="1">
      <alignment horizontal="center"/>
    </xf>
    <xf numFmtId="1" fontId="19" fillId="0" borderId="4" xfId="0" applyNumberFormat="1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center"/>
    </xf>
    <xf numFmtId="1" fontId="19" fillId="0" borderId="5" xfId="0" applyNumberFormat="1" applyFont="1" applyFill="1" applyBorder="1" applyAlignment="1">
      <alignment horizontal="center"/>
    </xf>
    <xf numFmtId="0" fontId="14" fillId="0" borderId="10" xfId="0" applyFont="1" applyBorder="1" applyAlignment="1">
      <alignment horizontal="right" vertical="center"/>
    </xf>
    <xf numFmtId="2" fontId="19" fillId="0" borderId="9" xfId="0" applyNumberFormat="1" applyFont="1" applyFill="1" applyBorder="1" applyAlignment="1">
      <alignment horizontal="center"/>
    </xf>
    <xf numFmtId="1" fontId="38" fillId="0" borderId="8" xfId="0" applyNumberFormat="1" applyFont="1" applyFill="1" applyBorder="1" applyAlignment="1">
      <alignment horizontal="center"/>
    </xf>
    <xf numFmtId="1" fontId="38" fillId="0" borderId="11" xfId="0" applyNumberFormat="1" applyFont="1" applyFill="1" applyBorder="1" applyAlignment="1">
      <alignment horizontal="center"/>
    </xf>
    <xf numFmtId="4" fontId="5" fillId="0" borderId="9" xfId="0" applyNumberFormat="1" applyFont="1" applyFill="1" applyBorder="1" applyAlignment="1">
      <alignment horizontal="center"/>
    </xf>
    <xf numFmtId="4" fontId="5" fillId="0" borderId="10" xfId="0" applyNumberFormat="1" applyFont="1" applyFill="1" applyBorder="1" applyAlignment="1">
      <alignment horizontal="center"/>
    </xf>
    <xf numFmtId="4" fontId="5" fillId="0" borderId="11" xfId="0" applyNumberFormat="1" applyFont="1" applyFill="1" applyBorder="1" applyAlignment="1">
      <alignment horizontal="center"/>
    </xf>
    <xf numFmtId="2" fontId="5" fillId="0" borderId="9" xfId="0" applyNumberFormat="1" applyFont="1" applyFill="1" applyBorder="1" applyAlignment="1">
      <alignment horizontal="center"/>
    </xf>
    <xf numFmtId="2" fontId="5" fillId="0" borderId="10" xfId="0" applyNumberFormat="1" applyFont="1" applyFill="1" applyBorder="1" applyAlignment="1">
      <alignment horizontal="center"/>
    </xf>
    <xf numFmtId="2" fontId="5" fillId="7" borderId="10" xfId="0" applyNumberFormat="1" applyFont="1" applyFill="1" applyBorder="1" applyAlignment="1">
      <alignment horizontal="center"/>
    </xf>
    <xf numFmtId="2" fontId="5" fillId="0" borderId="11" xfId="0" applyNumberFormat="1" applyFont="1" applyFill="1" applyBorder="1" applyAlignment="1">
      <alignment horizontal="center"/>
    </xf>
    <xf numFmtId="4" fontId="5" fillId="7" borderId="10" xfId="0" applyNumberFormat="1" applyFont="1" applyFill="1" applyBorder="1" applyAlignment="1">
      <alignment horizontal="center"/>
    </xf>
    <xf numFmtId="4" fontId="38" fillId="0" borderId="10" xfId="0" applyNumberFormat="1" applyFont="1" applyFill="1" applyBorder="1" applyAlignment="1">
      <alignment horizontal="center"/>
    </xf>
    <xf numFmtId="181" fontId="5" fillId="0" borderId="9" xfId="0" applyNumberFormat="1" applyFont="1" applyFill="1" applyBorder="1" applyAlignment="1">
      <alignment horizontal="center"/>
    </xf>
    <xf numFmtId="181" fontId="5" fillId="0" borderId="11" xfId="0" applyNumberFormat="1" applyFont="1" applyFill="1" applyBorder="1" applyAlignment="1">
      <alignment horizontal="center"/>
    </xf>
    <xf numFmtId="4" fontId="19" fillId="0" borderId="9" xfId="0" applyNumberFormat="1" applyFont="1" applyFill="1" applyBorder="1" applyAlignment="1">
      <alignment horizontal="center"/>
    </xf>
    <xf numFmtId="4" fontId="19" fillId="0" borderId="10" xfId="0" applyNumberFormat="1" applyFont="1" applyFill="1" applyBorder="1" applyAlignment="1">
      <alignment horizontal="center"/>
    </xf>
    <xf numFmtId="4" fontId="19" fillId="0" borderId="11" xfId="0" applyNumberFormat="1" applyFont="1" applyFill="1" applyBorder="1" applyAlignment="1">
      <alignment horizontal="center"/>
    </xf>
    <xf numFmtId="177" fontId="19" fillId="0" borderId="11" xfId="0" applyNumberFormat="1" applyFont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3" fontId="38" fillId="0" borderId="0" xfId="0" applyNumberFormat="1" applyFont="1" applyFill="1" applyBorder="1" applyAlignment="1">
      <alignment horizontal="center"/>
    </xf>
    <xf numFmtId="3" fontId="38" fillId="5" borderId="1" xfId="0" applyNumberFormat="1" applyFont="1" applyFill="1" applyBorder="1" applyAlignment="1">
      <alignment horizontal="center"/>
    </xf>
    <xf numFmtId="164" fontId="38" fillId="5" borderId="2" xfId="0" applyNumberFormat="1" applyFont="1" applyFill="1" applyBorder="1" applyAlignment="1">
      <alignment horizontal="center"/>
    </xf>
    <xf numFmtId="4" fontId="38" fillId="5" borderId="3" xfId="0" applyNumberFormat="1" applyFont="1" applyFill="1" applyBorder="1" applyAlignment="1">
      <alignment horizontal="center"/>
    </xf>
    <xf numFmtId="4" fontId="5" fillId="5" borderId="6" xfId="0" applyNumberFormat="1" applyFont="1" applyFill="1" applyBorder="1" applyAlignment="1">
      <alignment horizontal="center"/>
    </xf>
    <xf numFmtId="165" fontId="5" fillId="0" borderId="11" xfId="0" applyNumberFormat="1" applyFont="1" applyFill="1" applyBorder="1" applyAlignment="1">
      <alignment horizontal="center"/>
    </xf>
    <xf numFmtId="3" fontId="61" fillId="0" borderId="0" xfId="0" applyNumberFormat="1" applyFont="1" applyFill="1" applyBorder="1" applyAlignment="1">
      <alignment horizontal="center"/>
    </xf>
    <xf numFmtId="3" fontId="61" fillId="0" borderId="0" xfId="0" applyNumberFormat="1" applyFont="1" applyFill="1" applyAlignment="1">
      <alignment horizontal="center"/>
    </xf>
    <xf numFmtId="3" fontId="62" fillId="0" borderId="0" xfId="0" applyNumberFormat="1" applyFont="1" applyFill="1" applyBorder="1" applyAlignment="1">
      <alignment horizontal="center" vertical="center"/>
    </xf>
    <xf numFmtId="4" fontId="37" fillId="7" borderId="6" xfId="0" applyNumberFormat="1" applyFont="1" applyFill="1" applyBorder="1" applyAlignment="1">
      <alignment horizontal="center"/>
    </xf>
    <xf numFmtId="4" fontId="37" fillId="7" borderId="8" xfId="0" applyNumberFormat="1" applyFont="1" applyFill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165" fontId="5" fillId="0" borderId="0" xfId="0" applyNumberFormat="1" applyFont="1" applyFill="1" applyAlignment="1">
      <alignment horizontal="center"/>
    </xf>
    <xf numFmtId="170" fontId="19" fillId="0" borderId="0" xfId="0" applyNumberFormat="1" applyFont="1" applyAlignment="1">
      <alignment horizontal="center"/>
    </xf>
    <xf numFmtId="4" fontId="19" fillId="0" borderId="12" xfId="0" applyNumberFormat="1" applyFont="1" applyBorder="1" applyAlignment="1">
      <alignment horizontal="center"/>
    </xf>
    <xf numFmtId="4" fontId="19" fillId="0" borderId="0" xfId="0" applyNumberFormat="1" applyFont="1"/>
    <xf numFmtId="4" fontId="19" fillId="0" borderId="0" xfId="0" applyNumberFormat="1" applyFont="1" applyAlignment="1">
      <alignment horizontal="center"/>
    </xf>
    <xf numFmtId="4" fontId="19" fillId="0" borderId="13" xfId="0" applyNumberFormat="1" applyFont="1" applyBorder="1" applyAlignment="1">
      <alignment horizontal="center"/>
    </xf>
    <xf numFmtId="0" fontId="0" fillId="0" borderId="0" xfId="0" applyBorder="1" applyAlignment="1"/>
    <xf numFmtId="0" fontId="14" fillId="0" borderId="0" xfId="0" applyFont="1" applyFill="1" applyBorder="1" applyAlignment="1" applyProtection="1">
      <alignment horizontal="center"/>
    </xf>
    <xf numFmtId="2" fontId="38" fillId="0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4" fontId="38" fillId="0" borderId="13" xfId="0" applyNumberFormat="1" applyFont="1" applyFill="1" applyBorder="1" applyAlignment="1">
      <alignment horizontal="center"/>
    </xf>
    <xf numFmtId="4" fontId="38" fillId="0" borderId="15" xfId="0" applyNumberFormat="1" applyFont="1" applyFill="1" applyBorder="1" applyAlignment="1">
      <alignment horizontal="center"/>
    </xf>
    <xf numFmtId="4" fontId="38" fillId="0" borderId="12" xfId="0" applyNumberFormat="1" applyFont="1" applyFill="1" applyBorder="1" applyAlignment="1">
      <alignment horizontal="center"/>
    </xf>
    <xf numFmtId="2" fontId="38" fillId="0" borderId="6" xfId="0" applyNumberFormat="1" applyFont="1" applyFill="1" applyBorder="1" applyAlignment="1">
      <alignment horizontal="center"/>
    </xf>
    <xf numFmtId="4" fontId="38" fillId="0" borderId="6" xfId="0" applyNumberFormat="1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2" fontId="38" fillId="0" borderId="1" xfId="0" applyNumberFormat="1" applyFont="1" applyFill="1" applyBorder="1" applyAlignment="1">
      <alignment horizontal="center"/>
    </xf>
    <xf numFmtId="177" fontId="19" fillId="0" borderId="0" xfId="0" applyNumberFormat="1" applyFont="1" applyAlignment="1">
      <alignment horizontal="center"/>
    </xf>
    <xf numFmtId="0" fontId="19" fillId="0" borderId="1" xfId="0" applyFont="1" applyBorder="1" applyAlignment="1">
      <alignment horizontal="center"/>
    </xf>
    <xf numFmtId="3" fontId="19" fillId="0" borderId="6" xfId="0" applyNumberFormat="1" applyFont="1" applyBorder="1" applyAlignment="1">
      <alignment horizontal="center"/>
    </xf>
    <xf numFmtId="4" fontId="19" fillId="0" borderId="7" xfId="0" applyNumberFormat="1" applyFont="1" applyBorder="1" applyAlignment="1">
      <alignment horizontal="center"/>
    </xf>
    <xf numFmtId="4" fontId="19" fillId="0" borderId="6" xfId="0" applyNumberFormat="1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4" fontId="19" fillId="0" borderId="5" xfId="0" applyNumberFormat="1" applyFont="1" applyBorder="1" applyAlignment="1">
      <alignment horizontal="center"/>
    </xf>
    <xf numFmtId="3" fontId="0" fillId="0" borderId="1" xfId="0" applyNumberFormat="1" applyBorder="1"/>
    <xf numFmtId="3" fontId="0" fillId="0" borderId="2" xfId="0" applyNumberFormat="1" applyBorder="1"/>
    <xf numFmtId="3" fontId="0" fillId="0" borderId="3" xfId="0" applyNumberFormat="1" applyBorder="1"/>
    <xf numFmtId="3" fontId="19" fillId="0" borderId="7" xfId="0" applyNumberFormat="1" applyFont="1" applyBorder="1" applyAlignment="1">
      <alignment horizontal="center"/>
    </xf>
    <xf numFmtId="164" fontId="19" fillId="0" borderId="4" xfId="0" applyNumberFormat="1" applyFont="1" applyBorder="1" applyAlignment="1">
      <alignment horizontal="center"/>
    </xf>
    <xf numFmtId="3" fontId="0" fillId="0" borderId="4" xfId="0" applyNumberFormat="1" applyBorder="1"/>
    <xf numFmtId="3" fontId="0" fillId="0" borderId="0" xfId="0" applyNumberFormat="1" applyBorder="1"/>
    <xf numFmtId="3" fontId="38" fillId="0" borderId="5" xfId="0" applyNumberFormat="1" applyFont="1" applyFill="1" applyBorder="1" applyAlignment="1">
      <alignment horizontal="center"/>
    </xf>
    <xf numFmtId="2" fontId="19" fillId="0" borderId="4" xfId="0" applyNumberFormat="1" applyFont="1" applyBorder="1" applyAlignment="1">
      <alignment horizontal="center"/>
    </xf>
    <xf numFmtId="3" fontId="0" fillId="0" borderId="5" xfId="0" applyNumberFormat="1" applyBorder="1"/>
    <xf numFmtId="4" fontId="19" fillId="0" borderId="4" xfId="0" applyNumberFormat="1" applyFont="1" applyBorder="1" applyAlignment="1">
      <alignment horizontal="center"/>
    </xf>
    <xf numFmtId="4" fontId="19" fillId="0" borderId="0" xfId="0" applyNumberFormat="1" applyFont="1" applyBorder="1" applyAlignment="1">
      <alignment horizontal="center"/>
    </xf>
    <xf numFmtId="2" fontId="38" fillId="0" borderId="4" xfId="0" applyNumberFormat="1" applyFont="1" applyFill="1" applyBorder="1" applyAlignment="1">
      <alignment horizontal="center"/>
    </xf>
    <xf numFmtId="3" fontId="38" fillId="10" borderId="5" xfId="0" applyNumberFormat="1" applyFont="1" applyFill="1" applyBorder="1" applyAlignment="1">
      <alignment horizontal="center"/>
    </xf>
    <xf numFmtId="2" fontId="19" fillId="0" borderId="5" xfId="0" applyNumberFormat="1" applyFont="1" applyBorder="1" applyAlignment="1">
      <alignment horizontal="center"/>
    </xf>
    <xf numFmtId="3" fontId="0" fillId="0" borderId="4" xfId="0" applyNumberFormat="1" applyFill="1" applyBorder="1"/>
    <xf numFmtId="3" fontId="0" fillId="0" borderId="0" xfId="0" applyNumberFormat="1" applyFill="1" applyBorder="1"/>
    <xf numFmtId="3" fontId="19" fillId="0" borderId="0" xfId="0" applyNumberFormat="1" applyFont="1" applyBorder="1" applyAlignment="1">
      <alignment horizontal="center"/>
    </xf>
    <xf numFmtId="2" fontId="0" fillId="0" borderId="0" xfId="0" applyNumberFormat="1" applyBorder="1"/>
    <xf numFmtId="3" fontId="20" fillId="0" borderId="4" xfId="0" applyNumberFormat="1" applyFont="1" applyFill="1" applyBorder="1" applyAlignment="1">
      <alignment horizontal="center"/>
    </xf>
    <xf numFmtId="0" fontId="19" fillId="0" borderId="9" xfId="0" applyFont="1" applyBorder="1" applyAlignment="1">
      <alignment horizontal="center"/>
    </xf>
    <xf numFmtId="3" fontId="19" fillId="0" borderId="8" xfId="0" applyNumberFormat="1" applyFont="1" applyBorder="1" applyAlignment="1">
      <alignment horizontal="center"/>
    </xf>
    <xf numFmtId="4" fontId="19" fillId="0" borderId="8" xfId="0" applyNumberFormat="1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164" fontId="19" fillId="0" borderId="9" xfId="0" applyNumberFormat="1" applyFont="1" applyBorder="1" applyAlignment="1">
      <alignment horizontal="center"/>
    </xf>
    <xf numFmtId="1" fontId="0" fillId="0" borderId="0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37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 applyProtection="1">
      <alignment vertical="center"/>
    </xf>
    <xf numFmtId="4" fontId="19" fillId="0" borderId="0" xfId="0" applyNumberFormat="1" applyFont="1" applyBorder="1"/>
    <xf numFmtId="0" fontId="14" fillId="0" borderId="0" xfId="0" applyFont="1" applyFill="1" applyBorder="1" applyAlignment="1" applyProtection="1"/>
    <xf numFmtId="177" fontId="19" fillId="0" borderId="0" xfId="0" applyNumberFormat="1" applyFont="1" applyBorder="1" applyAlignment="1">
      <alignment horizontal="center"/>
    </xf>
    <xf numFmtId="164" fontId="19" fillId="0" borderId="0" xfId="0" applyNumberFormat="1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167" fontId="48" fillId="0" borderId="1" xfId="0" applyNumberFormat="1" applyFont="1" applyBorder="1" applyAlignment="1">
      <alignment horizontal="center" vertical="center"/>
    </xf>
    <xf numFmtId="167" fontId="48" fillId="0" borderId="2" xfId="0" applyNumberFormat="1" applyFont="1" applyBorder="1" applyAlignment="1">
      <alignment horizontal="center" vertical="center"/>
    </xf>
    <xf numFmtId="167" fontId="48" fillId="0" borderId="3" xfId="0" applyNumberFormat="1" applyFont="1" applyBorder="1" applyAlignment="1">
      <alignment horizontal="center" vertical="center"/>
    </xf>
    <xf numFmtId="167" fontId="19" fillId="0" borderId="14" xfId="0" applyNumberFormat="1" applyFont="1" applyBorder="1" applyAlignment="1">
      <alignment horizontal="center" vertical="center"/>
    </xf>
    <xf numFmtId="167" fontId="19" fillId="0" borderId="15" xfId="0" applyNumberFormat="1" applyFont="1" applyBorder="1" applyAlignment="1">
      <alignment horizontal="center" vertical="center"/>
    </xf>
    <xf numFmtId="0" fontId="19" fillId="0" borderId="0" xfId="0" applyFont="1" applyFill="1"/>
    <xf numFmtId="0" fontId="14" fillId="0" borderId="12" xfId="0" applyFont="1" applyBorder="1" applyAlignment="1">
      <alignment horizontal="center" vertical="center"/>
    </xf>
    <xf numFmtId="164" fontId="50" fillId="0" borderId="3" xfId="0" applyNumberFormat="1" applyFont="1" applyBorder="1" applyAlignment="1">
      <alignment horizontal="center"/>
    </xf>
    <xf numFmtId="164" fontId="37" fillId="0" borderId="6" xfId="0" applyNumberFormat="1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167" fontId="14" fillId="0" borderId="0" xfId="0" applyNumberFormat="1" applyFont="1" applyBorder="1" applyAlignment="1">
      <alignment horizontal="right" vertical="center"/>
    </xf>
    <xf numFmtId="164" fontId="50" fillId="0" borderId="12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3" fontId="61" fillId="0" borderId="1" xfId="0" applyNumberFormat="1" applyFont="1" applyBorder="1" applyAlignment="1">
      <alignment horizontal="center"/>
    </xf>
    <xf numFmtId="3" fontId="61" fillId="0" borderId="2" xfId="0" applyNumberFormat="1" applyFont="1" applyBorder="1" applyAlignment="1">
      <alignment horizontal="center"/>
    </xf>
    <xf numFmtId="3" fontId="61" fillId="4" borderId="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9" fillId="0" borderId="2" xfId="0" applyFont="1" applyBorder="1"/>
    <xf numFmtId="0" fontId="14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/>
    </xf>
    <xf numFmtId="0" fontId="19" fillId="0" borderId="9" xfId="0" applyFont="1" applyBorder="1"/>
    <xf numFmtId="0" fontId="19" fillId="0" borderId="10" xfId="0" applyFont="1" applyBorder="1"/>
    <xf numFmtId="0" fontId="19" fillId="0" borderId="11" xfId="0" applyFont="1" applyBorder="1"/>
    <xf numFmtId="0" fontId="19" fillId="0" borderId="6" xfId="0" applyFont="1" applyFill="1" applyBorder="1" applyAlignment="1">
      <alignment horizontal="center"/>
    </xf>
    <xf numFmtId="177" fontId="19" fillId="0" borderId="1" xfId="0" applyNumberFormat="1" applyFont="1" applyBorder="1" applyAlignment="1">
      <alignment horizontal="center"/>
    </xf>
    <xf numFmtId="2" fontId="19" fillId="0" borderId="3" xfId="0" applyNumberFormat="1" applyFont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2" fontId="38" fillId="0" borderId="2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2" fontId="19" fillId="0" borderId="2" xfId="0" applyNumberFormat="1" applyFont="1" applyBorder="1" applyAlignment="1">
      <alignment horizontal="center"/>
    </xf>
    <xf numFmtId="167" fontId="19" fillId="7" borderId="2" xfId="0" applyNumberFormat="1" applyFont="1" applyFill="1" applyBorder="1" applyAlignment="1">
      <alignment horizontal="center"/>
    </xf>
    <xf numFmtId="164" fontId="37" fillId="11" borderId="6" xfId="0" applyNumberFormat="1" applyFont="1" applyFill="1" applyBorder="1" applyAlignment="1">
      <alignment horizontal="center"/>
    </xf>
    <xf numFmtId="2" fontId="19" fillId="11" borderId="1" xfId="0" applyNumberFormat="1" applyFont="1" applyFill="1" applyBorder="1" applyAlignment="1">
      <alignment horizontal="center"/>
    </xf>
    <xf numFmtId="2" fontId="19" fillId="11" borderId="2" xfId="0" applyNumberFormat="1" applyFont="1" applyFill="1" applyBorder="1" applyAlignment="1">
      <alignment horizontal="center"/>
    </xf>
    <xf numFmtId="0" fontId="19" fillId="11" borderId="2" xfId="0" applyFont="1" applyFill="1" applyBorder="1" applyAlignment="1">
      <alignment horizontal="center"/>
    </xf>
    <xf numFmtId="2" fontId="19" fillId="11" borderId="3" xfId="0" applyNumberFormat="1" applyFont="1" applyFill="1" applyBorder="1" applyAlignment="1">
      <alignment horizontal="center"/>
    </xf>
    <xf numFmtId="0" fontId="19" fillId="0" borderId="7" xfId="0" applyFont="1" applyFill="1" applyBorder="1" applyAlignment="1">
      <alignment horizontal="center" vertical="center"/>
    </xf>
    <xf numFmtId="177" fontId="19" fillId="0" borderId="4" xfId="0" applyNumberFormat="1" applyFont="1" applyBorder="1" applyAlignment="1">
      <alignment horizontal="center"/>
    </xf>
    <xf numFmtId="171" fontId="19" fillId="0" borderId="0" xfId="0" applyNumberFormat="1" applyFont="1" applyBorder="1" applyAlignment="1">
      <alignment horizontal="center"/>
    </xf>
    <xf numFmtId="2" fontId="38" fillId="0" borderId="4" xfId="0" applyNumberFormat="1" applyFont="1" applyBorder="1" applyAlignment="1">
      <alignment horizontal="center"/>
    </xf>
    <xf numFmtId="2" fontId="38" fillId="0" borderId="0" xfId="0" applyNumberFormat="1" applyFont="1" applyBorder="1" applyAlignment="1">
      <alignment horizontal="center"/>
    </xf>
    <xf numFmtId="167" fontId="19" fillId="7" borderId="0" xfId="0" applyNumberFormat="1" applyFont="1" applyFill="1" applyBorder="1" applyAlignment="1">
      <alignment horizontal="center"/>
    </xf>
    <xf numFmtId="164" fontId="37" fillId="9" borderId="7" xfId="0" applyNumberFormat="1" applyFont="1" applyFill="1" applyBorder="1" applyAlignment="1">
      <alignment horizontal="center"/>
    </xf>
    <xf numFmtId="2" fontId="19" fillId="9" borderId="4" xfId="0" applyNumberFormat="1" applyFont="1" applyFill="1" applyBorder="1" applyAlignment="1">
      <alignment horizontal="center"/>
    </xf>
    <xf numFmtId="2" fontId="19" fillId="9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2" fontId="19" fillId="9" borderId="5" xfId="0" applyNumberFormat="1" applyFont="1" applyFill="1" applyBorder="1" applyAlignment="1">
      <alignment horizontal="center"/>
    </xf>
    <xf numFmtId="0" fontId="19" fillId="0" borderId="7" xfId="0" applyFont="1" applyBorder="1" applyAlignment="1">
      <alignment horizontal="center" vertical="center"/>
    </xf>
    <xf numFmtId="164" fontId="37" fillId="6" borderId="7" xfId="0" applyNumberFormat="1" applyFont="1" applyFill="1" applyBorder="1" applyAlignment="1">
      <alignment horizontal="center"/>
    </xf>
    <xf numFmtId="2" fontId="19" fillId="6" borderId="4" xfId="0" applyNumberFormat="1" applyFont="1" applyFill="1" applyBorder="1" applyAlignment="1">
      <alignment horizontal="center"/>
    </xf>
    <xf numFmtId="2" fontId="19" fillId="6" borderId="0" xfId="0" applyNumberFormat="1" applyFont="1" applyFill="1" applyBorder="1" applyAlignment="1">
      <alignment horizontal="center"/>
    </xf>
    <xf numFmtId="0" fontId="19" fillId="6" borderId="0" xfId="0" applyFont="1" applyFill="1" applyBorder="1" applyAlignment="1">
      <alignment horizontal="center"/>
    </xf>
    <xf numFmtId="2" fontId="19" fillId="6" borderId="5" xfId="0" applyNumberFormat="1" applyFont="1" applyFill="1" applyBorder="1" applyAlignment="1">
      <alignment horizontal="center"/>
    </xf>
    <xf numFmtId="164" fontId="37" fillId="8" borderId="8" xfId="0" applyNumberFormat="1" applyFont="1" applyFill="1" applyBorder="1" applyAlignment="1">
      <alignment horizontal="center"/>
    </xf>
    <xf numFmtId="2" fontId="19" fillId="8" borderId="9" xfId="0" applyNumberFormat="1" applyFont="1" applyFill="1" applyBorder="1" applyAlignment="1">
      <alignment horizontal="center"/>
    </xf>
    <xf numFmtId="2" fontId="19" fillId="8" borderId="10" xfId="0" applyNumberFormat="1" applyFont="1" applyFill="1" applyBorder="1" applyAlignment="1">
      <alignment horizontal="center"/>
    </xf>
    <xf numFmtId="0" fontId="19" fillId="8" borderId="10" xfId="0" applyFont="1" applyFill="1" applyBorder="1" applyAlignment="1">
      <alignment horizontal="center"/>
    </xf>
    <xf numFmtId="2" fontId="19" fillId="8" borderId="1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37" fillId="0" borderId="1" xfId="0" applyNumberFormat="1" applyFont="1" applyBorder="1" applyAlignment="1">
      <alignment horizontal="center"/>
    </xf>
    <xf numFmtId="164" fontId="37" fillId="4" borderId="3" xfId="0" applyNumberFormat="1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/>
    <xf numFmtId="170" fontId="19" fillId="0" borderId="0" xfId="0" applyNumberFormat="1" applyFont="1" applyAlignment="1">
      <alignment horizontal="center" vertical="center"/>
    </xf>
    <xf numFmtId="164" fontId="37" fillId="0" borderId="4" xfId="0" applyNumberFormat="1" applyFont="1" applyBorder="1" applyAlignment="1">
      <alignment horizontal="center"/>
    </xf>
    <xf numFmtId="164" fontId="37" fillId="4" borderId="4" xfId="0" applyNumberFormat="1" applyFont="1" applyFill="1" applyBorder="1" applyAlignment="1">
      <alignment horizontal="center"/>
    </xf>
    <xf numFmtId="2" fontId="38" fillId="4" borderId="5" xfId="0" applyNumberFormat="1" applyFont="1" applyFill="1" applyBorder="1" applyAlignment="1">
      <alignment horizontal="center"/>
    </xf>
    <xf numFmtId="164" fontId="37" fillId="0" borderId="9" xfId="0" applyNumberFormat="1" applyFont="1" applyBorder="1" applyAlignment="1">
      <alignment horizontal="center"/>
    </xf>
    <xf numFmtId="2" fontId="38" fillId="0" borderId="9" xfId="0" applyNumberFormat="1" applyFont="1" applyBorder="1" applyAlignment="1">
      <alignment horizontal="center"/>
    </xf>
    <xf numFmtId="2" fontId="38" fillId="0" borderId="10" xfId="0" applyNumberFormat="1" applyFont="1" applyBorder="1" applyAlignment="1">
      <alignment horizontal="center"/>
    </xf>
    <xf numFmtId="0" fontId="19" fillId="0" borderId="0" xfId="0" applyFont="1" applyAlignment="1"/>
    <xf numFmtId="0" fontId="19" fillId="0" borderId="0" xfId="0" applyFont="1" applyFill="1" applyAlignment="1">
      <alignment vertical="center"/>
    </xf>
    <xf numFmtId="0" fontId="8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167" fontId="19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167" fontId="25" fillId="6" borderId="12" xfId="0" applyNumberFormat="1" applyFont="1" applyFill="1" applyBorder="1" applyAlignment="1" applyProtection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167" fontId="18" fillId="6" borderId="12" xfId="0" applyNumberFormat="1" applyFont="1" applyFill="1" applyBorder="1" applyAlignment="1" applyProtection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165" fontId="18" fillId="6" borderId="12" xfId="0" applyNumberFormat="1" applyFont="1" applyFill="1" applyBorder="1" applyAlignment="1" applyProtection="1">
      <alignment horizontal="center" vertical="center"/>
    </xf>
    <xf numFmtId="167" fontId="64" fillId="0" borderId="0" xfId="0" applyNumberFormat="1" applyFont="1" applyAlignment="1">
      <alignment horizontal="center" vertical="center"/>
    </xf>
    <xf numFmtId="167" fontId="19" fillId="0" borderId="0" xfId="0" applyNumberFormat="1" applyFont="1" applyAlignment="1"/>
    <xf numFmtId="4" fontId="18" fillId="0" borderId="0" xfId="0" applyNumberFormat="1" applyFont="1" applyAlignment="1">
      <alignment horizontal="center" vertical="center"/>
    </xf>
    <xf numFmtId="0" fontId="18" fillId="0" borderId="0" xfId="0" applyFont="1"/>
    <xf numFmtId="0" fontId="19" fillId="0" borderId="0" xfId="0" applyFont="1" applyAlignment="1">
      <alignment horizontal="right"/>
    </xf>
    <xf numFmtId="0" fontId="29" fillId="0" borderId="0" xfId="0" applyFont="1"/>
    <xf numFmtId="2" fontId="25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65" fillId="0" borderId="0" xfId="0" applyFont="1" applyAlignment="1">
      <alignment horizontal="right" vertical="center"/>
    </xf>
    <xf numFmtId="0" fontId="29" fillId="0" borderId="0" xfId="0" applyFont="1" applyAlignment="1">
      <alignment vertical="center"/>
    </xf>
    <xf numFmtId="177" fontId="19" fillId="0" borderId="4" xfId="0" applyNumberFormat="1" applyFont="1" applyBorder="1" applyAlignment="1">
      <alignment horizontal="center" vertical="center"/>
    </xf>
    <xf numFmtId="2" fontId="19" fillId="0" borderId="5" xfId="0" applyNumberFormat="1" applyFont="1" applyBorder="1" applyAlignment="1">
      <alignment horizontal="center" vertical="center"/>
    </xf>
    <xf numFmtId="177" fontId="19" fillId="0" borderId="5" xfId="0" applyNumberFormat="1" applyFont="1" applyBorder="1" applyAlignment="1">
      <alignment horizontal="center" vertical="center"/>
    </xf>
    <xf numFmtId="171" fontId="19" fillId="0" borderId="0" xfId="0" applyNumberFormat="1" applyFont="1" applyBorder="1" applyAlignment="1">
      <alignment horizontal="center" vertical="center"/>
    </xf>
    <xf numFmtId="2" fontId="38" fillId="0" borderId="4" xfId="0" applyNumberFormat="1" applyFont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vertical="center"/>
    </xf>
    <xf numFmtId="2" fontId="38" fillId="0" borderId="5" xfId="0" applyNumberFormat="1" applyFont="1" applyBorder="1" applyAlignment="1">
      <alignment horizontal="center" vertical="center"/>
    </xf>
    <xf numFmtId="2" fontId="19" fillId="0" borderId="4" xfId="0" applyNumberFormat="1" applyFont="1" applyBorder="1" applyAlignment="1">
      <alignment horizontal="center" vertical="center"/>
    </xf>
    <xf numFmtId="2" fontId="19" fillId="0" borderId="7" xfId="0" applyNumberFormat="1" applyFont="1" applyBorder="1" applyAlignment="1">
      <alignment horizontal="center" vertical="center"/>
    </xf>
    <xf numFmtId="2" fontId="19" fillId="7" borderId="7" xfId="0" applyNumberFormat="1" applyFont="1" applyFill="1" applyBorder="1" applyAlignment="1">
      <alignment horizontal="center"/>
    </xf>
    <xf numFmtId="167" fontId="19" fillId="7" borderId="4" xfId="0" applyNumberFormat="1" applyFont="1" applyFill="1" applyBorder="1" applyAlignment="1">
      <alignment horizontal="center"/>
    </xf>
    <xf numFmtId="167" fontId="19" fillId="7" borderId="5" xfId="0" applyNumberFormat="1" applyFont="1" applyFill="1" applyBorder="1" applyAlignment="1">
      <alignment horizontal="center"/>
    </xf>
    <xf numFmtId="0" fontId="19" fillId="7" borderId="5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177" fontId="19" fillId="0" borderId="9" xfId="0" applyNumberFormat="1" applyFont="1" applyBorder="1" applyAlignment="1">
      <alignment horizontal="center"/>
    </xf>
    <xf numFmtId="2" fontId="19" fillId="0" borderId="11" xfId="0" applyNumberFormat="1" applyFont="1" applyBorder="1" applyAlignment="1">
      <alignment horizontal="center"/>
    </xf>
    <xf numFmtId="2" fontId="19" fillId="0" borderId="9" xfId="0" applyNumberFormat="1" applyFont="1" applyBorder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167" fontId="19" fillId="7" borderId="10" xfId="0" applyNumberFormat="1" applyFont="1" applyFill="1" applyBorder="1" applyAlignment="1">
      <alignment horizontal="center"/>
    </xf>
    <xf numFmtId="167" fontId="19" fillId="0" borderId="14" xfId="0" applyNumberFormat="1" applyFont="1" applyBorder="1" applyAlignment="1">
      <alignment horizontal="center"/>
    </xf>
    <xf numFmtId="177" fontId="19" fillId="0" borderId="2" xfId="0" applyNumberFormat="1" applyFont="1" applyBorder="1" applyAlignment="1">
      <alignment horizontal="center"/>
    </xf>
    <xf numFmtId="167" fontId="19" fillId="0" borderId="12" xfId="0" applyNumberFormat="1" applyFont="1" applyBorder="1" applyAlignment="1">
      <alignment horizontal="center"/>
    </xf>
    <xf numFmtId="167" fontId="19" fillId="0" borderId="13" xfId="0" applyNumberFormat="1" applyFont="1" applyBorder="1" applyAlignment="1">
      <alignment horizontal="center"/>
    </xf>
    <xf numFmtId="167" fontId="19" fillId="0" borderId="15" xfId="0" applyNumberFormat="1" applyFont="1" applyBorder="1" applyAlignment="1">
      <alignment horizontal="center"/>
    </xf>
    <xf numFmtId="177" fontId="19" fillId="0" borderId="13" xfId="0" applyNumberFormat="1" applyFont="1" applyBorder="1" applyAlignment="1">
      <alignment horizontal="center"/>
    </xf>
    <xf numFmtId="2" fontId="19" fillId="0" borderId="15" xfId="0" applyNumberFormat="1" applyFont="1" applyBorder="1" applyAlignment="1">
      <alignment horizontal="center"/>
    </xf>
    <xf numFmtId="177" fontId="19" fillId="0" borderId="15" xfId="0" applyNumberFormat="1" applyFont="1" applyBorder="1" applyAlignment="1">
      <alignment horizontal="center"/>
    </xf>
    <xf numFmtId="2" fontId="19" fillId="0" borderId="13" xfId="0" applyNumberFormat="1" applyFont="1" applyFill="1" applyBorder="1" applyAlignment="1">
      <alignment horizontal="center"/>
    </xf>
    <xf numFmtId="167" fontId="19" fillId="0" borderId="13" xfId="0" applyNumberFormat="1" applyFont="1" applyFill="1" applyBorder="1" applyAlignment="1">
      <alignment horizontal="center"/>
    </xf>
    <xf numFmtId="167" fontId="19" fillId="0" borderId="14" xfId="0" applyNumberFormat="1" applyFont="1" applyFill="1" applyBorder="1" applyAlignment="1">
      <alignment horizontal="center"/>
    </xf>
    <xf numFmtId="167" fontId="19" fillId="0" borderId="15" xfId="0" applyNumberFormat="1" applyFont="1" applyFill="1" applyBorder="1" applyAlignment="1">
      <alignment horizontal="center"/>
    </xf>
    <xf numFmtId="0" fontId="19" fillId="0" borderId="14" xfId="0" applyFont="1" applyFill="1" applyBorder="1"/>
    <xf numFmtId="2" fontId="19" fillId="0" borderId="12" xfId="0" applyNumberFormat="1" applyFont="1" applyFill="1" applyBorder="1" applyAlignment="1">
      <alignment horizontal="center"/>
    </xf>
    <xf numFmtId="177" fontId="19" fillId="0" borderId="14" xfId="0" applyNumberFormat="1" applyFont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164" fontId="37" fillId="0" borderId="13" xfId="0" applyNumberFormat="1" applyFont="1" applyBorder="1" applyAlignment="1">
      <alignment horizontal="center"/>
    </xf>
    <xf numFmtId="164" fontId="37" fillId="0" borderId="14" xfId="0" applyNumberFormat="1" applyFont="1" applyBorder="1" applyAlignment="1">
      <alignment horizontal="center"/>
    </xf>
    <xf numFmtId="164" fontId="37" fillId="0" borderId="15" xfId="0" applyNumberFormat="1" applyFont="1" applyBorder="1" applyAlignment="1">
      <alignment horizontal="center"/>
    </xf>
    <xf numFmtId="0" fontId="23" fillId="0" borderId="12" xfId="0" applyFont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/>
    </xf>
    <xf numFmtId="164" fontId="37" fillId="4" borderId="8" xfId="0" applyNumberFormat="1" applyFont="1" applyFill="1" applyBorder="1" applyAlignment="1">
      <alignment horizontal="center"/>
    </xf>
    <xf numFmtId="2" fontId="38" fillId="4" borderId="10" xfId="0" applyNumberFormat="1" applyFont="1" applyFill="1" applyBorder="1" applyAlignment="1">
      <alignment horizontal="center"/>
    </xf>
    <xf numFmtId="165" fontId="19" fillId="0" borderId="12" xfId="0" applyNumberFormat="1" applyFont="1" applyBorder="1" applyAlignment="1">
      <alignment horizontal="center"/>
    </xf>
    <xf numFmtId="167" fontId="18" fillId="0" borderId="0" xfId="0" applyNumberFormat="1" applyFont="1" applyAlignment="1">
      <alignment horizontal="center"/>
    </xf>
    <xf numFmtId="0" fontId="67" fillId="0" borderId="0" xfId="0" applyFont="1" applyBorder="1" applyAlignment="1">
      <alignment vertical="center"/>
    </xf>
    <xf numFmtId="0" fontId="67" fillId="0" borderId="0" xfId="0" applyFont="1" applyBorder="1" applyAlignment="1">
      <alignment horizontal="center" vertical="center"/>
    </xf>
    <xf numFmtId="0" fontId="66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167" fontId="0" fillId="0" borderId="0" xfId="0" applyNumberFormat="1"/>
    <xf numFmtId="0" fontId="0" fillId="0" borderId="0" xfId="0" applyNumberFormat="1"/>
    <xf numFmtId="0" fontId="14" fillId="0" borderId="0" xfId="0" applyFont="1"/>
    <xf numFmtId="0" fontId="12" fillId="0" borderId="0" xfId="0" applyNumberFormat="1" applyFont="1"/>
    <xf numFmtId="175" fontId="0" fillId="0" borderId="0" xfId="0" applyNumberFormat="1" applyAlignment="1"/>
    <xf numFmtId="11" fontId="0" fillId="0" borderId="0" xfId="1" applyNumberFormat="1" applyFont="1" applyAlignment="1"/>
    <xf numFmtId="0" fontId="13" fillId="0" borderId="0" xfId="0" applyFont="1" applyBorder="1"/>
    <xf numFmtId="0" fontId="9" fillId="0" borderId="0" xfId="0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5" borderId="12" xfId="0" applyFill="1" applyBorder="1" applyAlignment="1" applyProtection="1">
      <alignment horizontal="center"/>
      <protection locked="0"/>
    </xf>
    <xf numFmtId="0" fontId="0" fillId="0" borderId="0" xfId="0" applyNumberFormat="1" applyAlignment="1"/>
    <xf numFmtId="0" fontId="9" fillId="0" borderId="12" xfId="0" applyFont="1" applyBorder="1" applyAlignment="1">
      <alignment horizontal="center"/>
    </xf>
    <xf numFmtId="170" fontId="0" fillId="0" borderId="0" xfId="0" applyNumberFormat="1" applyAlignment="1">
      <alignment horizontal="center"/>
    </xf>
    <xf numFmtId="0" fontId="13" fillId="0" borderId="0" xfId="0" applyNumberFormat="1" applyFont="1" applyAlignment="1">
      <alignment horizontal="left"/>
    </xf>
    <xf numFmtId="0" fontId="0" fillId="0" borderId="0" xfId="0" applyFont="1" applyBorder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Font="1"/>
    <xf numFmtId="164" fontId="0" fillId="0" borderId="0" xfId="0" applyNumberForma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183" fontId="0" fillId="0" borderId="0" xfId="0" applyNumberFormat="1" applyAlignment="1">
      <alignment horizontal="center"/>
    </xf>
    <xf numFmtId="2" fontId="12" fillId="0" borderId="0" xfId="0" applyNumberFormat="1" applyFont="1" applyAlignment="1">
      <alignment horizontal="left"/>
    </xf>
    <xf numFmtId="0" fontId="0" fillId="0" borderId="0" xfId="0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3" fontId="39" fillId="0" borderId="0" xfId="0" applyNumberFormat="1" applyFont="1" applyBorder="1" applyAlignment="1">
      <alignment horizontal="center" vertical="center"/>
    </xf>
    <xf numFmtId="167" fontId="0" fillId="0" borderId="0" xfId="0" applyNumberForma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12" xfId="0" applyBorder="1" applyAlignment="1">
      <alignment horizontal="center"/>
    </xf>
    <xf numFmtId="3" fontId="0" fillId="0" borderId="12" xfId="0" applyNumberFormat="1" applyBorder="1" applyAlignment="1">
      <alignment horizontal="center"/>
    </xf>
    <xf numFmtId="4" fontId="0" fillId="0" borderId="12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74" fontId="0" fillId="0" borderId="0" xfId="0" applyNumberFormat="1" applyFont="1" applyBorder="1" applyAlignment="1"/>
    <xf numFmtId="175" fontId="68" fillId="0" borderId="0" xfId="0" applyNumberFormat="1" applyFont="1" applyBorder="1" applyAlignment="1">
      <alignment horizontal="right"/>
    </xf>
    <xf numFmtId="0" fontId="14" fillId="9" borderId="13" xfId="0" applyFont="1" applyFill="1" applyBorder="1" applyAlignment="1">
      <alignment horizontal="right"/>
    </xf>
    <xf numFmtId="165" fontId="0" fillId="9" borderId="14" xfId="0" applyNumberFormat="1" applyFill="1" applyBorder="1" applyAlignment="1">
      <alignment horizontal="center"/>
    </xf>
    <xf numFmtId="0" fontId="13" fillId="9" borderId="14" xfId="0" applyFont="1" applyFill="1" applyBorder="1"/>
    <xf numFmtId="175" fontId="0" fillId="0" borderId="0" xfId="0" applyNumberFormat="1" applyBorder="1" applyAlignment="1"/>
    <xf numFmtId="0" fontId="16" fillId="0" borderId="0" xfId="0" applyFont="1" applyBorder="1" applyAlignment="1">
      <alignment horizontal="center"/>
    </xf>
    <xf numFmtId="174" fontId="0" fillId="0" borderId="0" xfId="0" applyNumberFormat="1" applyFont="1" applyAlignment="1">
      <alignment vertical="center"/>
    </xf>
    <xf numFmtId="0" fontId="68" fillId="0" borderId="0" xfId="0" applyFont="1" applyAlignment="1">
      <alignment horizontal="right" vertical="center"/>
    </xf>
    <xf numFmtId="0" fontId="66" fillId="0" borderId="0" xfId="0" applyFont="1" applyBorder="1" applyAlignment="1">
      <alignment horizontal="center"/>
    </xf>
    <xf numFmtId="175" fontId="0" fillId="0" borderId="0" xfId="0" applyNumberFormat="1" applyFont="1" applyBorder="1" applyAlignment="1"/>
    <xf numFmtId="174" fontId="0" fillId="0" borderId="0" xfId="0" applyNumberFormat="1" applyBorder="1" applyAlignment="1">
      <alignment horizontal="center"/>
    </xf>
    <xf numFmtId="174" fontId="0" fillId="0" borderId="0" xfId="0" applyNumberFormat="1" applyBorder="1" applyAlignment="1"/>
    <xf numFmtId="4" fontId="0" fillId="0" borderId="1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3" fontId="0" fillId="0" borderId="3" xfId="0" applyNumberFormat="1" applyFont="1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3" fontId="0" fillId="0" borderId="5" xfId="0" applyNumberFormat="1" applyFont="1" applyBorder="1" applyAlignment="1">
      <alignment horizontal="center"/>
    </xf>
    <xf numFmtId="4" fontId="0" fillId="0" borderId="11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0" fillId="0" borderId="3" xfId="0" applyBorder="1"/>
    <xf numFmtId="0" fontId="68" fillId="0" borderId="0" xfId="0" applyFont="1"/>
    <xf numFmtId="3" fontId="0" fillId="0" borderId="4" xfId="0" applyNumberFormat="1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3" fontId="0" fillId="0" borderId="0" xfId="0" applyNumberFormat="1" applyFont="1" applyBorder="1"/>
    <xf numFmtId="4" fontId="0" fillId="0" borderId="3" xfId="0" applyNumberFormat="1" applyFont="1" applyBorder="1" applyAlignment="1">
      <alignment horizontal="center"/>
    </xf>
    <xf numFmtId="176" fontId="0" fillId="0" borderId="11" xfId="0" applyNumberFormat="1" applyFont="1" applyBorder="1" applyAlignment="1">
      <alignment horizont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/>
    <xf numFmtId="3" fontId="0" fillId="0" borderId="0" xfId="0" applyNumberFormat="1"/>
    <xf numFmtId="0" fontId="0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178" fontId="0" fillId="0" borderId="0" xfId="0" applyNumberFormat="1" applyFill="1" applyAlignment="1">
      <alignment horizontal="center"/>
    </xf>
    <xf numFmtId="0" fontId="14" fillId="0" borderId="0" xfId="0" applyFont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12" borderId="0" xfId="0" applyFill="1" applyAlignment="1">
      <alignment horizontal="center"/>
    </xf>
    <xf numFmtId="178" fontId="0" fillId="12" borderId="0" xfId="0" applyNumberFormat="1" applyFill="1" applyAlignment="1">
      <alignment horizontal="center"/>
    </xf>
    <xf numFmtId="0" fontId="14" fillId="0" borderId="0" xfId="0" applyFont="1" applyAlignment="1">
      <alignment horizontal="center" vertical="top"/>
    </xf>
    <xf numFmtId="0" fontId="2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0" fillId="0" borderId="0" xfId="0" applyFill="1"/>
    <xf numFmtId="167" fontId="0" fillId="0" borderId="0" xfId="0" applyNumberFormat="1" applyFill="1" applyAlignment="1">
      <alignment horizontal="center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/>
    <xf numFmtId="0" fontId="13" fillId="0" borderId="0" xfId="0" applyFont="1" applyFill="1"/>
    <xf numFmtId="18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75" fontId="0" fillId="0" borderId="0" xfId="0" applyNumberFormat="1" applyAlignment="1">
      <alignment horizontal="center"/>
    </xf>
    <xf numFmtId="183" fontId="0" fillId="0" borderId="0" xfId="0" applyNumberFormat="1"/>
    <xf numFmtId="3" fontId="0" fillId="0" borderId="0" xfId="0" applyNumberFormat="1" applyAlignment="1">
      <alignment horizontal="right"/>
    </xf>
    <xf numFmtId="3" fontId="12" fillId="0" borderId="0" xfId="0" applyNumberFormat="1" applyFont="1" applyAlignment="1">
      <alignment horizontal="center"/>
    </xf>
    <xf numFmtId="11" fontId="0" fillId="0" borderId="0" xfId="0" applyNumberFormat="1" applyFill="1" applyAlignment="1">
      <alignment horizontal="center"/>
    </xf>
    <xf numFmtId="165" fontId="0" fillId="0" borderId="0" xfId="0" applyNumberFormat="1" applyFill="1"/>
    <xf numFmtId="165" fontId="30" fillId="0" borderId="0" xfId="0" applyNumberFormat="1" applyFont="1" applyFill="1" applyBorder="1" applyAlignment="1">
      <alignment horizontal="center"/>
    </xf>
    <xf numFmtId="167" fontId="0" fillId="12" borderId="12" xfId="0" applyNumberFormat="1" applyFill="1" applyBorder="1" applyAlignment="1">
      <alignment horizontal="center"/>
    </xf>
    <xf numFmtId="3" fontId="0" fillId="0" borderId="12" xfId="0" applyNumberFormat="1" applyFill="1" applyBorder="1" applyAlignment="1">
      <alignment horizontal="center"/>
    </xf>
    <xf numFmtId="165" fontId="30" fillId="0" borderId="15" xfId="0" applyNumberFormat="1" applyFont="1" applyFill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27" fillId="0" borderId="0" xfId="0" applyFont="1" applyAlignment="1">
      <alignment horizontal="right"/>
    </xf>
    <xf numFmtId="3" fontId="18" fillId="0" borderId="0" xfId="0" applyNumberFormat="1" applyFont="1" applyAlignment="1">
      <alignment horizontal="center"/>
    </xf>
    <xf numFmtId="0" fontId="18" fillId="0" borderId="0" xfId="0" applyFont="1" applyBorder="1"/>
    <xf numFmtId="49" fontId="0" fillId="0" borderId="0" xfId="0" applyNumberFormat="1" applyFont="1" applyBorder="1" applyAlignment="1">
      <alignment vertical="center" wrapText="1"/>
    </xf>
    <xf numFmtId="8" fontId="0" fillId="0" borderId="0" xfId="0" applyNumberFormat="1"/>
    <xf numFmtId="184" fontId="0" fillId="0" borderId="0" xfId="0" applyNumberFormat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72" fontId="3" fillId="0" borderId="14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2" fontId="29" fillId="0" borderId="9" xfId="0" applyNumberFormat="1" applyFont="1" applyBorder="1" applyAlignment="1">
      <alignment horizontal="center"/>
    </xf>
    <xf numFmtId="2" fontId="29" fillId="0" borderId="11" xfId="0" applyNumberFormat="1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2" fontId="16" fillId="0" borderId="1" xfId="0" applyNumberFormat="1" applyFont="1" applyBorder="1" applyAlignment="1">
      <alignment horizontal="center" vertical="center"/>
    </xf>
    <xf numFmtId="2" fontId="16" fillId="0" borderId="2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2" fontId="16" fillId="0" borderId="9" xfId="0" applyNumberFormat="1" applyFont="1" applyBorder="1" applyAlignment="1">
      <alignment horizontal="center" vertical="center"/>
    </xf>
    <xf numFmtId="2" fontId="16" fillId="0" borderId="10" xfId="0" applyNumberFormat="1" applyFont="1" applyBorder="1" applyAlignment="1">
      <alignment horizontal="center" vertical="center"/>
    </xf>
    <xf numFmtId="2" fontId="16" fillId="0" borderId="11" xfId="0" applyNumberFormat="1" applyFont="1" applyBorder="1" applyAlignment="1">
      <alignment horizontal="center" vertical="center"/>
    </xf>
    <xf numFmtId="2" fontId="29" fillId="0" borderId="1" xfId="0" applyNumberFormat="1" applyFont="1" applyBorder="1" applyAlignment="1">
      <alignment horizontal="center"/>
    </xf>
    <xf numFmtId="2" fontId="29" fillId="0" borderId="3" xfId="0" applyNumberFormat="1" applyFont="1" applyBorder="1" applyAlignment="1">
      <alignment horizontal="center"/>
    </xf>
    <xf numFmtId="2" fontId="29" fillId="0" borderId="4" xfId="0" applyNumberFormat="1" applyFont="1" applyBorder="1" applyAlignment="1">
      <alignment horizontal="center"/>
    </xf>
    <xf numFmtId="2" fontId="29" fillId="0" borderId="5" xfId="0" applyNumberFormat="1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0" xfId="0" applyFont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/>
    </xf>
    <xf numFmtId="0" fontId="14" fillId="0" borderId="10" xfId="0" applyFont="1" applyBorder="1" applyAlignment="1" applyProtection="1">
      <alignment horizontal="center"/>
    </xf>
    <xf numFmtId="0" fontId="14" fillId="0" borderId="11" xfId="0" applyFont="1" applyBorder="1" applyAlignment="1" applyProtection="1">
      <alignment horizontal="center"/>
    </xf>
    <xf numFmtId="0" fontId="14" fillId="0" borderId="13" xfId="0" applyFont="1" applyBorder="1" applyAlignment="1" applyProtection="1">
      <alignment horizontal="center"/>
    </xf>
    <xf numFmtId="0" fontId="14" fillId="0" borderId="14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4" xfId="0" applyFont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14" fillId="0" borderId="5" xfId="0" applyFont="1" applyBorder="1" applyAlignment="1" applyProtection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11" fontId="20" fillId="0" borderId="6" xfId="0" applyNumberFormat="1" applyFont="1" applyBorder="1" applyAlignment="1">
      <alignment horizontal="center" vertical="center" wrapText="1"/>
    </xf>
    <xf numFmtId="11" fontId="20" fillId="0" borderId="8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3" fontId="20" fillId="0" borderId="13" xfId="0" applyNumberFormat="1" applyFont="1" applyFill="1" applyBorder="1" applyAlignment="1">
      <alignment horizontal="center" vertical="center"/>
    </xf>
    <xf numFmtId="3" fontId="20" fillId="0" borderId="14" xfId="0" applyNumberFormat="1" applyFont="1" applyFill="1" applyBorder="1" applyAlignment="1">
      <alignment horizontal="center" vertical="center"/>
    </xf>
    <xf numFmtId="3" fontId="20" fillId="0" borderId="15" xfId="0" applyNumberFormat="1" applyFont="1" applyFill="1" applyBorder="1" applyAlignment="1">
      <alignment horizontal="center" vertical="center"/>
    </xf>
    <xf numFmtId="3" fontId="20" fillId="0" borderId="13" xfId="0" applyNumberFormat="1" applyFont="1" applyFill="1" applyBorder="1" applyAlignment="1">
      <alignment horizontal="center"/>
    </xf>
    <xf numFmtId="3" fontId="20" fillId="0" borderId="14" xfId="0" applyNumberFormat="1" applyFont="1" applyFill="1" applyBorder="1" applyAlignment="1">
      <alignment horizontal="center"/>
    </xf>
    <xf numFmtId="3" fontId="20" fillId="0" borderId="15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center" vertical="center"/>
    </xf>
    <xf numFmtId="3" fontId="20" fillId="0" borderId="2" xfId="0" applyNumberFormat="1" applyFont="1" applyFill="1" applyBorder="1" applyAlignment="1">
      <alignment horizontal="center" vertical="center"/>
    </xf>
    <xf numFmtId="3" fontId="20" fillId="0" borderId="3" xfId="0" applyNumberFormat="1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13" xfId="0" applyFont="1" applyFill="1" applyBorder="1" applyAlignment="1" applyProtection="1">
      <alignment horizontal="center"/>
    </xf>
    <xf numFmtId="0" fontId="14" fillId="0" borderId="2" xfId="0" applyFont="1" applyFill="1" applyBorder="1" applyAlignment="1" applyProtection="1">
      <alignment horizontal="center"/>
    </xf>
    <xf numFmtId="0" fontId="14" fillId="0" borderId="3" xfId="0" applyFont="1" applyFill="1" applyBorder="1" applyAlignment="1" applyProtection="1">
      <alignment horizontal="center"/>
    </xf>
    <xf numFmtId="0" fontId="23" fillId="9" borderId="0" xfId="0" applyFont="1" applyFill="1" applyBorder="1" applyAlignment="1">
      <alignment horizontal="right" vertical="center"/>
    </xf>
    <xf numFmtId="2" fontId="16" fillId="9" borderId="0" xfId="0" applyNumberFormat="1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/>
    </xf>
    <xf numFmtId="0" fontId="14" fillId="0" borderId="14" xfId="0" applyFont="1" applyFill="1" applyBorder="1" applyAlignment="1" applyProtection="1">
      <alignment horizontal="center"/>
    </xf>
    <xf numFmtId="0" fontId="23" fillId="9" borderId="1" xfId="0" applyFont="1" applyFill="1" applyBorder="1" applyAlignment="1">
      <alignment horizontal="right" vertical="center"/>
    </xf>
    <xf numFmtId="0" fontId="23" fillId="9" borderId="9" xfId="0" applyFont="1" applyFill="1" applyBorder="1" applyAlignment="1">
      <alignment horizontal="right" vertical="center"/>
    </xf>
    <xf numFmtId="2" fontId="16" fillId="9" borderId="2" xfId="0" applyNumberFormat="1" applyFont="1" applyFill="1" applyBorder="1" applyAlignment="1">
      <alignment horizontal="center" vertical="center"/>
    </xf>
    <xf numFmtId="2" fontId="16" fillId="9" borderId="10" xfId="0" applyNumberFormat="1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left" vertical="center"/>
    </xf>
    <xf numFmtId="0" fontId="16" fillId="9" borderId="11" xfId="0" applyFont="1" applyFill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67" fillId="0" borderId="0" xfId="0" applyFont="1" applyBorder="1" applyAlignment="1">
      <alignment horizontal="center" vertical="center" wrapText="1"/>
    </xf>
    <xf numFmtId="174" fontId="0" fillId="0" borderId="9" xfId="0" applyNumberFormat="1" applyFont="1" applyBorder="1" applyAlignment="1">
      <alignment horizontal="center"/>
    </xf>
    <xf numFmtId="174" fontId="0" fillId="0" borderId="10" xfId="0" applyNumberFormat="1" applyFont="1" applyBorder="1" applyAlignment="1">
      <alignment horizontal="center"/>
    </xf>
  </cellXfs>
  <cellStyles count="2">
    <cellStyle name="Moneda 2" xfId="1" xr:uid="{00000000-0005-0000-0000-000000000000}"/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1" i="0" baseline="0">
                <a:effectLst/>
              </a:rPr>
              <a:t>Ciclos de vida útil según profundidad de la descarga</a:t>
            </a:r>
            <a:endParaRPr lang="es-CL" sz="1400">
              <a:effectLst/>
            </a:endParaRPr>
          </a:p>
          <a:p>
            <a:pPr>
              <a:defRPr/>
            </a:pPr>
            <a:r>
              <a:rPr lang="en-US" sz="1400"/>
              <a:t>(Curva "DOD" típica acumulador Pb-ác.)</a:t>
            </a:r>
          </a:p>
        </c:rich>
      </c:tx>
      <c:layout>
        <c:manualLayout>
          <c:xMode val="edge"/>
          <c:yMode val="edge"/>
          <c:x val="0.1800156820020139"/>
          <c:y val="1.13314447592067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759149955700863"/>
          <c:y val="0.17279079741605907"/>
          <c:w val="0.82657067617617452"/>
          <c:h val="0.65249225856799153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'Curva DOD Pb ác'!$F$7:$F$34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ác'!$G$7:$G$34</c:f>
              <c:numCache>
                <c:formatCode>#,##0</c:formatCode>
                <c:ptCount val="28"/>
                <c:pt idx="0">
                  <c:v>34569.999999999993</c:v>
                </c:pt>
                <c:pt idx="1">
                  <c:v>16776.399999999994</c:v>
                </c:pt>
                <c:pt idx="2">
                  <c:v>10845.199999999997</c:v>
                </c:pt>
                <c:pt idx="3">
                  <c:v>7879.5999999999995</c:v>
                </c:pt>
                <c:pt idx="4">
                  <c:v>6100.24</c:v>
                </c:pt>
                <c:pt idx="5">
                  <c:v>4914</c:v>
                </c:pt>
                <c:pt idx="6">
                  <c:v>4066.6857142857143</c:v>
                </c:pt>
                <c:pt idx="7">
                  <c:v>3431.2000000000003</c:v>
                </c:pt>
                <c:pt idx="8">
                  <c:v>2936.9333333333338</c:v>
                </c:pt>
                <c:pt idx="9">
                  <c:v>2541.5200000000004</c:v>
                </c:pt>
                <c:pt idx="10">
                  <c:v>2218.0000000000009</c:v>
                </c:pt>
                <c:pt idx="11">
                  <c:v>1948.4000000000005</c:v>
                </c:pt>
                <c:pt idx="12">
                  <c:v>1720.2769230769234</c:v>
                </c:pt>
                <c:pt idx="13">
                  <c:v>1524.7428571428577</c:v>
                </c:pt>
                <c:pt idx="14">
                  <c:v>1355.2800000000002</c:v>
                </c:pt>
                <c:pt idx="15">
                  <c:v>1207.0000000000002</c:v>
                </c:pt>
                <c:pt idx="16">
                  <c:v>1076.1647058823532</c:v>
                </c:pt>
                <c:pt idx="17">
                  <c:v>959.86666666666679</c:v>
                </c:pt>
                <c:pt idx="18">
                  <c:v>855.81052631578973</c:v>
                </c:pt>
                <c:pt idx="19">
                  <c:v>762.16000000000031</c:v>
                </c:pt>
                <c:pt idx="20">
                  <c:v>677.42857142857167</c:v>
                </c:pt>
                <c:pt idx="21">
                  <c:v>600.40000000000032</c:v>
                </c:pt>
                <c:pt idx="22">
                  <c:v>530.06956521739176</c:v>
                </c:pt>
                <c:pt idx="23">
                  <c:v>465.60000000000031</c:v>
                </c:pt>
                <c:pt idx="24">
                  <c:v>406.28800000000035</c:v>
                </c:pt>
                <c:pt idx="25">
                  <c:v>351.53846153846189</c:v>
                </c:pt>
                <c:pt idx="26">
                  <c:v>300.84444444444483</c:v>
                </c:pt>
                <c:pt idx="27">
                  <c:v>253.77142857142888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48-4E11-B7E2-73CEE45B1B7E}"/>
            </c:ext>
          </c:extLst>
        </c:ser>
        <c:ser>
          <c:idx val="1"/>
          <c:order val="1"/>
          <c:marker>
            <c:symbol val="diamond"/>
            <c:size val="5"/>
          </c:marker>
          <c:xVal>
            <c:numRef>
              <c:f>'Curva DOD Pb ác'!$F$7:$F$34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ác'!$H$7:$H$34</c:f>
              <c:numCache>
                <c:formatCode>General</c:formatCode>
                <c:ptCount val="28"/>
                <c:pt idx="5" formatCode="#,##0">
                  <c:v>4914</c:v>
                </c:pt>
                <c:pt idx="7" formatCode="#,##0">
                  <c:v>3431</c:v>
                </c:pt>
                <c:pt idx="9" formatCode="#,##0">
                  <c:v>2586</c:v>
                </c:pt>
                <c:pt idx="11" formatCode="#,##0">
                  <c:v>1914</c:v>
                </c:pt>
                <c:pt idx="13" formatCode="#,##0">
                  <c:v>1500</c:v>
                </c:pt>
                <c:pt idx="15" formatCode="#,##0">
                  <c:v>1207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48-4E11-B7E2-73CEE45B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70112"/>
        <c:axId val="117776384"/>
      </c:scatterChart>
      <c:valAx>
        <c:axId val="117770112"/>
        <c:scaling>
          <c:orientation val="minMax"/>
          <c:max val="1.4"/>
          <c:min val="0.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 b="1" i="0" baseline="0">
                    <a:effectLst/>
                  </a:rPr>
                  <a:t>Profundidad de la descarga q</a:t>
                </a:r>
                <a:r>
                  <a:rPr lang="es-ES" sz="1100" b="1" i="0" baseline="-25000">
                    <a:effectLst/>
                  </a:rPr>
                  <a:t>d</a:t>
                </a:r>
                <a:r>
                  <a:rPr lang="es-ES" sz="1100" b="1" i="0" baseline="0">
                    <a:effectLst/>
                  </a:rPr>
                  <a:t> [0/1]</a:t>
                </a:r>
                <a:endParaRPr lang="es-CL" sz="1100">
                  <a:effectLst/>
                </a:endParaRP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17776384"/>
        <c:crosses val="autoZero"/>
        <c:crossBetween val="midCat"/>
        <c:majorUnit val="0.1"/>
        <c:minorUnit val="1.0000000000000002E-2"/>
      </c:valAx>
      <c:valAx>
        <c:axId val="117776384"/>
        <c:scaling>
          <c:orientation val="minMax"/>
          <c:max val="6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 b="1" i="0" baseline="0">
                    <a:effectLst/>
                  </a:rPr>
                  <a:t>Número de descargas/recargas n</a:t>
                </a:r>
                <a:r>
                  <a:rPr lang="en-US" sz="1100" b="1" i="0" baseline="-25000">
                    <a:effectLst/>
                  </a:rPr>
                  <a:t>dr</a:t>
                </a:r>
                <a:r>
                  <a:rPr lang="en-US" sz="1100" b="1" i="0" baseline="0">
                    <a:effectLst/>
                  </a:rPr>
                  <a:t> [c]</a:t>
                </a:r>
                <a:endParaRPr lang="es-CL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004708587878898E-2"/>
              <c:y val="0.1690137033154141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7770112"/>
        <c:crosses val="autoZero"/>
        <c:crossBetween val="midCat"/>
        <c:majorUnit val="500"/>
        <c:minorUnit val="100"/>
      </c:valAx>
      <c:spPr>
        <a:solidFill>
          <a:schemeClr val="bg1"/>
        </a:solidFill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/>
              <a:t>Recarga a tensión constante</a:t>
            </a:r>
            <a:endParaRPr lang="es-ES" sz="1400" baseline="0"/>
          </a:p>
          <a:p>
            <a:pPr>
              <a:defRPr/>
            </a:pPr>
            <a:r>
              <a:rPr lang="es-ES" sz="1400" baseline="0"/>
              <a:t>acumulador Ion-Li Worley Parsons SLPB 68105100</a:t>
            </a:r>
            <a:endParaRPr lang="es-ES" sz="14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988577647306282"/>
          <c:y val="0.1471023988536779"/>
          <c:w val="0.83561945000777804"/>
          <c:h val="0.71575409203032814"/>
        </c:manualLayout>
      </c:layout>
      <c:scatterChart>
        <c:scatterStyle val="smoothMarker"/>
        <c:varyColors val="0"/>
        <c:ser>
          <c:idx val="0"/>
          <c:order val="0"/>
          <c:tx>
            <c:v>qe; Ur = 4,15  [V]</c:v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  <c:extLst xmlns:c15="http://schemas.microsoft.com/office/drawing/2012/chart"/>
            </c:numRef>
          </c:xVal>
          <c:yVal>
            <c:numRef>
              <c:f>'Curva de carga Li'!$AF$9:$AF$109</c:f>
              <c:numCache>
                <c:formatCode>0.00</c:formatCode>
                <c:ptCount val="101"/>
                <c:pt idx="0">
                  <c:v>0</c:v>
                </c:pt>
                <c:pt idx="1">
                  <c:v>4.4975128412710381</c:v>
                </c:pt>
                <c:pt idx="2">
                  <c:v>5.7652614730627958</c:v>
                </c:pt>
                <c:pt idx="3">
                  <c:v>6.1226115574609237</c:v>
                </c:pt>
                <c:pt idx="4">
                  <c:v>6.2233405818250587</c:v>
                </c:pt>
                <c:pt idx="5">
                  <c:v>6.2517338487986462</c:v>
                </c:pt>
                <c:pt idx="6">
                  <c:v>6.2597372779445415</c:v>
                </c:pt>
                <c:pt idx="7">
                  <c:v>6.2619932662446178</c:v>
                </c:pt>
                <c:pt idx="8">
                  <c:v>6.2626291790661481</c:v>
                </c:pt>
                <c:pt idx="9">
                  <c:v>6.2628084287176513</c:v>
                </c:pt>
                <c:pt idx="10">
                  <c:v>6.2628589551993903</c:v>
                </c:pt>
                <c:pt idx="11">
                  <c:v>6.262873197488485</c:v>
                </c:pt>
                <c:pt idx="12">
                  <c:v>6.2628772120723566</c:v>
                </c:pt>
                <c:pt idx="13">
                  <c:v>6.2628783436940747</c:v>
                </c:pt>
                <c:pt idx="14">
                  <c:v>6.2628786626730166</c:v>
                </c:pt>
                <c:pt idx="15">
                  <c:v>6.2628787525860705</c:v>
                </c:pt>
                <c:pt idx="16">
                  <c:v>6.2628787779305561</c:v>
                </c:pt>
                <c:pt idx="17">
                  <c:v>6.2628787850746024</c:v>
                </c:pt>
                <c:pt idx="18">
                  <c:v>6.2628787870883498</c:v>
                </c:pt>
                <c:pt idx="19">
                  <c:v>6.2628787876559802</c:v>
                </c:pt>
                <c:pt idx="20">
                  <c:v>6.2628787878159828</c:v>
                </c:pt>
                <c:pt idx="21">
                  <c:v>6.2628787878610837</c:v>
                </c:pt>
                <c:pt idx="22">
                  <c:v>6.2628787878737961</c:v>
                </c:pt>
                <c:pt idx="23">
                  <c:v>6.2628787878773799</c:v>
                </c:pt>
                <c:pt idx="24">
                  <c:v>6.2628787878783907</c:v>
                </c:pt>
                <c:pt idx="25">
                  <c:v>6.2628787878786749</c:v>
                </c:pt>
                <c:pt idx="26">
                  <c:v>6.2628787878787557</c:v>
                </c:pt>
                <c:pt idx="27">
                  <c:v>6.2628787878787779</c:v>
                </c:pt>
                <c:pt idx="28">
                  <c:v>6.2628787878787842</c:v>
                </c:pt>
                <c:pt idx="29">
                  <c:v>6.2628787878787859</c:v>
                </c:pt>
                <c:pt idx="30">
                  <c:v>6.2628787878787868</c:v>
                </c:pt>
                <c:pt idx="31">
                  <c:v>6.2628787878787868</c:v>
                </c:pt>
                <c:pt idx="32">
                  <c:v>6.2628787878787868</c:v>
                </c:pt>
                <c:pt idx="33">
                  <c:v>6.2628787878787868</c:v>
                </c:pt>
                <c:pt idx="34">
                  <c:v>6.2628787878787868</c:v>
                </c:pt>
                <c:pt idx="35">
                  <c:v>6.2628787878787868</c:v>
                </c:pt>
                <c:pt idx="36">
                  <c:v>6.2628787878787868</c:v>
                </c:pt>
                <c:pt idx="37">
                  <c:v>6.2628787878787868</c:v>
                </c:pt>
                <c:pt idx="38">
                  <c:v>6.2628787878787868</c:v>
                </c:pt>
                <c:pt idx="39">
                  <c:v>6.2628787878787868</c:v>
                </c:pt>
                <c:pt idx="40">
                  <c:v>6.2628787878787868</c:v>
                </c:pt>
                <c:pt idx="41">
                  <c:v>6.2628787878787868</c:v>
                </c:pt>
                <c:pt idx="42">
                  <c:v>6.2628787878787868</c:v>
                </c:pt>
                <c:pt idx="43">
                  <c:v>6.2628787878787868</c:v>
                </c:pt>
                <c:pt idx="44">
                  <c:v>6.2628787878787868</c:v>
                </c:pt>
                <c:pt idx="45">
                  <c:v>6.2628787878787868</c:v>
                </c:pt>
                <c:pt idx="46">
                  <c:v>6.2628787878787868</c:v>
                </c:pt>
                <c:pt idx="47">
                  <c:v>6.2628787878787868</c:v>
                </c:pt>
                <c:pt idx="48">
                  <c:v>6.2628787878787868</c:v>
                </c:pt>
                <c:pt idx="49">
                  <c:v>6.2628787878787868</c:v>
                </c:pt>
                <c:pt idx="50">
                  <c:v>6.2628787878787868</c:v>
                </c:pt>
                <c:pt idx="51">
                  <c:v>6.2628787878787868</c:v>
                </c:pt>
                <c:pt idx="52">
                  <c:v>6.2628787878787868</c:v>
                </c:pt>
                <c:pt idx="53">
                  <c:v>6.2628787878787868</c:v>
                </c:pt>
                <c:pt idx="54">
                  <c:v>6.2628787878787868</c:v>
                </c:pt>
                <c:pt idx="55">
                  <c:v>6.2628787878787868</c:v>
                </c:pt>
                <c:pt idx="56">
                  <c:v>6.2628787878787868</c:v>
                </c:pt>
                <c:pt idx="57">
                  <c:v>6.2628787878787868</c:v>
                </c:pt>
                <c:pt idx="58">
                  <c:v>6.2628787878787868</c:v>
                </c:pt>
                <c:pt idx="59">
                  <c:v>6.2628787878787868</c:v>
                </c:pt>
                <c:pt idx="60">
                  <c:v>6.2628787878787868</c:v>
                </c:pt>
                <c:pt idx="61">
                  <c:v>6.2628787878787868</c:v>
                </c:pt>
                <c:pt idx="62">
                  <c:v>6.2628787878787868</c:v>
                </c:pt>
                <c:pt idx="63">
                  <c:v>6.2628787878787868</c:v>
                </c:pt>
                <c:pt idx="64">
                  <c:v>6.2628787878787868</c:v>
                </c:pt>
                <c:pt idx="65">
                  <c:v>6.2628787878787868</c:v>
                </c:pt>
                <c:pt idx="66">
                  <c:v>6.2628787878787868</c:v>
                </c:pt>
                <c:pt idx="67">
                  <c:v>6.2628787878787868</c:v>
                </c:pt>
                <c:pt idx="68">
                  <c:v>6.2628787878787868</c:v>
                </c:pt>
                <c:pt idx="69">
                  <c:v>6.2628787878787868</c:v>
                </c:pt>
                <c:pt idx="70">
                  <c:v>6.2628787878787868</c:v>
                </c:pt>
                <c:pt idx="71">
                  <c:v>6.2628787878787868</c:v>
                </c:pt>
                <c:pt idx="72">
                  <c:v>6.2628787878787868</c:v>
                </c:pt>
                <c:pt idx="73">
                  <c:v>6.2628787878787868</c:v>
                </c:pt>
                <c:pt idx="74">
                  <c:v>6.2628787878787868</c:v>
                </c:pt>
                <c:pt idx="75">
                  <c:v>6.2628787878787868</c:v>
                </c:pt>
                <c:pt idx="76">
                  <c:v>6.2628787878787868</c:v>
                </c:pt>
                <c:pt idx="77">
                  <c:v>6.2628787878787868</c:v>
                </c:pt>
                <c:pt idx="78">
                  <c:v>6.2628787878787868</c:v>
                </c:pt>
                <c:pt idx="79">
                  <c:v>6.2628787878787868</c:v>
                </c:pt>
                <c:pt idx="80">
                  <c:v>6.2628787878787868</c:v>
                </c:pt>
                <c:pt idx="81">
                  <c:v>6.2628787878787868</c:v>
                </c:pt>
                <c:pt idx="82">
                  <c:v>6.2628787878787868</c:v>
                </c:pt>
                <c:pt idx="83">
                  <c:v>6.2628787878787868</c:v>
                </c:pt>
                <c:pt idx="84">
                  <c:v>6.2628787878787868</c:v>
                </c:pt>
                <c:pt idx="85">
                  <c:v>6.2628787878787868</c:v>
                </c:pt>
                <c:pt idx="86">
                  <c:v>6.2628787878787868</c:v>
                </c:pt>
                <c:pt idx="87">
                  <c:v>6.2628787878787868</c:v>
                </c:pt>
                <c:pt idx="88">
                  <c:v>6.2628787878787868</c:v>
                </c:pt>
                <c:pt idx="89">
                  <c:v>6.2628787878787868</c:v>
                </c:pt>
                <c:pt idx="90">
                  <c:v>6.2628787878787868</c:v>
                </c:pt>
                <c:pt idx="91">
                  <c:v>6.2628787878787868</c:v>
                </c:pt>
                <c:pt idx="92">
                  <c:v>6.2628787878787868</c:v>
                </c:pt>
                <c:pt idx="93">
                  <c:v>6.2628787878787868</c:v>
                </c:pt>
                <c:pt idx="94">
                  <c:v>6.2628787878787868</c:v>
                </c:pt>
                <c:pt idx="95">
                  <c:v>6.2628787878787868</c:v>
                </c:pt>
                <c:pt idx="96">
                  <c:v>6.2628787878787868</c:v>
                </c:pt>
                <c:pt idx="97">
                  <c:v>6.2628787878787868</c:v>
                </c:pt>
                <c:pt idx="98">
                  <c:v>6.2628787878787868</c:v>
                </c:pt>
                <c:pt idx="99">
                  <c:v>6.2628787878787868</c:v>
                </c:pt>
                <c:pt idx="100">
                  <c:v>6.2628787878787868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C9DA-4744-9628-41607155DDE4}"/>
            </c:ext>
          </c:extLst>
        </c:ser>
        <c:ser>
          <c:idx val="1"/>
          <c:order val="1"/>
          <c:tx>
            <c:v>qe: Ur = Ufl = 4,20 [V]</c:v>
          </c:tx>
          <c:spPr>
            <a:ln w="19050">
              <a:solidFill>
                <a:srgbClr val="00B0F0"/>
              </a:solidFill>
              <a:prstDash val="sysDash"/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Li'!$AG$9:$AG$109</c:f>
              <c:numCache>
                <c:formatCode>0.00</c:formatCode>
                <c:ptCount val="101"/>
                <c:pt idx="0">
                  <c:v>0</c:v>
                </c:pt>
                <c:pt idx="1">
                  <c:v>4.5463628244224257</c:v>
                </c:pt>
                <c:pt idx="2">
                  <c:v>5.5685287296137762</c:v>
                </c:pt>
                <c:pt idx="3">
                  <c:v>5.7983438979331652</c:v>
                </c:pt>
                <c:pt idx="4">
                  <c:v>5.8500136037230313</c:v>
                </c:pt>
                <c:pt idx="5">
                  <c:v>5.8616305849516204</c:v>
                </c:pt>
                <c:pt idx="6">
                  <c:v>5.8642424491146219</c:v>
                </c:pt>
                <c:pt idx="7">
                  <c:v>5.8648296786428222</c:v>
                </c:pt>
                <c:pt idx="8">
                  <c:v>5.8649617063813517</c:v>
                </c:pt>
                <c:pt idx="9">
                  <c:v>5.8649913903854838</c:v>
                </c:pt>
                <c:pt idx="10">
                  <c:v>5.8649980642868256</c:v>
                </c:pt>
                <c:pt idx="11">
                  <c:v>5.8649995647905619</c:v>
                </c:pt>
                <c:pt idx="12">
                  <c:v>5.8649999021511778</c:v>
                </c:pt>
                <c:pt idx="13">
                  <c:v>5.8649999780004958</c:v>
                </c:pt>
                <c:pt idx="14">
                  <c:v>5.8649999950538172</c:v>
                </c:pt>
                <c:pt idx="15">
                  <c:v>5.8649999988879422</c:v>
                </c:pt>
                <c:pt idx="16">
                  <c:v>5.8649999997499744</c:v>
                </c:pt>
                <c:pt idx="17">
                  <c:v>5.8649999999437865</c:v>
                </c:pt>
                <c:pt idx="18">
                  <c:v>5.8649999999873614</c:v>
                </c:pt>
                <c:pt idx="19">
                  <c:v>5.8649999999971589</c:v>
                </c:pt>
                <c:pt idx="20">
                  <c:v>5.8649999999993616</c:v>
                </c:pt>
                <c:pt idx="21">
                  <c:v>5.8649999999998563</c:v>
                </c:pt>
                <c:pt idx="22">
                  <c:v>5.8649999999999674</c:v>
                </c:pt>
                <c:pt idx="23">
                  <c:v>5.8649999999999931</c:v>
                </c:pt>
                <c:pt idx="24">
                  <c:v>5.8649999999999984</c:v>
                </c:pt>
                <c:pt idx="25">
                  <c:v>5.8649999999999993</c:v>
                </c:pt>
                <c:pt idx="26">
                  <c:v>5.8650000000000002</c:v>
                </c:pt>
                <c:pt idx="27">
                  <c:v>5.8650000000000002</c:v>
                </c:pt>
                <c:pt idx="28">
                  <c:v>5.8650000000000002</c:v>
                </c:pt>
                <c:pt idx="29">
                  <c:v>5.8650000000000002</c:v>
                </c:pt>
                <c:pt idx="30">
                  <c:v>5.8650000000000002</c:v>
                </c:pt>
                <c:pt idx="31">
                  <c:v>5.8650000000000002</c:v>
                </c:pt>
                <c:pt idx="32">
                  <c:v>5.8650000000000002</c:v>
                </c:pt>
                <c:pt idx="33">
                  <c:v>5.8650000000000002</c:v>
                </c:pt>
                <c:pt idx="34">
                  <c:v>5.8650000000000002</c:v>
                </c:pt>
                <c:pt idx="35">
                  <c:v>5.8650000000000002</c:v>
                </c:pt>
                <c:pt idx="36">
                  <c:v>5.8650000000000002</c:v>
                </c:pt>
                <c:pt idx="37">
                  <c:v>5.8650000000000002</c:v>
                </c:pt>
                <c:pt idx="38">
                  <c:v>5.8650000000000002</c:v>
                </c:pt>
                <c:pt idx="39">
                  <c:v>5.8650000000000002</c:v>
                </c:pt>
                <c:pt idx="40">
                  <c:v>5.8650000000000002</c:v>
                </c:pt>
                <c:pt idx="41">
                  <c:v>5.8650000000000002</c:v>
                </c:pt>
                <c:pt idx="42">
                  <c:v>5.8650000000000002</c:v>
                </c:pt>
                <c:pt idx="43">
                  <c:v>5.8650000000000002</c:v>
                </c:pt>
                <c:pt idx="44">
                  <c:v>5.8650000000000002</c:v>
                </c:pt>
                <c:pt idx="45">
                  <c:v>5.8650000000000002</c:v>
                </c:pt>
                <c:pt idx="46">
                  <c:v>5.8650000000000002</c:v>
                </c:pt>
                <c:pt idx="47">
                  <c:v>5.8650000000000002</c:v>
                </c:pt>
                <c:pt idx="48">
                  <c:v>5.8650000000000002</c:v>
                </c:pt>
                <c:pt idx="49">
                  <c:v>5.8650000000000002</c:v>
                </c:pt>
                <c:pt idx="50">
                  <c:v>5.8650000000000002</c:v>
                </c:pt>
                <c:pt idx="51">
                  <c:v>5.8650000000000002</c:v>
                </c:pt>
                <c:pt idx="52">
                  <c:v>5.8650000000000002</c:v>
                </c:pt>
                <c:pt idx="53">
                  <c:v>5.8650000000000002</c:v>
                </c:pt>
                <c:pt idx="54">
                  <c:v>5.8650000000000002</c:v>
                </c:pt>
                <c:pt idx="55">
                  <c:v>5.8650000000000002</c:v>
                </c:pt>
                <c:pt idx="56">
                  <c:v>5.8650000000000002</c:v>
                </c:pt>
                <c:pt idx="57">
                  <c:v>5.8650000000000002</c:v>
                </c:pt>
                <c:pt idx="58">
                  <c:v>5.8650000000000002</c:v>
                </c:pt>
                <c:pt idx="59">
                  <c:v>5.8650000000000002</c:v>
                </c:pt>
                <c:pt idx="60">
                  <c:v>5.8650000000000002</c:v>
                </c:pt>
                <c:pt idx="61">
                  <c:v>5.8650000000000002</c:v>
                </c:pt>
                <c:pt idx="62">
                  <c:v>5.8650000000000002</c:v>
                </c:pt>
                <c:pt idx="63">
                  <c:v>5.8650000000000002</c:v>
                </c:pt>
                <c:pt idx="64">
                  <c:v>5.8650000000000002</c:v>
                </c:pt>
                <c:pt idx="65">
                  <c:v>5.8650000000000002</c:v>
                </c:pt>
                <c:pt idx="66">
                  <c:v>5.8650000000000002</c:v>
                </c:pt>
                <c:pt idx="67">
                  <c:v>5.8650000000000002</c:v>
                </c:pt>
                <c:pt idx="68">
                  <c:v>5.8650000000000002</c:v>
                </c:pt>
                <c:pt idx="69">
                  <c:v>5.8650000000000002</c:v>
                </c:pt>
                <c:pt idx="70">
                  <c:v>5.8650000000000002</c:v>
                </c:pt>
                <c:pt idx="71">
                  <c:v>5.8650000000000002</c:v>
                </c:pt>
                <c:pt idx="72">
                  <c:v>5.8650000000000002</c:v>
                </c:pt>
                <c:pt idx="73">
                  <c:v>5.8650000000000002</c:v>
                </c:pt>
                <c:pt idx="74">
                  <c:v>5.8650000000000002</c:v>
                </c:pt>
                <c:pt idx="75">
                  <c:v>5.8650000000000002</c:v>
                </c:pt>
                <c:pt idx="76">
                  <c:v>5.8650000000000002</c:v>
                </c:pt>
                <c:pt idx="77">
                  <c:v>5.8650000000000002</c:v>
                </c:pt>
                <c:pt idx="78">
                  <c:v>5.8650000000000002</c:v>
                </c:pt>
                <c:pt idx="79">
                  <c:v>5.8650000000000002</c:v>
                </c:pt>
                <c:pt idx="80">
                  <c:v>5.8650000000000002</c:v>
                </c:pt>
                <c:pt idx="81">
                  <c:v>5.8650000000000002</c:v>
                </c:pt>
                <c:pt idx="82">
                  <c:v>5.8650000000000002</c:v>
                </c:pt>
                <c:pt idx="83">
                  <c:v>5.8650000000000002</c:v>
                </c:pt>
                <c:pt idx="84">
                  <c:v>5.8650000000000002</c:v>
                </c:pt>
                <c:pt idx="85">
                  <c:v>5.8650000000000002</c:v>
                </c:pt>
                <c:pt idx="86">
                  <c:v>5.8650000000000002</c:v>
                </c:pt>
                <c:pt idx="87">
                  <c:v>5.8650000000000002</c:v>
                </c:pt>
                <c:pt idx="88">
                  <c:v>5.8650000000000002</c:v>
                </c:pt>
                <c:pt idx="89">
                  <c:v>5.8650000000000002</c:v>
                </c:pt>
                <c:pt idx="90">
                  <c:v>5.8650000000000002</c:v>
                </c:pt>
                <c:pt idx="91">
                  <c:v>5.8650000000000002</c:v>
                </c:pt>
                <c:pt idx="92">
                  <c:v>5.8650000000000002</c:v>
                </c:pt>
                <c:pt idx="93">
                  <c:v>5.8650000000000002</c:v>
                </c:pt>
                <c:pt idx="94">
                  <c:v>5.8650000000000002</c:v>
                </c:pt>
                <c:pt idx="95">
                  <c:v>5.8650000000000002</c:v>
                </c:pt>
                <c:pt idx="96">
                  <c:v>5.8650000000000002</c:v>
                </c:pt>
                <c:pt idx="97">
                  <c:v>5.8650000000000002</c:v>
                </c:pt>
                <c:pt idx="98">
                  <c:v>5.8650000000000002</c:v>
                </c:pt>
                <c:pt idx="99">
                  <c:v>5.8650000000000002</c:v>
                </c:pt>
                <c:pt idx="100">
                  <c:v>5.8650000000000002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DA-4744-9628-41607155DDE4}"/>
            </c:ext>
          </c:extLst>
        </c:ser>
        <c:ser>
          <c:idx val="2"/>
          <c:order val="2"/>
          <c:tx>
            <c:v>qe; Ur = 4,25  [V]</c:v>
          </c:tx>
          <c:spPr>
            <a:ln w="1905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  <c:extLst xmlns:c15="http://schemas.microsoft.com/office/drawing/2012/chart"/>
            </c:numRef>
          </c:xVal>
          <c:yVal>
            <c:numRef>
              <c:f>'Curva de carga Li'!$AH$9:$AH$109</c:f>
              <c:numCache>
                <c:formatCode>0.00</c:formatCode>
                <c:ptCount val="101"/>
                <c:pt idx="0">
                  <c:v>0</c:v>
                </c:pt>
                <c:pt idx="1">
                  <c:v>4.4867003087834423</c:v>
                </c:pt>
                <c:pt idx="2">
                  <c:v>5.2913019627563909</c:v>
                </c:pt>
                <c:pt idx="3">
                  <c:v>5.43559148000109</c:v>
                </c:pt>
                <c:pt idx="4">
                  <c:v>5.4614669734007197</c:v>
                </c:pt>
                <c:pt idx="5">
                  <c:v>5.466107235364718</c:v>
                </c:pt>
                <c:pt idx="6">
                  <c:v>5.4669393752880806</c:v>
                </c:pt>
                <c:pt idx="7">
                  <c:v>5.4670886032535329</c:v>
                </c:pt>
                <c:pt idx="8">
                  <c:v>5.4671153643607076</c:v>
                </c:pt>
                <c:pt idx="9">
                  <c:v>5.4671201634401223</c:v>
                </c:pt>
                <c:pt idx="10">
                  <c:v>5.4671210240608392</c:v>
                </c:pt>
                <c:pt idx="11">
                  <c:v>5.4671211783962761</c:v>
                </c:pt>
                <c:pt idx="12">
                  <c:v>5.4671212060733083</c:v>
                </c:pt>
                <c:pt idx="13">
                  <c:v>5.4671212110366403</c:v>
                </c:pt>
                <c:pt idx="14">
                  <c:v>5.4671212119267167</c:v>
                </c:pt>
                <c:pt idx="15">
                  <c:v>5.4671212120863348</c:v>
                </c:pt>
                <c:pt idx="16">
                  <c:v>5.4671212121149591</c:v>
                </c:pt>
                <c:pt idx="17">
                  <c:v>5.4671212121200918</c:v>
                </c:pt>
                <c:pt idx="18">
                  <c:v>5.4671212121210129</c:v>
                </c:pt>
                <c:pt idx="19">
                  <c:v>5.4671212121211781</c:v>
                </c:pt>
                <c:pt idx="20">
                  <c:v>5.4671212121212065</c:v>
                </c:pt>
                <c:pt idx="21">
                  <c:v>5.4671212121212127</c:v>
                </c:pt>
                <c:pt idx="22">
                  <c:v>5.4671212121212136</c:v>
                </c:pt>
                <c:pt idx="23">
                  <c:v>5.4671212121212136</c:v>
                </c:pt>
                <c:pt idx="24">
                  <c:v>5.4671212121212136</c:v>
                </c:pt>
                <c:pt idx="25">
                  <c:v>5.4671212121212136</c:v>
                </c:pt>
                <c:pt idx="26">
                  <c:v>5.4671212121212136</c:v>
                </c:pt>
                <c:pt idx="27">
                  <c:v>5.4671212121212136</c:v>
                </c:pt>
                <c:pt idx="28">
                  <c:v>5.4671212121212136</c:v>
                </c:pt>
                <c:pt idx="29">
                  <c:v>5.4671212121212136</c:v>
                </c:pt>
                <c:pt idx="30">
                  <c:v>5.4671212121212136</c:v>
                </c:pt>
                <c:pt idx="31">
                  <c:v>5.4671212121212136</c:v>
                </c:pt>
                <c:pt idx="32">
                  <c:v>5.4671212121212136</c:v>
                </c:pt>
                <c:pt idx="33">
                  <c:v>5.4671212121212136</c:v>
                </c:pt>
                <c:pt idx="34">
                  <c:v>5.4671212121212136</c:v>
                </c:pt>
                <c:pt idx="35">
                  <c:v>5.4671212121212136</c:v>
                </c:pt>
                <c:pt idx="36">
                  <c:v>5.4671212121212136</c:v>
                </c:pt>
                <c:pt idx="37">
                  <c:v>5.4671212121212136</c:v>
                </c:pt>
                <c:pt idx="38">
                  <c:v>5.4671212121212136</c:v>
                </c:pt>
                <c:pt idx="39">
                  <c:v>5.4671212121212136</c:v>
                </c:pt>
                <c:pt idx="40">
                  <c:v>5.4671212121212136</c:v>
                </c:pt>
                <c:pt idx="41">
                  <c:v>5.4671212121212136</c:v>
                </c:pt>
                <c:pt idx="42">
                  <c:v>5.4671212121212136</c:v>
                </c:pt>
                <c:pt idx="43">
                  <c:v>5.4671212121212136</c:v>
                </c:pt>
                <c:pt idx="44">
                  <c:v>5.4671212121212136</c:v>
                </c:pt>
                <c:pt idx="45">
                  <c:v>5.4671212121212136</c:v>
                </c:pt>
                <c:pt idx="46">
                  <c:v>5.4671212121212136</c:v>
                </c:pt>
                <c:pt idx="47">
                  <c:v>5.4671212121212136</c:v>
                </c:pt>
                <c:pt idx="48">
                  <c:v>5.4671212121212136</c:v>
                </c:pt>
                <c:pt idx="49">
                  <c:v>5.4671212121212136</c:v>
                </c:pt>
                <c:pt idx="50">
                  <c:v>5.4671212121212136</c:v>
                </c:pt>
                <c:pt idx="51">
                  <c:v>5.4671212121212136</c:v>
                </c:pt>
                <c:pt idx="52">
                  <c:v>5.4671212121212136</c:v>
                </c:pt>
                <c:pt idx="53">
                  <c:v>5.4671212121212136</c:v>
                </c:pt>
                <c:pt idx="54">
                  <c:v>5.4671212121212136</c:v>
                </c:pt>
                <c:pt idx="55">
                  <c:v>5.4671212121212136</c:v>
                </c:pt>
                <c:pt idx="56">
                  <c:v>5.4671212121212136</c:v>
                </c:pt>
                <c:pt idx="57">
                  <c:v>5.4671212121212136</c:v>
                </c:pt>
                <c:pt idx="58">
                  <c:v>5.4671212121212136</c:v>
                </c:pt>
                <c:pt idx="59">
                  <c:v>5.4671212121212136</c:v>
                </c:pt>
                <c:pt idx="60">
                  <c:v>5.4671212121212136</c:v>
                </c:pt>
                <c:pt idx="61">
                  <c:v>5.4671212121212136</c:v>
                </c:pt>
                <c:pt idx="62">
                  <c:v>5.4671212121212136</c:v>
                </c:pt>
                <c:pt idx="63">
                  <c:v>5.4671212121212136</c:v>
                </c:pt>
                <c:pt idx="64">
                  <c:v>5.4671212121212136</c:v>
                </c:pt>
                <c:pt idx="65">
                  <c:v>5.4671212121212136</c:v>
                </c:pt>
                <c:pt idx="66">
                  <c:v>5.4671212121212136</c:v>
                </c:pt>
                <c:pt idx="67">
                  <c:v>5.4671212121212136</c:v>
                </c:pt>
                <c:pt idx="68">
                  <c:v>5.4671212121212136</c:v>
                </c:pt>
                <c:pt idx="69">
                  <c:v>5.4671212121212136</c:v>
                </c:pt>
                <c:pt idx="70">
                  <c:v>5.4671212121212136</c:v>
                </c:pt>
                <c:pt idx="71">
                  <c:v>5.4671212121212136</c:v>
                </c:pt>
                <c:pt idx="72">
                  <c:v>5.4671212121212136</c:v>
                </c:pt>
                <c:pt idx="73">
                  <c:v>5.4671212121212136</c:v>
                </c:pt>
                <c:pt idx="74">
                  <c:v>5.4671212121212136</c:v>
                </c:pt>
                <c:pt idx="75">
                  <c:v>5.4671212121212136</c:v>
                </c:pt>
                <c:pt idx="76">
                  <c:v>5.4671212121212136</c:v>
                </c:pt>
                <c:pt idx="77">
                  <c:v>5.4671212121212136</c:v>
                </c:pt>
                <c:pt idx="78">
                  <c:v>5.4671212121212136</c:v>
                </c:pt>
                <c:pt idx="79">
                  <c:v>5.4671212121212136</c:v>
                </c:pt>
                <c:pt idx="80">
                  <c:v>5.4671212121212136</c:v>
                </c:pt>
                <c:pt idx="81">
                  <c:v>5.4671212121212136</c:v>
                </c:pt>
                <c:pt idx="82">
                  <c:v>5.4671212121212136</c:v>
                </c:pt>
                <c:pt idx="83">
                  <c:v>5.4671212121212136</c:v>
                </c:pt>
                <c:pt idx="84">
                  <c:v>5.4671212121212136</c:v>
                </c:pt>
                <c:pt idx="85">
                  <c:v>5.4671212121212136</c:v>
                </c:pt>
                <c:pt idx="86">
                  <c:v>5.4671212121212136</c:v>
                </c:pt>
                <c:pt idx="87">
                  <c:v>5.4671212121212136</c:v>
                </c:pt>
                <c:pt idx="88">
                  <c:v>5.4671212121212136</c:v>
                </c:pt>
                <c:pt idx="89">
                  <c:v>5.4671212121212136</c:v>
                </c:pt>
                <c:pt idx="90">
                  <c:v>5.4671212121212136</c:v>
                </c:pt>
                <c:pt idx="91">
                  <c:v>5.4671212121212136</c:v>
                </c:pt>
                <c:pt idx="92">
                  <c:v>5.4671212121212136</c:v>
                </c:pt>
                <c:pt idx="93">
                  <c:v>5.4671212121212136</c:v>
                </c:pt>
                <c:pt idx="94">
                  <c:v>5.4671212121212136</c:v>
                </c:pt>
                <c:pt idx="95">
                  <c:v>5.4671212121212136</c:v>
                </c:pt>
                <c:pt idx="96">
                  <c:v>5.4671212121212136</c:v>
                </c:pt>
                <c:pt idx="97">
                  <c:v>5.4671212121212136</c:v>
                </c:pt>
                <c:pt idx="98">
                  <c:v>5.4671212121212136</c:v>
                </c:pt>
                <c:pt idx="99">
                  <c:v>5.4671212121212136</c:v>
                </c:pt>
                <c:pt idx="100">
                  <c:v>5.4671212121212136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C9DA-4744-9628-41607155DDE4}"/>
            </c:ext>
          </c:extLst>
        </c:ser>
        <c:ser>
          <c:idx val="3"/>
          <c:order val="3"/>
          <c:tx>
            <c:v>Qn = 8,0 [Ah]</c:v>
          </c:tx>
          <c:spPr>
            <a:ln w="19050">
              <a:solidFill>
                <a:srgbClr val="00B0F0"/>
              </a:solidFill>
              <a:prstDash val="lgDashDot"/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Li'!$AI$9:$AI$109</c:f>
              <c:numCache>
                <c:formatCode>0.00</c:formatCode>
                <c:ptCount val="101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DA-4744-9628-41607155DDE4}"/>
            </c:ext>
          </c:extLst>
        </c:ser>
        <c:ser>
          <c:idx val="4"/>
          <c:order val="4"/>
          <c:tx>
            <c:v>QI = 8,3  [Ah]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Li'!$AJ$9:$AJ$109</c:f>
              <c:numCache>
                <c:formatCode>0.00</c:formatCode>
                <c:ptCount val="101"/>
                <c:pt idx="0">
                  <c:v>8.4909999999999997</c:v>
                </c:pt>
                <c:pt idx="1">
                  <c:v>8.4909999999999997</c:v>
                </c:pt>
                <c:pt idx="2">
                  <c:v>8.4909999999999997</c:v>
                </c:pt>
                <c:pt idx="3">
                  <c:v>8.4909999999999997</c:v>
                </c:pt>
                <c:pt idx="4">
                  <c:v>8.4909999999999997</c:v>
                </c:pt>
                <c:pt idx="5">
                  <c:v>8.4909999999999997</c:v>
                </c:pt>
                <c:pt idx="6">
                  <c:v>8.4909999999999997</c:v>
                </c:pt>
                <c:pt idx="7">
                  <c:v>8.4909999999999997</c:v>
                </c:pt>
                <c:pt idx="8">
                  <c:v>8.4909999999999997</c:v>
                </c:pt>
                <c:pt idx="9">
                  <c:v>8.4909999999999997</c:v>
                </c:pt>
                <c:pt idx="10">
                  <c:v>8.4909999999999997</c:v>
                </c:pt>
                <c:pt idx="11">
                  <c:v>8.4909999999999997</c:v>
                </c:pt>
                <c:pt idx="12">
                  <c:v>8.4909999999999997</c:v>
                </c:pt>
                <c:pt idx="13">
                  <c:v>8.4909999999999997</c:v>
                </c:pt>
                <c:pt idx="14">
                  <c:v>8.4909999999999997</c:v>
                </c:pt>
                <c:pt idx="15">
                  <c:v>8.4909999999999997</c:v>
                </c:pt>
                <c:pt idx="16">
                  <c:v>8.4909999999999997</c:v>
                </c:pt>
                <c:pt idx="17">
                  <c:v>8.4909999999999997</c:v>
                </c:pt>
                <c:pt idx="18">
                  <c:v>8.4909999999999997</c:v>
                </c:pt>
                <c:pt idx="19">
                  <c:v>8.4909999999999997</c:v>
                </c:pt>
                <c:pt idx="20">
                  <c:v>8.4909999999999997</c:v>
                </c:pt>
                <c:pt idx="21">
                  <c:v>8.4909999999999997</c:v>
                </c:pt>
                <c:pt idx="22">
                  <c:v>8.4909999999999997</c:v>
                </c:pt>
                <c:pt idx="23">
                  <c:v>8.4909999999999997</c:v>
                </c:pt>
                <c:pt idx="24">
                  <c:v>8.4909999999999997</c:v>
                </c:pt>
                <c:pt idx="25">
                  <c:v>8.4909999999999997</c:v>
                </c:pt>
                <c:pt idx="26">
                  <c:v>8.4909999999999997</c:v>
                </c:pt>
                <c:pt idx="27">
                  <c:v>8.4909999999999997</c:v>
                </c:pt>
                <c:pt idx="28">
                  <c:v>8.4909999999999997</c:v>
                </c:pt>
                <c:pt idx="29">
                  <c:v>8.4909999999999997</c:v>
                </c:pt>
                <c:pt idx="30">
                  <c:v>8.4909999999999997</c:v>
                </c:pt>
                <c:pt idx="31">
                  <c:v>8.4909999999999997</c:v>
                </c:pt>
                <c:pt idx="32">
                  <c:v>8.4909999999999997</c:v>
                </c:pt>
                <c:pt idx="33">
                  <c:v>8.4909999999999997</c:v>
                </c:pt>
                <c:pt idx="34">
                  <c:v>8.4909999999999997</c:v>
                </c:pt>
                <c:pt idx="35">
                  <c:v>8.4909999999999997</c:v>
                </c:pt>
                <c:pt idx="36">
                  <c:v>8.4909999999999997</c:v>
                </c:pt>
                <c:pt idx="37">
                  <c:v>8.4909999999999997</c:v>
                </c:pt>
                <c:pt idx="38">
                  <c:v>8.4909999999999997</c:v>
                </c:pt>
                <c:pt idx="39">
                  <c:v>8.4909999999999997</c:v>
                </c:pt>
                <c:pt idx="40">
                  <c:v>8.4909999999999997</c:v>
                </c:pt>
                <c:pt idx="41">
                  <c:v>8.4909999999999997</c:v>
                </c:pt>
                <c:pt idx="42">
                  <c:v>8.4909999999999997</c:v>
                </c:pt>
                <c:pt idx="43">
                  <c:v>8.4909999999999997</c:v>
                </c:pt>
                <c:pt idx="44">
                  <c:v>8.4909999999999997</c:v>
                </c:pt>
                <c:pt idx="45">
                  <c:v>8.4909999999999997</c:v>
                </c:pt>
                <c:pt idx="46">
                  <c:v>8.4909999999999997</c:v>
                </c:pt>
                <c:pt idx="47">
                  <c:v>8.4909999999999997</c:v>
                </c:pt>
                <c:pt idx="48">
                  <c:v>8.4909999999999997</c:v>
                </c:pt>
                <c:pt idx="49">
                  <c:v>8.4909999999999997</c:v>
                </c:pt>
                <c:pt idx="50">
                  <c:v>8.4909999999999997</c:v>
                </c:pt>
                <c:pt idx="51">
                  <c:v>8.4909999999999997</c:v>
                </c:pt>
                <c:pt idx="52">
                  <c:v>8.4909999999999997</c:v>
                </c:pt>
                <c:pt idx="53">
                  <c:v>8.4909999999999997</c:v>
                </c:pt>
                <c:pt idx="54">
                  <c:v>8.4909999999999997</c:v>
                </c:pt>
                <c:pt idx="55">
                  <c:v>8.4909999999999997</c:v>
                </c:pt>
                <c:pt idx="56">
                  <c:v>8.4909999999999997</c:v>
                </c:pt>
                <c:pt idx="57">
                  <c:v>8.4909999999999997</c:v>
                </c:pt>
                <c:pt idx="58">
                  <c:v>8.4909999999999997</c:v>
                </c:pt>
                <c:pt idx="59">
                  <c:v>8.4909999999999997</c:v>
                </c:pt>
                <c:pt idx="60">
                  <c:v>8.4909999999999997</c:v>
                </c:pt>
                <c:pt idx="61">
                  <c:v>8.4909999999999997</c:v>
                </c:pt>
                <c:pt idx="62">
                  <c:v>8.4909999999999997</c:v>
                </c:pt>
                <c:pt idx="63">
                  <c:v>8.4909999999999997</c:v>
                </c:pt>
                <c:pt idx="64">
                  <c:v>8.4909999999999997</c:v>
                </c:pt>
                <c:pt idx="65">
                  <c:v>8.4909999999999997</c:v>
                </c:pt>
                <c:pt idx="66">
                  <c:v>8.4909999999999997</c:v>
                </c:pt>
                <c:pt idx="67">
                  <c:v>8.4909999999999997</c:v>
                </c:pt>
                <c:pt idx="68">
                  <c:v>8.4909999999999997</c:v>
                </c:pt>
                <c:pt idx="69">
                  <c:v>8.4909999999999997</c:v>
                </c:pt>
                <c:pt idx="70">
                  <c:v>8.4909999999999997</c:v>
                </c:pt>
                <c:pt idx="71">
                  <c:v>8.4909999999999997</c:v>
                </c:pt>
                <c:pt idx="72">
                  <c:v>8.4909999999999997</c:v>
                </c:pt>
                <c:pt idx="73">
                  <c:v>8.4909999999999997</c:v>
                </c:pt>
                <c:pt idx="74">
                  <c:v>8.4909999999999997</c:v>
                </c:pt>
                <c:pt idx="75">
                  <c:v>8.4909999999999997</c:v>
                </c:pt>
                <c:pt idx="76">
                  <c:v>8.4909999999999997</c:v>
                </c:pt>
                <c:pt idx="77">
                  <c:v>8.4909999999999997</c:v>
                </c:pt>
                <c:pt idx="78">
                  <c:v>8.4909999999999997</c:v>
                </c:pt>
                <c:pt idx="79">
                  <c:v>8.4909999999999997</c:v>
                </c:pt>
                <c:pt idx="80">
                  <c:v>8.4909999999999997</c:v>
                </c:pt>
                <c:pt idx="81">
                  <c:v>8.4909999999999997</c:v>
                </c:pt>
                <c:pt idx="82">
                  <c:v>8.4909999999999997</c:v>
                </c:pt>
                <c:pt idx="83">
                  <c:v>8.4909999999999997</c:v>
                </c:pt>
                <c:pt idx="84">
                  <c:v>8.4909999999999997</c:v>
                </c:pt>
                <c:pt idx="85">
                  <c:v>8.4909999999999997</c:v>
                </c:pt>
                <c:pt idx="86">
                  <c:v>8.4909999999999997</c:v>
                </c:pt>
                <c:pt idx="87">
                  <c:v>8.4909999999999997</c:v>
                </c:pt>
                <c:pt idx="88">
                  <c:v>8.4909999999999997</c:v>
                </c:pt>
                <c:pt idx="89">
                  <c:v>8.4909999999999997</c:v>
                </c:pt>
                <c:pt idx="90">
                  <c:v>8.4909999999999997</c:v>
                </c:pt>
                <c:pt idx="91">
                  <c:v>8.4909999999999997</c:v>
                </c:pt>
                <c:pt idx="92">
                  <c:v>8.4909999999999997</c:v>
                </c:pt>
                <c:pt idx="93">
                  <c:v>8.4909999999999997</c:v>
                </c:pt>
                <c:pt idx="94">
                  <c:v>8.4909999999999997</c:v>
                </c:pt>
                <c:pt idx="95">
                  <c:v>8.4909999999999997</c:v>
                </c:pt>
                <c:pt idx="96">
                  <c:v>8.4909999999999997</c:v>
                </c:pt>
                <c:pt idx="97">
                  <c:v>8.4909999999999997</c:v>
                </c:pt>
                <c:pt idx="98">
                  <c:v>8.4909999999999997</c:v>
                </c:pt>
                <c:pt idx="99">
                  <c:v>8.4909999999999997</c:v>
                </c:pt>
                <c:pt idx="100">
                  <c:v>8.4909999999999997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9DA-4744-9628-41607155DDE4}"/>
            </c:ext>
          </c:extLst>
        </c:ser>
        <c:ser>
          <c:idx val="6"/>
          <c:order val="6"/>
          <c:tx>
            <c:v>qC; Ur = Ufl = 4,20  [V]</c:v>
          </c:tx>
          <c:spPr>
            <a:ln w="19050">
              <a:solidFill>
                <a:srgbClr val="00B0F0"/>
              </a:solidFill>
              <a:prstDash val="sysDot"/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Li'!$AL$9:$AL$109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2.6251558569971016</c:v>
                </c:pt>
                <c:pt idx="3">
                  <c:v>2.6251558569971016</c:v>
                </c:pt>
                <c:pt idx="4">
                  <c:v>2.6251558569971016</c:v>
                </c:pt>
                <c:pt idx="5">
                  <c:v>2.6251558569971016</c:v>
                </c:pt>
                <c:pt idx="6">
                  <c:v>2.6251558569971016</c:v>
                </c:pt>
                <c:pt idx="7">
                  <c:v>2.6251558569971016</c:v>
                </c:pt>
                <c:pt idx="8">
                  <c:v>2.6251558569971016</c:v>
                </c:pt>
                <c:pt idx="9">
                  <c:v>2.6251558569971016</c:v>
                </c:pt>
                <c:pt idx="10">
                  <c:v>2.6251558569971016</c:v>
                </c:pt>
                <c:pt idx="11">
                  <c:v>2.6251558569971016</c:v>
                </c:pt>
                <c:pt idx="12">
                  <c:v>2.6251558569971016</c:v>
                </c:pt>
                <c:pt idx="13">
                  <c:v>2.6251558569971016</c:v>
                </c:pt>
                <c:pt idx="14">
                  <c:v>2.6251558569971016</c:v>
                </c:pt>
                <c:pt idx="15">
                  <c:v>2.6251558569971016</c:v>
                </c:pt>
                <c:pt idx="16">
                  <c:v>2.6251558569971016</c:v>
                </c:pt>
                <c:pt idx="17">
                  <c:v>2.6251558569971016</c:v>
                </c:pt>
                <c:pt idx="18">
                  <c:v>2.6251558569971016</c:v>
                </c:pt>
                <c:pt idx="19">
                  <c:v>2.6251558569971016</c:v>
                </c:pt>
                <c:pt idx="20">
                  <c:v>2.6251558569971016</c:v>
                </c:pt>
                <c:pt idx="21">
                  <c:v>2.6251558569971016</c:v>
                </c:pt>
                <c:pt idx="22">
                  <c:v>2.6251558569971016</c:v>
                </c:pt>
                <c:pt idx="23">
                  <c:v>2.6251558569971016</c:v>
                </c:pt>
                <c:pt idx="24">
                  <c:v>2.6251558569971016</c:v>
                </c:pt>
                <c:pt idx="25">
                  <c:v>2.6251558569971016</c:v>
                </c:pt>
                <c:pt idx="26">
                  <c:v>2.6251558569971016</c:v>
                </c:pt>
                <c:pt idx="27">
                  <c:v>2.6251558569971016</c:v>
                </c:pt>
                <c:pt idx="28">
                  <c:v>2.6251558569971016</c:v>
                </c:pt>
                <c:pt idx="29">
                  <c:v>2.6251558569971016</c:v>
                </c:pt>
                <c:pt idx="30">
                  <c:v>2.6251558569971016</c:v>
                </c:pt>
                <c:pt idx="31">
                  <c:v>2.6251558569971016</c:v>
                </c:pt>
                <c:pt idx="32">
                  <c:v>2.6251558569971016</c:v>
                </c:pt>
                <c:pt idx="33">
                  <c:v>2.6251558569971016</c:v>
                </c:pt>
                <c:pt idx="34">
                  <c:v>2.6251558569971016</c:v>
                </c:pt>
                <c:pt idx="35">
                  <c:v>2.6251558569971016</c:v>
                </c:pt>
                <c:pt idx="36">
                  <c:v>2.6251558569971016</c:v>
                </c:pt>
                <c:pt idx="37">
                  <c:v>2.6251558569971016</c:v>
                </c:pt>
                <c:pt idx="38">
                  <c:v>2.6251558569971016</c:v>
                </c:pt>
                <c:pt idx="39">
                  <c:v>2.6251558569971016</c:v>
                </c:pt>
                <c:pt idx="40">
                  <c:v>2.6251558569971016</c:v>
                </c:pt>
                <c:pt idx="41">
                  <c:v>2.6251558569971016</c:v>
                </c:pt>
                <c:pt idx="42">
                  <c:v>2.6251558569971016</c:v>
                </c:pt>
                <c:pt idx="43">
                  <c:v>2.6251558569971016</c:v>
                </c:pt>
                <c:pt idx="44">
                  <c:v>2.6251558569971016</c:v>
                </c:pt>
                <c:pt idx="45">
                  <c:v>2.6251558569971016</c:v>
                </c:pt>
                <c:pt idx="46">
                  <c:v>2.6251558569971016</c:v>
                </c:pt>
                <c:pt idx="47">
                  <c:v>2.6251558569971016</c:v>
                </c:pt>
                <c:pt idx="48">
                  <c:v>2.6251558569971016</c:v>
                </c:pt>
                <c:pt idx="49">
                  <c:v>2.6251558569971016</c:v>
                </c:pt>
                <c:pt idx="50">
                  <c:v>2.6251558569971016</c:v>
                </c:pt>
                <c:pt idx="51">
                  <c:v>2.6251558569971016</c:v>
                </c:pt>
                <c:pt idx="52">
                  <c:v>2.6251558569971016</c:v>
                </c:pt>
                <c:pt idx="53">
                  <c:v>2.6251558569971016</c:v>
                </c:pt>
                <c:pt idx="54">
                  <c:v>2.6251558569971016</c:v>
                </c:pt>
                <c:pt idx="55">
                  <c:v>2.6251558569971016</c:v>
                </c:pt>
                <c:pt idx="56">
                  <c:v>2.6251558569971016</c:v>
                </c:pt>
                <c:pt idx="57">
                  <c:v>2.6251558569971016</c:v>
                </c:pt>
                <c:pt idx="58">
                  <c:v>2.6251558569971016</c:v>
                </c:pt>
                <c:pt idx="59">
                  <c:v>2.6251558569971016</c:v>
                </c:pt>
                <c:pt idx="60">
                  <c:v>2.6251558569971016</c:v>
                </c:pt>
                <c:pt idx="61">
                  <c:v>2.6251558569971016</c:v>
                </c:pt>
                <c:pt idx="62">
                  <c:v>2.6251558569971016</c:v>
                </c:pt>
                <c:pt idx="63">
                  <c:v>2.6251558569971016</c:v>
                </c:pt>
                <c:pt idx="64">
                  <c:v>2.6251558569971016</c:v>
                </c:pt>
                <c:pt idx="65">
                  <c:v>2.6251558569971016</c:v>
                </c:pt>
                <c:pt idx="66">
                  <c:v>2.6251558569971016</c:v>
                </c:pt>
                <c:pt idx="67">
                  <c:v>2.6251558569971016</c:v>
                </c:pt>
                <c:pt idx="68">
                  <c:v>2.6251558569971016</c:v>
                </c:pt>
                <c:pt idx="69">
                  <c:v>2.6251558569971016</c:v>
                </c:pt>
                <c:pt idx="70">
                  <c:v>2.6251558569971016</c:v>
                </c:pt>
                <c:pt idx="71">
                  <c:v>2.6251558569971016</c:v>
                </c:pt>
                <c:pt idx="72">
                  <c:v>2.6251558569971016</c:v>
                </c:pt>
                <c:pt idx="73">
                  <c:v>2.6251558569971016</c:v>
                </c:pt>
                <c:pt idx="74">
                  <c:v>2.6251558569971016</c:v>
                </c:pt>
                <c:pt idx="75">
                  <c:v>2.6251558569971016</c:v>
                </c:pt>
                <c:pt idx="76">
                  <c:v>2.6251558569971016</c:v>
                </c:pt>
                <c:pt idx="77">
                  <c:v>2.6251558569971016</c:v>
                </c:pt>
                <c:pt idx="78">
                  <c:v>2.6251558569971016</c:v>
                </c:pt>
                <c:pt idx="79">
                  <c:v>2.6251558569971016</c:v>
                </c:pt>
                <c:pt idx="80">
                  <c:v>2.6251558569971016</c:v>
                </c:pt>
                <c:pt idx="81">
                  <c:v>2.6251558569971016</c:v>
                </c:pt>
                <c:pt idx="82">
                  <c:v>2.6251558569971016</c:v>
                </c:pt>
                <c:pt idx="83">
                  <c:v>2.6251558569971016</c:v>
                </c:pt>
                <c:pt idx="84">
                  <c:v>2.6251558569971016</c:v>
                </c:pt>
                <c:pt idx="85">
                  <c:v>2.6251558569971016</c:v>
                </c:pt>
                <c:pt idx="86">
                  <c:v>2.6251558569971016</c:v>
                </c:pt>
                <c:pt idx="87">
                  <c:v>2.6251558569971016</c:v>
                </c:pt>
                <c:pt idx="88">
                  <c:v>2.6251558569971016</c:v>
                </c:pt>
                <c:pt idx="89">
                  <c:v>2.6251558569971016</c:v>
                </c:pt>
                <c:pt idx="90">
                  <c:v>2.6251558569971016</c:v>
                </c:pt>
                <c:pt idx="91">
                  <c:v>2.6251558569971016</c:v>
                </c:pt>
                <c:pt idx="92">
                  <c:v>2.6251558569971016</c:v>
                </c:pt>
                <c:pt idx="93">
                  <c:v>2.6251558569971016</c:v>
                </c:pt>
                <c:pt idx="94">
                  <c:v>2.6251558569971016</c:v>
                </c:pt>
                <c:pt idx="95">
                  <c:v>2.6251558569971016</c:v>
                </c:pt>
                <c:pt idx="96">
                  <c:v>2.6251558569971016</c:v>
                </c:pt>
                <c:pt idx="97">
                  <c:v>2.6251558569971016</c:v>
                </c:pt>
                <c:pt idx="98">
                  <c:v>2.6251558569971016</c:v>
                </c:pt>
                <c:pt idx="99">
                  <c:v>2.6251558569971016</c:v>
                </c:pt>
                <c:pt idx="100">
                  <c:v>2.6251558569971016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9DA-4744-9628-41607155DDE4}"/>
            </c:ext>
          </c:extLst>
        </c:ser>
        <c:ser>
          <c:idx val="7"/>
          <c:order val="7"/>
          <c:tx>
            <c:v>qC; Ur = 4,25 [V]</c:v>
          </c:tx>
          <c:spPr>
            <a:ln w="190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  <c:extLst xmlns:c15="http://schemas.microsoft.com/office/drawing/2012/chart"/>
            </c:numRef>
          </c:xVal>
          <c:yVal>
            <c:numRef>
              <c:f>'Curva de carga Li'!$AM$9:$AM$109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3.0229067444209035</c:v>
                </c:pt>
                <c:pt idx="3">
                  <c:v>3.0229067444209035</c:v>
                </c:pt>
                <c:pt idx="4">
                  <c:v>3.0229067444209035</c:v>
                </c:pt>
                <c:pt idx="5">
                  <c:v>3.0229067444209035</c:v>
                </c:pt>
                <c:pt idx="6">
                  <c:v>3.0229067444209035</c:v>
                </c:pt>
                <c:pt idx="7">
                  <c:v>3.0229067444209035</c:v>
                </c:pt>
                <c:pt idx="8">
                  <c:v>3.0229067444209035</c:v>
                </c:pt>
                <c:pt idx="9">
                  <c:v>3.0229067444209035</c:v>
                </c:pt>
                <c:pt idx="10">
                  <c:v>3.0229067444209035</c:v>
                </c:pt>
                <c:pt idx="11">
                  <c:v>3.0229067444209035</c:v>
                </c:pt>
                <c:pt idx="12">
                  <c:v>3.0229067444209035</c:v>
                </c:pt>
                <c:pt idx="13">
                  <c:v>3.0229067444209035</c:v>
                </c:pt>
                <c:pt idx="14">
                  <c:v>3.0229067444209035</c:v>
                </c:pt>
                <c:pt idx="15">
                  <c:v>3.0229067444209035</c:v>
                </c:pt>
                <c:pt idx="16">
                  <c:v>3.0229067444209035</c:v>
                </c:pt>
                <c:pt idx="17">
                  <c:v>3.0229067444209035</c:v>
                </c:pt>
                <c:pt idx="18">
                  <c:v>3.0229067444209035</c:v>
                </c:pt>
                <c:pt idx="19">
                  <c:v>3.0229067444209035</c:v>
                </c:pt>
                <c:pt idx="20">
                  <c:v>3.0229067444209035</c:v>
                </c:pt>
                <c:pt idx="21">
                  <c:v>3.0229067444209035</c:v>
                </c:pt>
                <c:pt idx="22">
                  <c:v>3.0229067444209035</c:v>
                </c:pt>
                <c:pt idx="23">
                  <c:v>3.0229067444209035</c:v>
                </c:pt>
                <c:pt idx="24">
                  <c:v>3.0229067444209035</c:v>
                </c:pt>
                <c:pt idx="25">
                  <c:v>3.0229067444209035</c:v>
                </c:pt>
                <c:pt idx="26">
                  <c:v>3.0229067444209035</c:v>
                </c:pt>
                <c:pt idx="27">
                  <c:v>3.0229067444209035</c:v>
                </c:pt>
                <c:pt idx="28">
                  <c:v>3.0229067444209035</c:v>
                </c:pt>
                <c:pt idx="29">
                  <c:v>3.0229067444209035</c:v>
                </c:pt>
                <c:pt idx="30">
                  <c:v>3.0229067444209035</c:v>
                </c:pt>
                <c:pt idx="31">
                  <c:v>3.0229067444209035</c:v>
                </c:pt>
                <c:pt idx="32">
                  <c:v>3.0229067444209035</c:v>
                </c:pt>
                <c:pt idx="33">
                  <c:v>3.0229067444209035</c:v>
                </c:pt>
                <c:pt idx="34">
                  <c:v>3.0229067444209035</c:v>
                </c:pt>
                <c:pt idx="35">
                  <c:v>3.0229067444209035</c:v>
                </c:pt>
                <c:pt idx="36">
                  <c:v>3.0229067444209035</c:v>
                </c:pt>
                <c:pt idx="37">
                  <c:v>3.0229067444209035</c:v>
                </c:pt>
                <c:pt idx="38">
                  <c:v>3.0229067444209035</c:v>
                </c:pt>
                <c:pt idx="39">
                  <c:v>3.0229067444209035</c:v>
                </c:pt>
                <c:pt idx="40">
                  <c:v>3.0229067444209035</c:v>
                </c:pt>
                <c:pt idx="41">
                  <c:v>3.0229067444209035</c:v>
                </c:pt>
                <c:pt idx="42">
                  <c:v>3.0229067444209035</c:v>
                </c:pt>
                <c:pt idx="43">
                  <c:v>3.0229067444209035</c:v>
                </c:pt>
                <c:pt idx="44">
                  <c:v>3.0229067444209035</c:v>
                </c:pt>
                <c:pt idx="45">
                  <c:v>3.0229067444209035</c:v>
                </c:pt>
                <c:pt idx="46">
                  <c:v>3.0229067444209035</c:v>
                </c:pt>
                <c:pt idx="47">
                  <c:v>3.0229067444209035</c:v>
                </c:pt>
                <c:pt idx="48">
                  <c:v>3.0229067444209035</c:v>
                </c:pt>
                <c:pt idx="49">
                  <c:v>3.0229067444209035</c:v>
                </c:pt>
                <c:pt idx="50">
                  <c:v>3.0229067444209035</c:v>
                </c:pt>
                <c:pt idx="51">
                  <c:v>3.0229067444209035</c:v>
                </c:pt>
                <c:pt idx="52">
                  <c:v>3.0229067444209035</c:v>
                </c:pt>
                <c:pt idx="53">
                  <c:v>3.0229067444209035</c:v>
                </c:pt>
                <c:pt idx="54">
                  <c:v>3.0229067444209035</c:v>
                </c:pt>
                <c:pt idx="55">
                  <c:v>3.0229067444209035</c:v>
                </c:pt>
                <c:pt idx="56">
                  <c:v>3.0229067444209035</c:v>
                </c:pt>
                <c:pt idx="57">
                  <c:v>3.0229067444209035</c:v>
                </c:pt>
                <c:pt idx="58">
                  <c:v>3.0229067444209035</c:v>
                </c:pt>
                <c:pt idx="59">
                  <c:v>3.0229067444209035</c:v>
                </c:pt>
                <c:pt idx="60">
                  <c:v>3.0229067444209035</c:v>
                </c:pt>
                <c:pt idx="61">
                  <c:v>3.0229067444209035</c:v>
                </c:pt>
                <c:pt idx="62">
                  <c:v>3.0229067444209035</c:v>
                </c:pt>
                <c:pt idx="63">
                  <c:v>3.0229067444209035</c:v>
                </c:pt>
                <c:pt idx="64">
                  <c:v>3.0229067444209035</c:v>
                </c:pt>
                <c:pt idx="65">
                  <c:v>3.0229067444209035</c:v>
                </c:pt>
                <c:pt idx="66">
                  <c:v>3.0229067444209035</c:v>
                </c:pt>
                <c:pt idx="67">
                  <c:v>3.0229067444209035</c:v>
                </c:pt>
                <c:pt idx="68">
                  <c:v>3.0229067444209035</c:v>
                </c:pt>
                <c:pt idx="69">
                  <c:v>3.0229067444209035</c:v>
                </c:pt>
                <c:pt idx="70">
                  <c:v>3.0229067444209035</c:v>
                </c:pt>
                <c:pt idx="71">
                  <c:v>3.0229067444209035</c:v>
                </c:pt>
                <c:pt idx="72">
                  <c:v>3.0229067444209035</c:v>
                </c:pt>
                <c:pt idx="73">
                  <c:v>3.0229067444209035</c:v>
                </c:pt>
                <c:pt idx="74">
                  <c:v>3.0229067444209035</c:v>
                </c:pt>
                <c:pt idx="75">
                  <c:v>3.0229067444209035</c:v>
                </c:pt>
                <c:pt idx="76">
                  <c:v>3.0229067444209035</c:v>
                </c:pt>
                <c:pt idx="77">
                  <c:v>3.0229067444209035</c:v>
                </c:pt>
                <c:pt idx="78">
                  <c:v>3.0229067444209035</c:v>
                </c:pt>
                <c:pt idx="79">
                  <c:v>3.0229067444209035</c:v>
                </c:pt>
                <c:pt idx="80">
                  <c:v>3.0229067444209035</c:v>
                </c:pt>
                <c:pt idx="81">
                  <c:v>3.0229067444209035</c:v>
                </c:pt>
                <c:pt idx="82">
                  <c:v>3.0229067444209035</c:v>
                </c:pt>
                <c:pt idx="83">
                  <c:v>3.0229067444209035</c:v>
                </c:pt>
                <c:pt idx="84">
                  <c:v>3.0229067444209035</c:v>
                </c:pt>
                <c:pt idx="85">
                  <c:v>3.0229067444209035</c:v>
                </c:pt>
                <c:pt idx="86">
                  <c:v>3.0229067444209035</c:v>
                </c:pt>
                <c:pt idx="87">
                  <c:v>3.0229067444209035</c:v>
                </c:pt>
                <c:pt idx="88">
                  <c:v>3.0229067444209035</c:v>
                </c:pt>
                <c:pt idx="89">
                  <c:v>3.0229067444209035</c:v>
                </c:pt>
                <c:pt idx="90">
                  <c:v>3.0229067444209035</c:v>
                </c:pt>
                <c:pt idx="91">
                  <c:v>3.0229067444209035</c:v>
                </c:pt>
                <c:pt idx="92">
                  <c:v>3.0229067444209035</c:v>
                </c:pt>
                <c:pt idx="93">
                  <c:v>3.0229067444209035</c:v>
                </c:pt>
                <c:pt idx="94">
                  <c:v>3.0229067444209035</c:v>
                </c:pt>
                <c:pt idx="95">
                  <c:v>3.0229067444209035</c:v>
                </c:pt>
                <c:pt idx="96">
                  <c:v>3.0229067444209035</c:v>
                </c:pt>
                <c:pt idx="97">
                  <c:v>3.0229067444209035</c:v>
                </c:pt>
                <c:pt idx="98">
                  <c:v>3.0229067444209035</c:v>
                </c:pt>
                <c:pt idx="99">
                  <c:v>3.0229067444209035</c:v>
                </c:pt>
                <c:pt idx="100">
                  <c:v>3.0229067444209035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7-C9DA-4744-9628-41607155DDE4}"/>
            </c:ext>
          </c:extLst>
        </c:ser>
        <c:ser>
          <c:idx val="8"/>
          <c:order val="8"/>
          <c:tx>
            <c:v>qr = qe+qE;  Ur = 4,15  [V]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  <c:extLst xmlns:c15="http://schemas.microsoft.com/office/drawing/2012/chart"/>
            </c:numRef>
          </c:xVal>
          <c:yVal>
            <c:numRef>
              <c:f>'Curva de carga Li'!$AN$9:$AN$109</c:f>
              <c:numCache>
                <c:formatCode>0.00</c:formatCode>
                <c:ptCount val="101"/>
                <c:pt idx="0">
                  <c:v>0</c:v>
                </c:pt>
                <c:pt idx="1">
                  <c:v>4.4975128412710381</c:v>
                </c:pt>
                <c:pt idx="2">
                  <c:v>7.9926664426360956</c:v>
                </c:pt>
                <c:pt idx="3">
                  <c:v>8.3500165270342244</c:v>
                </c:pt>
                <c:pt idx="4">
                  <c:v>8.4507455513983594</c:v>
                </c:pt>
                <c:pt idx="5">
                  <c:v>8.4791388183719469</c:v>
                </c:pt>
                <c:pt idx="6">
                  <c:v>8.4871422475178413</c:v>
                </c:pt>
                <c:pt idx="7">
                  <c:v>8.4893982358179176</c:v>
                </c:pt>
                <c:pt idx="8">
                  <c:v>8.4900341486394488</c:v>
                </c:pt>
                <c:pt idx="9">
                  <c:v>8.4902133982909511</c:v>
                </c:pt>
                <c:pt idx="10">
                  <c:v>8.490263924772691</c:v>
                </c:pt>
                <c:pt idx="11">
                  <c:v>8.4902781670617848</c:v>
                </c:pt>
                <c:pt idx="12">
                  <c:v>8.4902821816456573</c:v>
                </c:pt>
                <c:pt idx="13">
                  <c:v>8.4902833132673745</c:v>
                </c:pt>
                <c:pt idx="14">
                  <c:v>8.4902836322463173</c:v>
                </c:pt>
                <c:pt idx="15">
                  <c:v>8.4902837221593703</c:v>
                </c:pt>
                <c:pt idx="16">
                  <c:v>8.4902837475038559</c:v>
                </c:pt>
                <c:pt idx="17">
                  <c:v>8.4902837546479013</c:v>
                </c:pt>
                <c:pt idx="18">
                  <c:v>8.4902837566616505</c:v>
                </c:pt>
                <c:pt idx="19">
                  <c:v>8.49028375722928</c:v>
                </c:pt>
                <c:pt idx="20">
                  <c:v>8.4902837573892818</c:v>
                </c:pt>
                <c:pt idx="21">
                  <c:v>8.4902837574343835</c:v>
                </c:pt>
                <c:pt idx="22">
                  <c:v>8.4902837574470951</c:v>
                </c:pt>
                <c:pt idx="23">
                  <c:v>8.4902837574506798</c:v>
                </c:pt>
                <c:pt idx="24">
                  <c:v>8.4902837574516905</c:v>
                </c:pt>
                <c:pt idx="25">
                  <c:v>8.4902837574519747</c:v>
                </c:pt>
                <c:pt idx="26">
                  <c:v>8.4902837574520547</c:v>
                </c:pt>
                <c:pt idx="27">
                  <c:v>8.4902837574520778</c:v>
                </c:pt>
                <c:pt idx="28">
                  <c:v>8.4902837574520831</c:v>
                </c:pt>
                <c:pt idx="29">
                  <c:v>8.4902837574520866</c:v>
                </c:pt>
                <c:pt idx="30">
                  <c:v>8.4902837574520866</c:v>
                </c:pt>
                <c:pt idx="31">
                  <c:v>8.4902837574520866</c:v>
                </c:pt>
                <c:pt idx="32">
                  <c:v>8.4902837574520866</c:v>
                </c:pt>
                <c:pt idx="33">
                  <c:v>8.4902837574520866</c:v>
                </c:pt>
                <c:pt idx="34">
                  <c:v>8.4902837574520866</c:v>
                </c:pt>
                <c:pt idx="35">
                  <c:v>8.4902837574520866</c:v>
                </c:pt>
                <c:pt idx="36">
                  <c:v>8.4902837574520866</c:v>
                </c:pt>
                <c:pt idx="37">
                  <c:v>8.4902837574520866</c:v>
                </c:pt>
                <c:pt idx="38">
                  <c:v>8.4902837574520866</c:v>
                </c:pt>
                <c:pt idx="39">
                  <c:v>8.4902837574520866</c:v>
                </c:pt>
                <c:pt idx="40">
                  <c:v>8.4902837574520866</c:v>
                </c:pt>
                <c:pt idx="41">
                  <c:v>8.4902837574520866</c:v>
                </c:pt>
                <c:pt idx="42">
                  <c:v>8.4902837574520866</c:v>
                </c:pt>
                <c:pt idx="43">
                  <c:v>8.4902837574520866</c:v>
                </c:pt>
                <c:pt idx="44">
                  <c:v>8.4902837574520866</c:v>
                </c:pt>
                <c:pt idx="45">
                  <c:v>8.4902837574520866</c:v>
                </c:pt>
                <c:pt idx="46">
                  <c:v>8.4902837574520866</c:v>
                </c:pt>
                <c:pt idx="47">
                  <c:v>8.4902837574520866</c:v>
                </c:pt>
                <c:pt idx="48">
                  <c:v>8.4902837574520866</c:v>
                </c:pt>
                <c:pt idx="49">
                  <c:v>8.4902837574520866</c:v>
                </c:pt>
                <c:pt idx="50">
                  <c:v>8.4902837574520866</c:v>
                </c:pt>
                <c:pt idx="51">
                  <c:v>8.4902837574520866</c:v>
                </c:pt>
                <c:pt idx="52">
                  <c:v>8.4902837574520866</c:v>
                </c:pt>
                <c:pt idx="53">
                  <c:v>8.4902837574520866</c:v>
                </c:pt>
                <c:pt idx="54">
                  <c:v>8.4902837574520866</c:v>
                </c:pt>
                <c:pt idx="55">
                  <c:v>8.4902837574520866</c:v>
                </c:pt>
                <c:pt idx="56">
                  <c:v>8.4902837574520866</c:v>
                </c:pt>
                <c:pt idx="57">
                  <c:v>8.4902837574520866</c:v>
                </c:pt>
                <c:pt idx="58">
                  <c:v>8.4902837574520866</c:v>
                </c:pt>
                <c:pt idx="59">
                  <c:v>8.4902837574520866</c:v>
                </c:pt>
                <c:pt idx="60">
                  <c:v>8.4902837574520866</c:v>
                </c:pt>
                <c:pt idx="61">
                  <c:v>8.4902837574520866</c:v>
                </c:pt>
                <c:pt idx="62">
                  <c:v>8.4902837574520866</c:v>
                </c:pt>
                <c:pt idx="63">
                  <c:v>8.4902837574520866</c:v>
                </c:pt>
                <c:pt idx="64">
                  <c:v>8.4902837574520866</c:v>
                </c:pt>
                <c:pt idx="65">
                  <c:v>8.4902837574520866</c:v>
                </c:pt>
                <c:pt idx="66">
                  <c:v>8.4902837574520866</c:v>
                </c:pt>
                <c:pt idx="67">
                  <c:v>8.4902837574520866</c:v>
                </c:pt>
                <c:pt idx="68">
                  <c:v>8.4902837574520866</c:v>
                </c:pt>
                <c:pt idx="69">
                  <c:v>8.4902837574520866</c:v>
                </c:pt>
                <c:pt idx="70">
                  <c:v>8.4902837574520866</c:v>
                </c:pt>
                <c:pt idx="71">
                  <c:v>8.4902837574520866</c:v>
                </c:pt>
                <c:pt idx="72">
                  <c:v>8.4902837574520866</c:v>
                </c:pt>
                <c:pt idx="73">
                  <c:v>8.4902837574520866</c:v>
                </c:pt>
                <c:pt idx="74">
                  <c:v>8.4902837574520866</c:v>
                </c:pt>
                <c:pt idx="75">
                  <c:v>8.4902837574520866</c:v>
                </c:pt>
                <c:pt idx="76">
                  <c:v>8.4902837574520866</c:v>
                </c:pt>
                <c:pt idx="77">
                  <c:v>8.4902837574520866</c:v>
                </c:pt>
                <c:pt idx="78">
                  <c:v>8.4902837574520866</c:v>
                </c:pt>
                <c:pt idx="79">
                  <c:v>8.4902837574520866</c:v>
                </c:pt>
                <c:pt idx="80">
                  <c:v>8.4902837574520866</c:v>
                </c:pt>
                <c:pt idx="81">
                  <c:v>8.4902837574520866</c:v>
                </c:pt>
                <c:pt idx="82">
                  <c:v>8.4902837574520866</c:v>
                </c:pt>
                <c:pt idx="83">
                  <c:v>8.4902837574520866</c:v>
                </c:pt>
                <c:pt idx="84">
                  <c:v>8.4902837574520866</c:v>
                </c:pt>
                <c:pt idx="85">
                  <c:v>8.4902837574520866</c:v>
                </c:pt>
                <c:pt idx="86">
                  <c:v>8.4902837574520866</c:v>
                </c:pt>
                <c:pt idx="87">
                  <c:v>8.4902837574520866</c:v>
                </c:pt>
                <c:pt idx="88">
                  <c:v>8.4902837574520866</c:v>
                </c:pt>
                <c:pt idx="89">
                  <c:v>8.4902837574520866</c:v>
                </c:pt>
                <c:pt idx="90">
                  <c:v>8.4902837574520866</c:v>
                </c:pt>
                <c:pt idx="91">
                  <c:v>8.4902837574520866</c:v>
                </c:pt>
                <c:pt idx="92">
                  <c:v>8.4902837574520866</c:v>
                </c:pt>
                <c:pt idx="93">
                  <c:v>8.4902837574520866</c:v>
                </c:pt>
                <c:pt idx="94">
                  <c:v>8.4902837574520866</c:v>
                </c:pt>
                <c:pt idx="95">
                  <c:v>8.4902837574520866</c:v>
                </c:pt>
                <c:pt idx="96">
                  <c:v>8.4902837574520866</c:v>
                </c:pt>
                <c:pt idx="97">
                  <c:v>8.4902837574520866</c:v>
                </c:pt>
                <c:pt idx="98">
                  <c:v>8.4902837574520866</c:v>
                </c:pt>
                <c:pt idx="99">
                  <c:v>8.4902837574520866</c:v>
                </c:pt>
                <c:pt idx="100">
                  <c:v>8.4902837574520866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8-C9DA-4744-9628-41607155DDE4}"/>
            </c:ext>
          </c:extLst>
        </c:ser>
        <c:ser>
          <c:idx val="9"/>
          <c:order val="9"/>
          <c:tx>
            <c:v>qr = qe+qE; Ur = Ufl = 4,20 [V]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Li'!$AO$9:$AO$109</c:f>
              <c:numCache>
                <c:formatCode>0.00</c:formatCode>
                <c:ptCount val="101"/>
                <c:pt idx="0">
                  <c:v>0</c:v>
                </c:pt>
                <c:pt idx="1">
                  <c:v>4.5463628244224257</c:v>
                </c:pt>
                <c:pt idx="2">
                  <c:v>8.1936845866108783</c:v>
                </c:pt>
                <c:pt idx="3">
                  <c:v>8.4234997549302673</c:v>
                </c:pt>
                <c:pt idx="4">
                  <c:v>8.4751694607201333</c:v>
                </c:pt>
                <c:pt idx="5">
                  <c:v>8.4867864419487216</c:v>
                </c:pt>
                <c:pt idx="6">
                  <c:v>8.489398306111724</c:v>
                </c:pt>
                <c:pt idx="7">
                  <c:v>8.4899855356399243</c:v>
                </c:pt>
                <c:pt idx="8">
                  <c:v>8.4901175633784529</c:v>
                </c:pt>
                <c:pt idx="9">
                  <c:v>8.4901472473825859</c:v>
                </c:pt>
                <c:pt idx="10">
                  <c:v>8.4901539212839268</c:v>
                </c:pt>
                <c:pt idx="11">
                  <c:v>8.490155421787664</c:v>
                </c:pt>
                <c:pt idx="12">
                  <c:v>8.4901557591482799</c:v>
                </c:pt>
                <c:pt idx="13">
                  <c:v>8.4901558349975979</c:v>
                </c:pt>
                <c:pt idx="14">
                  <c:v>8.4901558520509184</c:v>
                </c:pt>
                <c:pt idx="15">
                  <c:v>8.4901558558850443</c:v>
                </c:pt>
                <c:pt idx="16">
                  <c:v>8.4901558567470765</c:v>
                </c:pt>
                <c:pt idx="17">
                  <c:v>8.4901558569408877</c:v>
                </c:pt>
                <c:pt idx="18">
                  <c:v>8.4901558569844635</c:v>
                </c:pt>
                <c:pt idx="19">
                  <c:v>8.4901558569942601</c:v>
                </c:pt>
                <c:pt idx="20">
                  <c:v>8.4901558569964628</c:v>
                </c:pt>
                <c:pt idx="21">
                  <c:v>8.4901558569969584</c:v>
                </c:pt>
                <c:pt idx="22">
                  <c:v>8.4901558569970685</c:v>
                </c:pt>
                <c:pt idx="23">
                  <c:v>8.4901558569970952</c:v>
                </c:pt>
                <c:pt idx="24">
                  <c:v>8.4901558569971005</c:v>
                </c:pt>
                <c:pt idx="25">
                  <c:v>8.4901558569971005</c:v>
                </c:pt>
                <c:pt idx="26">
                  <c:v>8.4901558569971023</c:v>
                </c:pt>
                <c:pt idx="27">
                  <c:v>8.4901558569971023</c:v>
                </c:pt>
                <c:pt idx="28">
                  <c:v>8.4901558569971023</c:v>
                </c:pt>
                <c:pt idx="29">
                  <c:v>8.4901558569971023</c:v>
                </c:pt>
                <c:pt idx="30">
                  <c:v>8.4901558569971023</c:v>
                </c:pt>
                <c:pt idx="31">
                  <c:v>8.4901558569971023</c:v>
                </c:pt>
                <c:pt idx="32">
                  <c:v>8.4901558569971023</c:v>
                </c:pt>
                <c:pt idx="33">
                  <c:v>8.4901558569971023</c:v>
                </c:pt>
                <c:pt idx="34">
                  <c:v>8.4901558569971023</c:v>
                </c:pt>
                <c:pt idx="35">
                  <c:v>8.4901558569971023</c:v>
                </c:pt>
                <c:pt idx="36">
                  <c:v>8.4901558569971023</c:v>
                </c:pt>
                <c:pt idx="37">
                  <c:v>8.4901558569971023</c:v>
                </c:pt>
                <c:pt idx="38">
                  <c:v>8.4901558569971023</c:v>
                </c:pt>
                <c:pt idx="39">
                  <c:v>8.4901558569971023</c:v>
                </c:pt>
                <c:pt idx="40">
                  <c:v>8.4901558569971023</c:v>
                </c:pt>
                <c:pt idx="41">
                  <c:v>8.4901558569971023</c:v>
                </c:pt>
                <c:pt idx="42">
                  <c:v>8.4901558569971023</c:v>
                </c:pt>
                <c:pt idx="43">
                  <c:v>8.4901558569971023</c:v>
                </c:pt>
                <c:pt idx="44">
                  <c:v>8.4901558569971023</c:v>
                </c:pt>
                <c:pt idx="45">
                  <c:v>8.4901558569971023</c:v>
                </c:pt>
                <c:pt idx="46">
                  <c:v>8.4901558569971023</c:v>
                </c:pt>
                <c:pt idx="47">
                  <c:v>8.4901558569971023</c:v>
                </c:pt>
                <c:pt idx="48">
                  <c:v>8.4901558569971023</c:v>
                </c:pt>
                <c:pt idx="49">
                  <c:v>8.4901558569971023</c:v>
                </c:pt>
                <c:pt idx="50">
                  <c:v>8.4901558569971023</c:v>
                </c:pt>
                <c:pt idx="51">
                  <c:v>8.4901558569971023</c:v>
                </c:pt>
                <c:pt idx="52">
                  <c:v>8.4901558569971023</c:v>
                </c:pt>
                <c:pt idx="53">
                  <c:v>8.4901558569971023</c:v>
                </c:pt>
                <c:pt idx="54">
                  <c:v>8.4901558569971023</c:v>
                </c:pt>
                <c:pt idx="55">
                  <c:v>8.4901558569971023</c:v>
                </c:pt>
                <c:pt idx="56">
                  <c:v>8.4901558569971023</c:v>
                </c:pt>
                <c:pt idx="57">
                  <c:v>8.4901558569971023</c:v>
                </c:pt>
                <c:pt idx="58">
                  <c:v>8.4901558569971023</c:v>
                </c:pt>
                <c:pt idx="59">
                  <c:v>8.4901558569971023</c:v>
                </c:pt>
                <c:pt idx="60">
                  <c:v>8.4901558569971023</c:v>
                </c:pt>
                <c:pt idx="61">
                  <c:v>8.4901558569971023</c:v>
                </c:pt>
                <c:pt idx="62">
                  <c:v>8.4901558569971023</c:v>
                </c:pt>
                <c:pt idx="63">
                  <c:v>8.4901558569971023</c:v>
                </c:pt>
                <c:pt idx="64">
                  <c:v>8.4901558569971023</c:v>
                </c:pt>
                <c:pt idx="65">
                  <c:v>8.4901558569971023</c:v>
                </c:pt>
                <c:pt idx="66">
                  <c:v>8.4901558569971023</c:v>
                </c:pt>
                <c:pt idx="67">
                  <c:v>8.4901558569971023</c:v>
                </c:pt>
                <c:pt idx="68">
                  <c:v>8.4901558569971023</c:v>
                </c:pt>
                <c:pt idx="69">
                  <c:v>8.4901558569971023</c:v>
                </c:pt>
                <c:pt idx="70">
                  <c:v>8.4901558569971023</c:v>
                </c:pt>
                <c:pt idx="71">
                  <c:v>8.4901558569971023</c:v>
                </c:pt>
                <c:pt idx="72">
                  <c:v>8.4901558569971023</c:v>
                </c:pt>
                <c:pt idx="73">
                  <c:v>8.4901558569971023</c:v>
                </c:pt>
                <c:pt idx="74">
                  <c:v>8.4901558569971023</c:v>
                </c:pt>
                <c:pt idx="75">
                  <c:v>8.4901558569971023</c:v>
                </c:pt>
                <c:pt idx="76">
                  <c:v>8.4901558569971023</c:v>
                </c:pt>
                <c:pt idx="77">
                  <c:v>8.4901558569971023</c:v>
                </c:pt>
                <c:pt idx="78">
                  <c:v>8.4901558569971023</c:v>
                </c:pt>
                <c:pt idx="79">
                  <c:v>8.4901558569971023</c:v>
                </c:pt>
                <c:pt idx="80">
                  <c:v>8.4901558569971023</c:v>
                </c:pt>
                <c:pt idx="81">
                  <c:v>8.4901558569971023</c:v>
                </c:pt>
                <c:pt idx="82">
                  <c:v>8.4901558569971023</c:v>
                </c:pt>
                <c:pt idx="83">
                  <c:v>8.4901558569971023</c:v>
                </c:pt>
                <c:pt idx="84">
                  <c:v>8.4901558569971023</c:v>
                </c:pt>
                <c:pt idx="85">
                  <c:v>8.4901558569971023</c:v>
                </c:pt>
                <c:pt idx="86">
                  <c:v>8.4901558569971023</c:v>
                </c:pt>
                <c:pt idx="87">
                  <c:v>8.4901558569971023</c:v>
                </c:pt>
                <c:pt idx="88">
                  <c:v>8.4901558569971023</c:v>
                </c:pt>
                <c:pt idx="89">
                  <c:v>8.4901558569971023</c:v>
                </c:pt>
                <c:pt idx="90">
                  <c:v>8.4901558569971023</c:v>
                </c:pt>
                <c:pt idx="91">
                  <c:v>8.4901558569971023</c:v>
                </c:pt>
                <c:pt idx="92">
                  <c:v>8.4901558569971023</c:v>
                </c:pt>
                <c:pt idx="93">
                  <c:v>8.4901558569971023</c:v>
                </c:pt>
                <c:pt idx="94">
                  <c:v>8.4901558569971023</c:v>
                </c:pt>
                <c:pt idx="95">
                  <c:v>8.4901558569971023</c:v>
                </c:pt>
                <c:pt idx="96">
                  <c:v>8.4901558569971023</c:v>
                </c:pt>
                <c:pt idx="97">
                  <c:v>8.4901558569971023</c:v>
                </c:pt>
                <c:pt idx="98">
                  <c:v>8.4901558569971023</c:v>
                </c:pt>
                <c:pt idx="99">
                  <c:v>8.4901558569971023</c:v>
                </c:pt>
                <c:pt idx="100">
                  <c:v>8.4901558569971023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C9DA-4744-9628-41607155DDE4}"/>
            </c:ext>
          </c:extLst>
        </c:ser>
        <c:ser>
          <c:idx val="10"/>
          <c:order val="10"/>
          <c:tx>
            <c:v>qr = qe+qE; Ur = 4,25 [V]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'Curva de carga Li'!$AE$9:$AE$109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  <c:extLst xmlns:c15="http://schemas.microsoft.com/office/drawing/2012/chart"/>
            </c:numRef>
          </c:xVal>
          <c:yVal>
            <c:numRef>
              <c:f>'Curva de carga Li'!$AP$9:$AP$109</c:f>
              <c:numCache>
                <c:formatCode>0.00</c:formatCode>
                <c:ptCount val="101"/>
                <c:pt idx="0">
                  <c:v>0</c:v>
                </c:pt>
                <c:pt idx="1">
                  <c:v>4.4867003087834423</c:v>
                </c:pt>
                <c:pt idx="2">
                  <c:v>8.3142087071772934</c:v>
                </c:pt>
                <c:pt idx="3">
                  <c:v>8.4584982244219944</c:v>
                </c:pt>
                <c:pt idx="4">
                  <c:v>8.4843737178216223</c:v>
                </c:pt>
                <c:pt idx="5">
                  <c:v>8.4890139797856214</c:v>
                </c:pt>
                <c:pt idx="6">
                  <c:v>8.4898461197089841</c:v>
                </c:pt>
                <c:pt idx="7">
                  <c:v>8.4899953476744372</c:v>
                </c:pt>
                <c:pt idx="8">
                  <c:v>8.490022108781611</c:v>
                </c:pt>
                <c:pt idx="9">
                  <c:v>8.4900269078610258</c:v>
                </c:pt>
                <c:pt idx="10">
                  <c:v>8.4900277684817418</c:v>
                </c:pt>
                <c:pt idx="11">
                  <c:v>8.4900279228171804</c:v>
                </c:pt>
                <c:pt idx="12">
                  <c:v>8.4900279504942127</c:v>
                </c:pt>
                <c:pt idx="13">
                  <c:v>8.4900279554575437</c:v>
                </c:pt>
                <c:pt idx="14">
                  <c:v>8.4900279563476211</c:v>
                </c:pt>
                <c:pt idx="15">
                  <c:v>8.4900279565072374</c:v>
                </c:pt>
                <c:pt idx="16">
                  <c:v>8.4900279565358616</c:v>
                </c:pt>
                <c:pt idx="17">
                  <c:v>8.4900279565409953</c:v>
                </c:pt>
                <c:pt idx="18">
                  <c:v>8.4900279565419154</c:v>
                </c:pt>
                <c:pt idx="19">
                  <c:v>8.4900279565420824</c:v>
                </c:pt>
                <c:pt idx="20">
                  <c:v>8.4900279565421108</c:v>
                </c:pt>
                <c:pt idx="21">
                  <c:v>8.4900279565421162</c:v>
                </c:pt>
                <c:pt idx="22">
                  <c:v>8.4900279565421179</c:v>
                </c:pt>
                <c:pt idx="23">
                  <c:v>8.4900279565421179</c:v>
                </c:pt>
                <c:pt idx="24">
                  <c:v>8.4900279565421179</c:v>
                </c:pt>
                <c:pt idx="25">
                  <c:v>8.4900279565421179</c:v>
                </c:pt>
                <c:pt idx="26">
                  <c:v>8.4900279565421179</c:v>
                </c:pt>
                <c:pt idx="27">
                  <c:v>8.4900279565421179</c:v>
                </c:pt>
                <c:pt idx="28">
                  <c:v>8.4900279565421179</c:v>
                </c:pt>
                <c:pt idx="29">
                  <c:v>8.4900279565421179</c:v>
                </c:pt>
                <c:pt idx="30">
                  <c:v>8.4900279565421179</c:v>
                </c:pt>
                <c:pt idx="31">
                  <c:v>8.4900279565421179</c:v>
                </c:pt>
                <c:pt idx="32">
                  <c:v>8.4900279565421179</c:v>
                </c:pt>
                <c:pt idx="33">
                  <c:v>8.4900279565421179</c:v>
                </c:pt>
                <c:pt idx="34">
                  <c:v>8.4900279565421179</c:v>
                </c:pt>
                <c:pt idx="35">
                  <c:v>8.4900279565421179</c:v>
                </c:pt>
                <c:pt idx="36">
                  <c:v>8.4900279565421179</c:v>
                </c:pt>
                <c:pt idx="37">
                  <c:v>8.4900279565421179</c:v>
                </c:pt>
                <c:pt idx="38">
                  <c:v>8.4900279565421179</c:v>
                </c:pt>
                <c:pt idx="39">
                  <c:v>8.4900279565421179</c:v>
                </c:pt>
                <c:pt idx="40">
                  <c:v>8.4900279565421179</c:v>
                </c:pt>
                <c:pt idx="41">
                  <c:v>8.4900279565421179</c:v>
                </c:pt>
                <c:pt idx="42">
                  <c:v>8.4900279565421179</c:v>
                </c:pt>
                <c:pt idx="43">
                  <c:v>8.4900279565421179</c:v>
                </c:pt>
                <c:pt idx="44">
                  <c:v>8.4900279565421179</c:v>
                </c:pt>
                <c:pt idx="45">
                  <c:v>8.4900279565421179</c:v>
                </c:pt>
                <c:pt idx="46">
                  <c:v>8.4900279565421179</c:v>
                </c:pt>
                <c:pt idx="47">
                  <c:v>8.4900279565421179</c:v>
                </c:pt>
                <c:pt idx="48">
                  <c:v>8.4900279565421179</c:v>
                </c:pt>
                <c:pt idx="49">
                  <c:v>8.4900279565421179</c:v>
                </c:pt>
                <c:pt idx="50">
                  <c:v>8.4900279565421179</c:v>
                </c:pt>
                <c:pt idx="51">
                  <c:v>8.4900279565421179</c:v>
                </c:pt>
                <c:pt idx="52">
                  <c:v>8.4900279565421179</c:v>
                </c:pt>
                <c:pt idx="53">
                  <c:v>8.4900279565421179</c:v>
                </c:pt>
                <c:pt idx="54">
                  <c:v>8.4900279565421179</c:v>
                </c:pt>
                <c:pt idx="55">
                  <c:v>8.4900279565421179</c:v>
                </c:pt>
                <c:pt idx="56">
                  <c:v>8.4900279565421179</c:v>
                </c:pt>
                <c:pt idx="57">
                  <c:v>8.4900279565421179</c:v>
                </c:pt>
                <c:pt idx="58">
                  <c:v>8.4900279565421179</c:v>
                </c:pt>
                <c:pt idx="59">
                  <c:v>8.4900279565421179</c:v>
                </c:pt>
                <c:pt idx="60">
                  <c:v>8.4900279565421179</c:v>
                </c:pt>
                <c:pt idx="61">
                  <c:v>8.4900279565421179</c:v>
                </c:pt>
                <c:pt idx="62">
                  <c:v>8.4900279565421179</c:v>
                </c:pt>
                <c:pt idx="63">
                  <c:v>8.4900279565421179</c:v>
                </c:pt>
                <c:pt idx="64">
                  <c:v>8.4900279565421179</c:v>
                </c:pt>
                <c:pt idx="65">
                  <c:v>8.4900279565421179</c:v>
                </c:pt>
                <c:pt idx="66">
                  <c:v>8.4900279565421179</c:v>
                </c:pt>
                <c:pt idx="67">
                  <c:v>8.4900279565421179</c:v>
                </c:pt>
                <c:pt idx="68">
                  <c:v>8.4900279565421179</c:v>
                </c:pt>
                <c:pt idx="69">
                  <c:v>8.4900279565421179</c:v>
                </c:pt>
                <c:pt idx="70">
                  <c:v>8.4900279565421179</c:v>
                </c:pt>
                <c:pt idx="71">
                  <c:v>8.4900279565421179</c:v>
                </c:pt>
                <c:pt idx="72">
                  <c:v>8.4900279565421179</c:v>
                </c:pt>
                <c:pt idx="73">
                  <c:v>8.4900279565421179</c:v>
                </c:pt>
                <c:pt idx="74">
                  <c:v>8.4900279565421179</c:v>
                </c:pt>
                <c:pt idx="75">
                  <c:v>8.4900279565421179</c:v>
                </c:pt>
                <c:pt idx="76">
                  <c:v>8.4900279565421179</c:v>
                </c:pt>
                <c:pt idx="77">
                  <c:v>8.4900279565421179</c:v>
                </c:pt>
                <c:pt idx="78">
                  <c:v>8.4900279565421179</c:v>
                </c:pt>
                <c:pt idx="79">
                  <c:v>8.4900279565421179</c:v>
                </c:pt>
                <c:pt idx="80">
                  <c:v>8.4900279565421179</c:v>
                </c:pt>
                <c:pt idx="81">
                  <c:v>8.4900279565421179</c:v>
                </c:pt>
                <c:pt idx="82">
                  <c:v>8.4900279565421179</c:v>
                </c:pt>
                <c:pt idx="83">
                  <c:v>8.4900279565421179</c:v>
                </c:pt>
                <c:pt idx="84">
                  <c:v>8.4900279565421179</c:v>
                </c:pt>
                <c:pt idx="85">
                  <c:v>8.4900279565421179</c:v>
                </c:pt>
                <c:pt idx="86">
                  <c:v>8.4900279565421179</c:v>
                </c:pt>
                <c:pt idx="87">
                  <c:v>8.4900279565421179</c:v>
                </c:pt>
                <c:pt idx="88">
                  <c:v>8.4900279565421179</c:v>
                </c:pt>
                <c:pt idx="89">
                  <c:v>8.4900279565421179</c:v>
                </c:pt>
                <c:pt idx="90">
                  <c:v>8.4900279565421179</c:v>
                </c:pt>
                <c:pt idx="91">
                  <c:v>8.4900279565421179</c:v>
                </c:pt>
                <c:pt idx="92">
                  <c:v>8.4900279565421179</c:v>
                </c:pt>
                <c:pt idx="93">
                  <c:v>8.4900279565421179</c:v>
                </c:pt>
                <c:pt idx="94">
                  <c:v>8.4900279565421179</c:v>
                </c:pt>
                <c:pt idx="95">
                  <c:v>8.4900279565421179</c:v>
                </c:pt>
                <c:pt idx="96">
                  <c:v>8.4900279565421179</c:v>
                </c:pt>
                <c:pt idx="97">
                  <c:v>8.4900279565421179</c:v>
                </c:pt>
                <c:pt idx="98">
                  <c:v>8.4900279565421179</c:v>
                </c:pt>
                <c:pt idx="99">
                  <c:v>8.4900279565421179</c:v>
                </c:pt>
                <c:pt idx="100">
                  <c:v>8.4900279565421179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A-C9DA-4744-9628-41607155D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18272"/>
        <c:axId val="130936832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qC; Ur = 4,15  [V]</c:v>
                </c:tx>
                <c:spPr>
                  <a:ln w="19050">
                    <a:solidFill>
                      <a:schemeClr val="tx1"/>
                    </a:solidFill>
                    <a:prstDash val="sysDot"/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'Curva de carga Li'!$AE$9:$AE$109</c15:sqref>
                        </c15:formulaRef>
                      </c:ext>
                    </c:extLst>
                    <c:numCache>
                      <c:formatCode>0.00</c:formatCode>
                      <c:ptCount val="101"/>
                      <c:pt idx="0">
                        <c:v>0</c:v>
                      </c:pt>
                      <c:pt idx="1">
                        <c:v>0.48</c:v>
                      </c:pt>
                      <c:pt idx="2">
                        <c:v>0.96</c:v>
                      </c:pt>
                      <c:pt idx="3">
                        <c:v>1.44</c:v>
                      </c:pt>
                      <c:pt idx="4">
                        <c:v>1.92</c:v>
                      </c:pt>
                      <c:pt idx="5">
                        <c:v>2.4000000000000004</c:v>
                      </c:pt>
                      <c:pt idx="6">
                        <c:v>2.88</c:v>
                      </c:pt>
                      <c:pt idx="7">
                        <c:v>3.3600000000000003</c:v>
                      </c:pt>
                      <c:pt idx="8">
                        <c:v>3.84</c:v>
                      </c:pt>
                      <c:pt idx="9">
                        <c:v>4.32</c:v>
                      </c:pt>
                      <c:pt idx="10">
                        <c:v>4.8000000000000007</c:v>
                      </c:pt>
                      <c:pt idx="11">
                        <c:v>5.28</c:v>
                      </c:pt>
                      <c:pt idx="12">
                        <c:v>5.76</c:v>
                      </c:pt>
                      <c:pt idx="13">
                        <c:v>6.24</c:v>
                      </c:pt>
                      <c:pt idx="14">
                        <c:v>6.7200000000000006</c:v>
                      </c:pt>
                      <c:pt idx="15">
                        <c:v>7.1999999999999993</c:v>
                      </c:pt>
                      <c:pt idx="16">
                        <c:v>7.68</c:v>
                      </c:pt>
                      <c:pt idx="17">
                        <c:v>8.16</c:v>
                      </c:pt>
                      <c:pt idx="18">
                        <c:v>8.64</c:v>
                      </c:pt>
                      <c:pt idx="19">
                        <c:v>9.120000000000001</c:v>
                      </c:pt>
                      <c:pt idx="20">
                        <c:v>9.6000000000000014</c:v>
                      </c:pt>
                      <c:pt idx="21">
                        <c:v>10.08</c:v>
                      </c:pt>
                      <c:pt idx="22">
                        <c:v>10.56</c:v>
                      </c:pt>
                      <c:pt idx="23">
                        <c:v>11.040000000000001</c:v>
                      </c:pt>
                      <c:pt idx="24">
                        <c:v>11.52</c:v>
                      </c:pt>
                      <c:pt idx="25">
                        <c:v>12</c:v>
                      </c:pt>
                      <c:pt idx="26">
                        <c:v>12.48</c:v>
                      </c:pt>
                      <c:pt idx="27">
                        <c:v>12.96</c:v>
                      </c:pt>
                      <c:pt idx="28">
                        <c:v>13.440000000000001</c:v>
                      </c:pt>
                      <c:pt idx="29">
                        <c:v>13.919999999999998</c:v>
                      </c:pt>
                      <c:pt idx="30">
                        <c:v>14.399999999999999</c:v>
                      </c:pt>
                      <c:pt idx="31">
                        <c:v>14.879999999999999</c:v>
                      </c:pt>
                      <c:pt idx="32">
                        <c:v>15.36</c:v>
                      </c:pt>
                      <c:pt idx="33">
                        <c:v>15.84</c:v>
                      </c:pt>
                      <c:pt idx="34">
                        <c:v>16.32</c:v>
                      </c:pt>
                      <c:pt idx="35">
                        <c:v>16.799999999999997</c:v>
                      </c:pt>
                      <c:pt idx="36">
                        <c:v>17.28</c:v>
                      </c:pt>
                      <c:pt idx="37">
                        <c:v>17.759999999999998</c:v>
                      </c:pt>
                      <c:pt idx="38">
                        <c:v>18.240000000000002</c:v>
                      </c:pt>
                      <c:pt idx="39">
                        <c:v>18.72</c:v>
                      </c:pt>
                      <c:pt idx="40">
                        <c:v>19.200000000000003</c:v>
                      </c:pt>
                      <c:pt idx="41">
                        <c:v>19.68</c:v>
                      </c:pt>
                      <c:pt idx="42">
                        <c:v>20.16</c:v>
                      </c:pt>
                      <c:pt idx="43">
                        <c:v>20.64</c:v>
                      </c:pt>
                      <c:pt idx="44">
                        <c:v>21.12</c:v>
                      </c:pt>
                      <c:pt idx="45">
                        <c:v>21.6</c:v>
                      </c:pt>
                      <c:pt idx="46">
                        <c:v>22.080000000000002</c:v>
                      </c:pt>
                      <c:pt idx="47">
                        <c:v>22.56</c:v>
                      </c:pt>
                      <c:pt idx="48">
                        <c:v>23.04</c:v>
                      </c:pt>
                      <c:pt idx="49">
                        <c:v>23.52</c:v>
                      </c:pt>
                      <c:pt idx="50">
                        <c:v>24</c:v>
                      </c:pt>
                      <c:pt idx="51">
                        <c:v>24.48</c:v>
                      </c:pt>
                      <c:pt idx="52">
                        <c:v>24.96</c:v>
                      </c:pt>
                      <c:pt idx="53">
                        <c:v>25.44</c:v>
                      </c:pt>
                      <c:pt idx="54">
                        <c:v>25.92</c:v>
                      </c:pt>
                      <c:pt idx="55">
                        <c:v>26.400000000000002</c:v>
                      </c:pt>
                      <c:pt idx="56">
                        <c:v>26.880000000000003</c:v>
                      </c:pt>
                      <c:pt idx="57">
                        <c:v>27.36</c:v>
                      </c:pt>
                      <c:pt idx="58">
                        <c:v>27.839999999999996</c:v>
                      </c:pt>
                      <c:pt idx="59">
                        <c:v>28.32</c:v>
                      </c:pt>
                      <c:pt idx="60">
                        <c:v>28.799999999999997</c:v>
                      </c:pt>
                      <c:pt idx="61">
                        <c:v>29.28</c:v>
                      </c:pt>
                      <c:pt idx="62">
                        <c:v>29.759999999999998</c:v>
                      </c:pt>
                      <c:pt idx="63">
                        <c:v>30.240000000000002</c:v>
                      </c:pt>
                      <c:pt idx="64">
                        <c:v>30.72</c:v>
                      </c:pt>
                      <c:pt idx="65">
                        <c:v>31.200000000000003</c:v>
                      </c:pt>
                      <c:pt idx="66">
                        <c:v>31.68</c:v>
                      </c:pt>
                      <c:pt idx="67">
                        <c:v>32.160000000000004</c:v>
                      </c:pt>
                      <c:pt idx="68">
                        <c:v>32.64</c:v>
                      </c:pt>
                      <c:pt idx="69">
                        <c:v>33.119999999999997</c:v>
                      </c:pt>
                      <c:pt idx="70">
                        <c:v>33.599999999999994</c:v>
                      </c:pt>
                      <c:pt idx="71">
                        <c:v>34.08</c:v>
                      </c:pt>
                      <c:pt idx="72">
                        <c:v>34.56</c:v>
                      </c:pt>
                      <c:pt idx="73">
                        <c:v>35.04</c:v>
                      </c:pt>
                      <c:pt idx="74">
                        <c:v>35.519999999999996</c:v>
                      </c:pt>
                      <c:pt idx="75">
                        <c:v>36</c:v>
                      </c:pt>
                      <c:pt idx="76">
                        <c:v>36.480000000000004</c:v>
                      </c:pt>
                      <c:pt idx="77">
                        <c:v>36.96</c:v>
                      </c:pt>
                      <c:pt idx="78">
                        <c:v>37.44</c:v>
                      </c:pt>
                      <c:pt idx="79">
                        <c:v>37.92</c:v>
                      </c:pt>
                      <c:pt idx="80">
                        <c:v>38.400000000000006</c:v>
                      </c:pt>
                      <c:pt idx="81">
                        <c:v>38.880000000000003</c:v>
                      </c:pt>
                      <c:pt idx="82">
                        <c:v>39.36</c:v>
                      </c:pt>
                      <c:pt idx="83">
                        <c:v>39.839999999999996</c:v>
                      </c:pt>
                      <c:pt idx="84">
                        <c:v>40.32</c:v>
                      </c:pt>
                      <c:pt idx="85">
                        <c:v>40.799999999999997</c:v>
                      </c:pt>
                      <c:pt idx="86">
                        <c:v>41.28</c:v>
                      </c:pt>
                      <c:pt idx="87">
                        <c:v>41.76</c:v>
                      </c:pt>
                      <c:pt idx="88">
                        <c:v>42.24</c:v>
                      </c:pt>
                      <c:pt idx="89">
                        <c:v>42.72</c:v>
                      </c:pt>
                      <c:pt idx="90">
                        <c:v>43.2</c:v>
                      </c:pt>
                      <c:pt idx="91">
                        <c:v>43.68</c:v>
                      </c:pt>
                      <c:pt idx="92">
                        <c:v>44.160000000000004</c:v>
                      </c:pt>
                      <c:pt idx="93">
                        <c:v>44.64</c:v>
                      </c:pt>
                      <c:pt idx="94">
                        <c:v>45.12</c:v>
                      </c:pt>
                      <c:pt idx="95">
                        <c:v>45.599999999999994</c:v>
                      </c:pt>
                      <c:pt idx="96">
                        <c:v>46.08</c:v>
                      </c:pt>
                      <c:pt idx="97">
                        <c:v>46.56</c:v>
                      </c:pt>
                      <c:pt idx="98">
                        <c:v>47.04</c:v>
                      </c:pt>
                      <c:pt idx="99">
                        <c:v>47.519999999999996</c:v>
                      </c:pt>
                      <c:pt idx="100">
                        <c:v>48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'Curva de carga Li'!$AK$9:$AK$109</c15:sqref>
                        </c15:formulaRef>
                      </c:ext>
                    </c:extLst>
                    <c:numCache>
                      <c:formatCode>0.00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2.2274049695732998</c:v>
                      </c:pt>
                      <c:pt idx="3">
                        <c:v>2.2274049695732998</c:v>
                      </c:pt>
                      <c:pt idx="4">
                        <c:v>2.2274049695732998</c:v>
                      </c:pt>
                      <c:pt idx="5">
                        <c:v>2.2274049695732998</c:v>
                      </c:pt>
                      <c:pt idx="6">
                        <c:v>2.2274049695732998</c:v>
                      </c:pt>
                      <c:pt idx="7">
                        <c:v>2.2274049695732998</c:v>
                      </c:pt>
                      <c:pt idx="8">
                        <c:v>2.2274049695732998</c:v>
                      </c:pt>
                      <c:pt idx="9">
                        <c:v>2.2274049695732998</c:v>
                      </c:pt>
                      <c:pt idx="10">
                        <c:v>2.2274049695732998</c:v>
                      </c:pt>
                      <c:pt idx="11">
                        <c:v>2.2274049695732998</c:v>
                      </c:pt>
                      <c:pt idx="12">
                        <c:v>2.2274049695732998</c:v>
                      </c:pt>
                      <c:pt idx="13">
                        <c:v>2.2274049695732998</c:v>
                      </c:pt>
                      <c:pt idx="14">
                        <c:v>2.2274049695732998</c:v>
                      </c:pt>
                      <c:pt idx="15">
                        <c:v>2.2274049695732998</c:v>
                      </c:pt>
                      <c:pt idx="16">
                        <c:v>2.2274049695732998</c:v>
                      </c:pt>
                      <c:pt idx="17">
                        <c:v>2.2274049695732998</c:v>
                      </c:pt>
                      <c:pt idx="18">
                        <c:v>2.2274049695732998</c:v>
                      </c:pt>
                      <c:pt idx="19">
                        <c:v>2.2274049695732998</c:v>
                      </c:pt>
                      <c:pt idx="20">
                        <c:v>2.2274049695732998</c:v>
                      </c:pt>
                      <c:pt idx="21">
                        <c:v>2.2274049695732998</c:v>
                      </c:pt>
                      <c:pt idx="22">
                        <c:v>2.2274049695732998</c:v>
                      </c:pt>
                      <c:pt idx="23">
                        <c:v>2.2274049695732998</c:v>
                      </c:pt>
                      <c:pt idx="24">
                        <c:v>2.2274049695732998</c:v>
                      </c:pt>
                      <c:pt idx="25">
                        <c:v>2.2274049695732998</c:v>
                      </c:pt>
                      <c:pt idx="26">
                        <c:v>2.2274049695732998</c:v>
                      </c:pt>
                      <c:pt idx="27">
                        <c:v>2.2274049695732998</c:v>
                      </c:pt>
                      <c:pt idx="28">
                        <c:v>2.2274049695732998</c:v>
                      </c:pt>
                      <c:pt idx="29">
                        <c:v>2.2274049695732998</c:v>
                      </c:pt>
                      <c:pt idx="30">
                        <c:v>2.2274049695732998</c:v>
                      </c:pt>
                      <c:pt idx="31">
                        <c:v>2.2274049695732998</c:v>
                      </c:pt>
                      <c:pt idx="32">
                        <c:v>2.2274049695732998</c:v>
                      </c:pt>
                      <c:pt idx="33">
                        <c:v>2.2274049695732998</c:v>
                      </c:pt>
                      <c:pt idx="34">
                        <c:v>2.2274049695732998</c:v>
                      </c:pt>
                      <c:pt idx="35">
                        <c:v>2.2274049695732998</c:v>
                      </c:pt>
                      <c:pt idx="36">
                        <c:v>2.2274049695732998</c:v>
                      </c:pt>
                      <c:pt idx="37">
                        <c:v>2.2274049695732998</c:v>
                      </c:pt>
                      <c:pt idx="38">
                        <c:v>2.2274049695732998</c:v>
                      </c:pt>
                      <c:pt idx="39">
                        <c:v>2.2274049695732998</c:v>
                      </c:pt>
                      <c:pt idx="40">
                        <c:v>2.2274049695732998</c:v>
                      </c:pt>
                      <c:pt idx="41">
                        <c:v>2.2274049695732998</c:v>
                      </c:pt>
                      <c:pt idx="42">
                        <c:v>2.2274049695732998</c:v>
                      </c:pt>
                      <c:pt idx="43">
                        <c:v>2.2274049695732998</c:v>
                      </c:pt>
                      <c:pt idx="44">
                        <c:v>2.2274049695732998</c:v>
                      </c:pt>
                      <c:pt idx="45">
                        <c:v>2.2274049695732998</c:v>
                      </c:pt>
                      <c:pt idx="46">
                        <c:v>2.2274049695732998</c:v>
                      </c:pt>
                      <c:pt idx="47">
                        <c:v>2.2274049695732998</c:v>
                      </c:pt>
                      <c:pt idx="48">
                        <c:v>2.2274049695732998</c:v>
                      </c:pt>
                      <c:pt idx="49">
                        <c:v>2.2274049695732998</c:v>
                      </c:pt>
                      <c:pt idx="50">
                        <c:v>2.2274049695732998</c:v>
                      </c:pt>
                      <c:pt idx="51">
                        <c:v>2.2274049695732998</c:v>
                      </c:pt>
                      <c:pt idx="52">
                        <c:v>2.2274049695732998</c:v>
                      </c:pt>
                      <c:pt idx="53">
                        <c:v>2.2274049695732998</c:v>
                      </c:pt>
                      <c:pt idx="54">
                        <c:v>2.2274049695732998</c:v>
                      </c:pt>
                      <c:pt idx="55">
                        <c:v>2.2274049695732998</c:v>
                      </c:pt>
                      <c:pt idx="56">
                        <c:v>2.2274049695732998</c:v>
                      </c:pt>
                      <c:pt idx="57">
                        <c:v>2.2274049695732998</c:v>
                      </c:pt>
                      <c:pt idx="58">
                        <c:v>2.2274049695732998</c:v>
                      </c:pt>
                      <c:pt idx="59">
                        <c:v>2.2274049695732998</c:v>
                      </c:pt>
                      <c:pt idx="60">
                        <c:v>2.2274049695732998</c:v>
                      </c:pt>
                      <c:pt idx="61">
                        <c:v>2.2274049695732998</c:v>
                      </c:pt>
                      <c:pt idx="62">
                        <c:v>2.2274049695732998</c:v>
                      </c:pt>
                      <c:pt idx="63">
                        <c:v>2.2274049695732998</c:v>
                      </c:pt>
                      <c:pt idx="64">
                        <c:v>2.2274049695732998</c:v>
                      </c:pt>
                      <c:pt idx="65">
                        <c:v>2.2274049695732998</c:v>
                      </c:pt>
                      <c:pt idx="66">
                        <c:v>2.2274049695732998</c:v>
                      </c:pt>
                      <c:pt idx="67">
                        <c:v>2.2274049695732998</c:v>
                      </c:pt>
                      <c:pt idx="68">
                        <c:v>2.2274049695732998</c:v>
                      </c:pt>
                      <c:pt idx="69">
                        <c:v>2.2274049695732998</c:v>
                      </c:pt>
                      <c:pt idx="70">
                        <c:v>2.2274049695732998</c:v>
                      </c:pt>
                      <c:pt idx="71">
                        <c:v>2.2274049695732998</c:v>
                      </c:pt>
                      <c:pt idx="72">
                        <c:v>2.2274049695732998</c:v>
                      </c:pt>
                      <c:pt idx="73">
                        <c:v>2.2274049695732998</c:v>
                      </c:pt>
                      <c:pt idx="74">
                        <c:v>2.2274049695732998</c:v>
                      </c:pt>
                      <c:pt idx="75">
                        <c:v>2.2274049695732998</c:v>
                      </c:pt>
                      <c:pt idx="76">
                        <c:v>2.2274049695732998</c:v>
                      </c:pt>
                      <c:pt idx="77">
                        <c:v>2.2274049695732998</c:v>
                      </c:pt>
                      <c:pt idx="78">
                        <c:v>2.2274049695732998</c:v>
                      </c:pt>
                      <c:pt idx="79">
                        <c:v>2.2274049695732998</c:v>
                      </c:pt>
                      <c:pt idx="80">
                        <c:v>2.2274049695732998</c:v>
                      </c:pt>
                      <c:pt idx="81">
                        <c:v>2.2274049695732998</c:v>
                      </c:pt>
                      <c:pt idx="82">
                        <c:v>2.2274049695732998</c:v>
                      </c:pt>
                      <c:pt idx="83">
                        <c:v>2.2274049695732998</c:v>
                      </c:pt>
                      <c:pt idx="84">
                        <c:v>2.2274049695732998</c:v>
                      </c:pt>
                      <c:pt idx="85">
                        <c:v>2.2274049695732998</c:v>
                      </c:pt>
                      <c:pt idx="86">
                        <c:v>2.2274049695732998</c:v>
                      </c:pt>
                      <c:pt idx="87">
                        <c:v>2.2274049695732998</c:v>
                      </c:pt>
                      <c:pt idx="88">
                        <c:v>2.2274049695732998</c:v>
                      </c:pt>
                      <c:pt idx="89">
                        <c:v>2.2274049695732998</c:v>
                      </c:pt>
                      <c:pt idx="90">
                        <c:v>2.2274049695732998</c:v>
                      </c:pt>
                      <c:pt idx="91">
                        <c:v>2.2274049695732998</c:v>
                      </c:pt>
                      <c:pt idx="92">
                        <c:v>2.2274049695732998</c:v>
                      </c:pt>
                      <c:pt idx="93">
                        <c:v>2.2274049695732998</c:v>
                      </c:pt>
                      <c:pt idx="94">
                        <c:v>2.2274049695732998</c:v>
                      </c:pt>
                      <c:pt idx="95">
                        <c:v>2.2274049695732998</c:v>
                      </c:pt>
                      <c:pt idx="96">
                        <c:v>2.2274049695732998</c:v>
                      </c:pt>
                      <c:pt idx="97">
                        <c:v>2.2274049695732998</c:v>
                      </c:pt>
                      <c:pt idx="98">
                        <c:v>2.2274049695732998</c:v>
                      </c:pt>
                      <c:pt idx="99">
                        <c:v>2.2274049695732998</c:v>
                      </c:pt>
                      <c:pt idx="100">
                        <c:v>2.2274049695732998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5-C9DA-4744-9628-41607155DDE4}"/>
                  </c:ext>
                </c:extLst>
              </c15:ser>
            </c15:filteredScatterSeries>
          </c:ext>
        </c:extLst>
      </c:scatterChart>
      <c:valAx>
        <c:axId val="130918272"/>
        <c:scaling>
          <c:orientation val="minMax"/>
          <c:max val="3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/>
                  <a:t>Tiempo de recarga t [h]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30936832"/>
        <c:crosses val="autoZero"/>
        <c:crossBetween val="midCat"/>
        <c:majorUnit val="0.2"/>
        <c:minorUnit val="0.1"/>
      </c:valAx>
      <c:valAx>
        <c:axId val="130936832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Carga inyectada q </a:t>
                </a:r>
                <a:r>
                  <a:rPr lang="en-US" sz="1100" baseline="-25000"/>
                  <a:t>r</a:t>
                </a:r>
                <a:r>
                  <a:rPr lang="en-US" sz="1100"/>
                  <a:t> =  q </a:t>
                </a:r>
                <a:r>
                  <a:rPr lang="en-US" sz="1100" baseline="-25000"/>
                  <a:t>e</a:t>
                </a:r>
                <a:r>
                  <a:rPr lang="en-US" sz="1100"/>
                  <a:t> + q </a:t>
                </a:r>
                <a:r>
                  <a:rPr lang="en-US" sz="1100" baseline="-25000"/>
                  <a:t>E</a:t>
                </a:r>
                <a:r>
                  <a:rPr lang="en-US" sz="1100"/>
                  <a:t> [Ah]</a:t>
                </a:r>
              </a:p>
            </c:rich>
          </c:tx>
          <c:layout>
            <c:manualLayout>
              <c:xMode val="edge"/>
              <c:yMode val="edge"/>
              <c:x val="3.5995980935970832E-2"/>
              <c:y val="0.2671658899780385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0918272"/>
        <c:crosses val="autoZero"/>
        <c:crossBetween val="midCat"/>
        <c:majorUnit val="1"/>
        <c:minorUnit val="0.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59323846588039575"/>
          <c:y val="0.45271317275816708"/>
          <c:w val="0.36300912034698907"/>
          <c:h val="0.21265389445366945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TENSIÓN  DE  RECARGA  A  CORRIENTE  CONSTANTE</a:t>
            </a:r>
          </a:p>
          <a:p>
            <a:pPr>
              <a:defRPr/>
            </a:pPr>
            <a:r>
              <a:rPr lang="en-US" sz="1100"/>
              <a:t>ACUMULADOR  Li  WORLEY  PARSONS  68105100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857935759716507"/>
          <c:y val="0.17003214450371271"/>
          <c:w val="0.783392952778036"/>
          <c:h val="0.64559099165307621"/>
        </c:manualLayout>
      </c:layout>
      <c:scatterChart>
        <c:scatterStyle val="smoothMarker"/>
        <c:varyColors val="0"/>
        <c:ser>
          <c:idx val="0"/>
          <c:order val="0"/>
          <c:tx>
            <c:v>Ir  =  0,075 In  =  0,60  [A]</c:v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'Curva de carga Li'!$AX$9:$AX$109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Li'!$AY$9:$AY$109</c:f>
              <c:numCache>
                <c:formatCode>0.00</c:formatCode>
                <c:ptCount val="101"/>
                <c:pt idx="0">
                  <c:v>3.8775000000000004</c:v>
                </c:pt>
                <c:pt idx="1">
                  <c:v>3.9137972542042698</c:v>
                </c:pt>
                <c:pt idx="2">
                  <c:v>3.950102173416234</c:v>
                </c:pt>
                <c:pt idx="3">
                  <c:v>3.9864156259414711</c:v>
                </c:pt>
                <c:pt idx="4">
                  <c:v>4.022738616383152</c:v>
                </c:pt>
                <c:pt idx="5">
                  <c:v>4.0590723134775981</c:v>
                </c:pt>
                <c:pt idx="6">
                  <c:v>4.0954180850420494</c:v>
                </c:pt>
                <c:pt idx="7">
                  <c:v>4.1317775422490275</c:v>
                </c:pt>
                <c:pt idx="8">
                  <c:v>4.1681525962663279</c:v>
                </c:pt>
                <c:pt idx="9">
                  <c:v>4.2045455314886144</c:v>
                </c:pt>
                <c:pt idx="10">
                  <c:v>4.2409591013218924</c:v>
                </c:pt>
                <c:pt idx="11">
                  <c:v>4.2773966550624056</c:v>
                </c:pt>
                <c:pt idx="12">
                  <c:v>4.3138623083200542</c:v>
                </c:pt>
                <c:pt idx="13">
                  <c:v>4.3503611754792502</c:v>
                </c:pt>
                <c:pt idx="14">
                  <c:v>4.3868996922455201</c:v>
                </c:pt>
                <c:pt idx="15">
                  <c:v>4.4234860718196565</c:v>
                </c:pt>
                <c:pt idx="16">
                  <c:v>4.4601309640770141</c:v>
                </c:pt>
                <c:pt idx="17">
                  <c:v>4.4968484315929187</c:v>
                </c:pt>
                <c:pt idx="18">
                  <c:v>4.5336574356686681</c:v>
                </c:pt>
                <c:pt idx="19">
                  <c:v>4.5705841729215857</c:v>
                </c:pt>
                <c:pt idx="20">
                  <c:v>4.607665890318013</c:v>
                </c:pt>
                <c:pt idx="21">
                  <c:v>4.644957398682342</c:v>
                </c:pt>
                <c:pt idx="22">
                  <c:v>4.6825428091033272</c:v>
                </c:pt>
                <c:pt idx="23">
                  <c:v>4.7205581319596268</c:v>
                </c:pt>
                <c:pt idx="24">
                  <c:v>4.7592386074945008</c:v>
                </c:pt>
                <c:pt idx="25">
                  <c:v>4.7990293882364465</c:v>
                </c:pt>
                <c:pt idx="26">
                  <c:v>4.8408869085811874</c:v>
                </c:pt>
                <c:pt idx="27">
                  <c:v>4.8873085993214715</c:v>
                </c:pt>
                <c:pt idx="28">
                  <c:v>4.9475296904848118</c:v>
                </c:pt>
                <c:pt idx="29">
                  <c:v>5.1073248724706435</c:v>
                </c:pt>
                <c:pt idx="30">
                  <c:v>4.7892980750062604</c:v>
                </c:pt>
                <c:pt idx="31">
                  <c:v>4.9381591155859121</c:v>
                </c:pt>
                <c:pt idx="32">
                  <c:v>4.9975064879060858</c:v>
                </c:pt>
                <c:pt idx="33">
                  <c:v>5.0436874865138579</c:v>
                </c:pt>
                <c:pt idx="34">
                  <c:v>5.0854459599007864</c:v>
                </c:pt>
                <c:pt idx="35">
                  <c:v>5.1251866039704623</c:v>
                </c:pt>
                <c:pt idx="36">
                  <c:v>5.163838243725607</c:v>
                </c:pt>
                <c:pt idx="37">
                  <c:v>5.2018354748834277</c:v>
                </c:pt>
                <c:pt idx="38">
                  <c:v>5.2394087943978951</c:v>
                </c:pt>
                <c:pt idx="39">
                  <c:v>5.2766918249103281</c:v>
                </c:pt>
                <c:pt idx="40">
                  <c:v>5.313767369226194</c:v>
                </c:pt>
                <c:pt idx="41">
                  <c:v>5.3506894725893366</c:v>
                </c:pt>
                <c:pt idx="42">
                  <c:v>5.3874949097523652</c:v>
                </c:pt>
                <c:pt idx="43">
                  <c:v>5.4242095732395272</c:v>
                </c:pt>
                <c:pt idx="44">
                  <c:v>5.4608522213516961</c:v>
                </c:pt>
                <c:pt idx="45">
                  <c:v>5.4974367769539407</c:v>
                </c:pt>
                <c:pt idx="46">
                  <c:v>5.5339737912189699</c:v>
                </c:pt>
                <c:pt idx="47">
                  <c:v>5.5704714060130573</c:v>
                </c:pt>
                <c:pt idx="48">
                  <c:v>5.606936004449441</c:v>
                </c:pt>
                <c:pt idx="49">
                  <c:v>5.6433726614494963</c:v>
                </c:pt>
                <c:pt idx="50">
                  <c:v>5.6797854625439381</c:v>
                </c:pt>
                <c:pt idx="51">
                  <c:v>5.7161777337780215</c:v>
                </c:pt>
                <c:pt idx="52">
                  <c:v>5.7525522103559634</c:v>
                </c:pt>
                <c:pt idx="53">
                  <c:v>5.7889111622589997</c:v>
                </c:pt>
                <c:pt idx="54">
                  <c:v>5.8252564891216174</c:v>
                </c:pt>
                <c:pt idx="55">
                  <c:v>5.8615897927991618</c:v>
                </c:pt>
                <c:pt idx="56">
                  <c:v>5.897912433515792</c:v>
                </c:pt>
                <c:pt idx="57">
                  <c:v>5.9342255737697052</c:v>
                </c:pt>
                <c:pt idx="58">
                  <c:v>5.9705302130007887</c:v>
                </c:pt>
                <c:pt idx="59">
                  <c:v>6.0068272152113646</c:v>
                </c:pt>
                <c:pt idx="60">
                  <c:v>6.0431173311564343</c:v>
                </c:pt>
                <c:pt idx="61">
                  <c:v>6.0794012163095452</c:v>
                </c:pt>
                <c:pt idx="62">
                  <c:v>6.1156794455136509</c:v>
                </c:pt>
                <c:pt idx="63">
                  <c:v>6.1519525250092935</c:v>
                </c:pt>
                <c:pt idx="64">
                  <c:v>6.1882209023719774</c:v>
                </c:pt>
                <c:pt idx="65">
                  <c:v>6.2244849747708191</c:v>
                </c:pt>
                <c:pt idx="66">
                  <c:v>6.2607450958702415</c:v>
                </c:pt>
                <c:pt idx="67">
                  <c:v>6.2970015816279243</c:v>
                </c:pt>
                <c:pt idx="68">
                  <c:v>6.3332547151895682</c:v>
                </c:pt>
                <c:pt idx="69">
                  <c:v>6.3695047510404876</c:v>
                </c:pt>
                <c:pt idx="70">
                  <c:v>6.4057519185424159</c:v>
                </c:pt>
                <c:pt idx="71">
                  <c:v>6.4419964249591768</c:v>
                </c:pt>
                <c:pt idx="72">
                  <c:v>6.4782384580553742</c:v>
                </c:pt>
                <c:pt idx="73">
                  <c:v>6.5144781883367902</c:v>
                </c:pt>
                <c:pt idx="74">
                  <c:v>6.5507157709888215</c:v>
                </c:pt>
                <c:pt idx="75">
                  <c:v>6.5869513475593973</c:v>
                </c:pt>
                <c:pt idx="76">
                  <c:v>6.6231850474248235</c:v>
                </c:pt>
                <c:pt idx="77">
                  <c:v>6.6594169890705395</c:v>
                </c:pt>
                <c:pt idx="78">
                  <c:v>6.6956472812134864</c:v>
                </c:pt>
                <c:pt idx="79">
                  <c:v>6.731876023788482</c:v>
                </c:pt>
                <c:pt idx="80">
                  <c:v>6.7681033088174303</c:v>
                </c:pt>
                <c:pt idx="81">
                  <c:v>6.8043292211773121</c:v>
                </c:pt>
                <c:pt idx="82">
                  <c:v>6.8405538392804326</c:v>
                </c:pt>
                <c:pt idx="83">
                  <c:v>6.8767772356783912</c:v>
                </c:pt>
                <c:pt idx="84">
                  <c:v>6.9129994775996018</c:v>
                </c:pt>
                <c:pt idx="85">
                  <c:v>6.9492206274286925</c:v>
                </c:pt>
                <c:pt idx="86">
                  <c:v>6.9854407431350474</c:v>
                </c:pt>
                <c:pt idx="87">
                  <c:v>7.0216598786566085</c:v>
                </c:pt>
                <c:pt idx="88">
                  <c:v>7.0578780842443489</c:v>
                </c:pt>
                <c:pt idx="89">
                  <c:v>7.0940954067720128</c:v>
                </c:pt>
                <c:pt idx="90">
                  <c:v>7.1303118900151414</c:v>
                </c:pt>
                <c:pt idx="91">
                  <c:v>7.1665275749028883</c:v>
                </c:pt>
                <c:pt idx="92">
                  <c:v>7.2027424997456722</c:v>
                </c:pt>
                <c:pt idx="93">
                  <c:v>7.2389567004413111</c:v>
                </c:pt>
                <c:pt idx="94">
                  <c:v>7.2751702106620071</c:v>
                </c:pt>
                <c:pt idx="95">
                  <c:v>7.311383062024186</c:v>
                </c:pt>
                <c:pt idx="96">
                  <c:v>7.347595284243031</c:v>
                </c:pt>
                <c:pt idx="97">
                  <c:v>7.3838069052732767</c:v>
                </c:pt>
                <c:pt idx="98">
                  <c:v>7.4200179514376803</c:v>
                </c:pt>
                <c:pt idx="99">
                  <c:v>7.4562284475443974</c:v>
                </c:pt>
                <c:pt idx="100">
                  <c:v>7.4924384169943767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32-4680-B554-EEBAB955CCD4}"/>
            </c:ext>
          </c:extLst>
        </c:ser>
        <c:ser>
          <c:idx val="1"/>
          <c:order val="1"/>
          <c:tx>
            <c:v>Ir  =  0,150 In  =  1,20  [A]</c:v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'Curva de carga Li'!$AX$9:$AX$109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Li'!$AZ$9:$AZ$109</c:f>
              <c:numCache>
                <c:formatCode>0.00</c:formatCode>
                <c:ptCount val="101"/>
                <c:pt idx="0">
                  <c:v>3.8849999999999998</c:v>
                </c:pt>
                <c:pt idx="1">
                  <c:v>3.9578204930624752</c:v>
                </c:pt>
                <c:pt idx="2">
                  <c:v>4.0307095252263183</c:v>
                </c:pt>
                <c:pt idx="3">
                  <c:v>4.1036846087741203</c:v>
                </c:pt>
                <c:pt idx="4">
                  <c:v>4.1767697774526864</c:v>
                </c:pt>
                <c:pt idx="5">
                  <c:v>4.2499989337938224</c:v>
                </c:pt>
                <c:pt idx="6">
                  <c:v>4.3234214940201534</c:v>
                </c:pt>
                <c:pt idx="7">
                  <c:v>4.3971124081010924</c:v>
                </c:pt>
                <c:pt idx="8">
                  <c:v>4.4711910979940885</c:v>
                </c:pt>
                <c:pt idx="9">
                  <c:v>4.5458601874074036</c:v>
                </c:pt>
                <c:pt idx="10">
                  <c:v>4.6214932429361015</c:v>
                </c:pt>
                <c:pt idx="11">
                  <c:v>4.6988632267367381</c:v>
                </c:pt>
                <c:pt idx="12">
                  <c:v>4.7798709697490915</c:v>
                </c:pt>
                <c:pt idx="13">
                  <c:v>4.8707837181524738</c:v>
                </c:pt>
                <c:pt idx="14">
                  <c:v>5.0116854281897298</c:v>
                </c:pt>
                <c:pt idx="15">
                  <c:v>4.6228383434626341</c:v>
                </c:pt>
                <c:pt idx="16">
                  <c:v>4.9668713154922921</c:v>
                </c:pt>
                <c:pt idx="17">
                  <c:v>5.0703664057117006</c:v>
                </c:pt>
                <c:pt idx="18">
                  <c:v>5.1547671195913498</c:v>
                </c:pt>
                <c:pt idx="19">
                  <c:v>5.2335243671659342</c:v>
                </c:pt>
                <c:pt idx="20">
                  <c:v>5.3098576630525391</c:v>
                </c:pt>
                <c:pt idx="21">
                  <c:v>5.3849288903348889</c:v>
                </c:pt>
                <c:pt idx="22">
                  <c:v>5.4592596597635588</c:v>
                </c:pt>
                <c:pt idx="23">
                  <c:v>5.5331189457281145</c:v>
                </c:pt>
                <c:pt idx="24">
                  <c:v>5.6066595184190637</c:v>
                </c:pt>
                <c:pt idx="25">
                  <c:v>5.6799745808380653</c:v>
                </c:pt>
                <c:pt idx="26">
                  <c:v>5.7531242226921231</c:v>
                </c:pt>
                <c:pt idx="27">
                  <c:v>5.8261489264534401</c:v>
                </c:pt>
                <c:pt idx="28">
                  <c:v>5.8990769614717955</c:v>
                </c:pt>
                <c:pt idx="29">
                  <c:v>5.9719286666717979</c:v>
                </c:pt>
                <c:pt idx="30">
                  <c:v>6.0447190492130956</c:v>
                </c:pt>
                <c:pt idx="31">
                  <c:v>6.1174594241575377</c:v>
                </c:pt>
                <c:pt idx="32">
                  <c:v>6.190158484104197</c:v>
                </c:pt>
                <c:pt idx="33">
                  <c:v>6.2628230173307342</c:v>
                </c:pt>
                <c:pt idx="34">
                  <c:v>6.3354584021993938</c:v>
                </c:pt>
                <c:pt idx="35">
                  <c:v>6.4080689551350964</c:v>
                </c:pt>
                <c:pt idx="36">
                  <c:v>6.4806581803910213</c:v>
                </c:pt>
                <c:pt idx="37">
                  <c:v>6.5532289524879248</c:v>
                </c:pt>
                <c:pt idx="38">
                  <c:v>6.6257836515899351</c:v>
                </c:pt>
                <c:pt idx="39">
                  <c:v>6.6983242653972699</c:v>
                </c:pt>
                <c:pt idx="40">
                  <c:v>6.7708524668351622</c:v>
                </c:pt>
                <c:pt idx="41">
                  <c:v>6.8433696739911758</c:v>
                </c:pt>
                <c:pt idx="42">
                  <c:v>6.9158770968595205</c:v>
                </c:pt>
                <c:pt idx="43">
                  <c:v>6.9883757741604198</c:v>
                </c:pt>
                <c:pt idx="44">
                  <c:v>7.0608666026090319</c:v>
                </c:pt>
                <c:pt idx="45">
                  <c:v>7.1333503603806241</c:v>
                </c:pt>
                <c:pt idx="46">
                  <c:v>7.2058277260716919</c:v>
                </c:pt>
                <c:pt idx="47">
                  <c:v>7.2782992941343707</c:v>
                </c:pt>
                <c:pt idx="48">
                  <c:v>7.3507655875264248</c:v>
                </c:pt>
                <c:pt idx="49">
                  <c:v>7.4232270681457333</c:v>
                </c:pt>
                <c:pt idx="50">
                  <c:v>7.4956841454891325</c:v>
                </c:pt>
                <c:pt idx="51">
                  <c:v>7.5681371838784228</c:v>
                </c:pt>
                <c:pt idx="52">
                  <c:v>7.6405865085227145</c:v>
                </c:pt>
                <c:pt idx="53">
                  <c:v>7.7130324106300359</c:v>
                </c:pt>
                <c:pt idx="54">
                  <c:v>7.785475151737729</c:v>
                </c:pt>
                <c:pt idx="55">
                  <c:v>7.8579149673974502</c:v>
                </c:pt>
                <c:pt idx="56">
                  <c:v>7.9303520703242878</c:v>
                </c:pt>
                <c:pt idx="57">
                  <c:v>8.0027866530987612</c:v>
                </c:pt>
                <c:pt idx="58">
                  <c:v>8.0752188904940496</c:v>
                </c:pt>
                <c:pt idx="59">
                  <c:v>8.1476489414877236</c:v>
                </c:pt>
                <c:pt idx="60">
                  <c:v>8.220076951006785</c:v>
                </c:pt>
                <c:pt idx="61">
                  <c:v>8.2925030514463618</c:v>
                </c:pt>
                <c:pt idx="62">
                  <c:v>8.3649273639955801</c:v>
                </c:pt>
                <c:pt idx="63">
                  <c:v>8.4373499997986166</c:v>
                </c:pt>
                <c:pt idx="64">
                  <c:v>8.5097710609742947</c:v>
                </c:pt>
                <c:pt idx="65">
                  <c:v>8.5821906415139786</c:v>
                </c:pt>
                <c:pt idx="66">
                  <c:v>8.6546088280743678</c:v>
                </c:pt>
                <c:pt idx="67">
                  <c:v>8.7270257006792544</c:v>
                </c:pt>
                <c:pt idx="68">
                  <c:v>8.799441333342239</c:v>
                </c:pt>
                <c:pt idx="69">
                  <c:v>8.871855794620565</c:v>
                </c:pt>
                <c:pt idx="70">
                  <c:v>8.9442691481088374</c:v>
                </c:pt>
                <c:pt idx="71">
                  <c:v>9.0166814528800767</c:v>
                </c:pt>
                <c:pt idx="72">
                  <c:v>9.0890927638805561</c:v>
                </c:pt>
                <c:pt idx="73">
                  <c:v>9.1615031322839755</c:v>
                </c:pt>
                <c:pt idx="74">
                  <c:v>9.2339126058097776</c:v>
                </c:pt>
                <c:pt idx="75">
                  <c:v>9.3063212290097646</c:v>
                </c:pt>
                <c:pt idx="76">
                  <c:v>9.3787290435266506</c:v>
                </c:pt>
                <c:pt idx="77">
                  <c:v>9.451136088327674</c:v>
                </c:pt>
                <c:pt idx="78">
                  <c:v>9.5235423999160904</c:v>
                </c:pt>
                <c:pt idx="79">
                  <c:v>9.5959480125228875</c:v>
                </c:pt>
                <c:pt idx="80">
                  <c:v>9.6683529582808685</c:v>
                </c:pt>
                <c:pt idx="81">
                  <c:v>9.7407572673830103</c:v>
                </c:pt>
                <c:pt idx="82">
                  <c:v>9.813160968226649</c:v>
                </c:pt>
                <c:pt idx="83">
                  <c:v>9.8855640875450224</c:v>
                </c:pt>
                <c:pt idx="84">
                  <c:v>9.9579666505274052</c:v>
                </c:pt>
                <c:pt idx="85">
                  <c:v>10.03036868092898</c:v>
                </c:pt>
                <c:pt idx="86">
                  <c:v>10.102770201171472</c:v>
                </c:pt>
                <c:pt idx="87">
                  <c:v>10.175171232435412</c:v>
                </c:pt>
                <c:pt idx="88">
                  <c:v>10.247571794744852</c:v>
                </c:pt>
                <c:pt idx="89">
                  <c:v>10.319971907045234</c:v>
                </c:pt>
                <c:pt idx="90">
                  <c:v>10.392371587275049</c:v>
                </c:pt>
                <c:pt idx="91">
                  <c:v>10.464770852431858</c:v>
                </c:pt>
                <c:pt idx="92">
                  <c:v>10.537169718633194</c:v>
                </c:pt>
                <c:pt idx="93">
                  <c:v>10.609568201172774</c:v>
                </c:pt>
                <c:pt idx="94">
                  <c:v>10.681966314572481</c:v>
                </c:pt>
                <c:pt idx="95">
                  <c:v>10.754364072630448</c:v>
                </c:pt>
                <c:pt idx="96">
                  <c:v>10.82676148846558</c:v>
                </c:pt>
                <c:pt idx="97">
                  <c:v>10.899158574558852</c:v>
                </c:pt>
                <c:pt idx="98">
                  <c:v>10.971555342791616</c:v>
                </c:pt>
                <c:pt idx="99">
                  <c:v>11.043951804481178</c:v>
                </c:pt>
                <c:pt idx="100">
                  <c:v>11.116347970413891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32-4680-B554-EEBAB955CCD4}"/>
            </c:ext>
          </c:extLst>
        </c:ser>
        <c:ser>
          <c:idx val="2"/>
          <c:order val="2"/>
          <c:tx>
            <c:v>Ir  =  0,300 In  =  2,40  [A]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'Curva de carga Li'!$AX$9:$AX$109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Li'!$BA$9:$BA$109</c:f>
              <c:numCache>
                <c:formatCode>0.00</c:formatCode>
                <c:ptCount val="101"/>
                <c:pt idx="0">
                  <c:v>3.9000000000000004</c:v>
                </c:pt>
                <c:pt idx="1">
                  <c:v>4.0466513429126518</c:v>
                </c:pt>
                <c:pt idx="2">
                  <c:v>4.1940041398254042</c:v>
                </c:pt>
                <c:pt idx="3">
                  <c:v>4.3425398654203518</c:v>
                </c:pt>
                <c:pt idx="4">
                  <c:v>4.4933113658282373</c:v>
                </c:pt>
                <c:pt idx="5">
                  <c:v>4.6491479481722786</c:v>
                </c:pt>
                <c:pt idx="6">
                  <c:v>4.8211356942582757</c:v>
                </c:pt>
                <c:pt idx="7">
                  <c:v>5.1399969035995667</c:v>
                </c:pt>
                <c:pt idx="8">
                  <c:v>4.9056009706647057</c:v>
                </c:pt>
                <c:pt idx="9">
                  <c:v>5.1366248713228364</c:v>
                </c:pt>
                <c:pt idx="10">
                  <c:v>5.3020382507052295</c:v>
                </c:pt>
                <c:pt idx="11">
                  <c:v>5.4560745365872858</c:v>
                </c:pt>
                <c:pt idx="12">
                  <c:v>5.6061065463583102</c:v>
                </c:pt>
                <c:pt idx="13">
                  <c:v>5.7542682473644442</c:v>
                </c:pt>
                <c:pt idx="14">
                  <c:v>5.9014060173838025</c:v>
                </c:pt>
                <c:pt idx="15">
                  <c:v>6.0479224853264189</c:v>
                </c:pt>
                <c:pt idx="16">
                  <c:v>6.1940336475686379</c:v>
                </c:pt>
                <c:pt idx="17">
                  <c:v>6.339865776219046</c:v>
                </c:pt>
                <c:pt idx="18">
                  <c:v>6.4854976250623153</c:v>
                </c:pt>
                <c:pt idx="19">
                  <c:v>6.6309808599201583</c:v>
                </c:pt>
                <c:pt idx="20">
                  <c:v>6.7763507828706295</c:v>
                </c:pt>
                <c:pt idx="21">
                  <c:v>6.9216323353793605</c:v>
                </c:pt>
                <c:pt idx="22">
                  <c:v>7.0668436393383978</c:v>
                </c:pt>
                <c:pt idx="23">
                  <c:v>7.2119981787237339</c:v>
                </c:pt>
                <c:pt idx="24">
                  <c:v>7.3571061940932161</c:v>
                </c:pt>
                <c:pt idx="25">
                  <c:v>7.5021756024786441</c:v>
                </c:pt>
                <c:pt idx="26">
                  <c:v>7.6472126210058224</c:v>
                </c:pt>
                <c:pt idx="27">
                  <c:v>7.7922221998958676</c:v>
                </c:pt>
                <c:pt idx="28">
                  <c:v>7.9372083295290015</c:v>
                </c:pt>
                <c:pt idx="29">
                  <c:v>8.0821742623285395</c:v>
                </c:pt>
                <c:pt idx="30">
                  <c:v>8.2271226758140283</c:v>
                </c:pt>
                <c:pt idx="31">
                  <c:v>8.3720557942516329</c:v>
                </c:pt>
                <c:pt idx="32">
                  <c:v>8.5169754806690747</c:v>
                </c:pt>
                <c:pt idx="33">
                  <c:v>8.6618833073292354</c:v>
                </c:pt>
                <c:pt idx="34">
                  <c:v>8.8067806103249957</c:v>
                </c:pt>
                <c:pt idx="35">
                  <c:v>8.9516685323182053</c:v>
                </c:pt>
                <c:pt idx="36">
                  <c:v>9.0965480563216587</c:v>
                </c:pt>
                <c:pt idx="37">
                  <c:v>9.2414200326401179</c:v>
                </c:pt>
                <c:pt idx="38">
                  <c:v>9.3862852005338784</c:v>
                </c:pt>
                <c:pt idx="39">
                  <c:v>9.531144205772776</c:v>
                </c:pt>
                <c:pt idx="40">
                  <c:v>9.6759976149623448</c:v>
                </c:pt>
                <c:pt idx="41">
                  <c:v>9.8208459273139219</c:v>
                </c:pt>
                <c:pt idx="42">
                  <c:v>9.9656895843754505</c:v>
                </c:pt>
                <c:pt idx="43">
                  <c:v>10.110528978123599</c:v>
                </c:pt>
                <c:pt idx="44">
                  <c:v>10.255364457730373</c:v>
                </c:pt>
                <c:pt idx="45">
                  <c:v>10.400196335250781</c:v>
                </c:pt>
                <c:pt idx="46">
                  <c:v>10.545024890427088</c:v>
                </c:pt>
                <c:pt idx="47">
                  <c:v>10.68985037476568</c:v>
                </c:pt>
                <c:pt idx="48">
                  <c:v>10.834673015011889</c:v>
                </c:pt>
                <c:pt idx="49">
                  <c:v>10.979493016123977</c:v>
                </c:pt>
                <c:pt idx="50">
                  <c:v>11.124310563828539</c:v>
                </c:pt>
                <c:pt idx="51">
                  <c:v>11.269125826824496</c:v>
                </c:pt>
                <c:pt idx="52">
                  <c:v>11.413938958690768</c:v>
                </c:pt>
                <c:pt idx="53">
                  <c:v>11.558750099543099</c:v>
                </c:pt>
                <c:pt idx="54">
                  <c:v>11.703559377477701</c:v>
                </c:pt>
                <c:pt idx="55">
                  <c:v>11.848366909833029</c:v>
                </c:pt>
                <c:pt idx="56">
                  <c:v>11.993172804295879</c:v>
                </c:pt>
                <c:pt idx="57">
                  <c:v>12.13797715987376</c:v>
                </c:pt>
                <c:pt idx="58">
                  <c:v>12.282780067752036</c:v>
                </c:pt>
                <c:pt idx="59">
                  <c:v>12.427581612051464</c:v>
                </c:pt>
                <c:pt idx="60">
                  <c:v>12.572381870499337</c:v>
                </c:pt>
                <c:pt idx="61">
                  <c:v>12.717180915025589</c:v>
                </c:pt>
                <c:pt idx="62">
                  <c:v>12.861978812293383</c:v>
                </c:pt>
                <c:pt idx="63">
                  <c:v>13.00677562417251</c:v>
                </c:pt>
                <c:pt idx="64">
                  <c:v>13.151571408162596</c:v>
                </c:pt>
                <c:pt idx="65">
                  <c:v>13.296366217772272</c:v>
                </c:pt>
                <c:pt idx="66">
                  <c:v>13.441160102859529</c:v>
                </c:pt>
                <c:pt idx="67">
                  <c:v>13.585953109937837</c:v>
                </c:pt>
                <c:pt idx="68">
                  <c:v>13.730745282451949</c:v>
                </c:pt>
                <c:pt idx="69">
                  <c:v>13.875536661026871</c:v>
                </c:pt>
                <c:pt idx="70">
                  <c:v>14.020327283692987</c:v>
                </c:pt>
                <c:pt idx="71">
                  <c:v>14.165117186089935</c:v>
                </c:pt>
                <c:pt idx="72">
                  <c:v>14.309906401651553</c:v>
                </c:pt>
                <c:pt idx="73">
                  <c:v>14.45469496177396</c:v>
                </c:pt>
                <c:pt idx="74">
                  <c:v>14.599482895968436</c:v>
                </c:pt>
                <c:pt idx="75">
                  <c:v>14.744270232000805</c:v>
                </c:pt>
                <c:pt idx="76">
                  <c:v>14.889056996018571</c:v>
                </c:pt>
                <c:pt idx="77">
                  <c:v>15.033843212667145</c:v>
                </c:pt>
                <c:pt idx="78">
                  <c:v>15.178628905196181</c:v>
                </c:pt>
                <c:pt idx="79">
                  <c:v>15.323414095557004</c:v>
                </c:pt>
                <c:pt idx="80">
                  <c:v>15.468198804491976</c:v>
                </c:pt>
                <c:pt idx="81">
                  <c:v>15.612983051616618</c:v>
                </c:pt>
                <c:pt idx="82">
                  <c:v>15.757766855495088</c:v>
                </c:pt>
                <c:pt idx="83">
                  <c:v>15.902550233709698</c:v>
                </c:pt>
                <c:pt idx="84">
                  <c:v>16.047333202924978</c:v>
                </c:pt>
                <c:pt idx="85">
                  <c:v>16.192115778946768</c:v>
                </c:pt>
                <c:pt idx="86">
                  <c:v>16.336897976776868</c:v>
                </c:pt>
                <c:pt idx="87">
                  <c:v>16.481679810663469</c:v>
                </c:pt>
                <c:pt idx="88">
                  <c:v>16.626461294147937</c:v>
                </c:pt>
                <c:pt idx="89">
                  <c:v>16.771242440108065</c:v>
                </c:pt>
                <c:pt idx="90">
                  <c:v>16.916023260798259</c:v>
                </c:pt>
                <c:pt idx="91">
                  <c:v>17.060803767886782</c:v>
                </c:pt>
                <c:pt idx="92">
                  <c:v>17.205583972490416</c:v>
                </c:pt>
                <c:pt idx="93">
                  <c:v>17.350363885206626</c:v>
                </c:pt>
                <c:pt idx="94">
                  <c:v>17.495143516143564</c:v>
                </c:pt>
                <c:pt idx="95">
                  <c:v>17.639922874947974</c:v>
                </c:pt>
                <c:pt idx="96">
                  <c:v>17.784701970831225</c:v>
                </c:pt>
                <c:pt idx="97">
                  <c:v>17.929480812593599</c:v>
                </c:pt>
                <c:pt idx="98">
                  <c:v>18.074259408646974</c:v>
                </c:pt>
                <c:pt idx="99">
                  <c:v>18.219037767036003</c:v>
                </c:pt>
                <c:pt idx="100">
                  <c:v>18.363815895457964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32-4680-B554-EEBAB955CCD4}"/>
            </c:ext>
          </c:extLst>
        </c:ser>
        <c:ser>
          <c:idx val="3"/>
          <c:order val="3"/>
          <c:tx>
            <c:v>Ufl  =  4,20  [V/c]</c:v>
          </c:tx>
          <c:spPr>
            <a:ln w="19050">
              <a:solidFill>
                <a:srgbClr val="00B0F0"/>
              </a:solidFill>
              <a:prstDash val="lgDashDot"/>
            </a:ln>
          </c:spPr>
          <c:marker>
            <c:symbol val="none"/>
          </c:marker>
          <c:xVal>
            <c:numRef>
              <c:f>'Curva de carga Li'!$AX$9:$AX$109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Li'!$BB$9:$BB$109</c:f>
              <c:numCache>
                <c:formatCode>0.00</c:formatCode>
                <c:ptCount val="101"/>
                <c:pt idx="0">
                  <c:v>4.2</c:v>
                </c:pt>
                <c:pt idx="1">
                  <c:v>4.2</c:v>
                </c:pt>
                <c:pt idx="2">
                  <c:v>4.2</c:v>
                </c:pt>
                <c:pt idx="3">
                  <c:v>4.2</c:v>
                </c:pt>
                <c:pt idx="4">
                  <c:v>4.2</c:v>
                </c:pt>
                <c:pt idx="5">
                  <c:v>4.2</c:v>
                </c:pt>
                <c:pt idx="6">
                  <c:v>4.2</c:v>
                </c:pt>
                <c:pt idx="7">
                  <c:v>4.2</c:v>
                </c:pt>
                <c:pt idx="8">
                  <c:v>4.2</c:v>
                </c:pt>
                <c:pt idx="9">
                  <c:v>4.2</c:v>
                </c:pt>
                <c:pt idx="10">
                  <c:v>4.2</c:v>
                </c:pt>
                <c:pt idx="11">
                  <c:v>4.2</c:v>
                </c:pt>
                <c:pt idx="12">
                  <c:v>4.2</c:v>
                </c:pt>
                <c:pt idx="13">
                  <c:v>4.2</c:v>
                </c:pt>
                <c:pt idx="14">
                  <c:v>4.2</c:v>
                </c:pt>
                <c:pt idx="15">
                  <c:v>4.2</c:v>
                </c:pt>
                <c:pt idx="16">
                  <c:v>4.2</c:v>
                </c:pt>
                <c:pt idx="17">
                  <c:v>4.2</c:v>
                </c:pt>
                <c:pt idx="18">
                  <c:v>4.2</c:v>
                </c:pt>
                <c:pt idx="19">
                  <c:v>4.2</c:v>
                </c:pt>
                <c:pt idx="20">
                  <c:v>4.2</c:v>
                </c:pt>
                <c:pt idx="21">
                  <c:v>4.2</c:v>
                </c:pt>
                <c:pt idx="22">
                  <c:v>4.2</c:v>
                </c:pt>
                <c:pt idx="23">
                  <c:v>4.2</c:v>
                </c:pt>
                <c:pt idx="24">
                  <c:v>4.2</c:v>
                </c:pt>
                <c:pt idx="25">
                  <c:v>4.2</c:v>
                </c:pt>
                <c:pt idx="26">
                  <c:v>4.2</c:v>
                </c:pt>
                <c:pt idx="27">
                  <c:v>4.2</c:v>
                </c:pt>
                <c:pt idx="28">
                  <c:v>4.2</c:v>
                </c:pt>
                <c:pt idx="29">
                  <c:v>4.2</c:v>
                </c:pt>
                <c:pt idx="30">
                  <c:v>4.2</c:v>
                </c:pt>
                <c:pt idx="31">
                  <c:v>4.2</c:v>
                </c:pt>
                <c:pt idx="32">
                  <c:v>4.2</c:v>
                </c:pt>
                <c:pt idx="33">
                  <c:v>4.2</c:v>
                </c:pt>
                <c:pt idx="34">
                  <c:v>4.2</c:v>
                </c:pt>
                <c:pt idx="35">
                  <c:v>4.2</c:v>
                </c:pt>
                <c:pt idx="36">
                  <c:v>4.2</c:v>
                </c:pt>
                <c:pt idx="37">
                  <c:v>4.2</c:v>
                </c:pt>
                <c:pt idx="38">
                  <c:v>4.2</c:v>
                </c:pt>
                <c:pt idx="39">
                  <c:v>4.2</c:v>
                </c:pt>
                <c:pt idx="40">
                  <c:v>4.2</c:v>
                </c:pt>
                <c:pt idx="41">
                  <c:v>4.2</c:v>
                </c:pt>
                <c:pt idx="42">
                  <c:v>4.2</c:v>
                </c:pt>
                <c:pt idx="43">
                  <c:v>4.2</c:v>
                </c:pt>
                <c:pt idx="44">
                  <c:v>4.2</c:v>
                </c:pt>
                <c:pt idx="45">
                  <c:v>4.2</c:v>
                </c:pt>
                <c:pt idx="46">
                  <c:v>4.2</c:v>
                </c:pt>
                <c:pt idx="47">
                  <c:v>4.2</c:v>
                </c:pt>
                <c:pt idx="48">
                  <c:v>4.2</c:v>
                </c:pt>
                <c:pt idx="49">
                  <c:v>4.2</c:v>
                </c:pt>
                <c:pt idx="50">
                  <c:v>4.2</c:v>
                </c:pt>
                <c:pt idx="51">
                  <c:v>4.2</c:v>
                </c:pt>
                <c:pt idx="52">
                  <c:v>4.2</c:v>
                </c:pt>
                <c:pt idx="53">
                  <c:v>4.2</c:v>
                </c:pt>
                <c:pt idx="54">
                  <c:v>4.2</c:v>
                </c:pt>
                <c:pt idx="55">
                  <c:v>4.2</c:v>
                </c:pt>
                <c:pt idx="56">
                  <c:v>4.2</c:v>
                </c:pt>
                <c:pt idx="57">
                  <c:v>4.2</c:v>
                </c:pt>
                <c:pt idx="58">
                  <c:v>4.2</c:v>
                </c:pt>
                <c:pt idx="59">
                  <c:v>4.2</c:v>
                </c:pt>
                <c:pt idx="60">
                  <c:v>4.2</c:v>
                </c:pt>
                <c:pt idx="61">
                  <c:v>4.2</c:v>
                </c:pt>
                <c:pt idx="62">
                  <c:v>4.2</c:v>
                </c:pt>
                <c:pt idx="63">
                  <c:v>4.2</c:v>
                </c:pt>
                <c:pt idx="64">
                  <c:v>4.2</c:v>
                </c:pt>
                <c:pt idx="65">
                  <c:v>4.2</c:v>
                </c:pt>
                <c:pt idx="66">
                  <c:v>4.2</c:v>
                </c:pt>
                <c:pt idx="67">
                  <c:v>4.2</c:v>
                </c:pt>
                <c:pt idx="68">
                  <c:v>4.2</c:v>
                </c:pt>
                <c:pt idx="69">
                  <c:v>4.2</c:v>
                </c:pt>
                <c:pt idx="70">
                  <c:v>4.2</c:v>
                </c:pt>
                <c:pt idx="71">
                  <c:v>4.2</c:v>
                </c:pt>
                <c:pt idx="72">
                  <c:v>4.2</c:v>
                </c:pt>
                <c:pt idx="73">
                  <c:v>4.2</c:v>
                </c:pt>
                <c:pt idx="74">
                  <c:v>4.2</c:v>
                </c:pt>
                <c:pt idx="75">
                  <c:v>4.2</c:v>
                </c:pt>
                <c:pt idx="76">
                  <c:v>4.2</c:v>
                </c:pt>
                <c:pt idx="77">
                  <c:v>4.2</c:v>
                </c:pt>
                <c:pt idx="78">
                  <c:v>4.2</c:v>
                </c:pt>
                <c:pt idx="79">
                  <c:v>4.2</c:v>
                </c:pt>
                <c:pt idx="80">
                  <c:v>4.2</c:v>
                </c:pt>
                <c:pt idx="81">
                  <c:v>4.2</c:v>
                </c:pt>
                <c:pt idx="82">
                  <c:v>4.2</c:v>
                </c:pt>
                <c:pt idx="83">
                  <c:v>4.2</c:v>
                </c:pt>
                <c:pt idx="84">
                  <c:v>4.2</c:v>
                </c:pt>
                <c:pt idx="85">
                  <c:v>4.2</c:v>
                </c:pt>
                <c:pt idx="86">
                  <c:v>4.2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4.2</c:v>
                </c:pt>
                <c:pt idx="91">
                  <c:v>4.2</c:v>
                </c:pt>
                <c:pt idx="92">
                  <c:v>4.2</c:v>
                </c:pt>
                <c:pt idx="93">
                  <c:v>4.2</c:v>
                </c:pt>
                <c:pt idx="94">
                  <c:v>4.2</c:v>
                </c:pt>
                <c:pt idx="95">
                  <c:v>4.2</c:v>
                </c:pt>
                <c:pt idx="96">
                  <c:v>4.2</c:v>
                </c:pt>
                <c:pt idx="97">
                  <c:v>4.2</c:v>
                </c:pt>
                <c:pt idx="98">
                  <c:v>4.2</c:v>
                </c:pt>
                <c:pt idx="99">
                  <c:v>4.2</c:v>
                </c:pt>
                <c:pt idx="100">
                  <c:v>4.2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232-4680-B554-EEBAB955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88704"/>
        <c:axId val="131707264"/>
      </c:scatterChart>
      <c:valAx>
        <c:axId val="131688704"/>
        <c:scaling>
          <c:orientation val="minMax"/>
          <c:max val="3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 baseline="0"/>
                  <a:t>Tiempo de recarga:  t  [h]</a:t>
                </a:r>
              </a:p>
            </c:rich>
          </c:tx>
          <c:layout>
            <c:manualLayout>
              <c:xMode val="edge"/>
              <c:yMode val="edge"/>
              <c:x val="0.39263657810058838"/>
              <c:y val="0.9032600792721987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31707264"/>
        <c:crosses val="autoZero"/>
        <c:crossBetween val="midCat"/>
        <c:majorUnit val="0.2"/>
        <c:minorUnit val="2.0000000000000011E-2"/>
      </c:valAx>
      <c:valAx>
        <c:axId val="131707264"/>
        <c:scaling>
          <c:orientation val="minMax"/>
          <c:max val="4.3"/>
          <c:min val="3.7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 baseline="0"/>
                </a:pPr>
                <a:r>
                  <a:rPr lang="en-US" sz="1100" baseline="0"/>
                  <a:t>Tensión de recarga:  Ur  [V/c]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31688704"/>
        <c:crosses val="autoZero"/>
        <c:crossBetween val="midCat"/>
        <c:majorUnit val="0.1"/>
        <c:minorUnit val="1.0000000000000005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57761755514718893"/>
          <c:y val="0.55818136169846877"/>
          <c:w val="0.31139975125369235"/>
          <c:h val="0.21819498148597394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33" l="0.70000000000000062" r="0.70000000000000062" t="0.75000000000000333" header="0.30000000000000032" footer="0.30000000000000032"/>
    <c:pageSetup paperSize="9" orientation="landscape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566064536050824E-2"/>
          <c:y val="4.1120443277923566E-2"/>
          <c:w val="0.9303710977304307"/>
          <c:h val="0.86609565470984728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parámetros'!$M$33:$M$84</c:f>
              <c:numCache>
                <c:formatCode>0.00</c:formatCode>
                <c:ptCount val="52"/>
                <c:pt idx="0" formatCode="General">
                  <c:v>2.14</c:v>
                </c:pt>
                <c:pt idx="1">
                  <c:v>2.1356298230447135</c:v>
                </c:pt>
                <c:pt idx="2">
                  <c:v>2.135540635759912</c:v>
                </c:pt>
                <c:pt idx="3">
                  <c:v>2.1354477323382435</c:v>
                </c:pt>
                <c:pt idx="4">
                  <c:v>2.1353508755794826</c:v>
                </c:pt>
                <c:pt idx="5">
                  <c:v>2.1352498076572974</c:v>
                </c:pt>
                <c:pt idx="6">
                  <c:v>2.1351442478274598</c:v>
                </c:pt>
                <c:pt idx="7">
                  <c:v>2.1350338898235384</c:v>
                </c:pt>
                <c:pt idx="8">
                  <c:v>2.134918398889202</c:v>
                </c:pt>
                <c:pt idx="9">
                  <c:v>2.134797408386564</c:v>
                </c:pt>
                <c:pt idx="10">
                  <c:v>2.1346705159081876</c:v>
                </c:pt>
                <c:pt idx="11">
                  <c:v>2.1345372788058921</c:v>
                </c:pt>
                <c:pt idx="12">
                  <c:v>2.1343972090316843</c:v>
                </c:pt>
                <c:pt idx="13">
                  <c:v>2.1342497671640968</c:v>
                </c:pt>
                <c:pt idx="14">
                  <c:v>2.1340943554658294</c:v>
                </c:pt>
                <c:pt idx="15">
                  <c:v>2.1339303097843243</c:v>
                </c:pt>
                <c:pt idx="16">
                  <c:v>2.1337568900638768</c:v>
                </c:pt>
                <c:pt idx="17">
                  <c:v>2.1335732691834024</c:v>
                </c:pt>
                <c:pt idx="18">
                  <c:v>2.1333785197647175</c:v>
                </c:pt>
                <c:pt idx="19">
                  <c:v>2.1331715985073649</c:v>
                </c:pt>
                <c:pt idx="20">
                  <c:v>2.1329513274914738</c:v>
                </c:pt>
                <c:pt idx="21">
                  <c:v>2.1327163717411892</c:v>
                </c:pt>
                <c:pt idx="22">
                  <c:v>2.1324652121460579</c:v>
                </c:pt>
                <c:pt idx="23">
                  <c:v>2.1321961125798459</c:v>
                </c:pt>
                <c:pt idx="24">
                  <c:v>2.1319070797124327</c:v>
                </c:pt>
                <c:pt idx="25">
                  <c:v>2.1315958135475261</c:v>
                </c:pt>
                <c:pt idx="26">
                  <c:v>2.1312596460894273</c:v>
                </c:pt>
                <c:pt idx="27">
                  <c:v>2.1308954646764868</c:v>
                </c:pt>
                <c:pt idx="28">
                  <c:v>2.1304996153145948</c:v>
                </c:pt>
                <c:pt idx="29">
                  <c:v>2.1300677796470762</c:v>
                </c:pt>
                <c:pt idx="30">
                  <c:v>2.1295948167731278</c:v>
                </c:pt>
                <c:pt idx="31">
                  <c:v>2.129074557611784</c:v>
                </c:pt>
                <c:pt idx="32">
                  <c:v>2.1284995343281938</c:v>
                </c:pt>
                <c:pt idx="33">
                  <c:v>2.1278606195686489</c:v>
                </c:pt>
                <c:pt idx="34">
                  <c:v>2.1271465383668047</c:v>
                </c:pt>
                <c:pt idx="35">
                  <c:v>2.1263431970147297</c:v>
                </c:pt>
                <c:pt idx="36">
                  <c:v>2.1254327434823788</c:v>
                </c:pt>
                <c:pt idx="37">
                  <c:v>2.1243922251596912</c:v>
                </c:pt>
                <c:pt idx="38">
                  <c:v>2.1231916270950522</c:v>
                </c:pt>
                <c:pt idx="39">
                  <c:v>2.1217909293529731</c:v>
                </c:pt>
                <c:pt idx="40">
                  <c:v>2.1201355592941526</c:v>
                </c:pt>
                <c:pt idx="41">
                  <c:v>2.1181491152235679</c:v>
                </c:pt>
                <c:pt idx="42">
                  <c:v>2.1157212391372977</c:v>
                </c:pt>
                <c:pt idx="43">
                  <c:v>2.1126863940294598</c:v>
                </c:pt>
                <c:pt idx="44">
                  <c:v>2.1087844503193827</c:v>
                </c:pt>
                <c:pt idx="45">
                  <c:v>2.1035818587059461</c:v>
                </c:pt>
                <c:pt idx="46">
                  <c:v>2.0962982304471356</c:v>
                </c:pt>
                <c:pt idx="47">
                  <c:v>2.0853727880589195</c:v>
                </c:pt>
                <c:pt idx="48">
                  <c:v>2.0671637174118924</c:v>
                </c:pt>
                <c:pt idx="49">
                  <c:v>2.0307455761178383</c:v>
                </c:pt>
                <c:pt idx="50">
                  <c:v>1.9214911522356768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F2-44D2-A351-8DB454B0AA55}"/>
            </c:ext>
          </c:extLst>
        </c:ser>
        <c:ser>
          <c:idx val="1"/>
          <c:order val="1"/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parámetros'!$N$33:$N$84</c:f>
              <c:numCache>
                <c:formatCode>0.00</c:formatCode>
                <c:ptCount val="52"/>
                <c:pt idx="0" formatCode="General">
                  <c:v>2.14</c:v>
                </c:pt>
                <c:pt idx="1">
                  <c:v>2.1325706991760129</c:v>
                </c:pt>
                <c:pt idx="2">
                  <c:v>2.1324190807918502</c:v>
                </c:pt>
                <c:pt idx="3">
                  <c:v>2.1322611449750135</c:v>
                </c:pt>
                <c:pt idx="4">
                  <c:v>2.1320964884851201</c:v>
                </c:pt>
                <c:pt idx="5">
                  <c:v>2.1319246730174055</c:v>
                </c:pt>
                <c:pt idx="6">
                  <c:v>2.1317452213066814</c:v>
                </c:pt>
                <c:pt idx="7">
                  <c:v>2.1315576127000151</c:v>
                </c:pt>
                <c:pt idx="8">
                  <c:v>2.1313612781116431</c:v>
                </c:pt>
                <c:pt idx="9">
                  <c:v>2.1311555942571583</c:v>
                </c:pt>
                <c:pt idx="10">
                  <c:v>2.1309398770439185</c:v>
                </c:pt>
                <c:pt idx="11">
                  <c:v>2.1307133739700164</c:v>
                </c:pt>
                <c:pt idx="12">
                  <c:v>2.1304752553538631</c:v>
                </c:pt>
                <c:pt idx="13">
                  <c:v>2.1302246041789648</c:v>
                </c:pt>
                <c:pt idx="14">
                  <c:v>2.1299604042919094</c:v>
                </c:pt>
                <c:pt idx="15">
                  <c:v>2.1296815266333513</c:v>
                </c:pt>
                <c:pt idx="16">
                  <c:v>2.1293867131085902</c:v>
                </c:pt>
                <c:pt idx="17">
                  <c:v>2.129074557611784</c:v>
                </c:pt>
                <c:pt idx="18">
                  <c:v>2.1287434836000196</c:v>
                </c:pt>
                <c:pt idx="19">
                  <c:v>2.1283917174625206</c:v>
                </c:pt>
                <c:pt idx="20">
                  <c:v>2.1280172567355051</c:v>
                </c:pt>
                <c:pt idx="21">
                  <c:v>2.1276178319600216</c:v>
                </c:pt>
                <c:pt idx="22">
                  <c:v>2.1271908606482985</c:v>
                </c:pt>
                <c:pt idx="23">
                  <c:v>2.1267333913857378</c:v>
                </c:pt>
                <c:pt idx="24">
                  <c:v>2.1262420355111353</c:v>
                </c:pt>
                <c:pt idx="25">
                  <c:v>2.1257128830307943</c:v>
                </c:pt>
                <c:pt idx="26">
                  <c:v>2.1251413983520262</c:v>
                </c:pt>
                <c:pt idx="27">
                  <c:v>2.1245222899500273</c:v>
                </c:pt>
                <c:pt idx="28">
                  <c:v>2.1238493460348109</c:v>
                </c:pt>
                <c:pt idx="29">
                  <c:v>2.1231152254000296</c:v>
                </c:pt>
                <c:pt idx="30">
                  <c:v>2.1223111885143169</c:v>
                </c:pt>
                <c:pt idx="31">
                  <c:v>2.1214267479400326</c:v>
                </c:pt>
                <c:pt idx="32">
                  <c:v>2.1204492083579289</c:v>
                </c:pt>
                <c:pt idx="33">
                  <c:v>2.1193630532667029</c:v>
                </c:pt>
                <c:pt idx="34">
                  <c:v>2.1181491152235679</c:v>
                </c:pt>
                <c:pt idx="35">
                  <c:v>2.1167834349250407</c:v>
                </c:pt>
                <c:pt idx="36">
                  <c:v>2.1152356639200436</c:v>
                </c:pt>
                <c:pt idx="37">
                  <c:v>2.113466782771475</c:v>
                </c:pt>
                <c:pt idx="38">
                  <c:v>2.1114257660615885</c:v>
                </c:pt>
                <c:pt idx="39">
                  <c:v>2.1090445799000541</c:v>
                </c:pt>
                <c:pt idx="40">
                  <c:v>2.1062304508000591</c:v>
                </c:pt>
                <c:pt idx="41">
                  <c:v>2.1028534958800651</c:v>
                </c:pt>
                <c:pt idx="42">
                  <c:v>2.0987261065334057</c:v>
                </c:pt>
                <c:pt idx="43">
                  <c:v>2.0935668698500813</c:v>
                </c:pt>
                <c:pt idx="44">
                  <c:v>2.08693356554295</c:v>
                </c:pt>
                <c:pt idx="45">
                  <c:v>2.0780891598001086</c:v>
                </c:pt>
                <c:pt idx="46">
                  <c:v>2.0657069917601301</c:v>
                </c:pt>
                <c:pt idx="47">
                  <c:v>2.0471337397001625</c:v>
                </c:pt>
                <c:pt idx="48">
                  <c:v>2.016178319600217</c:v>
                </c:pt>
                <c:pt idx="49">
                  <c:v>1.9542674794003252</c:v>
                </c:pt>
                <c:pt idx="50">
                  <c:v>1.7685349588006503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F2-44D2-A351-8DB454B0AA55}"/>
            </c:ext>
          </c:extLst>
        </c:ser>
        <c:ser>
          <c:idx val="2"/>
          <c:order val="2"/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parámetros'!$O$33:$O$84</c:f>
              <c:numCache>
                <c:formatCode>0.00</c:formatCode>
                <c:ptCount val="52"/>
                <c:pt idx="0" formatCode="General">
                  <c:v>2.14</c:v>
                </c:pt>
                <c:pt idx="1">
                  <c:v>2.1286375399162552</c:v>
                </c:pt>
                <c:pt idx="2">
                  <c:v>2.1284056529757707</c:v>
                </c:pt>
                <c:pt idx="3">
                  <c:v>2.1281641040794326</c:v>
                </c:pt>
                <c:pt idx="4">
                  <c:v>2.1279122765066547</c:v>
                </c:pt>
                <c:pt idx="5">
                  <c:v>2.1276494999089732</c:v>
                </c:pt>
                <c:pt idx="6">
                  <c:v>2.1273750443513948</c:v>
                </c:pt>
                <c:pt idx="7">
                  <c:v>2.1270881135411992</c:v>
                </c:pt>
                <c:pt idx="8">
                  <c:v>2.1267878371119249</c:v>
                </c:pt>
                <c:pt idx="9">
                  <c:v>2.1264732618050659</c:v>
                </c:pt>
                <c:pt idx="10">
                  <c:v>2.1261433413612871</c:v>
                </c:pt>
                <c:pt idx="11">
                  <c:v>2.1257969248953192</c:v>
                </c:pt>
                <c:pt idx="12">
                  <c:v>2.1254327434823788</c:v>
                </c:pt>
                <c:pt idx="13">
                  <c:v>2.1250493946266515</c:v>
                </c:pt>
                <c:pt idx="14">
                  <c:v>2.1246453242111558</c:v>
                </c:pt>
                <c:pt idx="15">
                  <c:v>2.1242188054392432</c:v>
                </c:pt>
                <c:pt idx="16">
                  <c:v>2.1237679141660788</c:v>
                </c:pt>
                <c:pt idx="17">
                  <c:v>2.123290499876846</c:v>
                </c:pt>
                <c:pt idx="18">
                  <c:v>2.1227841513882657</c:v>
                </c:pt>
                <c:pt idx="19">
                  <c:v>2.1222461561191488</c:v>
                </c:pt>
                <c:pt idx="20">
                  <c:v>2.121673451477831</c:v>
                </c:pt>
                <c:pt idx="21">
                  <c:v>2.1210625665270921</c:v>
                </c:pt>
                <c:pt idx="22">
                  <c:v>2.1204095515797503</c:v>
                </c:pt>
                <c:pt idx="23">
                  <c:v>2.1197098927075988</c:v>
                </c:pt>
                <c:pt idx="24">
                  <c:v>2.1189584072523244</c:v>
                </c:pt>
                <c:pt idx="25">
                  <c:v>2.1181491152235679</c:v>
                </c:pt>
                <c:pt idx="26">
                  <c:v>2.1172750798325106</c:v>
                </c:pt>
                <c:pt idx="27">
                  <c:v>2.116328208158865</c:v>
                </c:pt>
                <c:pt idx="28">
                  <c:v>2.1152989998179463</c:v>
                </c:pt>
                <c:pt idx="29">
                  <c:v>2.1141762270823983</c:v>
                </c:pt>
                <c:pt idx="30">
                  <c:v>2.1129465236101317</c:v>
                </c:pt>
                <c:pt idx="31">
                  <c:v>2.1115938497906379</c:v>
                </c:pt>
                <c:pt idx="32">
                  <c:v>2.1100987892533034</c:v>
                </c:pt>
                <c:pt idx="33">
                  <c:v>2.1084376108784868</c:v>
                </c:pt>
                <c:pt idx="34">
                  <c:v>2.106580999753692</c:v>
                </c:pt>
                <c:pt idx="35">
                  <c:v>2.1044923122382975</c:v>
                </c:pt>
                <c:pt idx="36">
                  <c:v>2.1021251330541841</c:v>
                </c:pt>
                <c:pt idx="37">
                  <c:v>2.099419785415197</c:v>
                </c:pt>
                <c:pt idx="38">
                  <c:v>2.0962982304471356</c:v>
                </c:pt>
                <c:pt idx="39">
                  <c:v>2.0926564163177299</c:v>
                </c:pt>
                <c:pt idx="40">
                  <c:v>2.0883524541647964</c:v>
                </c:pt>
                <c:pt idx="41">
                  <c:v>2.0831876995812761</c:v>
                </c:pt>
                <c:pt idx="42">
                  <c:v>2.0768752217569735</c:v>
                </c:pt>
                <c:pt idx="43">
                  <c:v>2.0689846244765948</c:v>
                </c:pt>
                <c:pt idx="44">
                  <c:v>2.0588395708303944</c:v>
                </c:pt>
                <c:pt idx="45">
                  <c:v>2.0453128326354597</c:v>
                </c:pt>
                <c:pt idx="46">
                  <c:v>2.0263753991625517</c:v>
                </c:pt>
                <c:pt idx="47">
                  <c:v>1.9979692489531899</c:v>
                </c:pt>
                <c:pt idx="48">
                  <c:v>1.9506256652709197</c:v>
                </c:pt>
                <c:pt idx="49">
                  <c:v>1.8559384979063798</c:v>
                </c:pt>
                <c:pt idx="50">
                  <c:v>1.5718769958127592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F2-44D2-A351-8DB454B0AA55}"/>
            </c:ext>
          </c:extLst>
        </c:ser>
        <c:ser>
          <c:idx val="3"/>
          <c:order val="3"/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parámetros'!$P$33:$P$84</c:f>
              <c:numCache>
                <c:formatCode>0.00</c:formatCode>
                <c:ptCount val="52"/>
                <c:pt idx="0" formatCode="General">
                  <c:v>2.14</c:v>
                </c:pt>
                <c:pt idx="1">
                  <c:v>2.1185861329190963</c:v>
                </c:pt>
                <c:pt idx="2">
                  <c:v>2.1181491152235679</c:v>
                </c:pt>
                <c:pt idx="3">
                  <c:v>2.1176938884573921</c:v>
                </c:pt>
                <c:pt idx="4">
                  <c:v>2.1172192903394644</c:v>
                </c:pt>
                <c:pt idx="5">
                  <c:v>2.1167240575207571</c:v>
                </c:pt>
                <c:pt idx="6">
                  <c:v>2.1162068143545514</c:v>
                </c:pt>
                <c:pt idx="7">
                  <c:v>2.1156660601353368</c:v>
                </c:pt>
                <c:pt idx="8">
                  <c:v>2.1151001545570889</c:v>
                </c:pt>
                <c:pt idx="9">
                  <c:v>2.1145073010941622</c:v>
                </c:pt>
                <c:pt idx="10">
                  <c:v>2.1138855279501176</c:v>
                </c:pt>
                <c:pt idx="11">
                  <c:v>2.1132326661488703</c:v>
                </c:pt>
                <c:pt idx="12">
                  <c:v>2.1125463242552516</c:v>
                </c:pt>
                <c:pt idx="13">
                  <c:v>2.1118238591040743</c:v>
                </c:pt>
                <c:pt idx="14">
                  <c:v>2.1110623417825627</c:v>
                </c:pt>
                <c:pt idx="15">
                  <c:v>2.1102585179431892</c:v>
                </c:pt>
                <c:pt idx="16">
                  <c:v>2.1094087613129946</c:v>
                </c:pt>
                <c:pt idx="17">
                  <c:v>2.1085090189986713</c:v>
                </c:pt>
                <c:pt idx="18">
                  <c:v>2.1075547468471156</c:v>
                </c:pt>
                <c:pt idx="19">
                  <c:v>2.1065408326860879</c:v>
                </c:pt>
                <c:pt idx="20">
                  <c:v>2.1054615047082201</c:v>
                </c:pt>
                <c:pt idx="21">
                  <c:v>2.1043102215318275</c:v>
                </c:pt>
                <c:pt idx="22">
                  <c:v>2.1030795395156834</c:v>
                </c:pt>
                <c:pt idx="23">
                  <c:v>2.1017609516412437</c:v>
                </c:pt>
                <c:pt idx="24">
                  <c:v>2.1003446905909193</c:v>
                </c:pt>
                <c:pt idx="25">
                  <c:v>2.0988194863828777</c:v>
                </c:pt>
                <c:pt idx="26">
                  <c:v>2.0971722658381928</c:v>
                </c:pt>
                <c:pt idx="27">
                  <c:v>2.0953877769147842</c:v>
                </c:pt>
                <c:pt idx="28">
                  <c:v>2.0934481150415136</c:v>
                </c:pt>
                <c:pt idx="29">
                  <c:v>2.0913321202706734</c:v>
                </c:pt>
                <c:pt idx="30">
                  <c:v>2.0890146021883247</c:v>
                </c:pt>
                <c:pt idx="31">
                  <c:v>2.0864653322977409</c:v>
                </c:pt>
                <c:pt idx="32">
                  <c:v>2.0836477182081481</c:v>
                </c:pt>
                <c:pt idx="33">
                  <c:v>2.0805170358863787</c:v>
                </c:pt>
                <c:pt idx="34">
                  <c:v>2.077018037997342</c:v>
                </c:pt>
                <c:pt idx="35">
                  <c:v>2.0730816653721762</c:v>
                </c:pt>
                <c:pt idx="36">
                  <c:v>2.0686204430636543</c:v>
                </c:pt>
                <c:pt idx="37">
                  <c:v>2.0635219032824867</c:v>
                </c:pt>
                <c:pt idx="38">
                  <c:v>2.0576389727657549</c:v>
                </c:pt>
                <c:pt idx="39">
                  <c:v>2.0507755538295678</c:v>
                </c:pt>
                <c:pt idx="40">
                  <c:v>2.0426642405413471</c:v>
                </c:pt>
                <c:pt idx="41">
                  <c:v>2.0329306645954817</c:v>
                </c:pt>
                <c:pt idx="42">
                  <c:v>2.0210340717727573</c:v>
                </c:pt>
                <c:pt idx="43">
                  <c:v>2.0061633307443518</c:v>
                </c:pt>
                <c:pt idx="44">
                  <c:v>1.9870438065649736</c:v>
                </c:pt>
                <c:pt idx="45">
                  <c:v>1.9615511076591359</c:v>
                </c:pt>
                <c:pt idx="46">
                  <c:v>1.925861329190963</c:v>
                </c:pt>
                <c:pt idx="47">
                  <c:v>1.872326661488704</c:v>
                </c:pt>
                <c:pt idx="48">
                  <c:v>1.7831022153182718</c:v>
                </c:pt>
                <c:pt idx="49">
                  <c:v>1.6046533229774078</c:v>
                </c:pt>
                <c:pt idx="50">
                  <c:v>1.0693066459548153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F2-44D2-A351-8DB454B0AA55}"/>
            </c:ext>
          </c:extLst>
        </c:ser>
        <c:ser>
          <c:idx val="4"/>
          <c:order val="4"/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parámetros'!$Q$33:$Q$84</c:f>
              <c:numCache>
                <c:formatCode>0.00</c:formatCode>
                <c:ptCount val="52"/>
                <c:pt idx="0" formatCode="General">
                  <c:v>2.14</c:v>
                </c:pt>
                <c:pt idx="1">
                  <c:v>2.1006684074024218</c:v>
                </c:pt>
                <c:pt idx="2">
                  <c:v>2.0998657218392061</c:v>
                </c:pt>
                <c:pt idx="3">
                  <c:v>2.0990295910441894</c:v>
                </c:pt>
                <c:pt idx="4">
                  <c:v>2.0981578802153424</c:v>
                </c:pt>
                <c:pt idx="5">
                  <c:v>2.097248268915676</c:v>
                </c:pt>
                <c:pt idx="6">
                  <c:v>2.0962982304471356</c:v>
                </c:pt>
                <c:pt idx="7">
                  <c:v>2.095305008411843</c:v>
                </c:pt>
                <c:pt idx="8">
                  <c:v>2.094265590002816</c:v>
                </c:pt>
                <c:pt idx="9">
                  <c:v>2.0931766754790737</c:v>
                </c:pt>
                <c:pt idx="10">
                  <c:v>2.0920346431736854</c:v>
                </c:pt>
                <c:pt idx="11">
                  <c:v>2.0908355092530275</c:v>
                </c:pt>
                <c:pt idx="12">
                  <c:v>2.0895748812851562</c:v>
                </c:pt>
                <c:pt idx="13">
                  <c:v>2.0882479044768707</c:v>
                </c:pt>
                <c:pt idx="14">
                  <c:v>2.086849199192462</c:v>
                </c:pt>
                <c:pt idx="15">
                  <c:v>2.085372788058919</c:v>
                </c:pt>
                <c:pt idx="16">
                  <c:v>2.0838120105748885</c:v>
                </c:pt>
                <c:pt idx="17">
                  <c:v>2.0821594226506202</c:v>
                </c:pt>
                <c:pt idx="18">
                  <c:v>2.0804066778824573</c:v>
                </c:pt>
                <c:pt idx="19">
                  <c:v>2.0785443865662843</c:v>
                </c:pt>
                <c:pt idx="20">
                  <c:v>2.0765619474232611</c:v>
                </c:pt>
                <c:pt idx="21">
                  <c:v>2.0744473456707029</c:v>
                </c:pt>
                <c:pt idx="22">
                  <c:v>2.0721869093145204</c:v>
                </c:pt>
                <c:pt idx="23">
                  <c:v>2.0697650132186105</c:v>
                </c:pt>
                <c:pt idx="24">
                  <c:v>2.0671637174118924</c:v>
                </c:pt>
                <c:pt idx="25">
                  <c:v>2.0643623219277343</c:v>
                </c:pt>
                <c:pt idx="26">
                  <c:v>2.0613368148048434</c:v>
                </c:pt>
                <c:pt idx="27">
                  <c:v>2.0580591820883787</c:v>
                </c:pt>
                <c:pt idx="28">
                  <c:v>2.0544965378313518</c:v>
                </c:pt>
                <c:pt idx="29">
                  <c:v>2.0506100168236858</c:v>
                </c:pt>
                <c:pt idx="30">
                  <c:v>2.0463533509581473</c:v>
                </c:pt>
                <c:pt idx="31">
                  <c:v>2.0416710185060545</c:v>
                </c:pt>
                <c:pt idx="32">
                  <c:v>2.0364958089537417</c:v>
                </c:pt>
                <c:pt idx="33">
                  <c:v>2.0307455761178383</c:v>
                </c:pt>
                <c:pt idx="34">
                  <c:v>2.0243188453012406</c:v>
                </c:pt>
                <c:pt idx="35">
                  <c:v>2.017088773132568</c:v>
                </c:pt>
                <c:pt idx="36">
                  <c:v>2.0088946913414061</c:v>
                </c:pt>
                <c:pt idx="37">
                  <c:v>1.9995300264372207</c:v>
                </c:pt>
                <c:pt idx="38">
                  <c:v>1.9887246438554684</c:v>
                </c:pt>
                <c:pt idx="39">
                  <c:v>1.9761183641767575</c:v>
                </c:pt>
                <c:pt idx="40">
                  <c:v>1.9612200336473717</c:v>
                </c:pt>
                <c:pt idx="41">
                  <c:v>1.9433420370121088</c:v>
                </c:pt>
                <c:pt idx="42">
                  <c:v>1.9214911522356766</c:v>
                </c:pt>
                <c:pt idx="43">
                  <c:v>1.894177546265136</c:v>
                </c:pt>
                <c:pt idx="44">
                  <c:v>1.8590600528744412</c:v>
                </c:pt>
                <c:pt idx="45">
                  <c:v>1.8122367283535148</c:v>
                </c:pt>
                <c:pt idx="46">
                  <c:v>1.7466840740242175</c:v>
                </c:pt>
                <c:pt idx="47">
                  <c:v>1.6483550925302723</c:v>
                </c:pt>
                <c:pt idx="48">
                  <c:v>1.4844734567070299</c:v>
                </c:pt>
                <c:pt idx="49">
                  <c:v>1.1567101850605448</c:v>
                </c:pt>
                <c:pt idx="50">
                  <c:v>0.17342037012108946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FF2-44D2-A351-8DB454B0AA55}"/>
            </c:ext>
          </c:extLst>
        </c:ser>
        <c:ser>
          <c:idx val="5"/>
          <c:order val="5"/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parámetros'!$R$33:$R$84</c:f>
              <c:numCache>
                <c:formatCode>0.00</c:formatCode>
                <c:ptCount val="52"/>
                <c:pt idx="0" formatCode="General">
                  <c:v>2.14</c:v>
                </c:pt>
                <c:pt idx="1">
                  <c:v>2.0941131419694923</c:v>
                </c:pt>
                <c:pt idx="2">
                  <c:v>2.0931766754790737</c:v>
                </c:pt>
                <c:pt idx="3">
                  <c:v>2.0922011895515542</c:v>
                </c:pt>
                <c:pt idx="4">
                  <c:v>2.0911841935845663</c:v>
                </c:pt>
                <c:pt idx="5">
                  <c:v>2.0901229804016217</c:v>
                </c:pt>
                <c:pt idx="6">
                  <c:v>2.0890146021883247</c:v>
                </c:pt>
                <c:pt idx="7">
                  <c:v>2.0878558431471501</c:v>
                </c:pt>
                <c:pt idx="8">
                  <c:v>2.0866431883366188</c:v>
                </c:pt>
                <c:pt idx="9">
                  <c:v>2.085372788058919</c:v>
                </c:pt>
                <c:pt idx="10">
                  <c:v>2.0840404170359661</c:v>
                </c:pt>
                <c:pt idx="11">
                  <c:v>2.0826414274618652</c:v>
                </c:pt>
                <c:pt idx="12">
                  <c:v>2.0811706948326822</c:v>
                </c:pt>
                <c:pt idx="13">
                  <c:v>2.0796225552230161</c:v>
                </c:pt>
                <c:pt idx="14">
                  <c:v>2.0779907323912057</c:v>
                </c:pt>
                <c:pt idx="15">
                  <c:v>2.0762682527354057</c:v>
                </c:pt>
                <c:pt idx="16">
                  <c:v>2.0744473456707029</c:v>
                </c:pt>
                <c:pt idx="17">
                  <c:v>2.0725193264257236</c:v>
                </c:pt>
                <c:pt idx="18">
                  <c:v>2.0704744575295333</c:v>
                </c:pt>
                <c:pt idx="19">
                  <c:v>2.0683017843273315</c:v>
                </c:pt>
                <c:pt idx="20">
                  <c:v>2.0659889386604711</c:v>
                </c:pt>
                <c:pt idx="21">
                  <c:v>2.0635219032824867</c:v>
                </c:pt>
                <c:pt idx="22">
                  <c:v>2.0608847275336073</c:v>
                </c:pt>
                <c:pt idx="23">
                  <c:v>2.0580591820883787</c:v>
                </c:pt>
                <c:pt idx="24">
                  <c:v>2.0550243369805408</c:v>
                </c:pt>
                <c:pt idx="25">
                  <c:v>2.0517560422490231</c:v>
                </c:pt>
                <c:pt idx="26">
                  <c:v>2.048226283938984</c:v>
                </c:pt>
                <c:pt idx="27">
                  <c:v>2.0444023791031087</c:v>
                </c:pt>
                <c:pt idx="28">
                  <c:v>2.0402459608032437</c:v>
                </c:pt>
                <c:pt idx="29">
                  <c:v>2.0357116862943001</c:v>
                </c:pt>
                <c:pt idx="30">
                  <c:v>2.0307455761178383</c:v>
                </c:pt>
                <c:pt idx="31">
                  <c:v>2.0252828549237303</c:v>
                </c:pt>
                <c:pt idx="32">
                  <c:v>2.0192451104460321</c:v>
                </c:pt>
                <c:pt idx="33">
                  <c:v>2.0125365054708113</c:v>
                </c:pt>
                <c:pt idx="34">
                  <c:v>2.0050386528514474</c:v>
                </c:pt>
                <c:pt idx="35">
                  <c:v>1.9966035686546628</c:v>
                </c:pt>
                <c:pt idx="36">
                  <c:v>1.9870438065649736</c:v>
                </c:pt>
                <c:pt idx="37">
                  <c:v>1.9761183641767575</c:v>
                </c:pt>
                <c:pt idx="38">
                  <c:v>1.9635120844980465</c:v>
                </c:pt>
                <c:pt idx="39">
                  <c:v>1.9488047582062169</c:v>
                </c:pt>
                <c:pt idx="40">
                  <c:v>1.9314233725886003</c:v>
                </c:pt>
                <c:pt idx="41">
                  <c:v>1.9105657098474602</c:v>
                </c:pt>
                <c:pt idx="42">
                  <c:v>1.8850730109416227</c:v>
                </c:pt>
                <c:pt idx="43">
                  <c:v>1.8532071373093255</c:v>
                </c:pt>
                <c:pt idx="44">
                  <c:v>1.8122367283535148</c:v>
                </c:pt>
                <c:pt idx="45">
                  <c:v>1.7576095164124337</c:v>
                </c:pt>
                <c:pt idx="46">
                  <c:v>1.6811314196949203</c:v>
                </c:pt>
                <c:pt idx="47">
                  <c:v>1.5664142746186511</c:v>
                </c:pt>
                <c:pt idx="48">
                  <c:v>1.3752190328248681</c:v>
                </c:pt>
                <c:pt idx="49">
                  <c:v>0.99282854923730213</c:v>
                </c:pt>
                <c:pt idx="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FF2-44D2-A351-8DB454B0AA55}"/>
            </c:ext>
          </c:extLst>
        </c:ser>
        <c:ser>
          <c:idx val="6"/>
          <c:order val="6"/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parámetros'!$S$33:$S$84</c:f>
              <c:numCache>
                <c:formatCode>0.00</c:formatCode>
                <c:ptCount val="52"/>
                <c:pt idx="0" formatCode="General">
                  <c:v>2.14</c:v>
                </c:pt>
                <c:pt idx="1">
                  <c:v>2.0831876995812761</c:v>
                </c:pt>
                <c:pt idx="2">
                  <c:v>2.0820282648788528</c:v>
                </c:pt>
                <c:pt idx="3">
                  <c:v>2.0808205203971624</c:v>
                </c:pt>
                <c:pt idx="4">
                  <c:v>2.0795613825332722</c:v>
                </c:pt>
                <c:pt idx="5">
                  <c:v>2.0782474995448652</c:v>
                </c:pt>
                <c:pt idx="6">
                  <c:v>2.0768752217569735</c:v>
                </c:pt>
                <c:pt idx="7">
                  <c:v>2.0754405677059955</c:v>
                </c:pt>
                <c:pt idx="8">
                  <c:v>2.0739391855596234</c:v>
                </c:pt>
                <c:pt idx="9">
                  <c:v>2.0723663090253286</c:v>
                </c:pt>
                <c:pt idx="10">
                  <c:v>2.0707167068064343</c:v>
                </c:pt>
                <c:pt idx="11">
                  <c:v>2.0689846244765948</c:v>
                </c:pt>
                <c:pt idx="12">
                  <c:v>2.0671637174118924</c:v>
                </c:pt>
                <c:pt idx="13">
                  <c:v>2.0652469731332577</c:v>
                </c:pt>
                <c:pt idx="14">
                  <c:v>2.0632266210557781</c:v>
                </c:pt>
                <c:pt idx="15">
                  <c:v>2.0610940271962166</c:v>
                </c:pt>
                <c:pt idx="16">
                  <c:v>2.0588395708303944</c:v>
                </c:pt>
                <c:pt idx="17">
                  <c:v>2.0564524993842292</c:v>
                </c:pt>
                <c:pt idx="18">
                  <c:v>2.0539207569413271</c:v>
                </c:pt>
                <c:pt idx="19">
                  <c:v>2.0512307805957435</c:v>
                </c:pt>
                <c:pt idx="20">
                  <c:v>2.0483672573891547</c:v>
                </c:pt>
                <c:pt idx="21">
                  <c:v>2.0453128326354597</c:v>
                </c:pt>
                <c:pt idx="22">
                  <c:v>2.0420477578987515</c:v>
                </c:pt>
                <c:pt idx="23">
                  <c:v>2.0385494635379926</c:v>
                </c:pt>
                <c:pt idx="24">
                  <c:v>2.0347920362616221</c:v>
                </c:pt>
                <c:pt idx="25">
                  <c:v>2.0307455761178383</c:v>
                </c:pt>
                <c:pt idx="26">
                  <c:v>2.0263753991625517</c:v>
                </c:pt>
                <c:pt idx="27">
                  <c:v>2.0216410407943251</c:v>
                </c:pt>
                <c:pt idx="28">
                  <c:v>2.0164949990897303</c:v>
                </c:pt>
                <c:pt idx="29">
                  <c:v>2.0108811354119909</c:v>
                </c:pt>
                <c:pt idx="30">
                  <c:v>2.0047326180506571</c:v>
                </c:pt>
                <c:pt idx="31">
                  <c:v>1.9979692489531897</c:v>
                </c:pt>
                <c:pt idx="32">
                  <c:v>1.9904939462665157</c:v>
                </c:pt>
                <c:pt idx="33">
                  <c:v>1.9821880543924331</c:v>
                </c:pt>
                <c:pt idx="34">
                  <c:v>1.9729049987684586</c:v>
                </c:pt>
                <c:pt idx="35">
                  <c:v>1.9624615611914873</c:v>
                </c:pt>
                <c:pt idx="36">
                  <c:v>1.9506256652709197</c:v>
                </c:pt>
                <c:pt idx="37">
                  <c:v>1.9370989270759853</c:v>
                </c:pt>
                <c:pt idx="38">
                  <c:v>1.9214911522356766</c:v>
                </c:pt>
                <c:pt idx="39">
                  <c:v>1.9032820815886495</c:v>
                </c:pt>
                <c:pt idx="40">
                  <c:v>1.8817622708239814</c:v>
                </c:pt>
                <c:pt idx="41">
                  <c:v>1.8559384979063793</c:v>
                </c:pt>
                <c:pt idx="42">
                  <c:v>1.824376108784866</c:v>
                </c:pt>
                <c:pt idx="43">
                  <c:v>1.7849231223829742</c:v>
                </c:pt>
                <c:pt idx="44">
                  <c:v>1.7341978541519705</c:v>
                </c:pt>
                <c:pt idx="45">
                  <c:v>1.6665641631772989</c:v>
                </c:pt>
                <c:pt idx="46">
                  <c:v>1.5718769958127585</c:v>
                </c:pt>
                <c:pt idx="47">
                  <c:v>1.429846244765949</c:v>
                </c:pt>
                <c:pt idx="48">
                  <c:v>1.1931283263545986</c:v>
                </c:pt>
                <c:pt idx="49">
                  <c:v>0.71969248953189791</c:v>
                </c:pt>
                <c:pt idx="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FF2-44D2-A351-8DB454B0AA55}"/>
            </c:ext>
          </c:extLst>
        </c:ser>
        <c:ser>
          <c:idx val="7"/>
          <c:order val="7"/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parámetros'!$T$33:$T$84</c:f>
              <c:numCache>
                <c:formatCode>0.00</c:formatCode>
                <c:ptCount val="52"/>
                <c:pt idx="0" formatCode="General">
                  <c:v>2.14</c:v>
                </c:pt>
                <c:pt idx="1">
                  <c:v>2.0198201337296222</c:v>
                </c:pt>
                <c:pt idx="2">
                  <c:v>2.0173674833975737</c:v>
                </c:pt>
                <c:pt idx="3">
                  <c:v>2.0148126393016899</c:v>
                </c:pt>
                <c:pt idx="4">
                  <c:v>2.0121490784357681</c:v>
                </c:pt>
                <c:pt idx="5">
                  <c:v>2.009369710575676</c:v>
                </c:pt>
                <c:pt idx="6">
                  <c:v>2.0064668152551355</c:v>
                </c:pt>
                <c:pt idx="7">
                  <c:v>2.003431970147298</c:v>
                </c:pt>
                <c:pt idx="8">
                  <c:v>2.0002559694530491</c:v>
                </c:pt>
                <c:pt idx="9">
                  <c:v>1.9969287306305026</c:v>
                </c:pt>
                <c:pt idx="10">
                  <c:v>1.9934391874751489</c:v>
                </c:pt>
                <c:pt idx="11">
                  <c:v>1.9897751671620276</c:v>
                </c:pt>
                <c:pt idx="12">
                  <c:v>1.9859232483713103</c:v>
                </c:pt>
                <c:pt idx="13">
                  <c:v>1.9818685970126606</c:v>
                </c:pt>
                <c:pt idx="14">
                  <c:v>1.9775947753103003</c:v>
                </c:pt>
                <c:pt idx="15">
                  <c:v>1.9730835190689195</c:v>
                </c:pt>
                <c:pt idx="16">
                  <c:v>1.968314476756603</c:v>
                </c:pt>
                <c:pt idx="17">
                  <c:v>1.9632649025435618</c:v>
                </c:pt>
                <c:pt idx="18">
                  <c:v>1.9579092935297304</c:v>
                </c:pt>
                <c:pt idx="19">
                  <c:v>1.9522189589525345</c:v>
                </c:pt>
                <c:pt idx="20">
                  <c:v>1.9461615060155195</c:v>
                </c:pt>
                <c:pt idx="21">
                  <c:v>1.9397002228827034</c:v>
                </c:pt>
                <c:pt idx="22">
                  <c:v>1.9327933340165899</c:v>
                </c:pt>
                <c:pt idx="23">
                  <c:v>1.9253930959457537</c:v>
                </c:pt>
                <c:pt idx="24">
                  <c:v>1.9174446920918928</c:v>
                </c:pt>
                <c:pt idx="25">
                  <c:v>1.9088848725569656</c:v>
                </c:pt>
                <c:pt idx="26">
                  <c:v>1.8996402674592441</c:v>
                </c:pt>
                <c:pt idx="27">
                  <c:v>1.8896252786033794</c:v>
                </c:pt>
                <c:pt idx="28">
                  <c:v>1.8787394211513524</c:v>
                </c:pt>
                <c:pt idx="29">
                  <c:v>1.8668639402945955</c:v>
                </c:pt>
                <c:pt idx="30">
                  <c:v>1.853857461261005</c:v>
                </c:pt>
                <c:pt idx="31">
                  <c:v>1.8395503343240551</c:v>
                </c:pt>
                <c:pt idx="32">
                  <c:v>1.8237371940253213</c:v>
                </c:pt>
                <c:pt idx="33">
                  <c:v>1.806167038137839</c:v>
                </c:pt>
                <c:pt idx="34">
                  <c:v>1.7865298050871237</c:v>
                </c:pt>
                <c:pt idx="35">
                  <c:v>1.7644379179050689</c:v>
                </c:pt>
                <c:pt idx="36">
                  <c:v>1.7394004457654069</c:v>
                </c:pt>
                <c:pt idx="37">
                  <c:v>1.7107861918915073</c:v>
                </c:pt>
                <c:pt idx="38">
                  <c:v>1.6777697451139311</c:v>
                </c:pt>
                <c:pt idx="39">
                  <c:v>1.6392505572067586</c:v>
                </c:pt>
                <c:pt idx="40">
                  <c:v>1.5937278805891912</c:v>
                </c:pt>
                <c:pt idx="41">
                  <c:v>1.5391006686481101</c:v>
                </c:pt>
                <c:pt idx="42">
                  <c:v>1.4723340762756782</c:v>
                </c:pt>
                <c:pt idx="43">
                  <c:v>1.3888758358101378</c:v>
                </c:pt>
                <c:pt idx="44">
                  <c:v>1.2815723837830146</c:v>
                </c:pt>
                <c:pt idx="45">
                  <c:v>1.1385011144135169</c:v>
                </c:pt>
                <c:pt idx="46">
                  <c:v>0.93820133729621991</c:v>
                </c:pt>
                <c:pt idx="47">
                  <c:v>0.63775167162027668</c:v>
                </c:pt>
                <c:pt idx="48">
                  <c:v>0.13700222882703539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FF2-44D2-A351-8DB454B0AA55}"/>
            </c:ext>
          </c:extLst>
        </c:ser>
        <c:ser>
          <c:idx val="8"/>
          <c:order val="8"/>
          <c:spPr>
            <a:ln>
              <a:prstDash val="lgDash"/>
            </a:ln>
          </c:spPr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parámetros'!$U$33:$U$84</c:f>
              <c:numCache>
                <c:formatCode>0.00</c:formatCode>
                <c:ptCount val="52"/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FF2-44D2-A351-8DB454B0AA55}"/>
            </c:ext>
          </c:extLst>
        </c:ser>
        <c:ser>
          <c:idx val="9"/>
          <c:order val="9"/>
          <c:spPr>
            <a:ln>
              <a:prstDash val="lgDash"/>
            </a:ln>
          </c:spPr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parámetros'!$V$33:$V$84</c:f>
              <c:numCache>
                <c:formatCode>0.00</c:formatCode>
                <c:ptCount val="52"/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1.8</c:v>
                </c:pt>
                <c:pt idx="13">
                  <c:v>1.8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1.8</c:v>
                </c:pt>
                <c:pt idx="20">
                  <c:v>1.8</c:v>
                </c:pt>
                <c:pt idx="21">
                  <c:v>1.8</c:v>
                </c:pt>
                <c:pt idx="22">
                  <c:v>1.8</c:v>
                </c:pt>
                <c:pt idx="23">
                  <c:v>1.8</c:v>
                </c:pt>
                <c:pt idx="24">
                  <c:v>1.8</c:v>
                </c:pt>
                <c:pt idx="25">
                  <c:v>1.8</c:v>
                </c:pt>
                <c:pt idx="26">
                  <c:v>1.8</c:v>
                </c:pt>
                <c:pt idx="27">
                  <c:v>1.8</c:v>
                </c:pt>
                <c:pt idx="28">
                  <c:v>1.8</c:v>
                </c:pt>
                <c:pt idx="29">
                  <c:v>1.8</c:v>
                </c:pt>
                <c:pt idx="30">
                  <c:v>1.8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1.8</c:v>
                </c:pt>
                <c:pt idx="38">
                  <c:v>1.8</c:v>
                </c:pt>
                <c:pt idx="39">
                  <c:v>1.8</c:v>
                </c:pt>
                <c:pt idx="40">
                  <c:v>1.8</c:v>
                </c:pt>
                <c:pt idx="41">
                  <c:v>1.8</c:v>
                </c:pt>
                <c:pt idx="42">
                  <c:v>1.8</c:v>
                </c:pt>
                <c:pt idx="43">
                  <c:v>1.8</c:v>
                </c:pt>
                <c:pt idx="44">
                  <c:v>1.8</c:v>
                </c:pt>
                <c:pt idx="45">
                  <c:v>1.8</c:v>
                </c:pt>
                <c:pt idx="46">
                  <c:v>1.8</c:v>
                </c:pt>
                <c:pt idx="47">
                  <c:v>1.8</c:v>
                </c:pt>
                <c:pt idx="48">
                  <c:v>1.8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FF2-44D2-A351-8DB454B0AA55}"/>
            </c:ext>
          </c:extLst>
        </c:ser>
        <c:ser>
          <c:idx val="10"/>
          <c:order val="10"/>
          <c:spPr>
            <a:ln>
              <a:prstDash val="lgDash"/>
            </a:ln>
          </c:spPr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parámetros'!$W$33:$W$84</c:f>
              <c:numCache>
                <c:formatCode>0.00</c:formatCode>
                <c:ptCount val="52"/>
                <c:pt idx="1">
                  <c:v>1.85</c:v>
                </c:pt>
                <c:pt idx="2">
                  <c:v>1.85</c:v>
                </c:pt>
                <c:pt idx="3">
                  <c:v>1.85</c:v>
                </c:pt>
                <c:pt idx="4">
                  <c:v>1.85</c:v>
                </c:pt>
                <c:pt idx="5">
                  <c:v>1.85</c:v>
                </c:pt>
                <c:pt idx="6">
                  <c:v>1.85</c:v>
                </c:pt>
                <c:pt idx="7">
                  <c:v>1.85</c:v>
                </c:pt>
                <c:pt idx="8">
                  <c:v>1.85</c:v>
                </c:pt>
                <c:pt idx="9">
                  <c:v>1.85</c:v>
                </c:pt>
                <c:pt idx="10">
                  <c:v>1.85</c:v>
                </c:pt>
                <c:pt idx="11">
                  <c:v>1.85</c:v>
                </c:pt>
                <c:pt idx="12">
                  <c:v>1.85</c:v>
                </c:pt>
                <c:pt idx="13">
                  <c:v>1.85</c:v>
                </c:pt>
                <c:pt idx="14">
                  <c:v>1.85</c:v>
                </c:pt>
                <c:pt idx="15">
                  <c:v>1.85</c:v>
                </c:pt>
                <c:pt idx="16">
                  <c:v>1.85</c:v>
                </c:pt>
                <c:pt idx="17">
                  <c:v>1.85</c:v>
                </c:pt>
                <c:pt idx="18">
                  <c:v>1.85</c:v>
                </c:pt>
                <c:pt idx="19">
                  <c:v>1.85</c:v>
                </c:pt>
                <c:pt idx="20">
                  <c:v>1.85</c:v>
                </c:pt>
                <c:pt idx="21">
                  <c:v>1.85</c:v>
                </c:pt>
                <c:pt idx="22">
                  <c:v>1.85</c:v>
                </c:pt>
                <c:pt idx="23">
                  <c:v>1.85</c:v>
                </c:pt>
                <c:pt idx="24">
                  <c:v>1.85</c:v>
                </c:pt>
                <c:pt idx="25">
                  <c:v>1.85</c:v>
                </c:pt>
                <c:pt idx="26">
                  <c:v>1.85</c:v>
                </c:pt>
                <c:pt idx="27">
                  <c:v>1.85</c:v>
                </c:pt>
                <c:pt idx="28">
                  <c:v>1.85</c:v>
                </c:pt>
                <c:pt idx="29">
                  <c:v>1.85</c:v>
                </c:pt>
                <c:pt idx="30">
                  <c:v>1.85</c:v>
                </c:pt>
                <c:pt idx="31">
                  <c:v>1.85</c:v>
                </c:pt>
                <c:pt idx="32">
                  <c:v>1.85</c:v>
                </c:pt>
                <c:pt idx="33">
                  <c:v>1.85</c:v>
                </c:pt>
                <c:pt idx="34">
                  <c:v>1.85</c:v>
                </c:pt>
                <c:pt idx="35">
                  <c:v>1.85</c:v>
                </c:pt>
                <c:pt idx="36">
                  <c:v>1.85</c:v>
                </c:pt>
                <c:pt idx="37">
                  <c:v>1.85</c:v>
                </c:pt>
                <c:pt idx="38">
                  <c:v>1.85</c:v>
                </c:pt>
                <c:pt idx="39">
                  <c:v>1.85</c:v>
                </c:pt>
                <c:pt idx="40">
                  <c:v>1.85</c:v>
                </c:pt>
                <c:pt idx="41">
                  <c:v>1.85</c:v>
                </c:pt>
                <c:pt idx="42">
                  <c:v>1.85</c:v>
                </c:pt>
                <c:pt idx="43">
                  <c:v>1.85</c:v>
                </c:pt>
                <c:pt idx="44">
                  <c:v>1.85</c:v>
                </c:pt>
                <c:pt idx="45">
                  <c:v>1.85</c:v>
                </c:pt>
                <c:pt idx="46">
                  <c:v>1.85</c:v>
                </c:pt>
                <c:pt idx="47">
                  <c:v>1.85</c:v>
                </c:pt>
                <c:pt idx="48">
                  <c:v>1.85</c:v>
                </c:pt>
                <c:pt idx="49">
                  <c:v>1.85</c:v>
                </c:pt>
                <c:pt idx="50">
                  <c:v>1.85</c:v>
                </c:pt>
                <c:pt idx="51">
                  <c:v>1.85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2FF2-44D2-A351-8DB454B0AA55}"/>
            </c:ext>
          </c:extLst>
        </c:ser>
        <c:ser>
          <c:idx val="11"/>
          <c:order val="11"/>
          <c:spPr>
            <a:ln>
              <a:prstDash val="lgDash"/>
            </a:ln>
          </c:spPr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parámetros'!$X$33:$X$84</c:f>
              <c:numCache>
                <c:formatCode>0.00</c:formatCode>
                <c:ptCount val="52"/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1.9</c:v>
                </c:pt>
                <c:pt idx="11">
                  <c:v>1.9</c:v>
                </c:pt>
                <c:pt idx="12">
                  <c:v>1.9</c:v>
                </c:pt>
                <c:pt idx="13">
                  <c:v>1.9</c:v>
                </c:pt>
                <c:pt idx="14">
                  <c:v>1.9</c:v>
                </c:pt>
                <c:pt idx="15">
                  <c:v>1.9</c:v>
                </c:pt>
                <c:pt idx="16">
                  <c:v>1.9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1.9</c:v>
                </c:pt>
                <c:pt idx="26">
                  <c:v>1.9</c:v>
                </c:pt>
                <c:pt idx="27">
                  <c:v>1.9</c:v>
                </c:pt>
                <c:pt idx="28">
                  <c:v>1.9</c:v>
                </c:pt>
                <c:pt idx="29">
                  <c:v>1.9</c:v>
                </c:pt>
                <c:pt idx="30">
                  <c:v>1.9</c:v>
                </c:pt>
                <c:pt idx="31">
                  <c:v>1.9</c:v>
                </c:pt>
                <c:pt idx="32">
                  <c:v>1.9</c:v>
                </c:pt>
                <c:pt idx="33">
                  <c:v>1.9</c:v>
                </c:pt>
                <c:pt idx="34">
                  <c:v>1.9</c:v>
                </c:pt>
                <c:pt idx="35">
                  <c:v>1.9</c:v>
                </c:pt>
                <c:pt idx="36">
                  <c:v>1.9</c:v>
                </c:pt>
                <c:pt idx="37">
                  <c:v>1.9</c:v>
                </c:pt>
                <c:pt idx="38">
                  <c:v>1.9</c:v>
                </c:pt>
                <c:pt idx="39">
                  <c:v>1.9</c:v>
                </c:pt>
                <c:pt idx="40">
                  <c:v>1.9</c:v>
                </c:pt>
                <c:pt idx="41">
                  <c:v>1.9</c:v>
                </c:pt>
                <c:pt idx="42">
                  <c:v>1.9</c:v>
                </c:pt>
                <c:pt idx="43">
                  <c:v>1.9</c:v>
                </c:pt>
                <c:pt idx="44">
                  <c:v>1.9</c:v>
                </c:pt>
                <c:pt idx="45">
                  <c:v>1.9</c:v>
                </c:pt>
                <c:pt idx="46">
                  <c:v>1.9</c:v>
                </c:pt>
                <c:pt idx="47">
                  <c:v>1.9</c:v>
                </c:pt>
                <c:pt idx="48">
                  <c:v>1.9</c:v>
                </c:pt>
                <c:pt idx="49">
                  <c:v>1.9</c:v>
                </c:pt>
                <c:pt idx="50">
                  <c:v>1.9</c:v>
                </c:pt>
                <c:pt idx="51">
                  <c:v>1.9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FF2-44D2-A351-8DB454B0AA55}"/>
            </c:ext>
          </c:extLst>
        </c:ser>
        <c:ser>
          <c:idx val="12"/>
          <c:order val="12"/>
          <c:spPr>
            <a:ln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'6V50A09 2 parámetros'!$L$33:$L$84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5.1392231578002336</c:v>
                </c:pt>
                <c:pt idx="3">
                  <c:v>10.278446315600467</c:v>
                </c:pt>
                <c:pt idx="4">
                  <c:v>15.4176694734007</c:v>
                </c:pt>
                <c:pt idx="5">
                  <c:v>20.556892631200935</c:v>
                </c:pt>
                <c:pt idx="6">
                  <c:v>25.696115789001169</c:v>
                </c:pt>
                <c:pt idx="7">
                  <c:v>30.8353389468014</c:v>
                </c:pt>
                <c:pt idx="8">
                  <c:v>35.974562104601638</c:v>
                </c:pt>
                <c:pt idx="9">
                  <c:v>41.113785262401869</c:v>
                </c:pt>
                <c:pt idx="10">
                  <c:v>46.2530084202021</c:v>
                </c:pt>
                <c:pt idx="11">
                  <c:v>51.392231578002338</c:v>
                </c:pt>
                <c:pt idx="12">
                  <c:v>56.531454735802569</c:v>
                </c:pt>
                <c:pt idx="13">
                  <c:v>61.6706778936028</c:v>
                </c:pt>
                <c:pt idx="14">
                  <c:v>66.809901051403031</c:v>
                </c:pt>
                <c:pt idx="15">
                  <c:v>71.949124209203276</c:v>
                </c:pt>
                <c:pt idx="16">
                  <c:v>77.088347367003507</c:v>
                </c:pt>
                <c:pt idx="17">
                  <c:v>82.227570524803738</c:v>
                </c:pt>
                <c:pt idx="18">
                  <c:v>87.366793682603969</c:v>
                </c:pt>
                <c:pt idx="19">
                  <c:v>92.5060168404042</c:v>
                </c:pt>
                <c:pt idx="20">
                  <c:v>97.645239998204445</c:v>
                </c:pt>
                <c:pt idx="21">
                  <c:v>102.78446315600468</c:v>
                </c:pt>
                <c:pt idx="22">
                  <c:v>107.92368631380491</c:v>
                </c:pt>
                <c:pt idx="23">
                  <c:v>113.06290947160514</c:v>
                </c:pt>
                <c:pt idx="24">
                  <c:v>118.20213262940537</c:v>
                </c:pt>
                <c:pt idx="25">
                  <c:v>123.3413557872056</c:v>
                </c:pt>
                <c:pt idx="26">
                  <c:v>128.48057894500585</c:v>
                </c:pt>
                <c:pt idx="27">
                  <c:v>133.61980210280606</c:v>
                </c:pt>
                <c:pt idx="28">
                  <c:v>138.75902526060631</c:v>
                </c:pt>
                <c:pt idx="29">
                  <c:v>143.89824841840655</c:v>
                </c:pt>
                <c:pt idx="30">
                  <c:v>149.03747157620677</c:v>
                </c:pt>
                <c:pt idx="31">
                  <c:v>154.17669473400701</c:v>
                </c:pt>
                <c:pt idx="32">
                  <c:v>159.31591789180723</c:v>
                </c:pt>
                <c:pt idx="33">
                  <c:v>164.45514104960748</c:v>
                </c:pt>
                <c:pt idx="34">
                  <c:v>169.59436420740772</c:v>
                </c:pt>
                <c:pt idx="35">
                  <c:v>174.73358736520794</c:v>
                </c:pt>
                <c:pt idx="36">
                  <c:v>179.87281052300818</c:v>
                </c:pt>
                <c:pt idx="37">
                  <c:v>185.0120336808084</c:v>
                </c:pt>
                <c:pt idx="38">
                  <c:v>190.15125683860865</c:v>
                </c:pt>
                <c:pt idx="39">
                  <c:v>195.29047999640889</c:v>
                </c:pt>
                <c:pt idx="40">
                  <c:v>200.42970315420911</c:v>
                </c:pt>
                <c:pt idx="41">
                  <c:v>205.56892631200935</c:v>
                </c:pt>
                <c:pt idx="42">
                  <c:v>210.70814946980957</c:v>
                </c:pt>
                <c:pt idx="43">
                  <c:v>215.84737262760981</c:v>
                </c:pt>
                <c:pt idx="44">
                  <c:v>220.98659578541006</c:v>
                </c:pt>
                <c:pt idx="45">
                  <c:v>226.12581894321028</c:v>
                </c:pt>
                <c:pt idx="46">
                  <c:v>231.26504210101052</c:v>
                </c:pt>
                <c:pt idx="47">
                  <c:v>236.40426525881074</c:v>
                </c:pt>
                <c:pt idx="48">
                  <c:v>241.54348841661098</c:v>
                </c:pt>
                <c:pt idx="49">
                  <c:v>246.6827115744112</c:v>
                </c:pt>
                <c:pt idx="50">
                  <c:v>251.82193473221145</c:v>
                </c:pt>
                <c:pt idx="51">
                  <c:v>256.96115789001169</c:v>
                </c:pt>
              </c:numCache>
            </c:numRef>
          </c:xVal>
          <c:yVal>
            <c:numRef>
              <c:f>'6V50A09 2 parámetros'!$Y$33:$Y$84</c:f>
              <c:numCache>
                <c:formatCode>0.0E+00</c:formatCode>
                <c:ptCount val="52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2FF2-44D2-A351-8DB454B0A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786304"/>
        <c:axId val="94787840"/>
      </c:scatterChart>
      <c:valAx>
        <c:axId val="94786304"/>
        <c:scaling>
          <c:orientation val="minMax"/>
          <c:max val="300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94787840"/>
        <c:crosses val="autoZero"/>
        <c:crossBetween val="midCat"/>
        <c:majorUnit val="10"/>
        <c:minorUnit val="5"/>
      </c:valAx>
      <c:valAx>
        <c:axId val="94787840"/>
        <c:scaling>
          <c:orientation val="minMax"/>
          <c:max val="2.2999999999999998"/>
          <c:min val="1.5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94786304"/>
        <c:crosses val="autoZero"/>
        <c:crossBetween val="midCat"/>
        <c:majorUnit val="0.1"/>
      </c:valAx>
    </c:plotArea>
    <c:legend>
      <c:legendPos val="r"/>
      <c:layout>
        <c:manualLayout>
          <c:xMode val="edge"/>
          <c:yMode val="edge"/>
          <c:x val="0.83268098252092793"/>
          <c:y val="5.3559346748323085E-2"/>
          <c:w val="0.16431511450020544"/>
          <c:h val="0.69807831927469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08271509413925E-2"/>
          <c:y val="2.9785431750608628E-2"/>
          <c:w val="0.92458822993945311"/>
          <c:h val="0.90300691286828583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parámetros'!$AB$33:$AB$84</c:f>
              <c:numCache>
                <c:formatCode>0.00</c:formatCode>
                <c:ptCount val="52"/>
                <c:pt idx="0">
                  <c:v>0</c:v>
                </c:pt>
                <c:pt idx="1">
                  <c:v>2.1356298230447135</c:v>
                </c:pt>
                <c:pt idx="2">
                  <c:v>2.1356216443349956</c:v>
                </c:pt>
                <c:pt idx="3">
                  <c:v>2.1356134349552547</c:v>
                </c:pt>
                <c:pt idx="4">
                  <c:v>2.1356051947326491</c:v>
                </c:pt>
                <c:pt idx="5">
                  <c:v>2.135596923493035</c:v>
                </c:pt>
                <c:pt idx="6">
                  <c:v>2.1355886210609563</c:v>
                </c:pt>
                <c:pt idx="7">
                  <c:v>2.1355802872596295</c:v>
                </c:pt>
                <c:pt idx="8">
                  <c:v>2.1355719219109335</c:v>
                </c:pt>
                <c:pt idx="9">
                  <c:v>2.1355635248353968</c:v>
                </c:pt>
                <c:pt idx="10">
                  <c:v>2.1355550958521827</c:v>
                </c:pt>
                <c:pt idx="11">
                  <c:v>2.1355466347790788</c:v>
                </c:pt>
                <c:pt idx="12">
                  <c:v>2.1355381414324812</c:v>
                </c:pt>
                <c:pt idx="13">
                  <c:v>2.1355296156273837</c:v>
                </c:pt>
                <c:pt idx="14">
                  <c:v>2.1355210571773635</c:v>
                </c:pt>
                <c:pt idx="15">
                  <c:v>2.1355124658945663</c:v>
                </c:pt>
                <c:pt idx="16">
                  <c:v>2.1355038415896952</c:v>
                </c:pt>
                <c:pt idx="17">
                  <c:v>2.1354951840719942</c:v>
                </c:pt>
                <c:pt idx="18">
                  <c:v>2.1354864931492359</c:v>
                </c:pt>
                <c:pt idx="19">
                  <c:v>2.1354777686277058</c:v>
                </c:pt>
                <c:pt idx="20">
                  <c:v>2.1354690103121898</c:v>
                </c:pt>
                <c:pt idx="21">
                  <c:v>2.1354602180059574</c:v>
                </c:pt>
                <c:pt idx="22">
                  <c:v>2.1354513915107489</c:v>
                </c:pt>
                <c:pt idx="23">
                  <c:v>2.1354425306267597</c:v>
                </c:pt>
                <c:pt idx="24">
                  <c:v>2.1354336351526255</c:v>
                </c:pt>
                <c:pt idx="25">
                  <c:v>2.1354247048854051</c:v>
                </c:pt>
                <c:pt idx="26">
                  <c:v>2.1354157396205693</c:v>
                </c:pt>
                <c:pt idx="27">
                  <c:v>2.1354067391519806</c:v>
                </c:pt>
                <c:pt idx="28">
                  <c:v>2.1353977032718801</c:v>
                </c:pt>
                <c:pt idx="29">
                  <c:v>2.1353886317708715</c:v>
                </c:pt>
                <c:pt idx="30">
                  <c:v>2.1353795244379028</c:v>
                </c:pt>
                <c:pt idx="31">
                  <c:v>2.1353703810602527</c:v>
                </c:pt>
                <c:pt idx="32">
                  <c:v>2.1353612014235126</c:v>
                </c:pt>
                <c:pt idx="33">
                  <c:v>2.1353519853115692</c:v>
                </c:pt>
                <c:pt idx="34">
                  <c:v>2.1353427325065897</c:v>
                </c:pt>
                <c:pt idx="35">
                  <c:v>2.1353334427890016</c:v>
                </c:pt>
                <c:pt idx="36">
                  <c:v>2.1353241159374785</c:v>
                </c:pt>
                <c:pt idx="37">
                  <c:v>2.1353147517289202</c:v>
                </c:pt>
                <c:pt idx="38">
                  <c:v>2.1353053499384353</c:v>
                </c:pt>
                <c:pt idx="39">
                  <c:v>2.1352959103393254</c:v>
                </c:pt>
                <c:pt idx="40">
                  <c:v>2.1352864327030634</c:v>
                </c:pt>
                <c:pt idx="41">
                  <c:v>2.1352769167992776</c:v>
                </c:pt>
                <c:pt idx="42">
                  <c:v>2.1352673623957314</c:v>
                </c:pt>
                <c:pt idx="43">
                  <c:v>2.1352577692583066</c:v>
                </c:pt>
                <c:pt idx="44">
                  <c:v>2.1352481371509815</c:v>
                </c:pt>
                <c:pt idx="45">
                  <c:v>2.1352384658358132</c:v>
                </c:pt>
                <c:pt idx="46">
                  <c:v>2.135228755072919</c:v>
                </c:pt>
                <c:pt idx="47">
                  <c:v>2.1352190046204536</c:v>
                </c:pt>
                <c:pt idx="48">
                  <c:v>2.135209214234592</c:v>
                </c:pt>
                <c:pt idx="49">
                  <c:v>2.1351993836695069</c:v>
                </c:pt>
                <c:pt idx="50">
                  <c:v>2.1351895126773499</c:v>
                </c:pt>
                <c:pt idx="51">
                  <c:v>2.1351796010082298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99-4490-AE1D-BBC9F91223DE}"/>
            </c:ext>
          </c:extLst>
        </c:ser>
        <c:ser>
          <c:idx val="1"/>
          <c:order val="1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parámetros'!$AC$33:$AC$84</c:f>
              <c:numCache>
                <c:formatCode>0.00</c:formatCode>
                <c:ptCount val="52"/>
                <c:pt idx="0">
                  <c:v>0</c:v>
                </c:pt>
                <c:pt idx="1">
                  <c:v>2.1325706991760129</c:v>
                </c:pt>
                <c:pt idx="2">
                  <c:v>2.1325470316996404</c:v>
                </c:pt>
                <c:pt idx="3">
                  <c:v>2.1325232129466887</c:v>
                </c:pt>
                <c:pt idx="4">
                  <c:v>2.1324992414621255</c:v>
                </c:pt>
                <c:pt idx="5">
                  <c:v>2.1324751157721975</c:v>
                </c:pt>
                <c:pt idx="6">
                  <c:v>2.1324508343841293</c:v>
                </c:pt>
                <c:pt idx="7">
                  <c:v>2.1324263957858154</c:v>
                </c:pt>
                <c:pt idx="8">
                  <c:v>2.1324017984455073</c:v>
                </c:pt>
                <c:pt idx="9">
                  <c:v>2.1323770408114915</c:v>
                </c:pt>
                <c:pt idx="10">
                  <c:v>2.1323521213117647</c:v>
                </c:pt>
                <c:pt idx="11">
                  <c:v>2.1323270383537007</c:v>
                </c:pt>
                <c:pt idx="12">
                  <c:v>2.1323017903237114</c:v>
                </c:pt>
                <c:pt idx="13">
                  <c:v>2.132276375586899</c:v>
                </c:pt>
                <c:pt idx="14">
                  <c:v>2.1322507924867065</c:v>
                </c:pt>
                <c:pt idx="15">
                  <c:v>2.1322250393445539</c:v>
                </c:pt>
                <c:pt idx="16">
                  <c:v>2.1321991144594743</c:v>
                </c:pt>
                <c:pt idx="17">
                  <c:v>2.1321730161077372</c:v>
                </c:pt>
                <c:pt idx="18">
                  <c:v>2.1321467425424681</c:v>
                </c:pt>
                <c:pt idx="19">
                  <c:v>2.1321202919932567</c:v>
                </c:pt>
                <c:pt idx="20">
                  <c:v>2.1320936626657616</c:v>
                </c:pt>
                <c:pt idx="21">
                  <c:v>2.1320668527413029</c:v>
                </c:pt>
                <c:pt idx="22">
                  <c:v>2.1320398603764481</c:v>
                </c:pt>
                <c:pt idx="23">
                  <c:v>2.132012683702591</c:v>
                </c:pt>
                <c:pt idx="24">
                  <c:v>2.1319853208255193</c:v>
                </c:pt>
                <c:pt idx="25">
                  <c:v>2.1319577698249743</c:v>
                </c:pt>
                <c:pt idx="26">
                  <c:v>2.1319300287542027</c:v>
                </c:pt>
                <c:pt idx="27">
                  <c:v>2.1319020956394974</c:v>
                </c:pt>
                <c:pt idx="28">
                  <c:v>2.1318739684797294</c:v>
                </c:pt>
                <c:pt idx="29">
                  <c:v>2.1318456452458698</c:v>
                </c:pt>
                <c:pt idx="30">
                  <c:v>2.1318171238805022</c:v>
                </c:pt>
                <c:pt idx="31">
                  <c:v>2.131788402297325</c:v>
                </c:pt>
                <c:pt idx="32">
                  <c:v>2.1317594783806411</c:v>
                </c:pt>
                <c:pt idx="33">
                  <c:v>2.1317303499848395</c:v>
                </c:pt>
                <c:pt idx="34">
                  <c:v>2.1317010149338658</c:v>
                </c:pt>
                <c:pt idx="35">
                  <c:v>2.1316714710206774</c:v>
                </c:pt>
                <c:pt idx="36">
                  <c:v>2.1316417160066927</c:v>
                </c:pt>
                <c:pt idx="37">
                  <c:v>2.1316117476212244</c:v>
                </c:pt>
                <c:pt idx="38">
                  <c:v>2.1315815635609017</c:v>
                </c:pt>
                <c:pt idx="39">
                  <c:v>2.1315511614890812</c:v>
                </c:pt>
                <c:pt idx="40">
                  <c:v>2.1315205390352423</c:v>
                </c:pt>
                <c:pt idx="41">
                  <c:v>2.1314896937943728</c:v>
                </c:pt>
                <c:pt idx="42">
                  <c:v>2.131458623326338</c:v>
                </c:pt>
                <c:pt idx="43">
                  <c:v>2.1314273251552383</c:v>
                </c:pt>
                <c:pt idx="44">
                  <c:v>2.13139579676875</c:v>
                </c:pt>
                <c:pt idx="45">
                  <c:v>2.1313640356174544</c:v>
                </c:pt>
                <c:pt idx="46">
                  <c:v>2.1313320391141501</c:v>
                </c:pt>
                <c:pt idx="47">
                  <c:v>2.1312998046331506</c:v>
                </c:pt>
                <c:pt idx="48">
                  <c:v>2.1312673295095652</c:v>
                </c:pt>
                <c:pt idx="49">
                  <c:v>2.1312346110385665</c:v>
                </c:pt>
                <c:pt idx="50">
                  <c:v>2.1312016464746368</c:v>
                </c:pt>
                <c:pt idx="51">
                  <c:v>2.1311684330308025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99-4490-AE1D-BBC9F91223DE}"/>
            </c:ext>
          </c:extLst>
        </c:ser>
        <c:ser>
          <c:idx val="2"/>
          <c:order val="2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parámetros'!$AD$33:$AD$84</c:f>
              <c:numCache>
                <c:formatCode>0.00</c:formatCode>
                <c:ptCount val="52"/>
                <c:pt idx="0">
                  <c:v>0</c:v>
                </c:pt>
                <c:pt idx="1">
                  <c:v>2.1286375399162552</c:v>
                </c:pt>
                <c:pt idx="2">
                  <c:v>2.1285820857882727</c:v>
                </c:pt>
                <c:pt idx="3">
                  <c:v>2.1285260877213688</c:v>
                </c:pt>
                <c:pt idx="4">
                  <c:v>2.1284695376730105</c:v>
                </c:pt>
                <c:pt idx="5">
                  <c:v>2.1284124274413276</c:v>
                </c:pt>
                <c:pt idx="6">
                  <c:v>2.1283547486611445</c:v>
                </c:pt>
                <c:pt idx="7">
                  <c:v>2.1282964927998975</c:v>
                </c:pt>
                <c:pt idx="8">
                  <c:v>2.1282376511534267</c:v>
                </c:pt>
                <c:pt idx="9">
                  <c:v>2.1281782148416402</c:v>
                </c:pt>
                <c:pt idx="10">
                  <c:v>2.1281181748040461</c:v>
                </c:pt>
                <c:pt idx="11">
                  <c:v>2.1280575217951494</c:v>
                </c:pt>
                <c:pt idx="12">
                  <c:v>2.1279962463797046</c:v>
                </c:pt>
                <c:pt idx="13">
                  <c:v>2.1279343389278234</c:v>
                </c:pt>
                <c:pt idx="14">
                  <c:v>2.127871789609928</c:v>
                </c:pt>
                <c:pt idx="15">
                  <c:v>2.1278085883915505</c:v>
                </c:pt>
                <c:pt idx="16">
                  <c:v>2.1277447250279651</c:v>
                </c:pt>
                <c:pt idx="17">
                  <c:v>2.1276801890586516</c:v>
                </c:pt>
                <c:pt idx="18">
                  <c:v>2.1276149698015843</c:v>
                </c:pt>
                <c:pt idx="19">
                  <c:v>2.1275490563473372</c:v>
                </c:pt>
                <c:pt idx="20">
                  <c:v>2.1274824375530015</c:v>
                </c:pt>
                <c:pt idx="21">
                  <c:v>2.1274151020359033</c:v>
                </c:pt>
                <c:pt idx="22">
                  <c:v>2.1273470381671231</c:v>
                </c:pt>
                <c:pt idx="23">
                  <c:v>2.1272782340647991</c:v>
                </c:pt>
                <c:pt idx="24">
                  <c:v>2.1272086775872108</c:v>
                </c:pt>
                <c:pt idx="25">
                  <c:v>2.1271383563256392</c:v>
                </c:pt>
                <c:pt idx="26">
                  <c:v>2.1270672575969845</c:v>
                </c:pt>
                <c:pt idx="27">
                  <c:v>2.1269953684361411</c:v>
                </c:pt>
                <c:pt idx="28">
                  <c:v>2.1269226755881165</c:v>
                </c:pt>
                <c:pt idx="29">
                  <c:v>2.1268491654998822</c:v>
                </c:pt>
                <c:pt idx="30">
                  <c:v>2.1267748243119509</c:v>
                </c:pt>
                <c:pt idx="31">
                  <c:v>2.1266996378496645</c:v>
                </c:pt>
                <c:pt idx="32">
                  <c:v>2.126623591614186</c:v>
                </c:pt>
                <c:pt idx="33">
                  <c:v>2.1265466707731746</c:v>
                </c:pt>
                <c:pt idx="34">
                  <c:v>2.1264688601511454</c:v>
                </c:pt>
                <c:pt idx="35">
                  <c:v>2.1263901442194864</c:v>
                </c:pt>
                <c:pt idx="36">
                  <c:v>2.1263105070861261</c:v>
                </c:pt>
                <c:pt idx="37">
                  <c:v>2.1262299324848399</c:v>
                </c:pt>
                <c:pt idx="38">
                  <c:v>2.1261484037641702</c:v>
                </c:pt>
                <c:pt idx="39">
                  <c:v>2.1260659038759577</c:v>
                </c:pt>
                <c:pt idx="40">
                  <c:v>2.1259824153634543</c:v>
                </c:pt>
                <c:pt idx="41">
                  <c:v>2.1258979203490105</c:v>
                </c:pt>
                <c:pt idx="42">
                  <c:v>2.125812400521311</c:v>
                </c:pt>
                <c:pt idx="43">
                  <c:v>2.1257258371221477</c:v>
                </c:pt>
                <c:pt idx="44">
                  <c:v>2.1256382109326992</c:v>
                </c:pt>
                <c:pt idx="45">
                  <c:v>2.1255495022593092</c:v>
                </c:pt>
                <c:pt idx="46">
                  <c:v>2.1254596909187278</c:v>
                </c:pt>
                <c:pt idx="47">
                  <c:v>2.1253687562228039</c:v>
                </c:pt>
                <c:pt idx="48">
                  <c:v>2.1252766769625957</c:v>
                </c:pt>
                <c:pt idx="49">
                  <c:v>2.125183431391882</c:v>
                </c:pt>
                <c:pt idx="50">
                  <c:v>2.125088997210038</c:v>
                </c:pt>
                <c:pt idx="51">
                  <c:v>2.1249933515442549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99-4490-AE1D-BBC9F91223DE}"/>
            </c:ext>
          </c:extLst>
        </c:ser>
        <c:ser>
          <c:idx val="3"/>
          <c:order val="3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parámetros'!$AE$33:$AE$84</c:f>
              <c:numCache>
                <c:formatCode>0.00</c:formatCode>
                <c:ptCount val="52"/>
                <c:pt idx="0">
                  <c:v>0</c:v>
                </c:pt>
                <c:pt idx="1">
                  <c:v>2.1185861329190963</c:v>
                </c:pt>
                <c:pt idx="2">
                  <c:v>2.1183883182929781</c:v>
                </c:pt>
                <c:pt idx="3">
                  <c:v>2.1181868148914491</c:v>
                </c:pt>
                <c:pt idx="4">
                  <c:v>2.117981518563</c:v>
                </c:pt>
                <c:pt idx="5">
                  <c:v>2.1177723211979522</c:v>
                </c:pt>
                <c:pt idx="6">
                  <c:v>2.1175591105386213</c:v>
                </c:pt>
                <c:pt idx="7">
                  <c:v>2.1173417699784491</c:v>
                </c:pt>
                <c:pt idx="8">
                  <c:v>2.1171201783493494</c:v>
                </c:pt>
                <c:pt idx="9">
                  <c:v>2.1168942096964525</c:v>
                </c:pt>
                <c:pt idx="10">
                  <c:v>2.1166637330393678</c:v>
                </c:pt>
                <c:pt idx="11">
                  <c:v>2.1164286121190146</c:v>
                </c:pt>
                <c:pt idx="12">
                  <c:v>2.1161887051289927</c:v>
                </c:pt>
                <c:pt idx="13">
                  <c:v>2.1159438644303794</c:v>
                </c:pt>
                <c:pt idx="14">
                  <c:v>2.1156939362487481</c:v>
                </c:pt>
                <c:pt idx="15">
                  <c:v>2.1154387603521028</c:v>
                </c:pt>
                <c:pt idx="16">
                  <c:v>2.1151781697083072</c:v>
                </c:pt>
                <c:pt idx="17">
                  <c:v>2.1149119901204783</c:v>
                </c:pt>
                <c:pt idx="18">
                  <c:v>2.1146400398386587</c:v>
                </c:pt>
                <c:pt idx="19">
                  <c:v>2.1143621291459613</c:v>
                </c:pt>
                <c:pt idx="20">
                  <c:v>2.1140780599171993</c:v>
                </c:pt>
                <c:pt idx="21">
                  <c:v>2.1137876251478431</c:v>
                </c:pt>
                <c:pt idx="22">
                  <c:v>2.1134906084509555</c:v>
                </c:pt>
                <c:pt idx="23">
                  <c:v>2.1131867835195295</c:v>
                </c:pt>
                <c:pt idx="24">
                  <c:v>2.1128759135514286</c:v>
                </c:pt>
                <c:pt idx="25">
                  <c:v>2.1125577506338504</c:v>
                </c:pt>
                <c:pt idx="26">
                  <c:v>2.1122320350839594</c:v>
                </c:pt>
                <c:pt idx="27">
                  <c:v>2.1118984947419945</c:v>
                </c:pt>
                <c:pt idx="28">
                  <c:v>2.1115568442128141</c:v>
                </c:pt>
                <c:pt idx="29">
                  <c:v>2.1112067840514346</c:v>
                </c:pt>
                <c:pt idx="30">
                  <c:v>2.1108479998876724</c:v>
                </c:pt>
                <c:pt idx="31">
                  <c:v>2.110480161484519</c:v>
                </c:pt>
                <c:pt idx="32">
                  <c:v>2.1101029217243137</c:v>
                </c:pt>
                <c:pt idx="33">
                  <c:v>2.1097159155161762</c:v>
                </c:pt>
                <c:pt idx="34">
                  <c:v>2.109318758617468</c:v>
                </c:pt>
                <c:pt idx="35">
                  <c:v>2.1089110463612881</c:v>
                </c:pt>
                <c:pt idx="36">
                  <c:v>2.108492352281143</c:v>
                </c:pt>
                <c:pt idx="37">
                  <c:v>2.1080622266229625</c:v>
                </c:pt>
                <c:pt idx="38">
                  <c:v>2.1076201947335544</c:v>
                </c:pt>
                <c:pt idx="39">
                  <c:v>2.1071657553133485</c:v>
                </c:pt>
                <c:pt idx="40">
                  <c:v>2.1066983785199178</c:v>
                </c:pt>
                <c:pt idx="41">
                  <c:v>2.1062175039071893</c:v>
                </c:pt>
                <c:pt idx="42">
                  <c:v>2.1057225381834872</c:v>
                </c:pt>
                <c:pt idx="43">
                  <c:v>2.1052128527695637</c:v>
                </c:pt>
                <c:pt idx="44">
                  <c:v>2.1046877811354716</c:v>
                </c:pt>
                <c:pt idx="45">
                  <c:v>2.1041466158925637</c:v>
                </c:pt>
                <c:pt idx="46">
                  <c:v>2.1035886056139366</c:v>
                </c:pt>
                <c:pt idx="47">
                  <c:v>2.1030129513532643</c:v>
                </c:pt>
                <c:pt idx="48">
                  <c:v>2.1024188028281134</c:v>
                </c:pt>
                <c:pt idx="49">
                  <c:v>2.1018052542293897</c:v>
                </c:pt>
                <c:pt idx="50">
                  <c:v>2.1011713396134852</c:v>
                </c:pt>
                <c:pt idx="51">
                  <c:v>2.1005160278278217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99-4490-AE1D-BBC9F91223DE}"/>
            </c:ext>
          </c:extLst>
        </c:ser>
        <c:ser>
          <c:idx val="4"/>
          <c:order val="4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parámetros'!$AF$33:$AF$84</c:f>
              <c:numCache>
                <c:formatCode>0.00</c:formatCode>
                <c:ptCount val="52"/>
                <c:pt idx="0">
                  <c:v>0</c:v>
                </c:pt>
                <c:pt idx="1">
                  <c:v>2.1006684074024218</c:v>
                </c:pt>
                <c:pt idx="2">
                  <c:v>2.0999958626696453</c:v>
                </c:pt>
                <c:pt idx="3">
                  <c:v>2.0992999176493514</c:v>
                </c:pt>
                <c:pt idx="4">
                  <c:v>2.0985793294469213</c:v>
                </c:pt>
                <c:pt idx="5">
                  <c:v>2.0978327655602791</c:v>
                </c:pt>
                <c:pt idx="6">
                  <c:v>2.0970587956562698</c:v>
                </c:pt>
                <c:pt idx="7">
                  <c:v>2.0962558824244502</c:v>
                </c:pt>
                <c:pt idx="8">
                  <c:v>2.0954223713852285</c:v>
                </c:pt>
                <c:pt idx="9">
                  <c:v>2.0945564795101914</c:v>
                </c:pt>
                <c:pt idx="10">
                  <c:v>2.0936562824898921</c:v>
                </c:pt>
                <c:pt idx="11">
                  <c:v>2.0927197004577782</c:v>
                </c:pt>
                <c:pt idx="12">
                  <c:v>2.0917444819473379</c:v>
                </c:pt>
                <c:pt idx="13">
                  <c:v>2.0907281858220048</c:v>
                </c:pt>
                <c:pt idx="14">
                  <c:v>2.0896681608725194</c:v>
                </c:pt>
                <c:pt idx="15">
                  <c:v>2.0885615227227565</c:v>
                </c:pt>
                <c:pt idx="16">
                  <c:v>2.0874051276204493</c:v>
                </c:pt>
                <c:pt idx="17">
                  <c:v>2.0861955426113283</c:v>
                </c:pt>
                <c:pt idx="18">
                  <c:v>2.0849290115007388</c:v>
                </c:pt>
                <c:pt idx="19">
                  <c:v>2.0836014158918825</c:v>
                </c:pt>
                <c:pt idx="20">
                  <c:v>2.0822082304493414</c:v>
                </c:pt>
                <c:pt idx="21">
                  <c:v>2.0807444713640528</c:v>
                </c:pt>
                <c:pt idx="22">
                  <c:v>2.0792046367830359</c:v>
                </c:pt>
                <c:pt idx="23">
                  <c:v>2.0775826377032391</c:v>
                </c:pt>
                <c:pt idx="24">
                  <c:v>2.0758717174997834</c:v>
                </c:pt>
                <c:pt idx="25">
                  <c:v>2.0740643578463569</c:v>
                </c:pt>
                <c:pt idx="26">
                  <c:v>2.072152168265271</c:v>
                </c:pt>
                <c:pt idx="27">
                  <c:v>2.0701257558846615</c:v>
                </c:pt>
                <c:pt idx="28">
                  <c:v>2.0679745711373485</c:v>
                </c:pt>
                <c:pt idx="29">
                  <c:v>2.0656867240519712</c:v>
                </c:pt>
                <c:pt idx="30">
                  <c:v>2.0632487643830286</c:v>
                </c:pt>
                <c:pt idx="31">
                  <c:v>2.0606454169939319</c:v>
                </c:pt>
                <c:pt idx="32">
                  <c:v>2.05785926149552</c:v>
                </c:pt>
                <c:pt idx="33">
                  <c:v>2.0548703419411125</c:v>
                </c:pt>
                <c:pt idx="34">
                  <c:v>2.0516556880897241</c:v>
                </c:pt>
                <c:pt idx="35">
                  <c:v>2.048188723944655</c:v>
                </c:pt>
                <c:pt idx="36">
                  <c:v>2.0444385313364046</c:v>
                </c:pt>
                <c:pt idx="37">
                  <c:v>2.0403689253380746</c:v>
                </c:pt>
                <c:pt idx="38">
                  <c:v>2.0359372829247198</c:v>
                </c:pt>
                <c:pt idx="39">
                  <c:v>2.0310930444692255</c:v>
                </c:pt>
                <c:pt idx="40">
                  <c:v>2.0257757762608031</c:v>
                </c:pt>
                <c:pt idx="41">
                  <c:v>2.0199126363168611</c:v>
                </c:pt>
                <c:pt idx="42">
                  <c:v>2.0134150174844061</c:v>
                </c:pt>
                <c:pt idx="43">
                  <c:v>2.0061740384032354</c:v>
                </c:pt>
                <c:pt idx="44">
                  <c:v>1.9980543930037729</c:v>
                </c:pt>
                <c:pt idx="45">
                  <c:v>1.9888858163587315</c:v>
                </c:pt>
                <c:pt idx="46">
                  <c:v>1.9784510147126688</c:v>
                </c:pt>
                <c:pt idx="47">
                  <c:v>1.9664682238183113</c:v>
                </c:pt>
                <c:pt idx="48">
                  <c:v>1.9525653830329919</c:v>
                </c:pt>
                <c:pt idx="49">
                  <c:v>1.9362408136127984</c:v>
                </c:pt>
                <c:pt idx="50">
                  <c:v>1.9168013883372603</c:v>
                </c:pt>
                <c:pt idx="51">
                  <c:v>1.8932615752057045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99-4490-AE1D-BBC9F91223DE}"/>
            </c:ext>
          </c:extLst>
        </c:ser>
        <c:ser>
          <c:idx val="5"/>
          <c:order val="5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parámetros'!$AG$33:$AG$84</c:f>
              <c:numCache>
                <c:formatCode>0.00</c:formatCode>
                <c:ptCount val="52"/>
                <c:pt idx="0">
                  <c:v>0</c:v>
                </c:pt>
                <c:pt idx="1">
                  <c:v>2.0941131419694923</c:v>
                </c:pt>
                <c:pt idx="2">
                  <c:v>2.0931951175907111</c:v>
                </c:pt>
                <c:pt idx="3">
                  <c:v>2.0922396108628631</c:v>
                </c:pt>
                <c:pt idx="4">
                  <c:v>2.0912442783754104</c:v>
                </c:pt>
                <c:pt idx="5">
                  <c:v>2.0902065772122169</c:v>
                </c:pt>
                <c:pt idx="6">
                  <c:v>2.0891237432587833</c:v>
                </c:pt>
                <c:pt idx="7">
                  <c:v>2.0879927666161002</c:v>
                </c:pt>
                <c:pt idx="8">
                  <c:v>2.0868103636606583</c:v>
                </c:pt>
                <c:pt idx="9">
                  <c:v>2.0855729452044369</c:v>
                </c:pt>
                <c:pt idx="10">
                  <c:v>2.0842765801046195</c:v>
                </c:pt>
                <c:pt idx="11">
                  <c:v>2.0829169535458725</c:v>
                </c:pt>
                <c:pt idx="12">
                  <c:v>2.0814893190625208</c:v>
                </c:pt>
                <c:pt idx="13">
                  <c:v>2.079988443176549</c:v>
                </c:pt>
                <c:pt idx="14">
                  <c:v>2.0784085412906443</c:v>
                </c:pt>
                <c:pt idx="15">
                  <c:v>2.0767432031811124</c:v>
                </c:pt>
                <c:pt idx="16">
                  <c:v>2.0749853060675498</c:v>
                </c:pt>
                <c:pt idx="17">
                  <c:v>2.0731269127735135</c:v>
                </c:pt>
                <c:pt idx="18">
                  <c:v>2.0711591519072661</c:v>
                </c:pt>
                <c:pt idx="19">
                  <c:v>2.0690720762468753</c:v>
                </c:pt>
                <c:pt idx="20">
                  <c:v>2.06685449455953</c:v>
                </c:pt>
                <c:pt idx="21">
                  <c:v>2.0644937708533213</c:v>
                </c:pt>
                <c:pt idx="22">
                  <c:v>2.0619755834584348</c:v>
                </c:pt>
                <c:pt idx="23">
                  <c:v>2.0592836342361709</c:v>
                </c:pt>
                <c:pt idx="24">
                  <c:v>2.0563992954407748</c:v>
                </c:pt>
                <c:pt idx="25">
                  <c:v>2.0533011780606327</c:v>
                </c:pt>
                <c:pt idx="26">
                  <c:v>2.0499646004859184</c:v>
                </c:pt>
                <c:pt idx="27">
                  <c:v>2.0463609295766396</c:v>
                </c:pt>
                <c:pt idx="28">
                  <c:v>2.0424567568902465</c:v>
                </c:pt>
                <c:pt idx="29">
                  <c:v>2.0382128598658409</c:v>
                </c:pt>
                <c:pt idx="30">
                  <c:v>2.0335828794933848</c:v>
                </c:pt>
                <c:pt idx="31">
                  <c:v>2.028511619892472</c:v>
                </c:pt>
                <c:pt idx="32">
                  <c:v>2.0229328373654134</c:v>
                </c:pt>
                <c:pt idx="33">
                  <c:v>2.0167663306812385</c:v>
                </c:pt>
                <c:pt idx="34">
                  <c:v>2.0099140606107238</c:v>
                </c:pt>
                <c:pt idx="35">
                  <c:v>2.002254898624102</c:v>
                </c:pt>
                <c:pt idx="36">
                  <c:v>1.9936374044232077</c:v>
                </c:pt>
                <c:pt idx="37">
                  <c:v>1.9838697114704411</c:v>
                </c:pt>
                <c:pt idx="38">
                  <c:v>1.9727050728954485</c:v>
                </c:pt>
                <c:pt idx="39">
                  <c:v>1.9598207282445781</c:v>
                </c:pt>
                <c:pt idx="40">
                  <c:v>1.9447861898123686</c:v>
                </c:pt>
                <c:pt idx="41">
                  <c:v>1.9270142059730788</c:v>
                </c:pt>
                <c:pt idx="42">
                  <c:v>1.9056822564133737</c:v>
                </c:pt>
                <c:pt idx="43">
                  <c:v>1.8796016197268037</c:v>
                </c:pt>
                <c:pt idx="44">
                  <c:v>1.8469880493080792</c:v>
                </c:pt>
                <c:pt idx="45">
                  <c:v>1.8050354454732407</c:v>
                </c:pt>
                <c:pt idx="46">
                  <c:v>1.7490620852670014</c:v>
                </c:pt>
                <c:pt idx="47">
                  <c:v>1.6706291125958761</c:v>
                </c:pt>
                <c:pt idx="48">
                  <c:v>1.5528256828597131</c:v>
                </c:pt>
                <c:pt idx="49">
                  <c:v>1.3560749685844349</c:v>
                </c:pt>
                <c:pt idx="50">
                  <c:v>0.9610224954822586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A99-4490-AE1D-BBC9F91223DE}"/>
            </c:ext>
          </c:extLst>
        </c:ser>
        <c:ser>
          <c:idx val="6"/>
          <c:order val="6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parámetros'!$AH$33:$AH$84</c:f>
              <c:numCache>
                <c:formatCode>0.00</c:formatCode>
                <c:ptCount val="52"/>
                <c:pt idx="0">
                  <c:v>0</c:v>
                </c:pt>
                <c:pt idx="1">
                  <c:v>2.0831876995812761</c:v>
                </c:pt>
                <c:pt idx="2">
                  <c:v>2.0817737433057215</c:v>
                </c:pt>
                <c:pt idx="3">
                  <c:v>2.0802876089757469</c:v>
                </c:pt>
                <c:pt idx="4">
                  <c:v>2.0787236251398249</c:v>
                </c:pt>
                <c:pt idx="5">
                  <c:v>2.0770755101795162</c:v>
                </c:pt>
                <c:pt idx="6">
                  <c:v>2.0753362879849209</c:v>
                </c:pt>
                <c:pt idx="7">
                  <c:v>2.0734981892483231</c:v>
                </c:pt>
                <c:pt idx="8">
                  <c:v>2.071552535430631</c:v>
                </c:pt>
                <c:pt idx="9">
                  <c:v>2.069489601745051</c:v>
                </c:pt>
                <c:pt idx="10">
                  <c:v>2.0672984545936393</c:v>
                </c:pt>
                <c:pt idx="11">
                  <c:v>2.0649667577212751</c:v>
                </c:pt>
                <c:pt idx="12">
                  <c:v>2.0624805398312347</c:v>
                </c:pt>
                <c:pt idx="13">
                  <c:v>2.059823914417279</c:v>
                </c:pt>
                <c:pt idx="14">
                  <c:v>2.0569787399425459</c:v>
                </c:pt>
                <c:pt idx="15">
                  <c:v>2.0539242050018442</c:v>
                </c:pt>
                <c:pt idx="16">
                  <c:v>2.0506363184091807</c:v>
                </c:pt>
                <c:pt idx="17">
                  <c:v>2.0470872777795472</c:v>
                </c:pt>
                <c:pt idx="18">
                  <c:v>2.0432446814291252</c:v>
                </c:pt>
                <c:pt idx="19">
                  <c:v>2.0390705362778441</c:v>
                </c:pt>
                <c:pt idx="20">
                  <c:v>2.0345199973717554</c:v>
                </c:pt>
                <c:pt idx="21">
                  <c:v>2.0295397503240711</c:v>
                </c:pt>
                <c:pt idx="22">
                  <c:v>2.0240659128091729</c:v>
                </c:pt>
                <c:pt idx="23">
                  <c:v>2.0180212795784715</c:v>
                </c:pt>
                <c:pt idx="24">
                  <c:v>2.0113116582242156</c:v>
                </c:pt>
                <c:pt idx="25">
                  <c:v>2.0038209252089549</c:v>
                </c:pt>
                <c:pt idx="26">
                  <c:v>1.9954042484943133</c:v>
                </c:pt>
                <c:pt idx="27">
                  <c:v>1.9858786313091517</c:v>
                </c:pt>
                <c:pt idx="28">
                  <c:v>1.9750094545989376</c:v>
                </c:pt>
                <c:pt idx="29">
                  <c:v>1.9624908929721725</c:v>
                </c:pt>
                <c:pt idx="30">
                  <c:v>1.947916683070573</c:v>
                </c:pt>
                <c:pt idx="31">
                  <c:v>1.930735203664377</c:v>
                </c:pt>
                <c:pt idx="32">
                  <c:v>1.9101780795106369</c:v>
                </c:pt>
                <c:pt idx="33">
                  <c:v>1.8851421194029991</c:v>
                </c:pt>
                <c:pt idx="34">
                  <c:v>1.8539846527492796</c:v>
                </c:pt>
                <c:pt idx="35">
                  <c:v>1.8141478304237029</c:v>
                </c:pt>
                <c:pt idx="36">
                  <c:v>1.7614181498483494</c:v>
                </c:pt>
                <c:pt idx="37">
                  <c:v>1.6883282329281279</c:v>
                </c:pt>
                <c:pt idx="38">
                  <c:v>1.5802643257038316</c:v>
                </c:pt>
                <c:pt idx="39">
                  <c:v>1.4042287018269417</c:v>
                </c:pt>
                <c:pt idx="40">
                  <c:v>1.0666682575083326</c:v>
                </c:pt>
                <c:pt idx="41">
                  <c:v>0.15681274656542632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A99-4490-AE1D-BBC9F91223DE}"/>
            </c:ext>
          </c:extLst>
        </c:ser>
        <c:ser>
          <c:idx val="7"/>
          <c:order val="7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parámetros'!$AI$33:$AI$84</c:f>
              <c:numCache>
                <c:formatCode>0.00</c:formatCode>
                <c:ptCount val="52"/>
                <c:pt idx="0">
                  <c:v>0</c:v>
                </c:pt>
                <c:pt idx="1">
                  <c:v>2.0198201337296222</c:v>
                </c:pt>
                <c:pt idx="2">
                  <c:v>2.013312229646377</c:v>
                </c:pt>
                <c:pt idx="3">
                  <c:v>2.0060591494486033</c:v>
                </c:pt>
                <c:pt idx="4">
                  <c:v>1.9979251330289212</c:v>
                </c:pt>
                <c:pt idx="5">
                  <c:v>1.9887393101064799</c:v>
                </c:pt>
                <c:pt idx="6">
                  <c:v>1.9782835654479536</c:v>
                </c:pt>
                <c:pt idx="7">
                  <c:v>1.966274997539053</c:v>
                </c:pt>
                <c:pt idx="8">
                  <c:v>1.9523399349648265</c:v>
                </c:pt>
                <c:pt idx="9">
                  <c:v>1.9359743568138961</c:v>
                </c:pt>
                <c:pt idx="10">
                  <c:v>1.9164816243325966</c:v>
                </c:pt>
                <c:pt idx="11">
                  <c:v>1.8928707470917931</c:v>
                </c:pt>
                <c:pt idx="12">
                  <c:v>1.8636825550582183</c:v>
                </c:pt>
                <c:pt idx="13">
                  <c:v>1.8266761891498369</c:v>
                </c:pt>
                <c:pt idx="14">
                  <c:v>1.778224710685226</c:v>
                </c:pt>
                <c:pt idx="15">
                  <c:v>1.7120473659946966</c:v>
                </c:pt>
                <c:pt idx="16">
                  <c:v>1.6162389563395165</c:v>
                </c:pt>
                <c:pt idx="17">
                  <c:v>1.4651578627855568</c:v>
                </c:pt>
                <c:pt idx="18">
                  <c:v>1.1915829413616716</c:v>
                </c:pt>
                <c:pt idx="19">
                  <c:v>0.54497361948405332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A99-4490-AE1D-BBC9F91223DE}"/>
            </c:ext>
          </c:extLst>
        </c:ser>
        <c:ser>
          <c:idx val="8"/>
          <c:order val="8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parámetros'!$AJ$33:$AJ$84</c:f>
              <c:numCache>
                <c:formatCode>0.00</c:formatCode>
                <c:ptCount val="52"/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A99-4490-AE1D-BBC9F91223DE}"/>
            </c:ext>
          </c:extLst>
        </c:ser>
        <c:ser>
          <c:idx val="9"/>
          <c:order val="9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parámetros'!$AK$33:$AK$84</c:f>
              <c:numCache>
                <c:formatCode>0.00</c:formatCode>
                <c:ptCount val="52"/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1.8</c:v>
                </c:pt>
                <c:pt idx="13">
                  <c:v>1.8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1.8</c:v>
                </c:pt>
                <c:pt idx="20">
                  <c:v>1.8</c:v>
                </c:pt>
                <c:pt idx="21">
                  <c:v>1.8</c:v>
                </c:pt>
                <c:pt idx="22">
                  <c:v>1.8</c:v>
                </c:pt>
                <c:pt idx="23">
                  <c:v>1.8</c:v>
                </c:pt>
                <c:pt idx="24">
                  <c:v>1.8</c:v>
                </c:pt>
                <c:pt idx="25">
                  <c:v>1.8</c:v>
                </c:pt>
                <c:pt idx="26">
                  <c:v>1.8</c:v>
                </c:pt>
                <c:pt idx="27">
                  <c:v>1.8</c:v>
                </c:pt>
                <c:pt idx="28">
                  <c:v>1.8</c:v>
                </c:pt>
                <c:pt idx="29">
                  <c:v>1.8</c:v>
                </c:pt>
                <c:pt idx="30">
                  <c:v>1.8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1.8</c:v>
                </c:pt>
                <c:pt idx="38">
                  <c:v>1.8</c:v>
                </c:pt>
                <c:pt idx="39">
                  <c:v>1.8</c:v>
                </c:pt>
                <c:pt idx="40">
                  <c:v>1.8</c:v>
                </c:pt>
                <c:pt idx="41">
                  <c:v>1.8</c:v>
                </c:pt>
                <c:pt idx="42">
                  <c:v>1.8</c:v>
                </c:pt>
                <c:pt idx="43">
                  <c:v>1.8</c:v>
                </c:pt>
                <c:pt idx="44">
                  <c:v>1.8</c:v>
                </c:pt>
                <c:pt idx="45">
                  <c:v>1.8</c:v>
                </c:pt>
                <c:pt idx="46">
                  <c:v>1.8</c:v>
                </c:pt>
                <c:pt idx="47">
                  <c:v>1.8</c:v>
                </c:pt>
                <c:pt idx="48">
                  <c:v>1.8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A99-4490-AE1D-BBC9F91223DE}"/>
            </c:ext>
          </c:extLst>
        </c:ser>
        <c:ser>
          <c:idx val="10"/>
          <c:order val="10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parámetros'!$AL$33:$AL$84</c:f>
              <c:numCache>
                <c:formatCode>0.00</c:formatCode>
                <c:ptCount val="52"/>
                <c:pt idx="1">
                  <c:v>1.85</c:v>
                </c:pt>
                <c:pt idx="2">
                  <c:v>1.85</c:v>
                </c:pt>
                <c:pt idx="3">
                  <c:v>1.85</c:v>
                </c:pt>
                <c:pt idx="4">
                  <c:v>1.85</c:v>
                </c:pt>
                <c:pt idx="5">
                  <c:v>1.85</c:v>
                </c:pt>
                <c:pt idx="6">
                  <c:v>1.85</c:v>
                </c:pt>
                <c:pt idx="7">
                  <c:v>1.85</c:v>
                </c:pt>
                <c:pt idx="8">
                  <c:v>1.85</c:v>
                </c:pt>
                <c:pt idx="9">
                  <c:v>1.85</c:v>
                </c:pt>
                <c:pt idx="10">
                  <c:v>1.85</c:v>
                </c:pt>
                <c:pt idx="11">
                  <c:v>1.85</c:v>
                </c:pt>
                <c:pt idx="12">
                  <c:v>1.85</c:v>
                </c:pt>
                <c:pt idx="13">
                  <c:v>1.85</c:v>
                </c:pt>
                <c:pt idx="14">
                  <c:v>1.85</c:v>
                </c:pt>
                <c:pt idx="15">
                  <c:v>1.85</c:v>
                </c:pt>
                <c:pt idx="16">
                  <c:v>1.85</c:v>
                </c:pt>
                <c:pt idx="17">
                  <c:v>1.85</c:v>
                </c:pt>
                <c:pt idx="18">
                  <c:v>1.85</c:v>
                </c:pt>
                <c:pt idx="19">
                  <c:v>1.85</c:v>
                </c:pt>
                <c:pt idx="20">
                  <c:v>1.85</c:v>
                </c:pt>
                <c:pt idx="21">
                  <c:v>1.85</c:v>
                </c:pt>
                <c:pt idx="22">
                  <c:v>1.85</c:v>
                </c:pt>
                <c:pt idx="23">
                  <c:v>1.85</c:v>
                </c:pt>
                <c:pt idx="24">
                  <c:v>1.85</c:v>
                </c:pt>
                <c:pt idx="25">
                  <c:v>1.85</c:v>
                </c:pt>
                <c:pt idx="26">
                  <c:v>1.85</c:v>
                </c:pt>
                <c:pt idx="27">
                  <c:v>1.85</c:v>
                </c:pt>
                <c:pt idx="28">
                  <c:v>1.85</c:v>
                </c:pt>
                <c:pt idx="29">
                  <c:v>1.85</c:v>
                </c:pt>
                <c:pt idx="30">
                  <c:v>1.85</c:v>
                </c:pt>
                <c:pt idx="31">
                  <c:v>1.85</c:v>
                </c:pt>
                <c:pt idx="32">
                  <c:v>1.85</c:v>
                </c:pt>
                <c:pt idx="33">
                  <c:v>1.85</c:v>
                </c:pt>
                <c:pt idx="34">
                  <c:v>1.85</c:v>
                </c:pt>
                <c:pt idx="35">
                  <c:v>1.85</c:v>
                </c:pt>
                <c:pt idx="36">
                  <c:v>1.85</c:v>
                </c:pt>
                <c:pt idx="37">
                  <c:v>1.85</c:v>
                </c:pt>
                <c:pt idx="38">
                  <c:v>1.85</c:v>
                </c:pt>
                <c:pt idx="39">
                  <c:v>1.85</c:v>
                </c:pt>
                <c:pt idx="40">
                  <c:v>1.85</c:v>
                </c:pt>
                <c:pt idx="41">
                  <c:v>1.85</c:v>
                </c:pt>
                <c:pt idx="42">
                  <c:v>1.85</c:v>
                </c:pt>
                <c:pt idx="43">
                  <c:v>1.85</c:v>
                </c:pt>
                <c:pt idx="44">
                  <c:v>1.85</c:v>
                </c:pt>
                <c:pt idx="45">
                  <c:v>1.85</c:v>
                </c:pt>
                <c:pt idx="46">
                  <c:v>1.85</c:v>
                </c:pt>
                <c:pt idx="47">
                  <c:v>1.85</c:v>
                </c:pt>
                <c:pt idx="48">
                  <c:v>1.85</c:v>
                </c:pt>
                <c:pt idx="49">
                  <c:v>1.85</c:v>
                </c:pt>
                <c:pt idx="50">
                  <c:v>1.85</c:v>
                </c:pt>
                <c:pt idx="51">
                  <c:v>1.85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A99-4490-AE1D-BBC9F91223DE}"/>
            </c:ext>
          </c:extLst>
        </c:ser>
        <c:ser>
          <c:idx val="11"/>
          <c:order val="11"/>
          <c:marker>
            <c:symbol val="none"/>
          </c:marker>
          <c:xVal>
            <c:numRef>
              <c:f>'6V50A09 2 parámetros'!$AA$33:$AA$84</c:f>
              <c:numCache>
                <c:formatCode>#,##0</c:formatCode>
                <c:ptCount val="52"/>
                <c:pt idx="0" formatCode="General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0.48</c:v>
                </c:pt>
                <c:pt idx="4">
                  <c:v>0.72</c:v>
                </c:pt>
                <c:pt idx="5">
                  <c:v>0.96</c:v>
                </c:pt>
                <c:pt idx="6">
                  <c:v>1.2</c:v>
                </c:pt>
                <c:pt idx="7">
                  <c:v>1.44</c:v>
                </c:pt>
                <c:pt idx="8">
                  <c:v>1.68</c:v>
                </c:pt>
                <c:pt idx="9">
                  <c:v>1.92</c:v>
                </c:pt>
                <c:pt idx="10">
                  <c:v>2.16</c:v>
                </c:pt>
                <c:pt idx="11">
                  <c:v>2.4</c:v>
                </c:pt>
                <c:pt idx="12">
                  <c:v>2.6399999999999997</c:v>
                </c:pt>
                <c:pt idx="13">
                  <c:v>2.88</c:v>
                </c:pt>
                <c:pt idx="14">
                  <c:v>3.12</c:v>
                </c:pt>
                <c:pt idx="15">
                  <c:v>3.36</c:v>
                </c:pt>
                <c:pt idx="16">
                  <c:v>3.5999999999999996</c:v>
                </c:pt>
                <c:pt idx="17">
                  <c:v>3.84</c:v>
                </c:pt>
                <c:pt idx="18">
                  <c:v>4.08</c:v>
                </c:pt>
                <c:pt idx="19">
                  <c:v>4.32</c:v>
                </c:pt>
                <c:pt idx="20">
                  <c:v>4.5599999999999996</c:v>
                </c:pt>
                <c:pt idx="21">
                  <c:v>4.8</c:v>
                </c:pt>
                <c:pt idx="22">
                  <c:v>5.04</c:v>
                </c:pt>
                <c:pt idx="23">
                  <c:v>5.2799999999999994</c:v>
                </c:pt>
                <c:pt idx="24">
                  <c:v>5.52</c:v>
                </c:pt>
                <c:pt idx="25">
                  <c:v>5.76</c:v>
                </c:pt>
                <c:pt idx="26">
                  <c:v>6</c:v>
                </c:pt>
                <c:pt idx="27">
                  <c:v>6.24</c:v>
                </c:pt>
                <c:pt idx="28">
                  <c:v>6.4799999999999995</c:v>
                </c:pt>
                <c:pt idx="29">
                  <c:v>6.72</c:v>
                </c:pt>
                <c:pt idx="30">
                  <c:v>6.96</c:v>
                </c:pt>
                <c:pt idx="31">
                  <c:v>7.1999999999999993</c:v>
                </c:pt>
                <c:pt idx="32">
                  <c:v>7.4399999999999995</c:v>
                </c:pt>
                <c:pt idx="33">
                  <c:v>7.68</c:v>
                </c:pt>
                <c:pt idx="34">
                  <c:v>7.92</c:v>
                </c:pt>
                <c:pt idx="35">
                  <c:v>8.16</c:v>
                </c:pt>
                <c:pt idx="36">
                  <c:v>8.4</c:v>
                </c:pt>
                <c:pt idx="37">
                  <c:v>8.64</c:v>
                </c:pt>
                <c:pt idx="38">
                  <c:v>8.879999999999999</c:v>
                </c:pt>
                <c:pt idx="39">
                  <c:v>9.1199999999999992</c:v>
                </c:pt>
                <c:pt idx="40">
                  <c:v>9.36</c:v>
                </c:pt>
                <c:pt idx="41">
                  <c:v>9.6</c:v>
                </c:pt>
                <c:pt idx="42">
                  <c:v>9.84</c:v>
                </c:pt>
                <c:pt idx="43">
                  <c:v>10.08</c:v>
                </c:pt>
                <c:pt idx="44">
                  <c:v>10.32</c:v>
                </c:pt>
                <c:pt idx="45">
                  <c:v>10.559999999999999</c:v>
                </c:pt>
                <c:pt idx="46">
                  <c:v>10.799999999999999</c:v>
                </c:pt>
                <c:pt idx="47">
                  <c:v>11.04</c:v>
                </c:pt>
                <c:pt idx="48">
                  <c:v>11.28</c:v>
                </c:pt>
                <c:pt idx="49">
                  <c:v>11.52</c:v>
                </c:pt>
                <c:pt idx="50">
                  <c:v>11.76</c:v>
                </c:pt>
                <c:pt idx="51">
                  <c:v>12</c:v>
                </c:pt>
              </c:numCache>
            </c:numRef>
          </c:xVal>
          <c:yVal>
            <c:numRef>
              <c:f>'6V50A09 2 parámetros'!$AM$33:$AM$84</c:f>
              <c:numCache>
                <c:formatCode>0.00</c:formatCode>
                <c:ptCount val="52"/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1.9</c:v>
                </c:pt>
                <c:pt idx="11">
                  <c:v>1.9</c:v>
                </c:pt>
                <c:pt idx="12">
                  <c:v>1.9</c:v>
                </c:pt>
                <c:pt idx="13">
                  <c:v>1.9</c:v>
                </c:pt>
                <c:pt idx="14">
                  <c:v>1.9</c:v>
                </c:pt>
                <c:pt idx="15">
                  <c:v>1.9</c:v>
                </c:pt>
                <c:pt idx="16">
                  <c:v>1.9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1.9</c:v>
                </c:pt>
                <c:pt idx="26">
                  <c:v>1.9</c:v>
                </c:pt>
                <c:pt idx="27">
                  <c:v>1.9</c:v>
                </c:pt>
                <c:pt idx="28">
                  <c:v>1.9</c:v>
                </c:pt>
                <c:pt idx="29">
                  <c:v>1.9</c:v>
                </c:pt>
                <c:pt idx="30">
                  <c:v>1.9</c:v>
                </c:pt>
                <c:pt idx="31">
                  <c:v>1.9</c:v>
                </c:pt>
                <c:pt idx="32">
                  <c:v>1.9</c:v>
                </c:pt>
                <c:pt idx="33">
                  <c:v>1.9</c:v>
                </c:pt>
                <c:pt idx="34">
                  <c:v>1.9</c:v>
                </c:pt>
                <c:pt idx="35">
                  <c:v>1.9</c:v>
                </c:pt>
                <c:pt idx="36">
                  <c:v>1.9</c:v>
                </c:pt>
                <c:pt idx="37">
                  <c:v>1.9</c:v>
                </c:pt>
                <c:pt idx="38">
                  <c:v>1.9</c:v>
                </c:pt>
                <c:pt idx="39">
                  <c:v>1.9</c:v>
                </c:pt>
                <c:pt idx="40">
                  <c:v>1.9</c:v>
                </c:pt>
                <c:pt idx="41">
                  <c:v>1.9</c:v>
                </c:pt>
                <c:pt idx="42">
                  <c:v>1.9</c:v>
                </c:pt>
                <c:pt idx="43">
                  <c:v>1.9</c:v>
                </c:pt>
                <c:pt idx="44">
                  <c:v>1.9</c:v>
                </c:pt>
                <c:pt idx="45">
                  <c:v>1.9</c:v>
                </c:pt>
                <c:pt idx="46">
                  <c:v>1.9</c:v>
                </c:pt>
                <c:pt idx="47">
                  <c:v>1.9</c:v>
                </c:pt>
                <c:pt idx="48">
                  <c:v>1.9</c:v>
                </c:pt>
                <c:pt idx="49">
                  <c:v>1.9</c:v>
                </c:pt>
                <c:pt idx="50">
                  <c:v>1.9</c:v>
                </c:pt>
                <c:pt idx="51">
                  <c:v>1.9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A99-4490-AE1D-BBC9F9122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23488"/>
        <c:axId val="108229376"/>
      </c:scatterChart>
      <c:valAx>
        <c:axId val="108223488"/>
        <c:scaling>
          <c:orientation val="minMax"/>
          <c:max val="13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08229376"/>
        <c:crosses val="autoZero"/>
        <c:crossBetween val="midCat"/>
        <c:majorUnit val="1"/>
        <c:minorUnit val="0.1"/>
      </c:valAx>
      <c:valAx>
        <c:axId val="108229376"/>
        <c:scaling>
          <c:orientation val="minMax"/>
          <c:max val="2.2999999999999998"/>
          <c:min val="1.5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8223488"/>
        <c:crosses val="autoZero"/>
        <c:crossBetween val="midCat"/>
        <c:majorUnit val="0.1"/>
        <c:minorUnit val="5.1000000000000004E-2"/>
      </c:valAx>
    </c:plotArea>
    <c:legend>
      <c:legendPos val="r"/>
      <c:layout>
        <c:manualLayout>
          <c:xMode val="edge"/>
          <c:yMode val="edge"/>
          <c:x val="0.7712908834372586"/>
          <c:y val="5.8580987235750483E-2"/>
          <c:w val="9.9229347776614768E-2"/>
          <c:h val="0.582146104976295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Curvas de descarga a corriente constante </a:t>
            </a:r>
          </a:p>
          <a:p>
            <a:pPr>
              <a:defRPr/>
            </a:pPr>
            <a:r>
              <a:rPr lang="en-US" sz="1400"/>
              <a:t>Placa positiva</a:t>
            </a:r>
            <a:r>
              <a:rPr lang="en-US" sz="1400" baseline="0"/>
              <a:t> acumulador tipo Absolyte serie 100A</a:t>
            </a:r>
            <a:endParaRPr lang="en-US" sz="1400"/>
          </a:p>
        </c:rich>
      </c:tx>
      <c:layout>
        <c:manualLayout>
          <c:xMode val="edge"/>
          <c:yMode val="edge"/>
          <c:x val="0.1715870561582230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85750838758508"/>
          <c:y val="0.15671454129119769"/>
          <c:w val="0.86024982882214585"/>
          <c:h val="0.71043017902104755"/>
        </c:manualLayout>
      </c:layout>
      <c:scatterChart>
        <c:scatterStyle val="smoothMarker"/>
        <c:varyColors val="0"/>
        <c:ser>
          <c:idx val="0"/>
          <c:order val="0"/>
          <c:tx>
            <c:v>id = 1,58 [A]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'100 A 39, 3 par. rev.'!$AI$36:$AI$157</c:f>
              <c:numCache>
                <c:formatCode>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'100 A 39, 3 par. rev.'!$AJ$36:$AJ$157</c:f>
              <c:numCache>
                <c:formatCode>#,##0.00</c:formatCode>
                <c:ptCount val="122"/>
                <c:pt idx="0">
                  <c:v>2.25</c:v>
                </c:pt>
                <c:pt idx="1">
                  <c:v>2.2446464000000002</c:v>
                </c:pt>
                <c:pt idx="2">
                  <c:v>2.231194801138193</c:v>
                </c:pt>
                <c:pt idx="3">
                  <c:v>2.2184107777114721</c:v>
                </c:pt>
                <c:pt idx="4">
                  <c:v>2.2062609930377404</c:v>
                </c:pt>
                <c:pt idx="5">
                  <c:v>2.1947137706532338</c:v>
                </c:pt>
                <c:pt idx="6">
                  <c:v>2.1837390114863466</c:v>
                </c:pt>
                <c:pt idx="7">
                  <c:v>2.1733081151574165</c:v>
                </c:pt>
                <c:pt idx="8">
                  <c:v>2.1633939051986211</c:v>
                </c:pt>
                <c:pt idx="9">
                  <c:v>2.1539705579983726</c:v>
                </c:pt>
                <c:pt idx="10">
                  <c:v>2.1450135352843498</c:v>
                </c:pt>
                <c:pt idx="11">
                  <c:v>2.1364995199685533</c:v>
                </c:pt>
                <c:pt idx="12">
                  <c:v>2.1284063551865606</c:v>
                </c:pt>
                <c:pt idx="13">
                  <c:v>2.1207129863715033</c:v>
                </c:pt>
                <c:pt idx="14">
                  <c:v>2.113399406211232</c:v>
                </c:pt>
                <c:pt idx="15">
                  <c:v>2.1064466023446609</c:v>
                </c:pt>
                <c:pt idx="16">
                  <c:v>2.0998365076604473</c:v>
                </c:pt>
                <c:pt idx="17">
                  <c:v>2.0935519530679652</c:v>
                </c:pt>
                <c:pt idx="18">
                  <c:v>2.0875766226169783</c:v>
                </c:pt>
                <c:pt idx="19">
                  <c:v>2.0818950108485774</c:v>
                </c:pt>
                <c:pt idx="20">
                  <c:v>2.0764923822657457</c:v>
                </c:pt>
                <c:pt idx="21">
                  <c:v>2.0713547328174777</c:v>
                </c:pt>
                <c:pt idx="22">
                  <c:v>2.0664687532956143</c:v>
                </c:pt>
                <c:pt idx="23">
                  <c:v>2.061821794548556</c:v>
                </c:pt>
                <c:pt idx="24">
                  <c:v>2.0574018344207587</c:v>
                </c:pt>
                <c:pt idx="25">
                  <c:v>2.0531974463314082</c:v>
                </c:pt>
                <c:pt idx="26">
                  <c:v>2.0491977694099512</c:v>
                </c:pt>
                <c:pt idx="27">
                  <c:v>2.0453924801102046</c:v>
                </c:pt>
                <c:pt idx="28">
                  <c:v>2.0417717652286256</c:v>
                </c:pt>
                <c:pt idx="29">
                  <c:v>2.0383262962559581</c:v>
                </c:pt>
                <c:pt idx="30">
                  <c:v>2.0350472049949637</c:v>
                </c:pt>
                <c:pt idx="31">
                  <c:v>2.0319260603801901</c:v>
                </c:pt>
                <c:pt idx="32">
                  <c:v>2.0289548464388885</c:v>
                </c:pt>
                <c:pt idx="33">
                  <c:v>2.0261259413351005</c:v>
                </c:pt>
                <c:pt idx="34">
                  <c:v>2.0234320974417717</c:v>
                </c:pt>
                <c:pt idx="35">
                  <c:v>2.020866422388353</c:v>
                </c:pt>
                <c:pt idx="36">
                  <c:v>2.0184223610338994</c:v>
                </c:pt>
                <c:pt idx="37">
                  <c:v>2.0160936783180077</c:v>
                </c:pt>
                <c:pt idx="38">
                  <c:v>2.0138744429441968</c:v>
                </c:pt>
                <c:pt idx="39">
                  <c:v>2.0117590118524253</c:v>
                </c:pt>
                <c:pt idx="40">
                  <c:v>2.0097420154394534</c:v>
                </c:pt>
                <c:pt idx="41">
                  <c:v>2.0078183434876058</c:v>
                </c:pt>
                <c:pt idx="42">
                  <c:v>2.0059831317642649</c:v>
                </c:pt>
                <c:pt idx="43">
                  <c:v>2.0042317492560686</c:v>
                </c:pt>
                <c:pt idx="44">
                  <c:v>2.002559786003324</c:v>
                </c:pt>
                <c:pt idx="45">
                  <c:v>2.0009630415015849</c:v>
                </c:pt>
                <c:pt idx="46">
                  <c:v>1.9994375136386733</c:v>
                </c:pt>
                <c:pt idx="47">
                  <c:v>1.9979793881366401</c:v>
                </c:pt>
                <c:pt idx="48">
                  <c:v>1.9965850284693023</c:v>
                </c:pt>
                <c:pt idx="49">
                  <c:v>1.9952509662269915</c:v>
                </c:pt>
                <c:pt idx="50">
                  <c:v>1.9939738919010841</c:v>
                </c:pt>
                <c:pt idx="51">
                  <c:v>1.9927506460616715</c:v>
                </c:pt>
                <c:pt idx="52">
                  <c:v>1.9915782109024363</c:v>
                </c:pt>
                <c:pt idx="53">
                  <c:v>1.9904537021273825</c:v>
                </c:pt>
                <c:pt idx="54">
                  <c:v>1.9893743611545174</c:v>
                </c:pt>
                <c:pt idx="55">
                  <c:v>1.9883375476119289</c:v>
                </c:pt>
                <c:pt idx="56">
                  <c:v>1.9873407321018779</c:v>
                </c:pt>
                <c:pt idx="57">
                  <c:v>1.9863814892085891</c:v>
                </c:pt>
                <c:pt idx="58">
                  <c:v>1.98545749072529</c:v>
                </c:pt>
                <c:pt idx="59">
                  <c:v>1.984566499075751</c:v>
                </c:pt>
                <c:pt idx="60">
                  <c:v>1.9837063609050851</c:v>
                </c:pt>
                <c:pt idx="61">
                  <c:v>1.9828750008138281</c:v>
                </c:pt>
                <c:pt idx="62">
                  <c:v>1.9820704152083464</c:v>
                </c:pt>
                <c:pt idx="63">
                  <c:v>1.9812906662393364</c:v>
                </c:pt>
                <c:pt idx="64">
                  <c:v>1.9805338757985671</c:v>
                </c:pt>
                <c:pt idx="65">
                  <c:v>1.9797982195420267</c:v>
                </c:pt>
                <c:pt idx="66">
                  <c:v>1.9790819209051644</c:v>
                </c:pt>
                <c:pt idx="67">
                  <c:v>1.978383245072947</c:v>
                </c:pt>
                <c:pt idx="68">
                  <c:v>1.9777004928638415</c:v>
                </c:pt>
                <c:pt idx="69">
                  <c:v>1.9770319944824972</c:v>
                </c:pt>
                <c:pt idx="70">
                  <c:v>1.9763761030906704</c:v>
                </c:pt>
                <c:pt idx="71">
                  <c:v>1.9757311881397008</c:v>
                </c:pt>
                <c:pt idx="72">
                  <c:v>1.9750956284003152</c:v>
                </c:pt>
                <c:pt idx="73">
                  <c:v>1.9744678046165398</c:v>
                </c:pt>
                <c:pt idx="74">
                  <c:v>1.9738460916996563</c:v>
                </c:pt>
                <c:pt idx="75">
                  <c:v>1.9732288503650992</c:v>
                </c:pt>
                <c:pt idx="76">
                  <c:v>1.972614418099452</c:v>
                </c:pt>
                <c:pt idx="77">
                  <c:v>1.972001099325654</c:v>
                </c:pt>
                <c:pt idx="78">
                  <c:v>1.9713871546114097</c:v>
                </c:pt>
                <c:pt idx="79">
                  <c:v>1.970770788737668</c:v>
                </c:pt>
                <c:pt idx="80">
                  <c:v>1.9701501374096126</c:v>
                </c:pt>
                <c:pt idx="81">
                  <c:v>1.9695232523504089</c:v>
                </c:pt>
                <c:pt idx="82">
                  <c:v>1.968888084465914</c:v>
                </c:pt>
                <c:pt idx="83">
                  <c:v>1.9682424647041423</c:v>
                </c:pt>
                <c:pt idx="84">
                  <c:v>1.9675840821531041</c:v>
                </c:pt>
                <c:pt idx="85">
                  <c:v>1.9669104588203874</c:v>
                </c:pt>
                <c:pt idx="86">
                  <c:v>1.9662189204117133</c:v>
                </c:pt>
                <c:pt idx="87">
                  <c:v>1.9655065622661587</c:v>
                </c:pt>
                <c:pt idx="88">
                  <c:v>1.964770209402579</c:v>
                </c:pt>
                <c:pt idx="89">
                  <c:v>1.9640063693714473</c:v>
                </c:pt>
                <c:pt idx="90">
                  <c:v>1.963211176270339</c:v>
                </c:pt>
                <c:pt idx="91">
                  <c:v>1.9623803238444875</c:v>
                </c:pt>
                <c:pt idx="92">
                  <c:v>1.9615089850213818</c:v>
                </c:pt>
                <c:pt idx="93">
                  <c:v>1.9605917144718923</c:v>
                </c:pt>
                <c:pt idx="94">
                  <c:v>1.9596223297816913</c:v>
                </c:pt>
                <c:pt idx="95">
                  <c:v>1.9585937654588088</c:v>
                </c:pt>
                <c:pt idx="96">
                  <c:v>1.9574978921563091</c:v>
                </c:pt>
                <c:pt idx="97">
                  <c:v>1.956325290949628</c:v>
                </c:pt>
                <c:pt idx="98">
                  <c:v>1.9550649689748867</c:v>
                </c:pt>
                <c:pt idx="99">
                  <c:v>1.9537039977558384</c:v>
                </c:pt>
                <c:pt idx="100">
                  <c:v>1.9522270484346718</c:v>
                </c:pt>
                <c:pt idx="101">
                  <c:v>1.9506157878088208</c:v>
                </c:pt>
                <c:pt idx="102">
                  <c:v>1.9488480838776794</c:v>
                </c:pt>
                <c:pt idx="103">
                  <c:v>1.9468969468056656</c:v>
                </c:pt>
                <c:pt idx="104">
                  <c:v>1.9447290963413724</c:v>
                </c:pt>
                <c:pt idx="105">
                  <c:v>1.94230299225324</c:v>
                </c:pt>
                <c:pt idx="106">
                  <c:v>1.9395660771752539</c:v>
                </c:pt>
                <c:pt idx="107">
                  <c:v>1.9364508380533179</c:v>
                </c:pt>
                <c:pt idx="108">
                  <c:v>1.9328690500395993</c:v>
                </c:pt>
                <c:pt idx="109">
                  <c:v>1.9287031425812313</c:v>
                </c:pt>
                <c:pt idx="110">
                  <c:v>1.9237928563571294</c:v>
                </c:pt>
                <c:pt idx="111">
                  <c:v>1.9179138946406298</c:v>
                </c:pt>
                <c:pt idx="112">
                  <c:v>1.9107423425135239</c:v>
                </c:pt>
                <c:pt idx="113">
                  <c:v>1.9017924007836691</c:v>
                </c:pt>
                <c:pt idx="114">
                  <c:v>1.890300749290583</c:v>
                </c:pt>
                <c:pt idx="115">
                  <c:v>1.8749952738638918</c:v>
                </c:pt>
                <c:pt idx="116">
                  <c:v>1.8535862660247182</c:v>
                </c:pt>
                <c:pt idx="117">
                  <c:v>1.8214944227019563</c:v>
                </c:pt>
                <c:pt idx="118">
                  <c:v>1.7680348459626858</c:v>
                </c:pt>
                <c:pt idx="119">
                  <c:v>1.6611530427560333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9D-4C5D-80F2-BA25F16579F9}"/>
            </c:ext>
          </c:extLst>
        </c:ser>
        <c:ser>
          <c:idx val="2"/>
          <c:order val="2"/>
          <c:tx>
            <c:v>id = 2,36 [A]</c:v>
          </c:tx>
          <c:spPr>
            <a:ln w="15875"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'[1]100 A 39, 3 par. rev.'!$AI$36:$AI$157</c:f>
              <c:numCache>
                <c:formatCode>General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'[1]100 A 39, 3 par. rev.'!$AL$36:$AL$157</c:f>
              <c:numCache>
                <c:formatCode>General</c:formatCode>
                <c:ptCount val="122"/>
                <c:pt idx="0">
                  <c:v>2.25</c:v>
                </c:pt>
                <c:pt idx="1">
                  <c:v>2.238697291666667</c:v>
                </c:pt>
                <c:pt idx="2">
                  <c:v>2.2251958048846916</c:v>
                </c:pt>
                <c:pt idx="3">
                  <c:v>2.2123610479798335</c:v>
                </c:pt>
                <c:pt idx="4">
                  <c:v>2.2001596625890225</c:v>
                </c:pt>
                <c:pt idx="5">
                  <c:v>2.1885599498199007</c:v>
                </c:pt>
                <c:pt idx="6">
                  <c:v>2.1775317873921436</c:v>
                </c:pt>
                <c:pt idx="7">
                  <c:v>2.1670465509030303</c:v>
                </c:pt>
                <c:pt idx="8">
                  <c:v>2.1570770390113054</c:v>
                </c:pt>
                <c:pt idx="9">
                  <c:v>2.1475974023436106</c:v>
                </c:pt>
                <c:pt idx="10">
                  <c:v>2.1385830759375031</c:v>
                </c:pt>
                <c:pt idx="11">
                  <c:v>2.1300107150443108</c:v>
                </c:pt>
                <c:pt idx="12">
                  <c:v>2.1218581341238694</c:v>
                </c:pt>
                <c:pt idx="13">
                  <c:v>2.1141042488715036</c:v>
                </c:pt>
                <c:pt idx="14">
                  <c:v>2.1067290211255623</c:v>
                </c:pt>
                <c:pt idx="15">
                  <c:v>2.0997134065113272</c:v>
                </c:pt>
                <c:pt idx="16">
                  <c:v>2.093039304684257</c:v>
                </c:pt>
                <c:pt idx="17">
                  <c:v>2.0866895120423243</c:v>
                </c:pt>
                <c:pt idx="18">
                  <c:v>2.080647676783645</c:v>
                </c:pt>
                <c:pt idx="19">
                  <c:v>2.0748982561917146</c:v>
                </c:pt>
                <c:pt idx="20">
                  <c:v>2.0694264760363725</c:v>
                </c:pt>
                <c:pt idx="21">
                  <c:v>2.0642182919841443</c:v>
                </c:pt>
                <c:pt idx="22">
                  <c:v>2.0592603529168265</c:v>
                </c:pt>
                <c:pt idx="23">
                  <c:v>2.0545399660621615</c:v>
                </c:pt>
                <c:pt idx="24">
                  <c:v>2.0500450638451571</c:v>
                </c:pt>
                <c:pt idx="25">
                  <c:v>2.0457641723730751</c:v>
                </c:pt>
                <c:pt idx="26">
                  <c:v>2.0416863814713548</c:v>
                </c:pt>
                <c:pt idx="27">
                  <c:v>2.0378013161917652</c:v>
                </c:pt>
                <c:pt idx="28">
                  <c:v>2.0340991097178729</c:v>
                </c:pt>
                <c:pt idx="29">
                  <c:v>2.030570377596538</c:v>
                </c:pt>
                <c:pt idx="30">
                  <c:v>2.0272061932275642</c:v>
                </c:pt>
                <c:pt idx="31">
                  <c:v>2.0239980645468569</c:v>
                </c:pt>
                <c:pt idx="32">
                  <c:v>2.0209379118415098</c:v>
                </c:pt>
                <c:pt idx="33">
                  <c:v>2.0180180466381308</c:v>
                </c:pt>
                <c:pt idx="34">
                  <c:v>2.0152311516084382</c:v>
                </c:pt>
                <c:pt idx="35">
                  <c:v>2.0125702614387406</c:v>
                </c:pt>
                <c:pt idx="36">
                  <c:v>2.0100287446123306</c:v>
                </c:pt>
                <c:pt idx="37">
                  <c:v>2.0076002860561029</c:v>
                </c:pt>
                <c:pt idx="38">
                  <c:v>2.005278870604839</c:v>
                </c:pt>
                <c:pt idx="39">
                  <c:v>2.003058767238604</c:v>
                </c:pt>
                <c:pt idx="40">
                  <c:v>2.0009345140505648</c:v>
                </c:pt>
                <c:pt idx="41">
                  <c:v>1.9989009039042727</c:v>
                </c:pt>
                <c:pt idx="42">
                  <c:v>1.9969529707410583</c:v>
                </c:pt>
                <c:pt idx="43">
                  <c:v>1.9950859764996587</c:v>
                </c:pt>
                <c:pt idx="44">
                  <c:v>1.9932953986115489</c:v>
                </c:pt>
                <c:pt idx="45">
                  <c:v>1.9915769180366727</c:v>
                </c:pt>
                <c:pt idx="46">
                  <c:v>1.9899264078053398</c:v>
                </c:pt>
                <c:pt idx="47">
                  <c:v>1.9883399220330362</c:v>
                </c:pt>
                <c:pt idx="48">
                  <c:v>1.9868136853756946</c:v>
                </c:pt>
                <c:pt idx="49">
                  <c:v>1.9853440828936579</c:v>
                </c:pt>
                <c:pt idx="50">
                  <c:v>1.9839276502931029</c:v>
                </c:pt>
                <c:pt idx="51">
                  <c:v>1.9825610645140526</c:v>
                </c:pt>
                <c:pt idx="52">
                  <c:v>1.9812411346343206</c:v>
                </c:pt>
                <c:pt idx="53">
                  <c:v>1.9799647930587549</c:v>
                </c:pt>
                <c:pt idx="54">
                  <c:v>1.9787290869629752</c:v>
                </c:pt>
                <c:pt idx="55">
                  <c:v>1.9775311699604137</c:v>
                </c:pt>
                <c:pt idx="56">
                  <c:v>1.9763682939608525</c:v>
                </c:pt>
                <c:pt idx="57">
                  <c:v>1.9752378011877558</c:v>
                </c:pt>
                <c:pt idx="58">
                  <c:v>1.9741371163205281</c:v>
                </c:pt>
                <c:pt idx="59">
                  <c:v>1.9730637387262888</c:v>
                </c:pt>
                <c:pt idx="60">
                  <c:v>1.9720152347438826</c:v>
                </c:pt>
                <c:pt idx="61">
                  <c:v>1.9709892299804945</c:v>
                </c:pt>
                <c:pt idx="62">
                  <c:v>1.9699834015784032</c:v>
                </c:pt>
                <c:pt idx="63">
                  <c:v>1.9689954704060026</c:v>
                </c:pt>
                <c:pt idx="64">
                  <c:v>1.9680231931231282</c:v>
                </c:pt>
                <c:pt idx="65">
                  <c:v>1.9670643540658366</c:v>
                </c:pt>
                <c:pt idx="66">
                  <c:v>1.9661167568900133</c:v>
                </c:pt>
                <c:pt idx="67">
                  <c:v>1.9651782159062803</c:v>
                </c:pt>
                <c:pt idx="68">
                  <c:v>1.9642465470305084</c:v>
                </c:pt>
                <c:pt idx="69">
                  <c:v>1.9633195582645482</c:v>
                </c:pt>
                <c:pt idx="70">
                  <c:v>1.9623950396102781</c:v>
                </c:pt>
                <c:pt idx="71">
                  <c:v>1.9614707523063675</c:v>
                </c:pt>
                <c:pt idx="72">
                  <c:v>1.9605444172608595</c:v>
                </c:pt>
                <c:pt idx="73">
                  <c:v>1.9596137025332063</c:v>
                </c:pt>
                <c:pt idx="74">
                  <c:v>1.9586762096961099</c:v>
                </c:pt>
                <c:pt idx="75">
                  <c:v>1.9577294588795917</c:v>
                </c:pt>
                <c:pt idx="76">
                  <c:v>1.956770872266119</c:v>
                </c:pt>
                <c:pt idx="77">
                  <c:v>1.9557977557650479</c:v>
                </c:pt>
                <c:pt idx="78">
                  <c:v>1.9548072785455182</c:v>
                </c:pt>
                <c:pt idx="79">
                  <c:v>1.953796450047192</c:v>
                </c:pt>
                <c:pt idx="80">
                  <c:v>1.9527620940153041</c:v>
                </c:pt>
                <c:pt idx="81">
                  <c:v>1.9517008190170755</c:v>
                </c:pt>
                <c:pt idx="82">
                  <c:v>1.9506089847864267</c:v>
                </c:pt>
                <c:pt idx="83">
                  <c:v>1.9494826636076508</c:v>
                </c:pt>
                <c:pt idx="84">
                  <c:v>1.9483175957792305</c:v>
                </c:pt>
                <c:pt idx="85">
                  <c:v>1.947109137987054</c:v>
                </c:pt>
                <c:pt idx="86">
                  <c:v>1.9458522031498087</c:v>
                </c:pt>
                <c:pt idx="87">
                  <c:v>1.9445411899622367</c:v>
                </c:pt>
                <c:pt idx="88">
                  <c:v>1.9431698999328817</c:v>
                </c:pt>
                <c:pt idx="89">
                  <c:v>1.9417314391631137</c:v>
                </c:pt>
                <c:pt idx="90">
                  <c:v>1.9402181014047475</c:v>
                </c:pt>
                <c:pt idx="91">
                  <c:v>1.9386212280111541</c:v>
                </c:pt>
                <c:pt idx="92">
                  <c:v>1.9369310391880485</c:v>
                </c:pt>
                <c:pt idx="93">
                  <c:v>1.9351364293528444</c:v>
                </c:pt>
                <c:pt idx="94">
                  <c:v>1.9332247172816914</c:v>
                </c:pt>
                <c:pt idx="95">
                  <c:v>1.9311813388562449</c:v>
                </c:pt>
                <c:pt idx="96">
                  <c:v>1.9289894663229759</c:v>
                </c:pt>
                <c:pt idx="97">
                  <c:v>1.9266295326162945</c:v>
                </c:pt>
                <c:pt idx="98">
                  <c:v>1.9240786318372054</c:v>
                </c:pt>
                <c:pt idx="99">
                  <c:v>1.9213097564679598</c:v>
                </c:pt>
                <c:pt idx="100">
                  <c:v>1.9182908168870525</c:v>
                </c:pt>
                <c:pt idx="101">
                  <c:v>1.9149833669754872</c:v>
                </c:pt>
                <c:pt idx="102">
                  <c:v>1.9113409275180304</c:v>
                </c:pt>
                <c:pt idx="103">
                  <c:v>1.9073067509723323</c:v>
                </c:pt>
                <c:pt idx="104">
                  <c:v>1.9028107975668629</c:v>
                </c:pt>
                <c:pt idx="105">
                  <c:v>1.8977655776699067</c:v>
                </c:pt>
                <c:pt idx="106">
                  <c:v>1.8920603313419209</c:v>
                </c:pt>
                <c:pt idx="107">
                  <c:v>1.8855527136485561</c:v>
                </c:pt>
                <c:pt idx="108">
                  <c:v>1.8780566426678043</c:v>
                </c:pt>
                <c:pt idx="109">
                  <c:v>1.8693240717478981</c:v>
                </c:pt>
                <c:pt idx="110">
                  <c:v>1.859016819614705</c:v>
                </c:pt>
                <c:pt idx="111">
                  <c:v>1.8466614988072965</c:v>
                </c:pt>
                <c:pt idx="112">
                  <c:v>1.8315743966801907</c:v>
                </c:pt>
                <c:pt idx="113">
                  <c:v>1.8127300174503358</c:v>
                </c:pt>
                <c:pt idx="114">
                  <c:v>1.7885169463143924</c:v>
                </c:pt>
                <c:pt idx="115">
                  <c:v>1.7562495780305585</c:v>
                </c:pt>
                <c:pt idx="116">
                  <c:v>1.7110939201913848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C9D-4C5D-80F2-BA25F16579F9}"/>
            </c:ext>
          </c:extLst>
        </c:ser>
        <c:ser>
          <c:idx val="3"/>
          <c:order val="3"/>
          <c:tx>
            <c:v>id = 3,15 [A]</c:v>
          </c:tx>
          <c:spPr>
            <a:ln w="1587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'100 A 39, 3 par. rev.'!$AI$36:$AI$157</c:f>
              <c:numCache>
                <c:formatCode>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'100 A 39, 3 par. rev.'!$AM$36:$AM$157</c:f>
              <c:numCache>
                <c:formatCode>#,##0.00</c:formatCode>
                <c:ptCount val="122"/>
                <c:pt idx="0">
                  <c:v>2.25</c:v>
                </c:pt>
                <c:pt idx="1">
                  <c:v>2.2349297222222222</c:v>
                </c:pt>
                <c:pt idx="2">
                  <c:v>2.221396641427642</c:v>
                </c:pt>
                <c:pt idx="3">
                  <c:v>2.2085297550184402</c:v>
                </c:pt>
                <c:pt idx="4">
                  <c:v>2.1962956909009885</c:v>
                </c:pt>
                <c:pt idx="5">
                  <c:v>2.1846627359789044</c:v>
                </c:pt>
                <c:pt idx="6">
                  <c:v>2.173600753273786</c:v>
                </c:pt>
                <c:pt idx="7">
                  <c:v>2.163081103169112</c:v>
                </c:pt>
                <c:pt idx="8">
                  <c:v>2.1530765685712856</c:v>
                </c:pt>
                <c:pt idx="9">
                  <c:v>2.1435612837920233</c:v>
                </c:pt>
                <c:pt idx="10">
                  <c:v>2.1345106669660314</c:v>
                </c:pt>
                <c:pt idx="11">
                  <c:v>2.1259013558271391</c:v>
                </c:pt>
                <c:pt idx="12">
                  <c:v>2.117711146674838</c:v>
                </c:pt>
                <c:pt idx="13">
                  <c:v>2.1099189363715034</c:v>
                </c:pt>
                <c:pt idx="14">
                  <c:v>2.1025046672185006</c:v>
                </c:pt>
                <c:pt idx="15">
                  <c:v>2.0954492745668829</c:v>
                </c:pt>
                <c:pt idx="16">
                  <c:v>2.0887346370255266</c:v>
                </c:pt>
                <c:pt idx="17">
                  <c:v>2.0823435291363412</c:v>
                </c:pt>
                <c:pt idx="18">
                  <c:v>2.0762595763925984</c:v>
                </c:pt>
                <c:pt idx="19">
                  <c:v>2.0704672124825638</c:v>
                </c:pt>
                <c:pt idx="20">
                  <c:v>2.0649516386463835</c:v>
                </c:pt>
                <c:pt idx="21">
                  <c:v>2.0596987850396999</c:v>
                </c:pt>
                <c:pt idx="22">
                  <c:v>2.0546952740026851</c:v>
                </c:pt>
                <c:pt idx="23">
                  <c:v>2.0499283851381254</c:v>
                </c:pt>
                <c:pt idx="24">
                  <c:v>2.0453860221068982</c:v>
                </c:pt>
                <c:pt idx="25">
                  <c:v>2.0410566810536301</c:v>
                </c:pt>
                <c:pt idx="26">
                  <c:v>2.0369294205795416</c:v>
                </c:pt>
                <c:pt idx="27">
                  <c:v>2.0329938331834909</c:v>
                </c:pt>
                <c:pt idx="28">
                  <c:v>2.0292400180960088</c:v>
                </c:pt>
                <c:pt idx="29">
                  <c:v>2.0256585554347022</c:v>
                </c:pt>
                <c:pt idx="30">
                  <c:v>2.0222404816127901</c:v>
                </c:pt>
                <c:pt idx="31">
                  <c:v>2.0189772659357454</c:v>
                </c:pt>
                <c:pt idx="32">
                  <c:v>2.0158607883240318</c:v>
                </c:pt>
                <c:pt idx="33">
                  <c:v>2.0128833181027774</c:v>
                </c:pt>
                <c:pt idx="34">
                  <c:v>2.0100374938019252</c:v>
                </c:pt>
                <c:pt idx="35">
                  <c:v>2.0073163039129009</c:v>
                </c:pt>
                <c:pt idx="36">
                  <c:v>2.004713068550239</c:v>
                </c:pt>
                <c:pt idx="37">
                  <c:v>2.0022214219688017</c:v>
                </c:pt>
                <c:pt idx="38">
                  <c:v>1.9998352958893104</c:v>
                </c:pt>
                <c:pt idx="39">
                  <c:v>1.9975489035868423</c:v>
                </c:pt>
                <c:pt idx="40">
                  <c:v>1.9953567246987129</c:v>
                </c:pt>
                <c:pt idx="41">
                  <c:v>1.993253490709828</c:v>
                </c:pt>
                <c:pt idx="42">
                  <c:v>1.9912341710750949</c:v>
                </c:pt>
                <c:pt idx="43">
                  <c:v>1.9892939599398294</c:v>
                </c:pt>
                <c:pt idx="44">
                  <c:v>1.9874282634203511</c:v>
                </c:pt>
                <c:pt idx="45">
                  <c:v>1.9856326874080177</c:v>
                </c:pt>
                <c:pt idx="46">
                  <c:v>1.9839030258608956</c:v>
                </c:pt>
                <c:pt idx="47">
                  <c:v>1.9822352495480513</c:v>
                </c:pt>
                <c:pt idx="48">
                  <c:v>1.9806254952120723</c:v>
                </c:pt>
                <c:pt idx="49">
                  <c:v>1.9790700551158804</c:v>
                </c:pt>
                <c:pt idx="50">
                  <c:v>1.977565366940208</c:v>
                </c:pt>
                <c:pt idx="51">
                  <c:v>1.9761080039981795</c:v>
                </c:pt>
                <c:pt idx="52">
                  <c:v>1.9746946657333542</c:v>
                </c:pt>
                <c:pt idx="53">
                  <c:v>1.9733221684672515</c:v>
                </c:pt>
                <c:pt idx="54">
                  <c:v>1.9719874363618146</c:v>
                </c:pt>
                <c:pt idx="55">
                  <c:v>1.9706874925614237</c:v>
                </c:pt>
                <c:pt idx="56">
                  <c:v>1.9694194504779461</c:v>
                </c:pt>
                <c:pt idx="57">
                  <c:v>1.9681805051808112</c:v>
                </c:pt>
                <c:pt idx="58">
                  <c:v>1.966967924852274</c:v>
                </c:pt>
                <c:pt idx="59">
                  <c:v>1.9657790422657151</c:v>
                </c:pt>
                <c:pt idx="60">
                  <c:v>1.9646112462420611</c:v>
                </c:pt>
                <c:pt idx="61">
                  <c:v>1.9634619730360503</c:v>
                </c:pt>
                <c:pt idx="62">
                  <c:v>1.9623286976000602</c:v>
                </c:pt>
                <c:pt idx="63">
                  <c:v>1.961208924668455</c:v>
                </c:pt>
                <c:pt idx="64">
                  <c:v>1.9601001795997364</c:v>
                </c:pt>
                <c:pt idx="65">
                  <c:v>1.9589999989071063</c:v>
                </c:pt>
                <c:pt idx="66">
                  <c:v>1.9579059204001144</c:v>
                </c:pt>
                <c:pt idx="67">
                  <c:v>1.9568154728507248</c:v>
                </c:pt>
                <c:pt idx="68">
                  <c:v>1.9557261650860638</c:v>
                </c:pt>
                <c:pt idx="69">
                  <c:v>1.9546354743970269</c:v>
                </c:pt>
                <c:pt idx="70">
                  <c:v>1.9535408341364222</c:v>
                </c:pt>
                <c:pt idx="71">
                  <c:v>1.9524396203619228</c:v>
                </c:pt>
                <c:pt idx="72">
                  <c:v>1.9513291373572312</c:v>
                </c:pt>
                <c:pt idx="73">
                  <c:v>1.9502066018387618</c:v>
                </c:pt>
                <c:pt idx="74">
                  <c:v>1.9490691256240062</c:v>
                </c:pt>
                <c:pt idx="75">
                  <c:v>1.9479136965003645</c:v>
                </c:pt>
                <c:pt idx="76">
                  <c:v>1.9467371569883414</c:v>
                </c:pt>
                <c:pt idx="77">
                  <c:v>1.9455361806387852</c:v>
                </c:pt>
                <c:pt idx="78">
                  <c:v>1.9443072454382833</c:v>
                </c:pt>
                <c:pt idx="79">
                  <c:v>1.9430466038170333</c:v>
                </c:pt>
                <c:pt idx="80">
                  <c:v>1.9417502486562253</c:v>
                </c:pt>
                <c:pt idx="81">
                  <c:v>1.9404138745726311</c:v>
                </c:pt>
                <c:pt idx="82">
                  <c:v>1.939032833611213</c:v>
                </c:pt>
                <c:pt idx="83">
                  <c:v>1.9376020842947856</c:v>
                </c:pt>
                <c:pt idx="84">
                  <c:v>1.9361161327537051</c:v>
                </c:pt>
                <c:pt idx="85">
                  <c:v>1.9345689643759429</c:v>
                </c:pt>
                <c:pt idx="86">
                  <c:v>1.9329539640625071</c:v>
                </c:pt>
                <c:pt idx="87">
                  <c:v>1.9312638227236747</c:v>
                </c:pt>
                <c:pt idx="88">
                  <c:v>1.9294904270793467</c:v>
                </c:pt>
                <c:pt idx="89">
                  <c:v>1.9276247290936694</c:v>
                </c:pt>
                <c:pt idx="90">
                  <c:v>1.9256565904280449</c:v>
                </c:pt>
                <c:pt idx="91">
                  <c:v>1.9235745960667097</c:v>
                </c:pt>
                <c:pt idx="92">
                  <c:v>1.9213658296573972</c:v>
                </c:pt>
                <c:pt idx="93">
                  <c:v>1.9190156009798287</c:v>
                </c:pt>
                <c:pt idx="94">
                  <c:v>1.9165071131150249</c:v>
                </c:pt>
                <c:pt idx="95">
                  <c:v>1.9138210530656463</c:v>
                </c:pt>
                <c:pt idx="96">
                  <c:v>1.9109350843785315</c:v>
                </c:pt>
                <c:pt idx="97">
                  <c:v>1.90782321317185</c:v>
                </c:pt>
                <c:pt idx="98">
                  <c:v>1.9044549890231959</c:v>
                </c:pt>
                <c:pt idx="99">
                  <c:v>1.9007944881598788</c:v>
                </c:pt>
                <c:pt idx="100">
                  <c:v>1.8967990063711795</c:v>
                </c:pt>
                <c:pt idx="101">
                  <c:v>1.892417360031043</c:v>
                </c:pt>
                <c:pt idx="102">
                  <c:v>1.8875876508367437</c:v>
                </c:pt>
                <c:pt idx="103">
                  <c:v>1.8822342856945544</c:v>
                </c:pt>
                <c:pt idx="104">
                  <c:v>1.8762639450341829</c:v>
                </c:pt>
                <c:pt idx="105">
                  <c:v>1.8695600394754623</c:v>
                </c:pt>
                <c:pt idx="106">
                  <c:v>1.8619749493974764</c:v>
                </c:pt>
                <c:pt idx="107">
                  <c:v>1.8533189388469689</c:v>
                </c:pt>
                <c:pt idx="108">
                  <c:v>1.843343953031052</c:v>
                </c:pt>
                <c:pt idx="109">
                  <c:v>1.8317193148034536</c:v>
                </c:pt>
                <c:pt idx="110">
                  <c:v>1.817994164942988</c:v>
                </c:pt>
                <c:pt idx="111">
                  <c:v>1.8015373668628523</c:v>
                </c:pt>
                <c:pt idx="112">
                  <c:v>1.7814373480690797</c:v>
                </c:pt>
                <c:pt idx="113">
                  <c:v>1.7563268230058913</c:v>
                </c:pt>
                <c:pt idx="114">
                  <c:v>1.7240572786556623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C9D-4C5D-80F2-BA25F16579F9}"/>
            </c:ext>
          </c:extLst>
        </c:ser>
        <c:ser>
          <c:idx val="6"/>
          <c:order val="6"/>
          <c:tx>
            <c:v>id = 8,92 [A]</c:v>
          </c:tx>
          <c:spPr>
            <a:ln w="15875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'[1]100 A 39, 3 par. rev.'!$AI$36:$AI$157</c:f>
              <c:numCache>
                <c:formatCode>General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'[1]100 A 39, 3 par. rev.'!$AP$36:$AP$157</c:f>
              <c:numCache>
                <c:formatCode>General</c:formatCode>
                <c:ptCount val="122"/>
                <c:pt idx="0">
                  <c:v>2.25</c:v>
                </c:pt>
                <c:pt idx="1">
                  <c:v>2.2073783333333332</c:v>
                </c:pt>
                <c:pt idx="2">
                  <c:v>2.1936142126227867</c:v>
                </c:pt>
                <c:pt idx="3">
                  <c:v>2.1805123703668396</c:v>
                </c:pt>
                <c:pt idx="4">
                  <c:v>2.1680393340633817</c:v>
                </c:pt>
                <c:pt idx="5">
                  <c:v>2.1561632867451879</c:v>
                </c:pt>
                <c:pt idx="6">
                  <c:v>2.1448539839501146</c:v>
                </c:pt>
                <c:pt idx="7">
                  <c:v>2.1340826748065389</c:v>
                </c:pt>
                <c:pt idx="8">
                  <c:v>2.1238220270275296</c:v>
                </c:pt>
                <c:pt idx="9">
                  <c:v>2.1140460556174201</c:v>
                </c:pt>
                <c:pt idx="10">
                  <c:v>2.1047300551041692</c:v>
                </c:pt>
                <c:pt idx="11">
                  <c:v>2.0958505351200682</c:v>
                </c:pt>
                <c:pt idx="12">
                  <c:v>2.0873851591620958</c:v>
                </c:pt>
                <c:pt idx="13">
                  <c:v>2.0793126863715035</c:v>
                </c:pt>
                <c:pt idx="14">
                  <c:v>2.0716129161800794</c:v>
                </c:pt>
                <c:pt idx="15">
                  <c:v>2.0642666356779937</c:v>
                </c:pt>
                <c:pt idx="16">
                  <c:v>2.0572555695652093</c:v>
                </c:pt>
                <c:pt idx="17">
                  <c:v>2.0505623325551445</c:v>
                </c:pt>
                <c:pt idx="18">
                  <c:v>2.0441703841056516</c:v>
                </c:pt>
                <c:pt idx="19">
                  <c:v>2.0380639853583808</c:v>
                </c:pt>
                <c:pt idx="20">
                  <c:v>2.0322281581733361</c:v>
                </c:pt>
                <c:pt idx="21">
                  <c:v>2.0266486461508113</c:v>
                </c:pt>
                <c:pt idx="22">
                  <c:v>2.0213118775380385</c:v>
                </c:pt>
                <c:pt idx="23">
                  <c:v>2.0162049299227056</c:v>
                </c:pt>
                <c:pt idx="24">
                  <c:v>2.0113154966200715</c:v>
                </c:pt>
                <c:pt idx="25">
                  <c:v>2.0066318546647413</c:v>
                </c:pt>
                <c:pt idx="26">
                  <c:v>2.0021428343222318</c:v>
                </c:pt>
                <c:pt idx="27">
                  <c:v>1.9978377900392827</c:v>
                </c:pt>
                <c:pt idx="28">
                  <c:v>1.993706572755507</c:v>
                </c:pt>
                <c:pt idx="29">
                  <c:v>1.9897395035023353</c:v>
                </c:pt>
                <c:pt idx="30">
                  <c:v>1.9859273482184068</c:v>
                </c:pt>
                <c:pt idx="31">
                  <c:v>1.9822612937135236</c:v>
                </c:pt>
                <c:pt idx="32">
                  <c:v>1.9787329247160419</c:v>
                </c:pt>
                <c:pt idx="33">
                  <c:v>1.975334201941161</c:v>
                </c:pt>
                <c:pt idx="34">
                  <c:v>1.9720574411199325</c:v>
                </c:pt>
                <c:pt idx="35">
                  <c:v>1.9688952929309884</c:v>
                </c:pt>
                <c:pt idx="36">
                  <c:v>1.9658407237789974</c:v>
                </c:pt>
                <c:pt idx="37">
                  <c:v>1.9628869973656269</c:v>
                </c:pt>
                <c:pt idx="38">
                  <c:v>1.9600276570004218</c:v>
                </c:pt>
                <c:pt idx="39">
                  <c:v>1.9572565086003926</c:v>
                </c:pt>
                <c:pt idx="40">
                  <c:v>1.9545676043283424</c:v>
                </c:pt>
                <c:pt idx="41">
                  <c:v>1.951955226820939</c:v>
                </c:pt>
                <c:pt idx="42">
                  <c:v>1.949413873958358</c:v>
                </c:pt>
                <c:pt idx="43">
                  <c:v>1.9469382441278635</c:v>
                </c:pt>
                <c:pt idx="44">
                  <c:v>1.9445232219340596</c:v>
                </c:pt>
                <c:pt idx="45">
                  <c:v>1.9421638643086025</c:v>
                </c:pt>
                <c:pt idx="46">
                  <c:v>1.9398553869720068</c:v>
                </c:pt>
                <c:pt idx="47">
                  <c:v>1.9375931511997031</c:v>
                </c:pt>
                <c:pt idx="48">
                  <c:v>1.9353726508437312</c:v>
                </c:pt>
                <c:pt idx="49">
                  <c:v>1.9331894995603247</c:v>
                </c:pt>
                <c:pt idx="50">
                  <c:v>1.931039418192164</c:v>
                </c:pt>
                <c:pt idx="51">
                  <c:v>1.9289182222521477</c:v>
                </c:pt>
                <c:pt idx="52">
                  <c:v>1.9268218094531608</c:v>
                </c:pt>
                <c:pt idx="53">
                  <c:v>1.9247461472254217</c:v>
                </c:pt>
                <c:pt idx="54">
                  <c:v>1.9226872601594929</c:v>
                </c:pt>
                <c:pt idx="55">
                  <c:v>1.9206412173088985</c:v>
                </c:pt>
                <c:pt idx="56">
                  <c:v>1.9186041192813652</c:v>
                </c:pt>
                <c:pt idx="57">
                  <c:v>1.9165720850419223</c:v>
                </c:pt>
                <c:pt idx="58">
                  <c:v>1.9145412383443376</c:v>
                </c:pt>
                <c:pt idx="59">
                  <c:v>1.912507693699407</c:v>
                </c:pt>
                <c:pt idx="60">
                  <c:v>1.9104675417794019</c:v>
                </c:pt>
                <c:pt idx="61">
                  <c:v>1.9084168341471615</c:v>
                </c:pt>
                <c:pt idx="62">
                  <c:v>1.9063515671857478</c:v>
                </c:pt>
                <c:pt idx="63">
                  <c:v>1.9042676650899109</c:v>
                </c:pt>
                <c:pt idx="64">
                  <c:v>1.9021609617634792</c:v>
                </c:pt>
                <c:pt idx="65">
                  <c:v>1.9000271814467888</c:v>
                </c:pt>
                <c:pt idx="66">
                  <c:v>1.8978619178748617</c:v>
                </c:pt>
                <c:pt idx="67">
                  <c:v>1.8956606117396135</c:v>
                </c:pt>
                <c:pt idx="68">
                  <c:v>1.893418526197175</c:v>
                </c:pt>
                <c:pt idx="69">
                  <c:v>1.8911307201235228</c:v>
                </c:pt>
                <c:pt idx="70">
                  <c:v>1.8887920187769449</c:v>
                </c:pt>
                <c:pt idx="71">
                  <c:v>1.8863969814730341</c:v>
                </c:pt>
                <c:pt idx="72">
                  <c:v>1.8839398658152813</c:v>
                </c:pt>
                <c:pt idx="73">
                  <c:v>1.8814145879498732</c:v>
                </c:pt>
                <c:pt idx="74">
                  <c:v>1.8788146782244788</c:v>
                </c:pt>
                <c:pt idx="75">
                  <c:v>1.8761332315245192</c:v>
                </c:pt>
                <c:pt idx="76">
                  <c:v>1.8733628514327856</c:v>
                </c:pt>
                <c:pt idx="77">
                  <c:v>1.870495587204442</c:v>
                </c:pt>
                <c:pt idx="78">
                  <c:v>1.8675228623633477</c:v>
                </c:pt>
                <c:pt idx="79">
                  <c:v>1.864435393499573</c:v>
                </c:pt>
                <c:pt idx="80">
                  <c:v>1.8612230975722146</c:v>
                </c:pt>
                <c:pt idx="81">
                  <c:v>1.8578749856837422</c:v>
                </c:pt>
                <c:pt idx="82">
                  <c:v>1.8543790408761704</c:v>
                </c:pt>
                <c:pt idx="83">
                  <c:v>1.850722076984844</c:v>
                </c:pt>
                <c:pt idx="84">
                  <c:v>1.8468895749458971</c:v>
                </c:pt>
                <c:pt idx="85">
                  <c:v>1.8428654921537209</c:v>
                </c:pt>
                <c:pt idx="86">
                  <c:v>1.8386320394593325</c:v>
                </c:pt>
                <c:pt idx="87">
                  <c:v>1.8341694191289035</c:v>
                </c:pt>
                <c:pt idx="88">
                  <c:v>1.8294555154631851</c:v>
                </c:pt>
                <c:pt idx="89">
                  <c:v>1.8244655277047805</c:v>
                </c:pt>
                <c:pt idx="90">
                  <c:v>1.8191715321843176</c:v>
                </c:pt>
                <c:pt idx="91">
                  <c:v>1.8135419571778209</c:v>
                </c:pt>
                <c:pt idx="92">
                  <c:v>1.8075409493891978</c:v>
                </c:pt>
                <c:pt idx="93">
                  <c:v>1.8011276049480827</c:v>
                </c:pt>
                <c:pt idx="94">
                  <c:v>1.7942550297816915</c:v>
                </c:pt>
                <c:pt idx="95">
                  <c:v>1.786869183407527</c:v>
                </c:pt>
                <c:pt idx="96">
                  <c:v>1.7789074454896423</c:v>
                </c:pt>
                <c:pt idx="97">
                  <c:v>1.7702968242829611</c:v>
                </c:pt>
                <c:pt idx="98">
                  <c:v>1.7609516979603939</c:v>
                </c:pt>
                <c:pt idx="99">
                  <c:v>1.7507709401800808</c:v>
                </c:pt>
                <c:pt idx="100">
                  <c:v>1.7396342246251477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C9D-4C5D-80F2-BA25F16579F9}"/>
            </c:ext>
          </c:extLst>
        </c:ser>
        <c:ser>
          <c:idx val="8"/>
          <c:order val="8"/>
          <c:tx>
            <c:v>id = In = 12,5 [A]</c:v>
          </c:tx>
          <c:spPr>
            <a:ln w="158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'100 A 39, 3 par. rev.'!$AI$36:$AI$157</c:f>
              <c:numCache>
                <c:formatCode>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'100 A 39, 3 par. rev.'!$AR$36:$AR$157</c:f>
              <c:numCache>
                <c:formatCode>#,##0.00</c:formatCode>
                <c:ptCount val="122"/>
                <c:pt idx="0">
                  <c:v>2.25</c:v>
                </c:pt>
                <c:pt idx="1">
                  <c:v>2.1902499999999998</c:v>
                </c:pt>
                <c:pt idx="2">
                  <c:v>2.1763422448356717</c:v>
                </c:pt>
                <c:pt idx="3">
                  <c:v>2.1630943336436754</c:v>
                </c:pt>
                <c:pt idx="4">
                  <c:v>2.1504727314992791</c:v>
                </c:pt>
                <c:pt idx="5">
                  <c:v>2.1384455568601308</c:v>
                </c:pt>
                <c:pt idx="6">
                  <c:v>2.1269824984428678</c:v>
                </c:pt>
                <c:pt idx="7">
                  <c:v>2.1160547362100481</c:v>
                </c:pt>
                <c:pt idx="8">
                  <c:v>2.105634866260568</c:v>
                </c:pt>
                <c:pt idx="9">
                  <c:v>2.0956968294269438</c:v>
                </c:pt>
                <c:pt idx="10">
                  <c:v>2.0862158433924574</c:v>
                </c:pt>
                <c:pt idx="11">
                  <c:v>2.0771683381503716</c:v>
                </c:pt>
                <c:pt idx="12">
                  <c:v>2.0685318946361018</c:v>
                </c:pt>
                <c:pt idx="13">
                  <c:v>2.060285186371503</c:v>
                </c:pt>
                <c:pt idx="14">
                  <c:v>2.0524079239682411</c:v>
                </c:pt>
                <c:pt idx="15">
                  <c:v>2.0448808023446605</c:v>
                </c:pt>
                <c:pt idx="16">
                  <c:v>2.0376854505175905</c:v>
                </c:pt>
                <c:pt idx="17">
                  <c:v>2.0308043838371961</c:v>
                </c:pt>
                <c:pt idx="18">
                  <c:v>2.0242209585393085</c:v>
                </c:pt>
                <c:pt idx="19">
                  <c:v>2.017919328495636</c:v>
                </c:pt>
                <c:pt idx="20">
                  <c:v>2.0118844040479233</c:v>
                </c:pt>
                <c:pt idx="21">
                  <c:v>2.0061018128174779</c:v>
                </c:pt>
                <c:pt idx="22">
                  <c:v>2.0005578623865232</c:v>
                </c:pt>
                <c:pt idx="23">
                  <c:v>1.9952395047526379</c:v>
                </c:pt>
                <c:pt idx="24">
                  <c:v>1.9901343024619957</c:v>
                </c:pt>
                <c:pt idx="25">
                  <c:v>1.985230396331408</c:v>
                </c:pt>
                <c:pt idx="26">
                  <c:v>1.9805164746731092</c:v>
                </c:pt>
                <c:pt idx="27">
                  <c:v>1.9759817439399923</c:v>
                </c:pt>
                <c:pt idx="28">
                  <c:v>1.9716159007124963</c:v>
                </c:pt>
                <c:pt idx="29">
                  <c:v>1.9674091049516103</c:v>
                </c:pt>
                <c:pt idx="30">
                  <c:v>1.9633519544455129</c:v>
                </c:pt>
                <c:pt idx="31">
                  <c:v>1.9594354603801902</c:v>
                </c:pt>
                <c:pt idx="32">
                  <c:v>1.955651023966978</c:v>
                </c:pt>
                <c:pt idx="33">
                  <c:v>1.9519904140623734</c:v>
                </c:pt>
                <c:pt idx="34">
                  <c:v>1.9484457457176336</c:v>
                </c:pt>
                <c:pt idx="35">
                  <c:v>1.9450094595976553</c:v>
                </c:pt>
                <c:pt idx="36">
                  <c:v>1.9416743022103697</c:v>
                </c:pt>
                <c:pt idx="37">
                  <c:v>1.9384333068894364</c:v>
                </c:pt>
                <c:pt idx="38">
                  <c:v>1.9352797754743172</c:v>
                </c:pt>
                <c:pt idx="39">
                  <c:v>1.932207260632913</c:v>
                </c:pt>
                <c:pt idx="40">
                  <c:v>1.9292095487727867</c:v>
                </c:pt>
                <c:pt idx="41">
                  <c:v>1.9262806434876059</c:v>
                </c:pt>
                <c:pt idx="42">
                  <c:v>1.9234147494857841</c:v>
                </c:pt>
                <c:pt idx="43">
                  <c:v>1.9206062569483764</c:v>
                </c:pt>
                <c:pt idx="44">
                  <c:v>1.9178497262630643</c:v>
                </c:pt>
                <c:pt idx="45">
                  <c:v>1.9151398730805322</c:v>
                </c:pt>
                <c:pt idx="46">
                  <c:v>1.9124715536386734</c:v>
                </c:pt>
                <c:pt idx="47">
                  <c:v>1.9098397502988023</c:v>
                </c:pt>
                <c:pt idx="48">
                  <c:v>1.9072395572364254</c:v>
                </c:pt>
                <c:pt idx="49">
                  <c:v>1.9046661662269913</c:v>
                </c:pt>
                <c:pt idx="50">
                  <c:v>1.9021148524644647</c:v>
                </c:pt>
                <c:pt idx="51">
                  <c:v>1.8995809603473859</c:v>
                </c:pt>
                <c:pt idx="52">
                  <c:v>1.8970598891633061</c:v>
                </c:pt>
                <c:pt idx="53">
                  <c:v>1.8945470785979706</c:v>
                </c:pt>
                <c:pt idx="54">
                  <c:v>1.8920379939903385</c:v>
                </c:pt>
                <c:pt idx="55">
                  <c:v>1.8895281112482927</c:v>
                </c:pt>
                <c:pt idx="56">
                  <c:v>1.8870129013326473</c:v>
                </c:pt>
                <c:pt idx="57">
                  <c:v>1.8844878142085892</c:v>
                </c:pt>
                <c:pt idx="58">
                  <c:v>1.8819482621538615</c:v>
                </c:pt>
                <c:pt idx="59">
                  <c:v>1.8793896023015575</c:v>
                </c:pt>
                <c:pt idx="60">
                  <c:v>1.8768071182821342</c:v>
                </c:pt>
                <c:pt idx="61">
                  <c:v>1.8741960008138279</c:v>
                </c:pt>
                <c:pt idx="62">
                  <c:v>1.8715513270727533</c:v>
                </c:pt>
                <c:pt idx="63">
                  <c:v>1.8688680386531293</c:v>
                </c:pt>
                <c:pt idx="64">
                  <c:v>1.8661409179038302</c:v>
                </c:pt>
                <c:pt idx="65">
                  <c:v>1.8633645623991697</c:v>
                </c:pt>
                <c:pt idx="66">
                  <c:v>1.860533357268801</c:v>
                </c:pt>
                <c:pt idx="67">
                  <c:v>1.8576414450729468</c:v>
                </c:pt>
                <c:pt idx="68">
                  <c:v>1.8546826928638416</c:v>
                </c:pt>
                <c:pt idx="69">
                  <c:v>1.8516506560209587</c:v>
                </c:pt>
                <c:pt idx="70">
                  <c:v>1.8485385383847883</c:v>
                </c:pt>
                <c:pt idx="71">
                  <c:v>1.8453391481397008</c:v>
                </c:pt>
                <c:pt idx="72">
                  <c:v>1.8420448488084784</c:v>
                </c:pt>
                <c:pt idx="73">
                  <c:v>1.83864750461654</c:v>
                </c:pt>
                <c:pt idx="74">
                  <c:v>1.8351384193592308</c:v>
                </c:pt>
                <c:pt idx="75">
                  <c:v>1.8315082677564034</c:v>
                </c:pt>
                <c:pt idx="76">
                  <c:v>1.8277470180994524</c:v>
                </c:pt>
                <c:pt idx="77">
                  <c:v>1.8238438447801995</c:v>
                </c:pt>
                <c:pt idx="78">
                  <c:v>1.8197870290300142</c:v>
                </c:pt>
                <c:pt idx="79">
                  <c:v>1.8155638458805252</c:v>
                </c:pt>
                <c:pt idx="80">
                  <c:v>1.8111604349705883</c:v>
                </c:pt>
                <c:pt idx="81">
                  <c:v>1.8065616523504089</c:v>
                </c:pt>
                <c:pt idx="82">
                  <c:v>1.8017508998505294</c:v>
                </c:pt>
                <c:pt idx="83">
                  <c:v>1.7967099278620369</c:v>
                </c:pt>
                <c:pt idx="84">
                  <c:v>1.7914186064774287</c:v>
                </c:pt>
                <c:pt idx="85">
                  <c:v>1.7858546588203876</c:v>
                </c:pt>
                <c:pt idx="86">
                  <c:v>1.7799933489831419</c:v>
                </c:pt>
                <c:pt idx="87">
                  <c:v>1.7738071152073349</c:v>
                </c:pt>
                <c:pt idx="88">
                  <c:v>1.767265136675306</c:v>
                </c:pt>
                <c:pt idx="89">
                  <c:v>1.7603328193714471</c:v>
                </c:pt>
                <c:pt idx="90">
                  <c:v>1.7529711827219516</c:v>
                </c:pt>
                <c:pt idx="91">
                  <c:v>1.7451361238444874</c:v>
                </c:pt>
                <c:pt idx="92">
                  <c:v>1.7367775298489678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C9D-4C5D-80F2-BA25F16579F9}"/>
            </c:ext>
          </c:extLst>
        </c:ser>
        <c:ser>
          <c:idx val="9"/>
          <c:order val="9"/>
          <c:tx>
            <c:v>id = 26,17 [A]</c:v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'100 A 39, 3 par. rev.'!$AI$36:$AI$157</c:f>
              <c:numCache>
                <c:formatCode>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'100 A 39, 3 par. rev.'!$AS$36:$AS$157</c:f>
              <c:numCache>
                <c:formatCode>#,##0.00</c:formatCode>
                <c:ptCount val="122"/>
                <c:pt idx="0">
                  <c:v>2.25</c:v>
                </c:pt>
                <c:pt idx="1">
                  <c:v>2.1249233333333333</c:v>
                </c:pt>
                <c:pt idx="2">
                  <c:v>2.1104677630429545</c:v>
                </c:pt>
                <c:pt idx="3">
                  <c:v>2.0966627517227714</c:v>
                </c:pt>
                <c:pt idx="4">
                  <c:v>2.0834745263710737</c:v>
                </c:pt>
                <c:pt idx="5">
                  <c:v>2.0708709591589813</c:v>
                </c:pt>
                <c:pt idx="6">
                  <c:v>2.0588214839501142</c:v>
                </c:pt>
                <c:pt idx="7">
                  <c:v>2.0472970169118021</c:v>
                </c:pt>
                <c:pt idx="8">
                  <c:v>2.0362698810098303</c:v>
                </c:pt>
                <c:pt idx="9">
                  <c:v>2.0257137341888485</c:v>
                </c:pt>
                <c:pt idx="10">
                  <c:v>2.0156035010501157</c:v>
                </c:pt>
                <c:pt idx="11">
                  <c:v>2.0059153078473413</c:v>
                </c:pt>
                <c:pt idx="12">
                  <c:v>1.9966264206299857</c:v>
                </c:pt>
                <c:pt idx="13">
                  <c:v>1.9877151863715035</c:v>
                </c:pt>
                <c:pt idx="14">
                  <c:v>1.9791609769277427</c:v>
                </c:pt>
                <c:pt idx="15">
                  <c:v>1.970944135677994</c:v>
                </c:pt>
                <c:pt idx="16">
                  <c:v>1.9630459267080664</c:v>
                </c:pt>
                <c:pt idx="17">
                  <c:v>1.9554484864012984</c:v>
                </c:pt>
                <c:pt idx="18">
                  <c:v>1.948134777309535</c:v>
                </c:pt>
                <c:pt idx="19">
                  <c:v>1.9410885441819108</c:v>
                </c:pt>
                <c:pt idx="20">
                  <c:v>1.9342942720347225</c:v>
                </c:pt>
                <c:pt idx="21">
                  <c:v>1.927737146150811</c:v>
                </c:pt>
                <c:pt idx="22">
                  <c:v>1.9214030139016749</c:v>
                </c:pt>
                <c:pt idx="23">
                  <c:v>1.9152783482900526</c:v>
                </c:pt>
                <c:pt idx="24">
                  <c:v>1.9093502131149167</c:v>
                </c:pt>
                <c:pt idx="25">
                  <c:v>1.9036062296647414</c:v>
                </c:pt>
                <c:pt idx="26">
                  <c:v>1.8980345448485476</c:v>
                </c:pt>
                <c:pt idx="27">
                  <c:v>1.8926238006775806</c:v>
                </c:pt>
                <c:pt idx="28">
                  <c:v>1.8873631050135717</c:v>
                </c:pt>
                <c:pt idx="29">
                  <c:v>1.8822420035023351</c:v>
                </c:pt>
                <c:pt idx="30">
                  <c:v>1.877250452614011</c:v>
                </c:pt>
                <c:pt idx="31">
                  <c:v>1.8723787937135234</c:v>
                </c:pt>
                <c:pt idx="32">
                  <c:v>1.867617728086828</c:v>
                </c:pt>
                <c:pt idx="33">
                  <c:v>1.8629582928502522</c:v>
                </c:pt>
                <c:pt idx="34">
                  <c:v>1.8583918376716566</c:v>
                </c:pt>
                <c:pt idx="35">
                  <c:v>1.8539100022333141</c:v>
                </c:pt>
                <c:pt idx="36">
                  <c:v>1.8495046943672324</c:v>
                </c:pt>
                <c:pt idx="37">
                  <c:v>1.8451680687941985</c:v>
                </c:pt>
                <c:pt idx="38">
                  <c:v>1.8408925063980117</c:v>
                </c:pt>
                <c:pt idx="39">
                  <c:v>1.8366705939662462</c:v>
                </c:pt>
                <c:pt idx="40">
                  <c:v>1.8324951043283424</c:v>
                </c:pt>
                <c:pt idx="41">
                  <c:v>1.8283589768209392</c:v>
                </c:pt>
                <c:pt idx="42">
                  <c:v>1.8242552980089908</c:v>
                </c:pt>
                <c:pt idx="43">
                  <c:v>1.820177282589402</c:v>
                </c:pt>
                <c:pt idx="44">
                  <c:v>1.8161182544015924</c:v>
                </c:pt>
                <c:pt idx="45">
                  <c:v>1.8120716274664972</c:v>
                </c:pt>
                <c:pt idx="46">
                  <c:v>1.8080308869720065</c:v>
                </c:pt>
                <c:pt idx="47">
                  <c:v>1.8039895701186222</c:v>
                </c:pt>
                <c:pt idx="48">
                  <c:v>1.7999412467341422</c:v>
                </c:pt>
                <c:pt idx="49">
                  <c:v>1.7958794995603244</c:v>
                </c:pt>
                <c:pt idx="50">
                  <c:v>1.791797904107657</c:v>
                </c:pt>
                <c:pt idx="51">
                  <c:v>1.7876900079664335</c:v>
                </c:pt>
                <c:pt idx="52">
                  <c:v>1.7835493094531611</c:v>
                </c:pt>
                <c:pt idx="53">
                  <c:v>1.7793692354607156</c:v>
                </c:pt>
                <c:pt idx="54">
                  <c:v>1.7751431183684478</c:v>
                </c:pt>
                <c:pt idx="55">
                  <c:v>1.7708641718543532</c:v>
                </c:pt>
                <c:pt idx="56">
                  <c:v>1.7665254654352114</c:v>
                </c:pt>
                <c:pt idx="57">
                  <c:v>1.7621198975419226</c:v>
                </c:pt>
                <c:pt idx="58">
                  <c:v>1.7576401669157664</c:v>
                </c:pt>
                <c:pt idx="59">
                  <c:v>1.7530787420865037</c:v>
                </c:pt>
                <c:pt idx="60">
                  <c:v>1.748427828664648</c:v>
                </c:pt>
                <c:pt idx="61">
                  <c:v>1.7436793341471613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C9D-4C5D-80F2-BA25F16579F9}"/>
            </c:ext>
          </c:extLst>
        </c:ser>
        <c:ser>
          <c:idx val="10"/>
          <c:order val="10"/>
          <c:tx>
            <c:v>Ufin = 1,75 [V/c]</c:v>
          </c:tx>
          <c:spPr>
            <a:ln w="1905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'100 A 39, 3 par. rev.'!$AI$36:$AI$157</c:f>
              <c:numCache>
                <c:formatCode>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'100 A 39, 3 par. rev.'!$AT$36:$AT$157</c:f>
              <c:numCache>
                <c:formatCode>#,##0.00</c:formatCode>
                <c:ptCount val="122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C9D-4C5D-80F2-BA25F16579F9}"/>
            </c:ext>
          </c:extLst>
        </c:ser>
        <c:ser>
          <c:idx val="15"/>
          <c:order val="15"/>
          <c:tx>
            <c:v>Ufin = 1,86 [V/c]</c:v>
          </c:tx>
          <c:spPr>
            <a:ln w="15875">
              <a:solidFill>
                <a:srgbClr val="F79646">
                  <a:lumMod val="50000"/>
                </a:srgbClr>
              </a:solidFill>
              <a:prstDash val="lgDashDot"/>
            </a:ln>
          </c:spPr>
          <c:marker>
            <c:symbol val="none"/>
          </c:marker>
          <c:xVal>
            <c:numRef>
              <c:f>'100 A 39, 3 par. rev.'!$AI$36:$AI$157</c:f>
              <c:numCache>
                <c:formatCode>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'100 A 39, 3 par. rev.'!$AY$36:$AY$157</c:f>
              <c:numCache>
                <c:formatCode>#,##0.00</c:formatCode>
                <c:ptCount val="122"/>
                <c:pt idx="0">
                  <c:v>1.86</c:v>
                </c:pt>
                <c:pt idx="1">
                  <c:v>1.86</c:v>
                </c:pt>
                <c:pt idx="2">
                  <c:v>1.86</c:v>
                </c:pt>
                <c:pt idx="3">
                  <c:v>1.86</c:v>
                </c:pt>
                <c:pt idx="4">
                  <c:v>1.86</c:v>
                </c:pt>
                <c:pt idx="5">
                  <c:v>1.86</c:v>
                </c:pt>
                <c:pt idx="6">
                  <c:v>1.86</c:v>
                </c:pt>
                <c:pt idx="7">
                  <c:v>1.86</c:v>
                </c:pt>
                <c:pt idx="8">
                  <c:v>1.86</c:v>
                </c:pt>
                <c:pt idx="9">
                  <c:v>1.86</c:v>
                </c:pt>
                <c:pt idx="10">
                  <c:v>1.86</c:v>
                </c:pt>
                <c:pt idx="11">
                  <c:v>1.86</c:v>
                </c:pt>
                <c:pt idx="12">
                  <c:v>1.86</c:v>
                </c:pt>
                <c:pt idx="13">
                  <c:v>1.86</c:v>
                </c:pt>
                <c:pt idx="14">
                  <c:v>1.86</c:v>
                </c:pt>
                <c:pt idx="15">
                  <c:v>1.86</c:v>
                </c:pt>
                <c:pt idx="16">
                  <c:v>1.86</c:v>
                </c:pt>
                <c:pt idx="17">
                  <c:v>1.86</c:v>
                </c:pt>
                <c:pt idx="18">
                  <c:v>1.86</c:v>
                </c:pt>
                <c:pt idx="19">
                  <c:v>1.86</c:v>
                </c:pt>
                <c:pt idx="20">
                  <c:v>1.86</c:v>
                </c:pt>
                <c:pt idx="21">
                  <c:v>1.86</c:v>
                </c:pt>
                <c:pt idx="22">
                  <c:v>1.86</c:v>
                </c:pt>
                <c:pt idx="23">
                  <c:v>1.86</c:v>
                </c:pt>
                <c:pt idx="24">
                  <c:v>1.86</c:v>
                </c:pt>
                <c:pt idx="25">
                  <c:v>1.86</c:v>
                </c:pt>
                <c:pt idx="26">
                  <c:v>1.86</c:v>
                </c:pt>
                <c:pt idx="27">
                  <c:v>1.86</c:v>
                </c:pt>
                <c:pt idx="28">
                  <c:v>1.86</c:v>
                </c:pt>
                <c:pt idx="29">
                  <c:v>1.86</c:v>
                </c:pt>
                <c:pt idx="30">
                  <c:v>1.86</c:v>
                </c:pt>
                <c:pt idx="31">
                  <c:v>1.86</c:v>
                </c:pt>
                <c:pt idx="32">
                  <c:v>1.86</c:v>
                </c:pt>
                <c:pt idx="33">
                  <c:v>1.86</c:v>
                </c:pt>
                <c:pt idx="34">
                  <c:v>1.86</c:v>
                </c:pt>
                <c:pt idx="35">
                  <c:v>1.86</c:v>
                </c:pt>
                <c:pt idx="36">
                  <c:v>1.86</c:v>
                </c:pt>
                <c:pt idx="37">
                  <c:v>1.86</c:v>
                </c:pt>
                <c:pt idx="38">
                  <c:v>1.86</c:v>
                </c:pt>
                <c:pt idx="39">
                  <c:v>1.86</c:v>
                </c:pt>
                <c:pt idx="40">
                  <c:v>1.86</c:v>
                </c:pt>
                <c:pt idx="41">
                  <c:v>1.86</c:v>
                </c:pt>
                <c:pt idx="42">
                  <c:v>1.86</c:v>
                </c:pt>
                <c:pt idx="43">
                  <c:v>1.86</c:v>
                </c:pt>
                <c:pt idx="44">
                  <c:v>1.86</c:v>
                </c:pt>
                <c:pt idx="45">
                  <c:v>1.86</c:v>
                </c:pt>
                <c:pt idx="46">
                  <c:v>1.86</c:v>
                </c:pt>
                <c:pt idx="47">
                  <c:v>1.86</c:v>
                </c:pt>
                <c:pt idx="48">
                  <c:v>1.86</c:v>
                </c:pt>
                <c:pt idx="49">
                  <c:v>1.86</c:v>
                </c:pt>
                <c:pt idx="50">
                  <c:v>1.86</c:v>
                </c:pt>
                <c:pt idx="51">
                  <c:v>1.86</c:v>
                </c:pt>
                <c:pt idx="52">
                  <c:v>1.86</c:v>
                </c:pt>
                <c:pt idx="53">
                  <c:v>1.86</c:v>
                </c:pt>
                <c:pt idx="54">
                  <c:v>1.86</c:v>
                </c:pt>
                <c:pt idx="55">
                  <c:v>1.86</c:v>
                </c:pt>
                <c:pt idx="56">
                  <c:v>1.86</c:v>
                </c:pt>
                <c:pt idx="57">
                  <c:v>1.86</c:v>
                </c:pt>
                <c:pt idx="58">
                  <c:v>1.86</c:v>
                </c:pt>
                <c:pt idx="59">
                  <c:v>1.86</c:v>
                </c:pt>
                <c:pt idx="60">
                  <c:v>1.86</c:v>
                </c:pt>
                <c:pt idx="61">
                  <c:v>1.86</c:v>
                </c:pt>
                <c:pt idx="62">
                  <c:v>1.86</c:v>
                </c:pt>
                <c:pt idx="63">
                  <c:v>1.86</c:v>
                </c:pt>
                <c:pt idx="64">
                  <c:v>1.86</c:v>
                </c:pt>
                <c:pt idx="65">
                  <c:v>1.86</c:v>
                </c:pt>
                <c:pt idx="66">
                  <c:v>1.86</c:v>
                </c:pt>
                <c:pt idx="67">
                  <c:v>1.86</c:v>
                </c:pt>
                <c:pt idx="68">
                  <c:v>1.86</c:v>
                </c:pt>
                <c:pt idx="69">
                  <c:v>1.86</c:v>
                </c:pt>
                <c:pt idx="70">
                  <c:v>1.86</c:v>
                </c:pt>
                <c:pt idx="71">
                  <c:v>1.86</c:v>
                </c:pt>
                <c:pt idx="72">
                  <c:v>1.86</c:v>
                </c:pt>
                <c:pt idx="73">
                  <c:v>1.86</c:v>
                </c:pt>
                <c:pt idx="74">
                  <c:v>1.86</c:v>
                </c:pt>
                <c:pt idx="75">
                  <c:v>1.86</c:v>
                </c:pt>
                <c:pt idx="76">
                  <c:v>1.86</c:v>
                </c:pt>
                <c:pt idx="77">
                  <c:v>1.86</c:v>
                </c:pt>
                <c:pt idx="78">
                  <c:v>1.86</c:v>
                </c:pt>
                <c:pt idx="79">
                  <c:v>1.86</c:v>
                </c:pt>
                <c:pt idx="80">
                  <c:v>1.86</c:v>
                </c:pt>
                <c:pt idx="81">
                  <c:v>1.86</c:v>
                </c:pt>
                <c:pt idx="82">
                  <c:v>1.86</c:v>
                </c:pt>
                <c:pt idx="83">
                  <c:v>1.86</c:v>
                </c:pt>
                <c:pt idx="84">
                  <c:v>1.86</c:v>
                </c:pt>
                <c:pt idx="85">
                  <c:v>1.86</c:v>
                </c:pt>
                <c:pt idx="86">
                  <c:v>1.86</c:v>
                </c:pt>
                <c:pt idx="87">
                  <c:v>1.86</c:v>
                </c:pt>
                <c:pt idx="88">
                  <c:v>1.86</c:v>
                </c:pt>
                <c:pt idx="89">
                  <c:v>1.86</c:v>
                </c:pt>
                <c:pt idx="90">
                  <c:v>1.86</c:v>
                </c:pt>
                <c:pt idx="91">
                  <c:v>1.86</c:v>
                </c:pt>
                <c:pt idx="92">
                  <c:v>1.86</c:v>
                </c:pt>
                <c:pt idx="93">
                  <c:v>1.86</c:v>
                </c:pt>
                <c:pt idx="94">
                  <c:v>1.86</c:v>
                </c:pt>
                <c:pt idx="95">
                  <c:v>1.86</c:v>
                </c:pt>
                <c:pt idx="96">
                  <c:v>1.86</c:v>
                </c:pt>
                <c:pt idx="97">
                  <c:v>1.86</c:v>
                </c:pt>
                <c:pt idx="98">
                  <c:v>1.86</c:v>
                </c:pt>
                <c:pt idx="99">
                  <c:v>1.86</c:v>
                </c:pt>
                <c:pt idx="100">
                  <c:v>1.86</c:v>
                </c:pt>
                <c:pt idx="101">
                  <c:v>1.86</c:v>
                </c:pt>
                <c:pt idx="102">
                  <c:v>1.86</c:v>
                </c:pt>
                <c:pt idx="103">
                  <c:v>1.86</c:v>
                </c:pt>
                <c:pt idx="104">
                  <c:v>1.86</c:v>
                </c:pt>
                <c:pt idx="105">
                  <c:v>1.86</c:v>
                </c:pt>
                <c:pt idx="106">
                  <c:v>1.86</c:v>
                </c:pt>
                <c:pt idx="107">
                  <c:v>1.86</c:v>
                </c:pt>
                <c:pt idx="108">
                  <c:v>1.86</c:v>
                </c:pt>
                <c:pt idx="109">
                  <c:v>1.86</c:v>
                </c:pt>
                <c:pt idx="110">
                  <c:v>1.86</c:v>
                </c:pt>
                <c:pt idx="111">
                  <c:v>1.86</c:v>
                </c:pt>
                <c:pt idx="112">
                  <c:v>1.86</c:v>
                </c:pt>
                <c:pt idx="113">
                  <c:v>1.86</c:v>
                </c:pt>
                <c:pt idx="114">
                  <c:v>1.86</c:v>
                </c:pt>
                <c:pt idx="115">
                  <c:v>1.86</c:v>
                </c:pt>
                <c:pt idx="116">
                  <c:v>1.86</c:v>
                </c:pt>
                <c:pt idx="117">
                  <c:v>1.86</c:v>
                </c:pt>
                <c:pt idx="118">
                  <c:v>1.86</c:v>
                </c:pt>
                <c:pt idx="119">
                  <c:v>1.86</c:v>
                </c:pt>
                <c:pt idx="120">
                  <c:v>1.86</c:v>
                </c:pt>
                <c:pt idx="121">
                  <c:v>1.86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C9D-4C5D-80F2-BA25F16579F9}"/>
            </c:ext>
          </c:extLst>
        </c:ser>
        <c:ser>
          <c:idx val="18"/>
          <c:order val="18"/>
          <c:tx>
            <c:v>Ufin = 1,92 [V/c]</c:v>
          </c:tx>
          <c:spPr>
            <a:ln w="15875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'100 A 39, 3 par. rev.'!$AI$36:$AI$157</c:f>
              <c:numCache>
                <c:formatCode>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'100 A 39, 3 par. rev.'!$BB$36:$BB$157</c:f>
              <c:numCache>
                <c:formatCode>#,##0.00</c:formatCode>
                <c:ptCount val="122"/>
                <c:pt idx="0">
                  <c:v>1.92</c:v>
                </c:pt>
                <c:pt idx="1">
                  <c:v>1.92</c:v>
                </c:pt>
                <c:pt idx="2">
                  <c:v>1.92</c:v>
                </c:pt>
                <c:pt idx="3">
                  <c:v>1.92</c:v>
                </c:pt>
                <c:pt idx="4">
                  <c:v>1.92</c:v>
                </c:pt>
                <c:pt idx="5">
                  <c:v>1.92</c:v>
                </c:pt>
                <c:pt idx="6">
                  <c:v>1.92</c:v>
                </c:pt>
                <c:pt idx="7">
                  <c:v>1.92</c:v>
                </c:pt>
                <c:pt idx="8">
                  <c:v>1.92</c:v>
                </c:pt>
                <c:pt idx="9">
                  <c:v>1.92</c:v>
                </c:pt>
                <c:pt idx="10">
                  <c:v>1.92</c:v>
                </c:pt>
                <c:pt idx="11">
                  <c:v>1.92</c:v>
                </c:pt>
                <c:pt idx="12">
                  <c:v>1.92</c:v>
                </c:pt>
                <c:pt idx="13">
                  <c:v>1.92</c:v>
                </c:pt>
                <c:pt idx="14">
                  <c:v>1.92</c:v>
                </c:pt>
                <c:pt idx="15">
                  <c:v>1.92</c:v>
                </c:pt>
                <c:pt idx="16">
                  <c:v>1.92</c:v>
                </c:pt>
                <c:pt idx="17">
                  <c:v>1.92</c:v>
                </c:pt>
                <c:pt idx="18">
                  <c:v>1.92</c:v>
                </c:pt>
                <c:pt idx="19">
                  <c:v>1.92</c:v>
                </c:pt>
                <c:pt idx="20">
                  <c:v>1.92</c:v>
                </c:pt>
                <c:pt idx="21">
                  <c:v>1.92</c:v>
                </c:pt>
                <c:pt idx="22">
                  <c:v>1.92</c:v>
                </c:pt>
                <c:pt idx="23">
                  <c:v>1.92</c:v>
                </c:pt>
                <c:pt idx="24">
                  <c:v>1.92</c:v>
                </c:pt>
                <c:pt idx="25">
                  <c:v>1.92</c:v>
                </c:pt>
                <c:pt idx="26">
                  <c:v>1.92</c:v>
                </c:pt>
                <c:pt idx="27">
                  <c:v>1.92</c:v>
                </c:pt>
                <c:pt idx="28">
                  <c:v>1.92</c:v>
                </c:pt>
                <c:pt idx="29">
                  <c:v>1.92</c:v>
                </c:pt>
                <c:pt idx="30">
                  <c:v>1.92</c:v>
                </c:pt>
                <c:pt idx="31">
                  <c:v>1.92</c:v>
                </c:pt>
                <c:pt idx="32">
                  <c:v>1.92</c:v>
                </c:pt>
                <c:pt idx="33">
                  <c:v>1.92</c:v>
                </c:pt>
                <c:pt idx="34">
                  <c:v>1.92</c:v>
                </c:pt>
                <c:pt idx="35">
                  <c:v>1.92</c:v>
                </c:pt>
                <c:pt idx="36">
                  <c:v>1.92</c:v>
                </c:pt>
                <c:pt idx="37">
                  <c:v>1.92</c:v>
                </c:pt>
                <c:pt idx="38">
                  <c:v>1.92</c:v>
                </c:pt>
                <c:pt idx="39">
                  <c:v>1.92</c:v>
                </c:pt>
                <c:pt idx="40">
                  <c:v>1.92</c:v>
                </c:pt>
                <c:pt idx="41">
                  <c:v>1.92</c:v>
                </c:pt>
                <c:pt idx="42">
                  <c:v>1.92</c:v>
                </c:pt>
                <c:pt idx="43">
                  <c:v>1.92</c:v>
                </c:pt>
                <c:pt idx="44">
                  <c:v>1.92</c:v>
                </c:pt>
                <c:pt idx="45">
                  <c:v>1.92</c:v>
                </c:pt>
                <c:pt idx="46">
                  <c:v>1.92</c:v>
                </c:pt>
                <c:pt idx="47">
                  <c:v>1.92</c:v>
                </c:pt>
                <c:pt idx="48">
                  <c:v>1.92</c:v>
                </c:pt>
                <c:pt idx="49">
                  <c:v>1.92</c:v>
                </c:pt>
                <c:pt idx="50">
                  <c:v>1.92</c:v>
                </c:pt>
                <c:pt idx="51">
                  <c:v>1.92</c:v>
                </c:pt>
                <c:pt idx="52">
                  <c:v>1.92</c:v>
                </c:pt>
                <c:pt idx="53">
                  <c:v>1.92</c:v>
                </c:pt>
                <c:pt idx="54">
                  <c:v>1.92</c:v>
                </c:pt>
                <c:pt idx="55">
                  <c:v>1.92</c:v>
                </c:pt>
                <c:pt idx="56">
                  <c:v>1.92</c:v>
                </c:pt>
                <c:pt idx="57">
                  <c:v>1.92</c:v>
                </c:pt>
                <c:pt idx="58">
                  <c:v>1.92</c:v>
                </c:pt>
                <c:pt idx="59">
                  <c:v>1.92</c:v>
                </c:pt>
                <c:pt idx="60">
                  <c:v>1.92</c:v>
                </c:pt>
                <c:pt idx="61">
                  <c:v>1.92</c:v>
                </c:pt>
                <c:pt idx="62">
                  <c:v>1.92</c:v>
                </c:pt>
                <c:pt idx="63">
                  <c:v>1.92</c:v>
                </c:pt>
                <c:pt idx="64">
                  <c:v>1.92</c:v>
                </c:pt>
                <c:pt idx="65">
                  <c:v>1.92</c:v>
                </c:pt>
                <c:pt idx="66">
                  <c:v>1.92</c:v>
                </c:pt>
                <c:pt idx="67">
                  <c:v>1.92</c:v>
                </c:pt>
                <c:pt idx="68">
                  <c:v>1.92</c:v>
                </c:pt>
                <c:pt idx="69">
                  <c:v>1.92</c:v>
                </c:pt>
                <c:pt idx="70">
                  <c:v>1.92</c:v>
                </c:pt>
                <c:pt idx="71">
                  <c:v>1.92</c:v>
                </c:pt>
                <c:pt idx="72">
                  <c:v>1.92</c:v>
                </c:pt>
                <c:pt idx="73">
                  <c:v>1.92</c:v>
                </c:pt>
                <c:pt idx="74">
                  <c:v>1.92</c:v>
                </c:pt>
                <c:pt idx="75">
                  <c:v>1.92</c:v>
                </c:pt>
                <c:pt idx="76">
                  <c:v>1.92</c:v>
                </c:pt>
                <c:pt idx="77">
                  <c:v>1.92</c:v>
                </c:pt>
                <c:pt idx="78">
                  <c:v>1.92</c:v>
                </c:pt>
                <c:pt idx="79">
                  <c:v>1.92</c:v>
                </c:pt>
                <c:pt idx="80">
                  <c:v>1.92</c:v>
                </c:pt>
                <c:pt idx="81">
                  <c:v>1.92</c:v>
                </c:pt>
                <c:pt idx="82">
                  <c:v>1.92</c:v>
                </c:pt>
                <c:pt idx="83">
                  <c:v>1.92</c:v>
                </c:pt>
                <c:pt idx="84">
                  <c:v>1.92</c:v>
                </c:pt>
                <c:pt idx="85">
                  <c:v>1.92</c:v>
                </c:pt>
                <c:pt idx="86">
                  <c:v>1.92</c:v>
                </c:pt>
                <c:pt idx="87">
                  <c:v>1.92</c:v>
                </c:pt>
                <c:pt idx="88">
                  <c:v>1.92</c:v>
                </c:pt>
                <c:pt idx="89">
                  <c:v>1.92</c:v>
                </c:pt>
                <c:pt idx="90">
                  <c:v>1.92</c:v>
                </c:pt>
                <c:pt idx="91">
                  <c:v>1.92</c:v>
                </c:pt>
                <c:pt idx="92">
                  <c:v>1.92</c:v>
                </c:pt>
                <c:pt idx="93">
                  <c:v>1.92</c:v>
                </c:pt>
                <c:pt idx="94">
                  <c:v>1.92</c:v>
                </c:pt>
                <c:pt idx="95">
                  <c:v>1.92</c:v>
                </c:pt>
                <c:pt idx="96">
                  <c:v>1.92</c:v>
                </c:pt>
                <c:pt idx="97">
                  <c:v>1.92</c:v>
                </c:pt>
                <c:pt idx="98">
                  <c:v>1.92</c:v>
                </c:pt>
                <c:pt idx="99">
                  <c:v>1.92</c:v>
                </c:pt>
                <c:pt idx="100">
                  <c:v>1.92</c:v>
                </c:pt>
                <c:pt idx="101">
                  <c:v>1.92</c:v>
                </c:pt>
                <c:pt idx="102">
                  <c:v>1.92</c:v>
                </c:pt>
                <c:pt idx="103">
                  <c:v>1.92</c:v>
                </c:pt>
                <c:pt idx="104">
                  <c:v>1.92</c:v>
                </c:pt>
                <c:pt idx="105">
                  <c:v>1.92</c:v>
                </c:pt>
                <c:pt idx="106">
                  <c:v>1.92</c:v>
                </c:pt>
                <c:pt idx="107">
                  <c:v>1.92</c:v>
                </c:pt>
                <c:pt idx="108">
                  <c:v>1.92</c:v>
                </c:pt>
                <c:pt idx="109">
                  <c:v>1.92</c:v>
                </c:pt>
                <c:pt idx="110">
                  <c:v>1.92</c:v>
                </c:pt>
                <c:pt idx="111">
                  <c:v>1.92</c:v>
                </c:pt>
                <c:pt idx="112">
                  <c:v>1.92</c:v>
                </c:pt>
                <c:pt idx="113">
                  <c:v>1.92</c:v>
                </c:pt>
                <c:pt idx="114">
                  <c:v>1.92</c:v>
                </c:pt>
                <c:pt idx="115">
                  <c:v>1.92</c:v>
                </c:pt>
                <c:pt idx="116">
                  <c:v>1.92</c:v>
                </c:pt>
                <c:pt idx="117">
                  <c:v>1.92</c:v>
                </c:pt>
                <c:pt idx="118">
                  <c:v>1.92</c:v>
                </c:pt>
                <c:pt idx="119">
                  <c:v>1.92</c:v>
                </c:pt>
                <c:pt idx="120">
                  <c:v>1.92</c:v>
                </c:pt>
                <c:pt idx="121">
                  <c:v>1.92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C9D-4C5D-80F2-BA25F16579F9}"/>
            </c:ext>
          </c:extLst>
        </c:ser>
        <c:ser>
          <c:idx val="19"/>
          <c:order val="19"/>
          <c:tx>
            <c:v>Qe = 135 [Ah]</c:v>
          </c:tx>
          <c:spPr>
            <a:ln w="19050">
              <a:solidFill>
                <a:srgbClr val="C00000"/>
              </a:solidFill>
              <a:prstDash val="dash"/>
            </a:ln>
          </c:spPr>
          <c:marker>
            <c:symbol val="none"/>
          </c:marker>
          <c:xVal>
            <c:numRef>
              <c:f>'100 A 39, 3 par. rev.'!$AI$36:$AI$157</c:f>
              <c:numCache>
                <c:formatCode>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'100 A 39, 3 par. rev.'!$BC$36:$BC$157</c:f>
              <c:numCache>
                <c:formatCode>0.E+00</c:formatCode>
                <c:ptCount val="122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C9D-4C5D-80F2-BA25F16579F9}"/>
            </c:ext>
          </c:extLst>
        </c:ser>
        <c:ser>
          <c:idx val="20"/>
          <c:order val="20"/>
          <c:tx>
            <c:v>Qn = 100 [Ah]</c:v>
          </c:tx>
          <c:spPr>
            <a:ln w="19050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'100 A 39, 3 par. rev.'!$AI$36:$AI$157</c:f>
              <c:numCache>
                <c:formatCode>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1.125</c:v>
                </c:pt>
                <c:pt idx="3">
                  <c:v>2.25</c:v>
                </c:pt>
                <c:pt idx="4">
                  <c:v>3.375</c:v>
                </c:pt>
                <c:pt idx="5">
                  <c:v>4.5</c:v>
                </c:pt>
                <c:pt idx="6">
                  <c:v>5.625</c:v>
                </c:pt>
                <c:pt idx="7">
                  <c:v>6.75</c:v>
                </c:pt>
                <c:pt idx="8">
                  <c:v>7.875</c:v>
                </c:pt>
                <c:pt idx="9">
                  <c:v>9</c:v>
                </c:pt>
                <c:pt idx="10">
                  <c:v>10.125</c:v>
                </c:pt>
                <c:pt idx="11">
                  <c:v>11.25</c:v>
                </c:pt>
                <c:pt idx="12">
                  <c:v>12.375</c:v>
                </c:pt>
                <c:pt idx="13">
                  <c:v>13.5</c:v>
                </c:pt>
                <c:pt idx="14">
                  <c:v>14.625</c:v>
                </c:pt>
                <c:pt idx="15">
                  <c:v>15.75</c:v>
                </c:pt>
                <c:pt idx="16">
                  <c:v>16.875</c:v>
                </c:pt>
                <c:pt idx="17">
                  <c:v>18</c:v>
                </c:pt>
                <c:pt idx="18">
                  <c:v>19.125</c:v>
                </c:pt>
                <c:pt idx="19">
                  <c:v>20.25</c:v>
                </c:pt>
                <c:pt idx="20">
                  <c:v>21.375</c:v>
                </c:pt>
                <c:pt idx="21">
                  <c:v>22.5</c:v>
                </c:pt>
                <c:pt idx="22">
                  <c:v>23.625</c:v>
                </c:pt>
                <c:pt idx="23">
                  <c:v>24.75</c:v>
                </c:pt>
                <c:pt idx="24">
                  <c:v>25.875</c:v>
                </c:pt>
                <c:pt idx="25">
                  <c:v>27</c:v>
                </c:pt>
                <c:pt idx="26">
                  <c:v>28.125</c:v>
                </c:pt>
                <c:pt idx="27">
                  <c:v>29.25</c:v>
                </c:pt>
                <c:pt idx="28">
                  <c:v>30.375</c:v>
                </c:pt>
                <c:pt idx="29">
                  <c:v>31.5</c:v>
                </c:pt>
                <c:pt idx="30">
                  <c:v>32.625</c:v>
                </c:pt>
                <c:pt idx="31">
                  <c:v>33.75</c:v>
                </c:pt>
                <c:pt idx="32">
                  <c:v>34.875</c:v>
                </c:pt>
                <c:pt idx="33">
                  <c:v>36</c:v>
                </c:pt>
                <c:pt idx="34">
                  <c:v>37.125</c:v>
                </c:pt>
                <c:pt idx="35">
                  <c:v>38.25</c:v>
                </c:pt>
                <c:pt idx="36">
                  <c:v>39.375</c:v>
                </c:pt>
                <c:pt idx="37">
                  <c:v>40.5</c:v>
                </c:pt>
                <c:pt idx="38">
                  <c:v>41.625</c:v>
                </c:pt>
                <c:pt idx="39">
                  <c:v>42.75</c:v>
                </c:pt>
                <c:pt idx="40">
                  <c:v>43.875</c:v>
                </c:pt>
                <c:pt idx="41">
                  <c:v>45</c:v>
                </c:pt>
                <c:pt idx="42">
                  <c:v>46.125</c:v>
                </c:pt>
                <c:pt idx="43">
                  <c:v>47.25</c:v>
                </c:pt>
                <c:pt idx="44">
                  <c:v>48.375</c:v>
                </c:pt>
                <c:pt idx="45">
                  <c:v>49.5</c:v>
                </c:pt>
                <c:pt idx="46">
                  <c:v>50.625</c:v>
                </c:pt>
                <c:pt idx="47">
                  <c:v>51.75</c:v>
                </c:pt>
                <c:pt idx="48">
                  <c:v>52.875</c:v>
                </c:pt>
                <c:pt idx="49">
                  <c:v>54</c:v>
                </c:pt>
                <c:pt idx="50">
                  <c:v>55.125</c:v>
                </c:pt>
                <c:pt idx="51">
                  <c:v>56.25</c:v>
                </c:pt>
                <c:pt idx="52">
                  <c:v>57.375</c:v>
                </c:pt>
                <c:pt idx="53">
                  <c:v>58.5</c:v>
                </c:pt>
                <c:pt idx="54">
                  <c:v>59.625</c:v>
                </c:pt>
                <c:pt idx="55">
                  <c:v>60.75</c:v>
                </c:pt>
                <c:pt idx="56">
                  <c:v>61.875</c:v>
                </c:pt>
                <c:pt idx="57">
                  <c:v>63</c:v>
                </c:pt>
                <c:pt idx="58">
                  <c:v>64.125</c:v>
                </c:pt>
                <c:pt idx="59">
                  <c:v>65.25</c:v>
                </c:pt>
                <c:pt idx="60">
                  <c:v>66.375</c:v>
                </c:pt>
                <c:pt idx="61">
                  <c:v>67.5</c:v>
                </c:pt>
                <c:pt idx="62">
                  <c:v>68.625</c:v>
                </c:pt>
                <c:pt idx="63">
                  <c:v>69.75</c:v>
                </c:pt>
                <c:pt idx="64">
                  <c:v>70.875</c:v>
                </c:pt>
                <c:pt idx="65">
                  <c:v>72</c:v>
                </c:pt>
                <c:pt idx="66">
                  <c:v>73.125</c:v>
                </c:pt>
                <c:pt idx="67">
                  <c:v>74.25</c:v>
                </c:pt>
                <c:pt idx="68">
                  <c:v>75.375</c:v>
                </c:pt>
                <c:pt idx="69">
                  <c:v>76.5</c:v>
                </c:pt>
                <c:pt idx="70">
                  <c:v>77.625</c:v>
                </c:pt>
                <c:pt idx="71">
                  <c:v>78.75</c:v>
                </c:pt>
                <c:pt idx="72">
                  <c:v>79.875</c:v>
                </c:pt>
                <c:pt idx="73">
                  <c:v>81</c:v>
                </c:pt>
                <c:pt idx="74">
                  <c:v>82.125</c:v>
                </c:pt>
                <c:pt idx="75">
                  <c:v>83.25</c:v>
                </c:pt>
                <c:pt idx="76">
                  <c:v>84.375</c:v>
                </c:pt>
                <c:pt idx="77">
                  <c:v>85.5</c:v>
                </c:pt>
                <c:pt idx="78">
                  <c:v>86.625</c:v>
                </c:pt>
                <c:pt idx="79">
                  <c:v>87.75</c:v>
                </c:pt>
                <c:pt idx="80">
                  <c:v>88.875</c:v>
                </c:pt>
                <c:pt idx="81">
                  <c:v>90</c:v>
                </c:pt>
                <c:pt idx="82">
                  <c:v>91.125</c:v>
                </c:pt>
                <c:pt idx="83">
                  <c:v>92.25</c:v>
                </c:pt>
                <c:pt idx="84">
                  <c:v>93.375</c:v>
                </c:pt>
                <c:pt idx="85">
                  <c:v>94.5</c:v>
                </c:pt>
                <c:pt idx="86">
                  <c:v>95.625</c:v>
                </c:pt>
                <c:pt idx="87">
                  <c:v>96.75</c:v>
                </c:pt>
                <c:pt idx="88">
                  <c:v>97.875</c:v>
                </c:pt>
                <c:pt idx="89">
                  <c:v>99</c:v>
                </c:pt>
                <c:pt idx="90">
                  <c:v>100.125</c:v>
                </c:pt>
                <c:pt idx="91">
                  <c:v>101.25</c:v>
                </c:pt>
                <c:pt idx="92">
                  <c:v>102.375</c:v>
                </c:pt>
                <c:pt idx="93">
                  <c:v>103.5</c:v>
                </c:pt>
                <c:pt idx="94">
                  <c:v>104.625</c:v>
                </c:pt>
                <c:pt idx="95">
                  <c:v>105.75</c:v>
                </c:pt>
                <c:pt idx="96">
                  <c:v>106.875</c:v>
                </c:pt>
                <c:pt idx="97">
                  <c:v>108</c:v>
                </c:pt>
                <c:pt idx="98">
                  <c:v>109.125</c:v>
                </c:pt>
                <c:pt idx="99">
                  <c:v>110.25</c:v>
                </c:pt>
                <c:pt idx="100">
                  <c:v>111.375</c:v>
                </c:pt>
                <c:pt idx="101">
                  <c:v>112.5</c:v>
                </c:pt>
                <c:pt idx="102">
                  <c:v>113.625</c:v>
                </c:pt>
                <c:pt idx="103">
                  <c:v>114.75</c:v>
                </c:pt>
                <c:pt idx="104">
                  <c:v>115.875</c:v>
                </c:pt>
                <c:pt idx="105">
                  <c:v>117</c:v>
                </c:pt>
                <c:pt idx="106">
                  <c:v>118.125</c:v>
                </c:pt>
                <c:pt idx="107">
                  <c:v>119.25</c:v>
                </c:pt>
                <c:pt idx="108">
                  <c:v>120.375</c:v>
                </c:pt>
                <c:pt idx="109">
                  <c:v>121.5</c:v>
                </c:pt>
                <c:pt idx="110">
                  <c:v>122.625</c:v>
                </c:pt>
                <c:pt idx="111">
                  <c:v>123.75</c:v>
                </c:pt>
                <c:pt idx="112">
                  <c:v>124.875</c:v>
                </c:pt>
                <c:pt idx="113">
                  <c:v>126</c:v>
                </c:pt>
                <c:pt idx="114">
                  <c:v>127.125</c:v>
                </c:pt>
                <c:pt idx="115">
                  <c:v>128.25</c:v>
                </c:pt>
                <c:pt idx="116">
                  <c:v>129.375</c:v>
                </c:pt>
                <c:pt idx="117">
                  <c:v>130.5</c:v>
                </c:pt>
                <c:pt idx="118">
                  <c:v>131.625</c:v>
                </c:pt>
                <c:pt idx="119">
                  <c:v>132.75</c:v>
                </c:pt>
                <c:pt idx="120">
                  <c:v>133.875</c:v>
                </c:pt>
                <c:pt idx="121">
                  <c:v>135</c:v>
                </c:pt>
              </c:numCache>
            </c:numRef>
          </c:xVal>
          <c:yVal>
            <c:numRef>
              <c:f>'100 A 39, 3 par. rev.'!$BD$36:$BD$157</c:f>
              <c:numCache>
                <c:formatCode>0.E+00</c:formatCode>
                <c:ptCount val="122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C9D-4C5D-80F2-BA25F1657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53728"/>
        <c:axId val="10855564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id = 1,92 [A]</c:v>
                </c:tx>
                <c:spPr>
                  <a:ln w="15875">
                    <a:solidFill>
                      <a:srgbClr val="996633"/>
                    </a:solidFill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'[1]100 A 39, 3 par. rev.'!$AK$36:$AK$157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2.2424648611111109</c:v>
                      </c:pt>
                      <c:pt idx="2">
                        <c:v>2.2289949683417407</c:v>
                      </c:pt>
                      <c:pt idx="3">
                        <c:v>2.2161923409412276</c:v>
                      </c:pt>
                      <c:pt idx="4">
                        <c:v>2.2040236342770569</c:v>
                      </c:pt>
                      <c:pt idx="5">
                        <c:v>2.1924571636608965</c:v>
                      </c:pt>
                      <c:pt idx="6">
                        <c:v>2.1814628215105007</c:v>
                      </c:pt>
                      <c:pt idx="7">
                        <c:v>2.1710119986369483</c:v>
                      </c:pt>
                      <c:pt idx="8">
                        <c:v>2.1610775094513253</c:v>
                      </c:pt>
                      <c:pt idx="9">
                        <c:v>2.151633520895198</c:v>
                      </c:pt>
                      <c:pt idx="10">
                        <c:v>2.1426554849089743</c:v>
                      </c:pt>
                      <c:pt idx="11">
                        <c:v>2.1341200742614825</c:v>
                      </c:pt>
                      <c:pt idx="12">
                        <c:v>2.1260051215729012</c:v>
                      </c:pt>
                      <c:pt idx="13">
                        <c:v>2.1182895613715034</c:v>
                      </c:pt>
                      <c:pt idx="14">
                        <c:v>2.1109533750326235</c:v>
                      </c:pt>
                      <c:pt idx="15">
                        <c:v>2.1039775384557715</c:v>
                      </c:pt>
                      <c:pt idx="16">
                        <c:v>2.097343972342987</c:v>
                      </c:pt>
                      <c:pt idx="17">
                        <c:v>2.091035494948307</c:v>
                      </c:pt>
                      <c:pt idx="18">
                        <c:v>2.0850357771746912</c:v>
                      </c:pt>
                      <c:pt idx="19">
                        <c:v>2.0793292999008646</c:v>
                      </c:pt>
                      <c:pt idx="20">
                        <c:v>2.0739013134263615</c:v>
                      </c:pt>
                      <c:pt idx="21">
                        <c:v>2.0687377989285891</c:v>
                      </c:pt>
                      <c:pt idx="22">
                        <c:v>2.0638254318309679</c:v>
                      </c:pt>
                      <c:pt idx="23">
                        <c:v>2.0591515469861976</c:v>
                      </c:pt>
                      <c:pt idx="24">
                        <c:v>2.0547041055834163</c:v>
                      </c:pt>
                      <c:pt idx="25">
                        <c:v>2.0504716636925191</c:v>
                      </c:pt>
                      <c:pt idx="26">
                        <c:v>2.0464433423631676</c:v>
                      </c:pt>
                      <c:pt idx="27">
                        <c:v>2.0426087992000395</c:v>
                      </c:pt>
                      <c:pt idx="28">
                        <c:v>2.0389582013397365</c:v>
                      </c:pt>
                      <c:pt idx="29">
                        <c:v>2.0354821997583734</c:v>
                      </c:pt>
                      <c:pt idx="30">
                        <c:v>2.0321719048423383</c:v>
                      </c:pt>
                      <c:pt idx="31">
                        <c:v>2.029018863157968</c:v>
                      </c:pt>
                      <c:pt idx="32">
                        <c:v>2.0260150353589879</c:v>
                      </c:pt>
                      <c:pt idx="33">
                        <c:v>2.0231527751734846</c:v>
                      </c:pt>
                      <c:pt idx="34">
                        <c:v>2.0204248094149517</c:v>
                      </c:pt>
                      <c:pt idx="35">
                        <c:v>2.0178242189645803</c:v>
                      </c:pt>
                      <c:pt idx="36">
                        <c:v>2.0153444206744218</c:v>
                      </c:pt>
                      <c:pt idx="37">
                        <c:v>2.0129791501434049</c:v>
                      </c:pt>
                      <c:pt idx="38">
                        <c:v>2.010722445320368</c:v>
                      </c:pt>
                      <c:pt idx="39">
                        <c:v>2.0085686308903656</c:v>
                      </c:pt>
                      <c:pt idx="40">
                        <c:v>2.0065123034024164</c:v>
                      </c:pt>
                      <c:pt idx="41">
                        <c:v>2.0045483170987173</c:v>
                      </c:pt>
                      <c:pt idx="42">
                        <c:v>2.002671770407022</c:v>
                      </c:pt>
                      <c:pt idx="43">
                        <c:v>2.0008779930594875</c:v>
                      </c:pt>
                      <c:pt idx="44">
                        <c:v>1.9991625338027468</c:v>
                      </c:pt>
                      <c:pt idx="45">
                        <c:v>1.9975211486653275</c:v>
                      </c:pt>
                      <c:pt idx="46">
                        <c:v>1.9959497897497844</c:v>
                      </c:pt>
                      <c:pt idx="47">
                        <c:v>1.9944445945180216</c:v>
                      </c:pt>
                      <c:pt idx="48">
                        <c:v>1.9930018755393173</c:v>
                      </c:pt>
                      <c:pt idx="49">
                        <c:v>1.9916181106714359</c:v>
                      </c:pt>
                      <c:pt idx="50">
                        <c:v>1.9902899336459983</c:v>
                      </c:pt>
                      <c:pt idx="51">
                        <c:v>1.9890141250299256</c:v>
                      </c:pt>
                      <c:pt idx="52">
                        <c:v>1.9877876035352866</c:v>
                      </c:pt>
                      <c:pt idx="53">
                        <c:v>1.9866074176502584</c:v>
                      </c:pt>
                      <c:pt idx="54">
                        <c:v>1.9854707375641363</c:v>
                      </c:pt>
                      <c:pt idx="55">
                        <c:v>1.9843748473594036</c:v>
                      </c:pt>
                      <c:pt idx="56">
                        <c:v>1.9833171374437584</c:v>
                      </c:pt>
                      <c:pt idx="57">
                        <c:v>1.9822950971947004</c:v>
                      </c:pt>
                      <c:pt idx="58">
                        <c:v>1.9813063077887823</c:v>
                      </c:pt>
                      <c:pt idx="59">
                        <c:v>1.9803484351868621</c:v>
                      </c:pt>
                      <c:pt idx="60">
                        <c:v>1.9794192232457042</c:v>
                      </c:pt>
                      <c:pt idx="61">
                        <c:v>1.9785164869249392</c:v>
                      </c:pt>
                      <c:pt idx="62">
                        <c:v>1.9776381055567458</c:v>
                      </c:pt>
                      <c:pt idx="63">
                        <c:v>1.9767820161435508</c:v>
                      </c:pt>
                      <c:pt idx="64">
                        <c:v>1.9759462066465201</c:v>
                      </c:pt>
                      <c:pt idx="65">
                        <c:v>1.9751287092245664</c:v>
                      </c:pt>
                      <c:pt idx="66">
                        <c:v>1.9743275933799123</c:v>
                      </c:pt>
                      <c:pt idx="67">
                        <c:v>1.9735409589618358</c:v>
                      </c:pt>
                      <c:pt idx="68">
                        <c:v>1.972766928974953</c:v>
                      </c:pt>
                      <c:pt idx="69">
                        <c:v>1.9720036421320699</c:v>
                      </c:pt>
                      <c:pt idx="70">
                        <c:v>1.9712492450841343</c:v>
                      </c:pt>
                      <c:pt idx="71">
                        <c:v>1.9705018842508117</c:v>
                      </c:pt>
                      <c:pt idx="72">
                        <c:v>1.9697596971644877</c:v>
                      </c:pt>
                      <c:pt idx="73">
                        <c:v>1.9690208032276508</c:v>
                      </c:pt>
                      <c:pt idx="74">
                        <c:v>1.968283293768214</c:v>
                      </c:pt>
                      <c:pt idx="75">
                        <c:v>1.9675452212588189</c:v>
                      </c:pt>
                      <c:pt idx="76">
                        <c:v>1.9668045875438966</c:v>
                      </c:pt>
                      <c:pt idx="77">
                        <c:v>1.9660593308913106</c:v>
                      </c:pt>
                      <c:pt idx="78">
                        <c:v>1.9653073116527535</c:v>
                      </c:pt>
                      <c:pt idx="79">
                        <c:v>1.9645462962773506</c:v>
                      </c:pt>
                      <c:pt idx="80">
                        <c:v>1.9637739393743825</c:v>
                      </c:pt>
                      <c:pt idx="81">
                        <c:v>1.9629877634615198</c:v>
                      </c:pt>
                      <c:pt idx="82">
                        <c:v>1.9621851359616405</c:v>
                      </c:pt>
                      <c:pt idx="83">
                        <c:v>1.9613632429205163</c:v>
                      </c:pt>
                      <c:pt idx="84">
                        <c:v>1.9605190588047559</c:v>
                      </c:pt>
                      <c:pt idx="85">
                        <c:v>1.9596493115981655</c:v>
                      </c:pt>
                      <c:pt idx="86">
                        <c:v>1.9587504422371103</c:v>
                      </c:pt>
                      <c:pt idx="87">
                        <c:v>1.9578185572007987</c:v>
                      </c:pt>
                      <c:pt idx="88">
                        <c:v>1.9568493727864171</c:v>
                      </c:pt>
                      <c:pt idx="89">
                        <c:v>1.9558381492325581</c:v>
                      </c:pt>
                      <c:pt idx="90">
                        <c:v>1.95477961238145</c:v>
                      </c:pt>
                      <c:pt idx="91">
                        <c:v>1.9536678599555986</c:v>
                      </c:pt>
                      <c:pt idx="92">
                        <c:v>1.9524962487186999</c:v>
                      </c:pt>
                      <c:pt idx="93">
                        <c:v>1.9512572577258605</c:v>
                      </c:pt>
                      <c:pt idx="94">
                        <c:v>1.9499423214483584</c:v>
                      </c:pt>
                      <c:pt idx="95">
                        <c:v>1.948541624646843</c:v>
                      </c:pt>
                      <c:pt idx="96">
                        <c:v>1.9470438482674199</c:v>
                      </c:pt>
                      <c:pt idx="97">
                        <c:v>1.9454358520607387</c:v>
                      </c:pt>
                      <c:pt idx="98">
                        <c:v>1.9437022746512149</c:v>
                      </c:pt>
                      <c:pt idx="99">
                        <c:v>1.9418250247760402</c:v>
                      </c:pt>
                      <c:pt idx="100">
                        <c:v>1.9397826274029255</c:v>
                      </c:pt>
                      <c:pt idx="101">
                        <c:v>1.9375493739199319</c:v>
                      </c:pt>
                      <c:pt idx="102">
                        <c:v>1.9350942041993171</c:v>
                      </c:pt>
                      <c:pt idx="103">
                        <c:v>1.9323792162501099</c:v>
                      </c:pt>
                      <c:pt idx="104">
                        <c:v>1.9293576500995424</c:v>
                      </c:pt>
                      <c:pt idx="105">
                        <c:v>1.9259711158643513</c:v>
                      </c:pt>
                      <c:pt idx="106">
                        <c:v>1.9221457132863653</c:v>
                      </c:pt>
                      <c:pt idx="107">
                        <c:v>1.9177864884501434</c:v>
                      </c:pt>
                      <c:pt idx="108">
                        <c:v>1.9127693323045563</c:v>
                      </c:pt>
                      <c:pt idx="109">
                        <c:v>1.9069288286923425</c:v>
                      </c:pt>
                      <c:pt idx="110">
                        <c:v>1.9000394742864222</c:v>
                      </c:pt>
                      <c:pt idx="111">
                        <c:v>1.8917856307517409</c:v>
                      </c:pt>
                      <c:pt idx="112">
                        <c:v>1.8817114452913017</c:v>
                      </c:pt>
                      <c:pt idx="113">
                        <c:v>1.8691332118947803</c:v>
                      </c:pt>
                      <c:pt idx="114">
                        <c:v>1.8529766139731225</c:v>
                      </c:pt>
                      <c:pt idx="115">
                        <c:v>1.8314512099750029</c:v>
                      </c:pt>
                      <c:pt idx="116">
                        <c:v>1.8013343021358295</c:v>
                      </c:pt>
                      <c:pt idx="117">
                        <c:v>1.7561806088130671</c:v>
                      </c:pt>
                      <c:pt idx="118">
                        <c:v>1.6809512820737968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9C9D-4C5D-80F2-BA25F16579F9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id = 4,67 [A]</c:v>
                </c:tx>
                <c:spPr>
                  <a:ln w="15875">
                    <a:solidFill>
                      <a:srgbClr val="FFC000"/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rev.'!$AN$36:$AN$157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2.2276933333333333</c:v>
                      </c:pt>
                      <c:pt idx="2">
                        <c:v>2.214099569765644</c:v>
                      </c:pt>
                      <c:pt idx="3">
                        <c:v>2.2011709720617545</c:v>
                      </c:pt>
                      <c:pt idx="4">
                        <c:v>2.1888741417556892</c:v>
                      </c:pt>
                      <c:pt idx="5">
                        <c:v>2.1771773384693258</c:v>
                      </c:pt>
                      <c:pt idx="6">
                        <c:v>2.1660503969935929</c:v>
                      </c:pt>
                      <c:pt idx="7">
                        <c:v>2.1554646484907498</c:v>
                      </c:pt>
                      <c:pt idx="8">
                        <c:v>2.1453928456116005</c:v>
                      </c:pt>
                      <c:pt idx="9">
                        <c:v>2.1358090913317058</c:v>
                      </c:pt>
                      <c:pt idx="10">
                        <c:v>2.1266887713203859</c:v>
                      </c:pt>
                      <c:pt idx="11">
                        <c:v>2.1180084896655229</c:v>
                      </c:pt>
                      <c:pt idx="12">
                        <c:v>2.1097460077859491</c:v>
                      </c:pt>
                      <c:pt idx="13">
                        <c:v>2.1018801863715035</c:v>
                      </c:pt>
                      <c:pt idx="14">
                        <c:v>2.0943909301987711</c:v>
                      </c:pt>
                      <c:pt idx="15">
                        <c:v>2.0872591356779941</c:v>
                      </c:pt>
                      <c:pt idx="16">
                        <c:v>2.0804666409937806</c:v>
                      </c:pt>
                      <c:pt idx="17">
                        <c:v>2.0739961787089909</c:v>
                      </c:pt>
                      <c:pt idx="18">
                        <c:v>2.0678313307075933</c:v>
                      </c:pt>
                      <c:pt idx="19">
                        <c:v>2.0619564853583809</c:v>
                      </c:pt>
                      <c:pt idx="20">
                        <c:v>2.0563567967871976</c:v>
                      </c:pt>
                      <c:pt idx="21">
                        <c:v>2.051018146150811</c:v>
                      </c:pt>
                      <c:pt idx="22">
                        <c:v>2.0459271048107661</c:v>
                      </c:pt>
                      <c:pt idx="23">
                        <c:v>2.0410708993104612</c:v>
                      </c:pt>
                      <c:pt idx="24">
                        <c:v>2.0364373780633707</c:v>
                      </c:pt>
                      <c:pt idx="25">
                        <c:v>2.0320149796647415</c:v>
                      </c:pt>
                      <c:pt idx="26">
                        <c:v>2.0277927027432847</c:v>
                      </c:pt>
                      <c:pt idx="27">
                        <c:v>2.0237600772733253</c:v>
                      </c:pt>
                      <c:pt idx="28">
                        <c:v>2.0199071372716362</c:v>
                      </c:pt>
                      <c:pt idx="29">
                        <c:v>2.0162243948066827</c:v>
                      </c:pt>
                      <c:pt idx="30">
                        <c:v>2.012702815251374</c:v>
                      </c:pt>
                      <c:pt idx="31">
                        <c:v>2.0093337937135236</c:v>
                      </c:pt>
                      <c:pt idx="32">
                        <c:v>2.0061091325812104</c:v>
                      </c:pt>
                      <c:pt idx="33">
                        <c:v>2.0030210201229792</c:v>
                      </c:pt>
                      <c:pt idx="34">
                        <c:v>2.0000620100854496</c:v>
                      </c:pt>
                      <c:pt idx="35">
                        <c:v>1.9972250022333145</c:v>
                      </c:pt>
                      <c:pt idx="36">
                        <c:v>1.9945032237789975</c:v>
                      </c:pt>
                      <c:pt idx="37">
                        <c:v>1.9918902116513411</c:v>
                      </c:pt>
                      <c:pt idx="38">
                        <c:v>1.9893797955546384</c:v>
                      </c:pt>
                      <c:pt idx="39">
                        <c:v>1.9869660817711243</c:v>
                      </c:pt>
                      <c:pt idx="40">
                        <c:v>1.9846434376616755</c:v>
                      </c:pt>
                      <c:pt idx="41">
                        <c:v>1.9824064768209395</c:v>
                      </c:pt>
                      <c:pt idx="42">
                        <c:v>1.980250044844434</c:v>
                      </c:pt>
                      <c:pt idx="43">
                        <c:v>1.9781692056663249</c:v>
                      </c:pt>
                      <c:pt idx="44">
                        <c:v>1.9761592284275662</c:v>
                      </c:pt>
                      <c:pt idx="45">
                        <c:v>1.9742155748349184</c:v>
                      </c:pt>
                      <c:pt idx="46">
                        <c:v>1.9723338869720064</c:v>
                      </c:pt>
                      <c:pt idx="47">
                        <c:v>1.9705099755240276</c:v>
                      </c:pt>
                      <c:pt idx="48">
                        <c:v>1.9687398083779779</c:v>
                      </c:pt>
                      <c:pt idx="49">
                        <c:v>1.9670194995603245</c:v>
                      </c:pt>
                      <c:pt idx="50">
                        <c:v>1.9653452984738542</c:v>
                      </c:pt>
                      <c:pt idx="51">
                        <c:v>1.9637135793950049</c:v>
                      </c:pt>
                      <c:pt idx="52">
                        <c:v>1.9621208311922913</c:v>
                      </c:pt>
                      <c:pt idx="53">
                        <c:v>1.9605636472254218</c:v>
                      </c:pt>
                      <c:pt idx="54">
                        <c:v>1.9590387153833733</c:v>
                      </c:pt>
                      <c:pt idx="55">
                        <c:v>1.9575428082179895</c:v>
                      </c:pt>
                      <c:pt idx="56">
                        <c:v>1.9560727731275187</c:v>
                      </c:pt>
                      <c:pt idx="57">
                        <c:v>1.9546255225419225</c:v>
                      </c:pt>
                      <c:pt idx="58">
                        <c:v>1.9531980240586231</c:v>
                      </c:pt>
                      <c:pt idx="59">
                        <c:v>1.9517872904736002</c:v>
                      </c:pt>
                      <c:pt idx="60">
                        <c:v>1.9503903696482545</c:v>
                      </c:pt>
                      <c:pt idx="61">
                        <c:v>1.9490043341471615</c:v>
                      </c:pt>
                      <c:pt idx="62">
                        <c:v>1.9476262705755782</c:v>
                      </c:pt>
                      <c:pt idx="63">
                        <c:v>1.9462532685381868</c:v>
                      </c:pt>
                      <c:pt idx="64">
                        <c:v>1.9448824091319004</c:v>
                      </c:pt>
                      <c:pt idx="65">
                        <c:v>1.9435107528753603</c:v>
                      </c:pt>
                      <c:pt idx="66">
                        <c:v>1.9421353269657708</c:v>
                      </c:pt>
                      <c:pt idx="67">
                        <c:v>1.9407531117396137</c:v>
                      </c:pt>
                      <c:pt idx="68">
                        <c:v>1.9393610261971748</c:v>
                      </c:pt>
                      <c:pt idx="69">
                        <c:v>1.9379559124312153</c:v>
                      </c:pt>
                      <c:pt idx="70">
                        <c:v>1.9365345187769449</c:v>
                      </c:pt>
                      <c:pt idx="71">
                        <c:v>1.9350934814730338</c:v>
                      </c:pt>
                      <c:pt idx="72">
                        <c:v>1.9336293045907913</c:v>
                      </c:pt>
                      <c:pt idx="73">
                        <c:v>1.9321383379498731</c:v>
                      </c:pt>
                      <c:pt idx="74">
                        <c:v>1.9306167526925639</c:v>
                      </c:pt>
                      <c:pt idx="75">
                        <c:v>1.9290605141332151</c:v>
                      </c:pt>
                      <c:pt idx="76">
                        <c:v>1.9274653514327857</c:v>
                      </c:pt>
                      <c:pt idx="77">
                        <c:v>1.9258267235680782</c:v>
                      </c:pt>
                      <c:pt idx="78">
                        <c:v>1.9241397809679988</c:v>
                      </c:pt>
                      <c:pt idx="79">
                        <c:v>1.9223993220710014</c:v>
                      </c:pt>
                      <c:pt idx="80">
                        <c:v>1.9205997439136777</c:v>
                      </c:pt>
                      <c:pt idx="81">
                        <c:v>1.9187349856837421</c:v>
                      </c:pt>
                      <c:pt idx="82">
                        <c:v>1.9167984639530935</c:v>
                      </c:pt>
                      <c:pt idx="83">
                        <c:v>1.9147829980374755</c:v>
                      </c:pt>
                      <c:pt idx="84">
                        <c:v>1.9126807235945458</c:v>
                      </c:pt>
                      <c:pt idx="85">
                        <c:v>1.910482992153721</c:v>
                      </c:pt>
                      <c:pt idx="86">
                        <c:v>1.9081802537450467</c:v>
                      </c:pt>
                      <c:pt idx="87">
                        <c:v>1.9057619191289032</c:v>
                      </c:pt>
                      <c:pt idx="88">
                        <c:v>1.9032161972813668</c:v>
                      </c:pt>
                      <c:pt idx="89">
                        <c:v>1.9005299027047804</c:v>
                      </c:pt>
                      <c:pt idx="90">
                        <c:v>1.8976882257327046</c:v>
                      </c:pt>
                      <c:pt idx="91">
                        <c:v>1.8946744571778207</c:v>
                      </c:pt>
                      <c:pt idx="92">
                        <c:v>1.8914696562857496</c:v>
                      </c:pt>
                      <c:pt idx="93">
                        <c:v>1.8880522478052255</c:v>
                      </c:pt>
                      <c:pt idx="94">
                        <c:v>1.8843975297816915</c:v>
                      </c:pt>
                      <c:pt idx="95">
                        <c:v>1.8804770680229115</c:v>
                      </c:pt>
                      <c:pt idx="96">
                        <c:v>1.8762579454896424</c:v>
                      </c:pt>
                      <c:pt idx="97">
                        <c:v>1.8717018242829613</c:v>
                      </c:pt>
                      <c:pt idx="98">
                        <c:v>1.8667637631777851</c:v>
                      </c:pt>
                      <c:pt idx="99">
                        <c:v>1.8613907129073535</c:v>
                      </c:pt>
                      <c:pt idx="100">
                        <c:v>1.855519581768005</c:v>
                      </c:pt>
                      <c:pt idx="101">
                        <c:v>1.8490747211421539</c:v>
                      </c:pt>
                      <c:pt idx="102">
                        <c:v>1.8419646172110127</c:v>
                      </c:pt>
                      <c:pt idx="103">
                        <c:v>1.8340774801389987</c:v>
                      </c:pt>
                      <c:pt idx="104">
                        <c:v>1.8252752767335294</c:v>
                      </c:pt>
                      <c:pt idx="105">
                        <c:v>1.8153855255865736</c:v>
                      </c:pt>
                      <c:pt idx="106">
                        <c:v>1.8041898105085874</c:v>
                      </c:pt>
                      <c:pt idx="107">
                        <c:v>1.7914073713866514</c:v>
                      </c:pt>
                      <c:pt idx="108">
                        <c:v>1.7766711218344708</c:v>
                      </c:pt>
                      <c:pt idx="109">
                        <c:v>1.7594916759145647</c:v>
                      </c:pt>
                      <c:pt idx="110">
                        <c:v>1.7392017533268262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9D-4C5D-80F2-BA25F16579F9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v>id = 5,55 [A]</c:v>
                </c:tx>
                <c:spPr>
                  <a:ln w="15875">
                    <a:solidFill>
                      <a:srgbClr val="FFFF00"/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rev.'!$AO$36:$AO$157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2.223471</c:v>
                      </c:pt>
                      <c:pt idx="2">
                        <c:v>2.2098418288692852</c:v>
                      </c:pt>
                      <c:pt idx="3">
                        <c:v>2.1968772234741838</c:v>
                      </c:pt>
                      <c:pt idx="4">
                        <c:v>2.1845437699608174</c:v>
                      </c:pt>
                      <c:pt idx="5">
                        <c:v>2.1728097120325445</c:v>
                      </c:pt>
                      <c:pt idx="6">
                        <c:v>2.1616448680080853</c:v>
                      </c:pt>
                      <c:pt idx="7">
                        <c:v>2.1510205519995216</c:v>
                      </c:pt>
                      <c:pt idx="8">
                        <c:v>2.1409094990039308</c:v>
                      </c:pt>
                      <c:pt idx="9">
                        <c:v>2.1312857937126584</c:v>
                      </c:pt>
                      <c:pt idx="10">
                        <c:v>2.1221248028519173</c:v>
                      </c:pt>
                      <c:pt idx="11">
                        <c:v>2.1134031108776443</c:v>
                      </c:pt>
                      <c:pt idx="12">
                        <c:v>2.1050984588562853</c:v>
                      </c:pt>
                      <c:pt idx="13">
                        <c:v>2.0971896863715029</c:v>
                      </c:pt>
                      <c:pt idx="14">
                        <c:v>2.0896566763046898</c:v>
                      </c:pt>
                      <c:pt idx="15">
                        <c:v>2.0824803023446607</c:v>
                      </c:pt>
                      <c:pt idx="16">
                        <c:v>2.0756423790890191</c:v>
                      </c:pt>
                      <c:pt idx="17">
                        <c:v>2.0691256146064267</c:v>
                      </c:pt>
                      <c:pt idx="18">
                        <c:v>2.0629135653354251</c:v>
                      </c:pt>
                      <c:pt idx="19">
                        <c:v>2.0569905932015184</c:v>
                      </c:pt>
                      <c:pt idx="20">
                        <c:v>2.0513418248400028</c:v>
                      </c:pt>
                      <c:pt idx="21">
                        <c:v>2.0459531128174775</c:v>
                      </c:pt>
                      <c:pt idx="22">
                        <c:v>2.0408109987501595</c:v>
                      </c:pt>
                      <c:pt idx="23">
                        <c:v>2.0359026782220258</c:v>
                      </c:pt>
                      <c:pt idx="24">
                        <c:v>2.0312159674104491</c:v>
                      </c:pt>
                      <c:pt idx="25">
                        <c:v>2.0267392713314081</c:v>
                      </c:pt>
                      <c:pt idx="26">
                        <c:v>2.0224615536204777</c:v>
                      </c:pt>
                      <c:pt idx="27">
                        <c:v>2.0183723077697793</c:v>
                      </c:pt>
                      <c:pt idx="28">
                        <c:v>2.0144615297447546</c:v>
                      </c:pt>
                      <c:pt idx="29">
                        <c:v>2.010719691908132</c:v>
                      </c:pt>
                      <c:pt idx="30">
                        <c:v>2.0071377181817769</c:v>
                      </c:pt>
                      <c:pt idx="31">
                        <c:v>2.0037069603801902</c:v>
                      </c:pt>
                      <c:pt idx="32">
                        <c:v>2.0004191756523713</c:v>
                      </c:pt>
                      <c:pt idx="33">
                        <c:v>1.9972665049714644</c:v>
                      </c:pt>
                      <c:pt idx="34">
                        <c:v>1.9942414526141854</c:v>
                      </c:pt>
                      <c:pt idx="35">
                        <c:v>1.9913368665743993</c:v>
                      </c:pt>
                      <c:pt idx="36">
                        <c:v>1.9885459198574287</c:v>
                      </c:pt>
                      <c:pt idx="37">
                        <c:v>1.985862092603722</c:v>
                      </c:pt>
                      <c:pt idx="38">
                        <c:v>1.9832791549923894</c:v>
                      </c:pt>
                      <c:pt idx="39">
                        <c:v>1.9807911508768152</c:v>
                      </c:pt>
                      <c:pt idx="40">
                        <c:v>1.9783923821061202</c:v>
                      </c:pt>
                      <c:pt idx="41">
                        <c:v>1.9760773934876057</c:v>
                      </c:pt>
                      <c:pt idx="42">
                        <c:v>1.9738409583465435</c:v>
                      </c:pt>
                      <c:pt idx="43">
                        <c:v>1.9716780646406842</c:v>
                      </c:pt>
                      <c:pt idx="44">
                        <c:v>1.9695839015877397</c:v>
                      </c:pt>
                      <c:pt idx="45">
                        <c:v>1.9675538467647427</c:v>
                      </c:pt>
                      <c:pt idx="46">
                        <c:v>1.9655834536386734</c:v>
                      </c:pt>
                      <c:pt idx="47">
                        <c:v>1.9636684394879913</c:v>
                      </c:pt>
                      <c:pt idx="48">
                        <c:v>1.9618046736747816</c:v>
                      </c:pt>
                      <c:pt idx="49">
                        <c:v>1.9599881662269916</c:v>
                      </c:pt>
                      <c:pt idx="50">
                        <c:v>1.9582150566898169</c:v>
                      </c:pt>
                      <c:pt idx="51">
                        <c:v>1.9564816032045289</c:v>
                      </c:pt>
                      <c:pt idx="52">
                        <c:v>1.9547841717720018</c:v>
                      </c:pt>
                      <c:pt idx="53">
                        <c:v>1.9531192256567942</c:v>
                      </c:pt>
                      <c:pt idx="54">
                        <c:v>1.9514833148858608</c:v>
                      </c:pt>
                      <c:pt idx="55">
                        <c:v>1.9498730657937471</c:v>
                      </c:pt>
                      <c:pt idx="56">
                        <c:v>1.9482851705634165</c:v>
                      </c:pt>
                      <c:pt idx="57">
                        <c:v>1.9467163767085893</c:v>
                      </c:pt>
                      <c:pt idx="58">
                        <c:v>1.9451634764395758</c:v>
                      </c:pt>
                      <c:pt idx="59">
                        <c:v>1.9436232958499446</c:v>
                      </c:pt>
                      <c:pt idx="60">
                        <c:v>1.9420926838559047</c:v>
                      </c:pt>
                      <c:pt idx="61">
                        <c:v>1.940568500813828</c:v>
                      </c:pt>
                      <c:pt idx="62">
                        <c:v>1.9390476067337705</c:v>
                      </c:pt>
                      <c:pt idx="63">
                        <c:v>1.9375268489979569</c:v>
                      </c:pt>
                      <c:pt idx="64">
                        <c:v>1.9360030494827773</c:v>
                      </c:pt>
                      <c:pt idx="65">
                        <c:v>1.9344729909705982</c:v>
                      </c:pt>
                      <c:pt idx="66">
                        <c:v>1.9329334027233465</c:v>
                      </c:pt>
                      <c:pt idx="67">
                        <c:v>1.9313809450729469</c:v>
                      </c:pt>
                      <c:pt idx="68">
                        <c:v>1.9298121928638414</c:v>
                      </c:pt>
                      <c:pt idx="69">
                        <c:v>1.9282236175594201</c:v>
                      </c:pt>
                      <c:pt idx="70">
                        <c:v>1.9266115677965527</c:v>
                      </c:pt>
                      <c:pt idx="71">
                        <c:v>1.9249722481397009</c:v>
                      </c:pt>
                      <c:pt idx="72">
                        <c:v>1.9233016957472542</c:v>
                      </c:pt>
                      <c:pt idx="73">
                        <c:v>1.9215957546165399</c:v>
                      </c:pt>
                      <c:pt idx="74">
                        <c:v>1.9198500470188051</c:v>
                      </c:pt>
                      <c:pt idx="75">
                        <c:v>1.9180599416694468</c:v>
                      </c:pt>
                      <c:pt idx="76">
                        <c:v>1.9162205180994523</c:v>
                      </c:pt>
                      <c:pt idx="77">
                        <c:v>1.9143265265983811</c:v>
                      </c:pt>
                      <c:pt idx="78">
                        <c:v>1.9123723429835024</c:v>
                      </c:pt>
                      <c:pt idx="79">
                        <c:v>1.9103519173090968</c:v>
                      </c:pt>
                      <c:pt idx="80">
                        <c:v>1.9082587154583932</c:v>
                      </c:pt>
                      <c:pt idx="81">
                        <c:v>1.9060856523504091</c:v>
                      </c:pt>
                      <c:pt idx="82">
                        <c:v>1.9038250152351448</c:v>
                      </c:pt>
                      <c:pt idx="83">
                        <c:v>1.901468375230458</c:v>
                      </c:pt>
                      <c:pt idx="84">
                        <c:v>1.899006484855807</c:v>
                      </c:pt>
                      <c:pt idx="85">
                        <c:v>1.8964291588203877</c:v>
                      </c:pt>
                      <c:pt idx="86">
                        <c:v>1.8937251346974275</c:v>
                      </c:pt>
                      <c:pt idx="87">
                        <c:v>1.890881909324982</c:v>
                      </c:pt>
                      <c:pt idx="88">
                        <c:v>1.8878855457662154</c:v>
                      </c:pt>
                      <c:pt idx="89">
                        <c:v>1.8847204443714471</c:v>
                      </c:pt>
                      <c:pt idx="90">
                        <c:v>1.8813690698187262</c:v>
                      </c:pt>
                      <c:pt idx="91">
                        <c:v>1.8778116238444875</c:v>
                      </c:pt>
                      <c:pt idx="92">
                        <c:v>1.8740256505386232</c:v>
                      </c:pt>
                      <c:pt idx="93">
                        <c:v>1.8699855573290352</c:v>
                      </c:pt>
                      <c:pt idx="94">
                        <c:v>1.8656620297816915</c:v>
                      </c:pt>
                      <c:pt idx="95">
                        <c:v>1.861021311612655</c:v>
                      </c:pt>
                      <c:pt idx="96">
                        <c:v>1.8560243121563089</c:v>
                      </c:pt>
                      <c:pt idx="97">
                        <c:v>1.8506254909496278</c:v>
                      </c:pt>
                      <c:pt idx="98">
                        <c:v>1.8447714515835822</c:v>
                      </c:pt>
                      <c:pt idx="99">
                        <c:v>1.838399152301293</c:v>
                      </c:pt>
                      <c:pt idx="100">
                        <c:v>1.8314336055775287</c:v>
                      </c:pt>
                      <c:pt idx="101">
                        <c:v>1.8237848878088208</c:v>
                      </c:pt>
                      <c:pt idx="102">
                        <c:v>1.815344204930311</c:v>
                      </c:pt>
                      <c:pt idx="103">
                        <c:v>1.8059786468056656</c:v>
                      </c:pt>
                      <c:pt idx="104">
                        <c:v>1.7955240904590195</c:v>
                      </c:pt>
                      <c:pt idx="105">
                        <c:v>1.7837754422532401</c:v>
                      </c:pt>
                      <c:pt idx="106">
                        <c:v>1.7704729771752541</c:v>
                      </c:pt>
                      <c:pt idx="107">
                        <c:v>1.7552828237676039</c:v>
                      </c:pt>
                      <c:pt idx="108">
                        <c:v>1.7377684423472914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9D-4C5D-80F2-BA25F16579F9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id = 10,39 [A]</c:v>
                </c:tx>
                <c:spPr>
                  <a:ln w="15875">
                    <a:solidFill>
                      <a:srgbClr val="00B050"/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rev.'!$AQ$36:$AQ$157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2.2003358</c:v>
                      </c:pt>
                      <c:pt idx="2">
                        <c:v>2.186512622146596</c:v>
                      </c:pt>
                      <c:pt idx="3">
                        <c:v>2.1733507217792689</c:v>
                      </c:pt>
                      <c:pt idx="4">
                        <c:v>2.1608166007300484</c:v>
                      </c:pt>
                      <c:pt idx="5">
                        <c:v>2.1488784154808203</c:v>
                      </c:pt>
                      <c:pt idx="6">
                        <c:v>2.137505894095042</c:v>
                      </c:pt>
                      <c:pt idx="7">
                        <c:v>2.1266702572626794</c:v>
                      </c:pt>
                      <c:pt idx="8">
                        <c:v>2.1163441432517183</c:v>
                      </c:pt>
                      <c:pt idx="9">
                        <c:v>2.1065015365698012</c:v>
                      </c:pt>
                      <c:pt idx="10">
                        <c:v>2.0971177001492145</c:v>
                      </c:pt>
                      <c:pt idx="11">
                        <c:v>2.0881691108776446</c:v>
                      </c:pt>
                      <c:pt idx="12">
                        <c:v>2.0796333983058268</c:v>
                      </c:pt>
                      <c:pt idx="13">
                        <c:v>2.0714892863715031</c:v>
                      </c:pt>
                      <c:pt idx="14">
                        <c:v>2.0637165379869327</c:v>
                      </c:pt>
                      <c:pt idx="15">
                        <c:v>2.0562959023446603</c:v>
                      </c:pt>
                      <c:pt idx="16">
                        <c:v>2.0492090648033043</c:v>
                      </c:pt>
                      <c:pt idx="17">
                        <c:v>2.042438599221811</c:v>
                      </c:pt>
                      <c:pt idx="18">
                        <c:v>2.0359679226169782</c:v>
                      </c:pt>
                      <c:pt idx="19">
                        <c:v>2.0297812520250478</c:v>
                      </c:pt>
                      <c:pt idx="20">
                        <c:v>2.0238635634538644</c:v>
                      </c:pt>
                      <c:pt idx="21">
                        <c:v>2.0182005528174778</c:v>
                      </c:pt>
                      <c:pt idx="22">
                        <c:v>2.0127785987501596</c:v>
                      </c:pt>
                      <c:pt idx="23">
                        <c:v>2.0075847272016172</c:v>
                      </c:pt>
                      <c:pt idx="24">
                        <c:v>2.0026065777197277</c:v>
                      </c:pt>
                      <c:pt idx="25">
                        <c:v>1.9978323713314083</c:v>
                      </c:pt>
                      <c:pt idx="26">
                        <c:v>1.9932508799362669</c:v>
                      </c:pt>
                      <c:pt idx="27">
                        <c:v>1.9888513971314814</c:v>
                      </c:pt>
                      <c:pt idx="28">
                        <c:v>1.9846237103899158</c:v>
                      </c:pt>
                      <c:pt idx="29">
                        <c:v>1.9805580745168279</c:v>
                      </c:pt>
                      <c:pt idx="30">
                        <c:v>1.9766451863136449</c:v>
                      </c:pt>
                      <c:pt idx="31">
                        <c:v>1.9728761603801899</c:v>
                      </c:pt>
                      <c:pt idx="32">
                        <c:v>1.9692425059894498</c:v>
                      </c:pt>
                      <c:pt idx="33">
                        <c:v>1.9657361049714643</c:v>
                      </c:pt>
                      <c:pt idx="34">
                        <c:v>1.9623491905452202</c:v>
                      </c:pt>
                      <c:pt idx="35">
                        <c:v>1.9590743270395155</c:v>
                      </c:pt>
                      <c:pt idx="36">
                        <c:v>1.9559043904456639</c:v>
                      </c:pt>
                      <c:pt idx="37">
                        <c:v>1.952832549746579</c:v>
                      </c:pt>
                      <c:pt idx="38">
                        <c:v>1.949852248968293</c:v>
                      </c:pt>
                      <c:pt idx="39">
                        <c:v>1.9469571899012057</c:v>
                      </c:pt>
                      <c:pt idx="40">
                        <c:v>1.9441413154394536</c:v>
                      </c:pt>
                      <c:pt idx="41">
                        <c:v>1.9413987934876062</c:v>
                      </c:pt>
                      <c:pt idx="42">
                        <c:v>1.9387240013845184</c:v>
                      </c:pt>
                      <c:pt idx="43">
                        <c:v>1.9361115107945301</c:v>
                      </c:pt>
                      <c:pt idx="44">
                        <c:v>1.9335560730163108</c:v>
                      </c:pt>
                      <c:pt idx="45">
                        <c:v>1.9310526046594798</c:v>
                      </c:pt>
                      <c:pt idx="46">
                        <c:v>1.9285961736386732</c:v>
                      </c:pt>
                      <c:pt idx="47">
                        <c:v>1.9261819854339373</c:v>
                      </c:pt>
                      <c:pt idx="48">
                        <c:v>1.9238053695651924</c:v>
                      </c:pt>
                      <c:pt idx="49">
                        <c:v>1.9214617662269913</c:v>
                      </c:pt>
                      <c:pt idx="50">
                        <c:v>1.9191467130278448</c:v>
                      </c:pt>
                      <c:pt idx="51">
                        <c:v>1.9168558317759572</c:v>
                      </c:pt>
                      <c:pt idx="52">
                        <c:v>1.9145848152502625</c:v>
                      </c:pt>
                      <c:pt idx="53">
                        <c:v>1.9123294138920883</c:v>
                      </c:pt>
                      <c:pt idx="54">
                        <c:v>1.9100854223485475</c:v>
                      </c:pt>
                      <c:pt idx="55">
                        <c:v>1.907848665793747</c:v>
                      </c:pt>
                      <c:pt idx="56">
                        <c:v>1.9056149859480318</c:v>
                      </c:pt>
                      <c:pt idx="57">
                        <c:v>1.9033802267085891</c:v>
                      </c:pt>
                      <c:pt idx="58">
                        <c:v>1.9011402192967186</c:v>
                      </c:pt>
                      <c:pt idx="59">
                        <c:v>1.8988907668176864</c:v>
                      </c:pt>
                      <c:pt idx="60">
                        <c:v>1.8966276281181997</c:v>
                      </c:pt>
                      <c:pt idx="61">
                        <c:v>1.894346500813828</c:v>
                      </c:pt>
                      <c:pt idx="62">
                        <c:v>1.8920430033439397</c:v>
                      </c:pt>
                      <c:pt idx="63">
                        <c:v>1.8897126558945085</c:v>
                      </c:pt>
                      <c:pt idx="64">
                        <c:v>1.8873508600090931</c:v>
                      </c:pt>
                      <c:pt idx="65">
                        <c:v>1.884952876684884</c:v>
                      </c:pt>
                      <c:pt idx="66">
                        <c:v>1.8825138027233466</c:v>
                      </c:pt>
                      <c:pt idx="67">
                        <c:v>1.8800285450729468</c:v>
                      </c:pt>
                      <c:pt idx="68">
                        <c:v>1.8774917928638417</c:v>
                      </c:pt>
                      <c:pt idx="69">
                        <c:v>1.8748979867901894</c:v>
                      </c:pt>
                      <c:pt idx="70">
                        <c:v>1.8722412854436117</c:v>
                      </c:pt>
                      <c:pt idx="71">
                        <c:v>1.8695155281397007</c:v>
                      </c:pt>
                      <c:pt idx="72">
                        <c:v>1.8667141937064375</c:v>
                      </c:pt>
                      <c:pt idx="73">
                        <c:v>1.8638303546165398</c:v>
                      </c:pt>
                      <c:pt idx="74">
                        <c:v>1.8608566257422094</c:v>
                      </c:pt>
                      <c:pt idx="75">
                        <c:v>1.8577851068868381</c:v>
                      </c:pt>
                      <c:pt idx="76">
                        <c:v>1.8546073180994522</c:v>
                      </c:pt>
                      <c:pt idx="77">
                        <c:v>1.8513141265983815</c:v>
                      </c:pt>
                      <c:pt idx="78">
                        <c:v>1.8478956639137354</c:v>
                      </c:pt>
                      <c:pt idx="79">
                        <c:v>1.8443412315948111</c:v>
                      </c:pt>
                      <c:pt idx="80">
                        <c:v>1.8406391935071738</c:v>
                      </c:pt>
                      <c:pt idx="81">
                        <c:v>1.8367768523504089</c:v>
                      </c:pt>
                      <c:pt idx="82">
                        <c:v>1.832740307542837</c:v>
                      </c:pt>
                      <c:pt idx="83">
                        <c:v>1.8285142910199317</c:v>
                      </c:pt>
                      <c:pt idx="84">
                        <c:v>1.824081976747699</c:v>
                      </c:pt>
                      <c:pt idx="85">
                        <c:v>1.8194247588203876</c:v>
                      </c:pt>
                      <c:pt idx="86">
                        <c:v>1.8145219918402848</c:v>
                      </c:pt>
                      <c:pt idx="87">
                        <c:v>1.8093506857955701</c:v>
                      </c:pt>
                      <c:pt idx="88">
                        <c:v>1.8038851457662153</c:v>
                      </c:pt>
                      <c:pt idx="89">
                        <c:v>1.7980965443714472</c:v>
                      </c:pt>
                      <c:pt idx="90">
                        <c:v>1.7919524117542098</c:v>
                      </c:pt>
                      <c:pt idx="91">
                        <c:v>1.7854160238444874</c:v>
                      </c:pt>
                      <c:pt idx="92">
                        <c:v>1.7784456643317266</c:v>
                      </c:pt>
                      <c:pt idx="93">
                        <c:v>1.7709937287576063</c:v>
                      </c:pt>
                      <c:pt idx="94">
                        <c:v>1.7630056297816916</c:v>
                      </c:pt>
                      <c:pt idx="95">
                        <c:v>1.7544184500741935</c:v>
                      </c:pt>
                      <c:pt idx="96">
                        <c:v>1.7451592721563092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C9D-4C5D-80F2-BA25F16579F9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Ufin = 1,80 [V/c]</c:v>
                </c:tx>
                <c:spPr>
                  <a:ln w="15875">
                    <a:solidFill>
                      <a:srgbClr val="00B050"/>
                    </a:solidFill>
                    <a:prstDash val="lgDashDot"/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rev.'!$AU$36:$AU$157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1.8</c:v>
                      </c:pt>
                      <c:pt idx="1">
                        <c:v>1.8</c:v>
                      </c:pt>
                      <c:pt idx="2">
                        <c:v>1.8</c:v>
                      </c:pt>
                      <c:pt idx="3">
                        <c:v>1.8</c:v>
                      </c:pt>
                      <c:pt idx="4">
                        <c:v>1.8</c:v>
                      </c:pt>
                      <c:pt idx="5">
                        <c:v>1.8</c:v>
                      </c:pt>
                      <c:pt idx="6">
                        <c:v>1.8</c:v>
                      </c:pt>
                      <c:pt idx="7">
                        <c:v>1.8</c:v>
                      </c:pt>
                      <c:pt idx="8">
                        <c:v>1.8</c:v>
                      </c:pt>
                      <c:pt idx="9">
                        <c:v>1.8</c:v>
                      </c:pt>
                      <c:pt idx="10">
                        <c:v>1.8</c:v>
                      </c:pt>
                      <c:pt idx="11">
                        <c:v>1.8</c:v>
                      </c:pt>
                      <c:pt idx="12">
                        <c:v>1.8</c:v>
                      </c:pt>
                      <c:pt idx="13">
                        <c:v>1.8</c:v>
                      </c:pt>
                      <c:pt idx="14">
                        <c:v>1.8</c:v>
                      </c:pt>
                      <c:pt idx="15">
                        <c:v>1.8</c:v>
                      </c:pt>
                      <c:pt idx="16">
                        <c:v>1.8</c:v>
                      </c:pt>
                      <c:pt idx="17">
                        <c:v>1.8</c:v>
                      </c:pt>
                      <c:pt idx="18">
                        <c:v>1.8</c:v>
                      </c:pt>
                      <c:pt idx="19">
                        <c:v>1.8</c:v>
                      </c:pt>
                      <c:pt idx="20">
                        <c:v>1.8</c:v>
                      </c:pt>
                      <c:pt idx="21">
                        <c:v>1.8</c:v>
                      </c:pt>
                      <c:pt idx="22">
                        <c:v>1.8</c:v>
                      </c:pt>
                      <c:pt idx="23">
                        <c:v>1.8</c:v>
                      </c:pt>
                      <c:pt idx="24">
                        <c:v>1.8</c:v>
                      </c:pt>
                      <c:pt idx="25">
                        <c:v>1.8</c:v>
                      </c:pt>
                      <c:pt idx="26">
                        <c:v>1.8</c:v>
                      </c:pt>
                      <c:pt idx="27">
                        <c:v>1.8</c:v>
                      </c:pt>
                      <c:pt idx="28">
                        <c:v>1.8</c:v>
                      </c:pt>
                      <c:pt idx="29">
                        <c:v>1.8</c:v>
                      </c:pt>
                      <c:pt idx="30">
                        <c:v>1.8</c:v>
                      </c:pt>
                      <c:pt idx="31">
                        <c:v>1.8</c:v>
                      </c:pt>
                      <c:pt idx="32">
                        <c:v>1.8</c:v>
                      </c:pt>
                      <c:pt idx="33">
                        <c:v>1.8</c:v>
                      </c:pt>
                      <c:pt idx="34">
                        <c:v>1.8</c:v>
                      </c:pt>
                      <c:pt idx="35">
                        <c:v>1.8</c:v>
                      </c:pt>
                      <c:pt idx="36">
                        <c:v>1.8</c:v>
                      </c:pt>
                      <c:pt idx="37">
                        <c:v>1.8</c:v>
                      </c:pt>
                      <c:pt idx="38">
                        <c:v>1.8</c:v>
                      </c:pt>
                      <c:pt idx="39">
                        <c:v>1.8</c:v>
                      </c:pt>
                      <c:pt idx="40">
                        <c:v>1.8</c:v>
                      </c:pt>
                      <c:pt idx="41">
                        <c:v>1.8</c:v>
                      </c:pt>
                      <c:pt idx="42">
                        <c:v>1.8</c:v>
                      </c:pt>
                      <c:pt idx="43">
                        <c:v>1.8</c:v>
                      </c:pt>
                      <c:pt idx="44">
                        <c:v>1.8</c:v>
                      </c:pt>
                      <c:pt idx="45">
                        <c:v>1.8</c:v>
                      </c:pt>
                      <c:pt idx="46">
                        <c:v>1.8</c:v>
                      </c:pt>
                      <c:pt idx="47">
                        <c:v>1.8</c:v>
                      </c:pt>
                      <c:pt idx="48">
                        <c:v>1.8</c:v>
                      </c:pt>
                      <c:pt idx="49">
                        <c:v>1.8</c:v>
                      </c:pt>
                      <c:pt idx="50">
                        <c:v>1.8</c:v>
                      </c:pt>
                      <c:pt idx="51">
                        <c:v>1.8</c:v>
                      </c:pt>
                      <c:pt idx="52">
                        <c:v>1.8</c:v>
                      </c:pt>
                      <c:pt idx="53">
                        <c:v>1.8</c:v>
                      </c:pt>
                      <c:pt idx="54">
                        <c:v>1.8</c:v>
                      </c:pt>
                      <c:pt idx="55">
                        <c:v>1.8</c:v>
                      </c:pt>
                      <c:pt idx="56">
                        <c:v>1.8</c:v>
                      </c:pt>
                      <c:pt idx="57">
                        <c:v>1.8</c:v>
                      </c:pt>
                      <c:pt idx="58">
                        <c:v>1.8</c:v>
                      </c:pt>
                      <c:pt idx="59">
                        <c:v>1.8</c:v>
                      </c:pt>
                      <c:pt idx="60">
                        <c:v>1.8</c:v>
                      </c:pt>
                      <c:pt idx="61">
                        <c:v>1.8</c:v>
                      </c:pt>
                      <c:pt idx="62">
                        <c:v>1.8</c:v>
                      </c:pt>
                      <c:pt idx="63">
                        <c:v>1.8</c:v>
                      </c:pt>
                      <c:pt idx="64">
                        <c:v>1.8</c:v>
                      </c:pt>
                      <c:pt idx="65">
                        <c:v>1.8</c:v>
                      </c:pt>
                      <c:pt idx="66">
                        <c:v>1.8</c:v>
                      </c:pt>
                      <c:pt idx="67">
                        <c:v>1.8</c:v>
                      </c:pt>
                      <c:pt idx="68">
                        <c:v>1.8</c:v>
                      </c:pt>
                      <c:pt idx="69">
                        <c:v>1.8</c:v>
                      </c:pt>
                      <c:pt idx="70">
                        <c:v>1.8</c:v>
                      </c:pt>
                      <c:pt idx="71">
                        <c:v>1.8</c:v>
                      </c:pt>
                      <c:pt idx="72">
                        <c:v>1.8</c:v>
                      </c:pt>
                      <c:pt idx="73">
                        <c:v>1.8</c:v>
                      </c:pt>
                      <c:pt idx="74">
                        <c:v>1.8</c:v>
                      </c:pt>
                      <c:pt idx="75">
                        <c:v>1.8</c:v>
                      </c:pt>
                      <c:pt idx="76">
                        <c:v>1.8</c:v>
                      </c:pt>
                      <c:pt idx="77">
                        <c:v>1.8</c:v>
                      </c:pt>
                      <c:pt idx="78">
                        <c:v>1.8</c:v>
                      </c:pt>
                      <c:pt idx="79">
                        <c:v>1.8</c:v>
                      </c:pt>
                      <c:pt idx="80">
                        <c:v>1.8</c:v>
                      </c:pt>
                      <c:pt idx="81">
                        <c:v>1.8</c:v>
                      </c:pt>
                      <c:pt idx="82">
                        <c:v>1.8</c:v>
                      </c:pt>
                      <c:pt idx="83">
                        <c:v>1.8</c:v>
                      </c:pt>
                      <c:pt idx="84">
                        <c:v>1.8</c:v>
                      </c:pt>
                      <c:pt idx="85">
                        <c:v>1.8</c:v>
                      </c:pt>
                      <c:pt idx="86">
                        <c:v>1.8</c:v>
                      </c:pt>
                      <c:pt idx="87">
                        <c:v>1.8</c:v>
                      </c:pt>
                      <c:pt idx="88">
                        <c:v>1.8</c:v>
                      </c:pt>
                      <c:pt idx="89">
                        <c:v>1.8</c:v>
                      </c:pt>
                      <c:pt idx="90">
                        <c:v>1.8</c:v>
                      </c:pt>
                      <c:pt idx="91">
                        <c:v>1.8</c:v>
                      </c:pt>
                      <c:pt idx="92">
                        <c:v>1.8</c:v>
                      </c:pt>
                      <c:pt idx="93">
                        <c:v>1.8</c:v>
                      </c:pt>
                      <c:pt idx="94">
                        <c:v>1.8</c:v>
                      </c:pt>
                      <c:pt idx="95">
                        <c:v>1.8</c:v>
                      </c:pt>
                      <c:pt idx="96">
                        <c:v>1.8</c:v>
                      </c:pt>
                      <c:pt idx="97">
                        <c:v>1.8</c:v>
                      </c:pt>
                      <c:pt idx="98">
                        <c:v>1.8</c:v>
                      </c:pt>
                      <c:pt idx="99">
                        <c:v>1.8</c:v>
                      </c:pt>
                      <c:pt idx="100">
                        <c:v>1.8</c:v>
                      </c:pt>
                      <c:pt idx="101">
                        <c:v>1.8</c:v>
                      </c:pt>
                      <c:pt idx="102">
                        <c:v>1.8</c:v>
                      </c:pt>
                      <c:pt idx="103">
                        <c:v>1.8</c:v>
                      </c:pt>
                      <c:pt idx="104">
                        <c:v>1.8</c:v>
                      </c:pt>
                      <c:pt idx="105">
                        <c:v>1.8</c:v>
                      </c:pt>
                      <c:pt idx="106">
                        <c:v>1.8</c:v>
                      </c:pt>
                      <c:pt idx="107">
                        <c:v>1.8</c:v>
                      </c:pt>
                      <c:pt idx="108">
                        <c:v>1.8</c:v>
                      </c:pt>
                      <c:pt idx="109">
                        <c:v>1.8</c:v>
                      </c:pt>
                      <c:pt idx="110">
                        <c:v>1.8</c:v>
                      </c:pt>
                      <c:pt idx="111">
                        <c:v>1.8</c:v>
                      </c:pt>
                      <c:pt idx="112">
                        <c:v>1.8</c:v>
                      </c:pt>
                      <c:pt idx="113">
                        <c:v>1.8</c:v>
                      </c:pt>
                      <c:pt idx="114">
                        <c:v>1.8</c:v>
                      </c:pt>
                      <c:pt idx="115">
                        <c:v>1.8</c:v>
                      </c:pt>
                      <c:pt idx="116">
                        <c:v>1.8</c:v>
                      </c:pt>
                      <c:pt idx="117">
                        <c:v>1.8</c:v>
                      </c:pt>
                      <c:pt idx="118">
                        <c:v>1.8</c:v>
                      </c:pt>
                      <c:pt idx="119">
                        <c:v>1.8</c:v>
                      </c:pt>
                      <c:pt idx="120">
                        <c:v>1.8</c:v>
                      </c:pt>
                      <c:pt idx="121">
                        <c:v>1.8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C9D-4C5D-80F2-BA25F16579F9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Ufin = 1,81 [V/c]</c:v>
                </c:tx>
                <c:spPr>
                  <a:ln w="15875">
                    <a:solidFill>
                      <a:srgbClr val="FFFFCC"/>
                    </a:solidFill>
                    <a:prstDash val="lgDashDot"/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rev.'!$AV$36:$AV$157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1.81</c:v>
                      </c:pt>
                      <c:pt idx="1">
                        <c:v>1.81</c:v>
                      </c:pt>
                      <c:pt idx="2">
                        <c:v>1.81</c:v>
                      </c:pt>
                      <c:pt idx="3">
                        <c:v>1.81</c:v>
                      </c:pt>
                      <c:pt idx="4">
                        <c:v>1.81</c:v>
                      </c:pt>
                      <c:pt idx="5">
                        <c:v>1.81</c:v>
                      </c:pt>
                      <c:pt idx="6">
                        <c:v>1.81</c:v>
                      </c:pt>
                      <c:pt idx="7">
                        <c:v>1.81</c:v>
                      </c:pt>
                      <c:pt idx="8">
                        <c:v>1.81</c:v>
                      </c:pt>
                      <c:pt idx="9">
                        <c:v>1.81</c:v>
                      </c:pt>
                      <c:pt idx="10">
                        <c:v>1.81</c:v>
                      </c:pt>
                      <c:pt idx="11">
                        <c:v>1.81</c:v>
                      </c:pt>
                      <c:pt idx="12">
                        <c:v>1.81</c:v>
                      </c:pt>
                      <c:pt idx="13">
                        <c:v>1.81</c:v>
                      </c:pt>
                      <c:pt idx="14">
                        <c:v>1.81</c:v>
                      </c:pt>
                      <c:pt idx="15">
                        <c:v>1.81</c:v>
                      </c:pt>
                      <c:pt idx="16">
                        <c:v>1.81</c:v>
                      </c:pt>
                      <c:pt idx="17">
                        <c:v>1.81</c:v>
                      </c:pt>
                      <c:pt idx="18">
                        <c:v>1.81</c:v>
                      </c:pt>
                      <c:pt idx="19">
                        <c:v>1.81</c:v>
                      </c:pt>
                      <c:pt idx="20">
                        <c:v>1.81</c:v>
                      </c:pt>
                      <c:pt idx="21">
                        <c:v>1.81</c:v>
                      </c:pt>
                      <c:pt idx="22">
                        <c:v>1.81</c:v>
                      </c:pt>
                      <c:pt idx="23">
                        <c:v>1.81</c:v>
                      </c:pt>
                      <c:pt idx="24">
                        <c:v>1.81</c:v>
                      </c:pt>
                      <c:pt idx="25">
                        <c:v>1.81</c:v>
                      </c:pt>
                      <c:pt idx="26">
                        <c:v>1.81</c:v>
                      </c:pt>
                      <c:pt idx="27">
                        <c:v>1.81</c:v>
                      </c:pt>
                      <c:pt idx="28">
                        <c:v>1.81</c:v>
                      </c:pt>
                      <c:pt idx="29">
                        <c:v>1.81</c:v>
                      </c:pt>
                      <c:pt idx="30">
                        <c:v>1.81</c:v>
                      </c:pt>
                      <c:pt idx="31">
                        <c:v>1.81</c:v>
                      </c:pt>
                      <c:pt idx="32">
                        <c:v>1.81</c:v>
                      </c:pt>
                      <c:pt idx="33">
                        <c:v>1.81</c:v>
                      </c:pt>
                      <c:pt idx="34">
                        <c:v>1.81</c:v>
                      </c:pt>
                      <c:pt idx="35">
                        <c:v>1.81</c:v>
                      </c:pt>
                      <c:pt idx="36">
                        <c:v>1.81</c:v>
                      </c:pt>
                      <c:pt idx="37">
                        <c:v>1.81</c:v>
                      </c:pt>
                      <c:pt idx="38">
                        <c:v>1.81</c:v>
                      </c:pt>
                      <c:pt idx="39">
                        <c:v>1.81</c:v>
                      </c:pt>
                      <c:pt idx="40">
                        <c:v>1.81</c:v>
                      </c:pt>
                      <c:pt idx="41">
                        <c:v>1.81</c:v>
                      </c:pt>
                      <c:pt idx="42">
                        <c:v>1.81</c:v>
                      </c:pt>
                      <c:pt idx="43">
                        <c:v>1.81</c:v>
                      </c:pt>
                      <c:pt idx="44">
                        <c:v>1.81</c:v>
                      </c:pt>
                      <c:pt idx="45">
                        <c:v>1.81</c:v>
                      </c:pt>
                      <c:pt idx="46">
                        <c:v>1.81</c:v>
                      </c:pt>
                      <c:pt idx="47">
                        <c:v>1.81</c:v>
                      </c:pt>
                      <c:pt idx="48">
                        <c:v>1.81</c:v>
                      </c:pt>
                      <c:pt idx="49">
                        <c:v>1.81</c:v>
                      </c:pt>
                      <c:pt idx="50">
                        <c:v>1.81</c:v>
                      </c:pt>
                      <c:pt idx="51">
                        <c:v>1.81</c:v>
                      </c:pt>
                      <c:pt idx="52">
                        <c:v>1.81</c:v>
                      </c:pt>
                      <c:pt idx="53">
                        <c:v>1.81</c:v>
                      </c:pt>
                      <c:pt idx="54">
                        <c:v>1.81</c:v>
                      </c:pt>
                      <c:pt idx="55">
                        <c:v>1.81</c:v>
                      </c:pt>
                      <c:pt idx="56">
                        <c:v>1.81</c:v>
                      </c:pt>
                      <c:pt idx="57">
                        <c:v>1.81</c:v>
                      </c:pt>
                      <c:pt idx="58">
                        <c:v>1.81</c:v>
                      </c:pt>
                      <c:pt idx="59">
                        <c:v>1.81</c:v>
                      </c:pt>
                      <c:pt idx="60">
                        <c:v>1.81</c:v>
                      </c:pt>
                      <c:pt idx="61">
                        <c:v>1.81</c:v>
                      </c:pt>
                      <c:pt idx="62">
                        <c:v>1.81</c:v>
                      </c:pt>
                      <c:pt idx="63">
                        <c:v>1.81</c:v>
                      </c:pt>
                      <c:pt idx="64">
                        <c:v>1.81</c:v>
                      </c:pt>
                      <c:pt idx="65">
                        <c:v>1.81</c:v>
                      </c:pt>
                      <c:pt idx="66">
                        <c:v>1.81</c:v>
                      </c:pt>
                      <c:pt idx="67">
                        <c:v>1.81</c:v>
                      </c:pt>
                      <c:pt idx="68">
                        <c:v>1.81</c:v>
                      </c:pt>
                      <c:pt idx="69">
                        <c:v>1.81</c:v>
                      </c:pt>
                      <c:pt idx="70">
                        <c:v>1.81</c:v>
                      </c:pt>
                      <c:pt idx="71">
                        <c:v>1.81</c:v>
                      </c:pt>
                      <c:pt idx="72">
                        <c:v>1.81</c:v>
                      </c:pt>
                      <c:pt idx="73">
                        <c:v>1.81</c:v>
                      </c:pt>
                      <c:pt idx="74">
                        <c:v>1.81</c:v>
                      </c:pt>
                      <c:pt idx="75">
                        <c:v>1.81</c:v>
                      </c:pt>
                      <c:pt idx="76">
                        <c:v>1.81</c:v>
                      </c:pt>
                      <c:pt idx="77">
                        <c:v>1.81</c:v>
                      </c:pt>
                      <c:pt idx="78">
                        <c:v>1.81</c:v>
                      </c:pt>
                      <c:pt idx="79">
                        <c:v>1.81</c:v>
                      </c:pt>
                      <c:pt idx="80">
                        <c:v>1.81</c:v>
                      </c:pt>
                      <c:pt idx="81">
                        <c:v>1.81</c:v>
                      </c:pt>
                      <c:pt idx="82">
                        <c:v>1.81</c:v>
                      </c:pt>
                      <c:pt idx="83">
                        <c:v>1.81</c:v>
                      </c:pt>
                      <c:pt idx="84">
                        <c:v>1.81</c:v>
                      </c:pt>
                      <c:pt idx="85">
                        <c:v>1.81</c:v>
                      </c:pt>
                      <c:pt idx="86">
                        <c:v>1.81</c:v>
                      </c:pt>
                      <c:pt idx="87">
                        <c:v>1.81</c:v>
                      </c:pt>
                      <c:pt idx="88">
                        <c:v>1.81</c:v>
                      </c:pt>
                      <c:pt idx="89">
                        <c:v>1.81</c:v>
                      </c:pt>
                      <c:pt idx="90">
                        <c:v>1.81</c:v>
                      </c:pt>
                      <c:pt idx="91">
                        <c:v>1.81</c:v>
                      </c:pt>
                      <c:pt idx="92">
                        <c:v>1.81</c:v>
                      </c:pt>
                      <c:pt idx="93">
                        <c:v>1.81</c:v>
                      </c:pt>
                      <c:pt idx="94">
                        <c:v>1.81</c:v>
                      </c:pt>
                      <c:pt idx="95">
                        <c:v>1.81</c:v>
                      </c:pt>
                      <c:pt idx="96">
                        <c:v>1.81</c:v>
                      </c:pt>
                      <c:pt idx="97">
                        <c:v>1.81</c:v>
                      </c:pt>
                      <c:pt idx="98">
                        <c:v>1.81</c:v>
                      </c:pt>
                      <c:pt idx="99">
                        <c:v>1.81</c:v>
                      </c:pt>
                      <c:pt idx="100">
                        <c:v>1.81</c:v>
                      </c:pt>
                      <c:pt idx="101">
                        <c:v>1.81</c:v>
                      </c:pt>
                      <c:pt idx="102">
                        <c:v>1.81</c:v>
                      </c:pt>
                      <c:pt idx="103">
                        <c:v>1.81</c:v>
                      </c:pt>
                      <c:pt idx="104">
                        <c:v>1.81</c:v>
                      </c:pt>
                      <c:pt idx="105">
                        <c:v>1.81</c:v>
                      </c:pt>
                      <c:pt idx="106">
                        <c:v>1.81</c:v>
                      </c:pt>
                      <c:pt idx="107">
                        <c:v>1.81</c:v>
                      </c:pt>
                      <c:pt idx="108">
                        <c:v>1.81</c:v>
                      </c:pt>
                      <c:pt idx="109">
                        <c:v>1.81</c:v>
                      </c:pt>
                      <c:pt idx="110">
                        <c:v>1.81</c:v>
                      </c:pt>
                      <c:pt idx="111">
                        <c:v>1.81</c:v>
                      </c:pt>
                      <c:pt idx="112">
                        <c:v>1.81</c:v>
                      </c:pt>
                      <c:pt idx="113">
                        <c:v>1.81</c:v>
                      </c:pt>
                      <c:pt idx="114">
                        <c:v>1.81</c:v>
                      </c:pt>
                      <c:pt idx="115">
                        <c:v>1.81</c:v>
                      </c:pt>
                      <c:pt idx="116">
                        <c:v>1.81</c:v>
                      </c:pt>
                      <c:pt idx="117">
                        <c:v>1.81</c:v>
                      </c:pt>
                      <c:pt idx="118">
                        <c:v>1.81</c:v>
                      </c:pt>
                      <c:pt idx="119">
                        <c:v>1.81</c:v>
                      </c:pt>
                      <c:pt idx="120">
                        <c:v>1.81</c:v>
                      </c:pt>
                      <c:pt idx="121">
                        <c:v>1.81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C9D-4C5D-80F2-BA25F16579F9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Ufin = 1,83 [V/c]</c:v>
                </c:tx>
                <c:spPr>
                  <a:ln w="15875">
                    <a:solidFill>
                      <a:srgbClr val="FFFF00"/>
                    </a:solidFill>
                    <a:prstDash val="lgDashDot"/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rev.'!$AW$36:$AW$157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1.83</c:v>
                      </c:pt>
                      <c:pt idx="1">
                        <c:v>1.83</c:v>
                      </c:pt>
                      <c:pt idx="2">
                        <c:v>1.83</c:v>
                      </c:pt>
                      <c:pt idx="3">
                        <c:v>1.83</c:v>
                      </c:pt>
                      <c:pt idx="4">
                        <c:v>1.83</c:v>
                      </c:pt>
                      <c:pt idx="5">
                        <c:v>1.83</c:v>
                      </c:pt>
                      <c:pt idx="6">
                        <c:v>1.83</c:v>
                      </c:pt>
                      <c:pt idx="7">
                        <c:v>1.83</c:v>
                      </c:pt>
                      <c:pt idx="8">
                        <c:v>1.83</c:v>
                      </c:pt>
                      <c:pt idx="9">
                        <c:v>1.83</c:v>
                      </c:pt>
                      <c:pt idx="10">
                        <c:v>1.83</c:v>
                      </c:pt>
                      <c:pt idx="11">
                        <c:v>1.83</c:v>
                      </c:pt>
                      <c:pt idx="12">
                        <c:v>1.83</c:v>
                      </c:pt>
                      <c:pt idx="13">
                        <c:v>1.83</c:v>
                      </c:pt>
                      <c:pt idx="14">
                        <c:v>1.83</c:v>
                      </c:pt>
                      <c:pt idx="15">
                        <c:v>1.83</c:v>
                      </c:pt>
                      <c:pt idx="16">
                        <c:v>1.83</c:v>
                      </c:pt>
                      <c:pt idx="17">
                        <c:v>1.83</c:v>
                      </c:pt>
                      <c:pt idx="18">
                        <c:v>1.83</c:v>
                      </c:pt>
                      <c:pt idx="19">
                        <c:v>1.83</c:v>
                      </c:pt>
                      <c:pt idx="20">
                        <c:v>1.83</c:v>
                      </c:pt>
                      <c:pt idx="21">
                        <c:v>1.83</c:v>
                      </c:pt>
                      <c:pt idx="22">
                        <c:v>1.83</c:v>
                      </c:pt>
                      <c:pt idx="23">
                        <c:v>1.83</c:v>
                      </c:pt>
                      <c:pt idx="24">
                        <c:v>1.83</c:v>
                      </c:pt>
                      <c:pt idx="25">
                        <c:v>1.83</c:v>
                      </c:pt>
                      <c:pt idx="26">
                        <c:v>1.83</c:v>
                      </c:pt>
                      <c:pt idx="27">
                        <c:v>1.83</c:v>
                      </c:pt>
                      <c:pt idx="28">
                        <c:v>1.83</c:v>
                      </c:pt>
                      <c:pt idx="29">
                        <c:v>1.83</c:v>
                      </c:pt>
                      <c:pt idx="30">
                        <c:v>1.83</c:v>
                      </c:pt>
                      <c:pt idx="31">
                        <c:v>1.83</c:v>
                      </c:pt>
                      <c:pt idx="32">
                        <c:v>1.83</c:v>
                      </c:pt>
                      <c:pt idx="33">
                        <c:v>1.83</c:v>
                      </c:pt>
                      <c:pt idx="34">
                        <c:v>1.83</c:v>
                      </c:pt>
                      <c:pt idx="35">
                        <c:v>1.83</c:v>
                      </c:pt>
                      <c:pt idx="36">
                        <c:v>1.83</c:v>
                      </c:pt>
                      <c:pt idx="37">
                        <c:v>1.83</c:v>
                      </c:pt>
                      <c:pt idx="38">
                        <c:v>1.83</c:v>
                      </c:pt>
                      <c:pt idx="39">
                        <c:v>1.83</c:v>
                      </c:pt>
                      <c:pt idx="40">
                        <c:v>1.83</c:v>
                      </c:pt>
                      <c:pt idx="41">
                        <c:v>1.83</c:v>
                      </c:pt>
                      <c:pt idx="42">
                        <c:v>1.83</c:v>
                      </c:pt>
                      <c:pt idx="43">
                        <c:v>1.83</c:v>
                      </c:pt>
                      <c:pt idx="44">
                        <c:v>1.83</c:v>
                      </c:pt>
                      <c:pt idx="45">
                        <c:v>1.83</c:v>
                      </c:pt>
                      <c:pt idx="46">
                        <c:v>1.83</c:v>
                      </c:pt>
                      <c:pt idx="47">
                        <c:v>1.83</c:v>
                      </c:pt>
                      <c:pt idx="48">
                        <c:v>1.83</c:v>
                      </c:pt>
                      <c:pt idx="49">
                        <c:v>1.83</c:v>
                      </c:pt>
                      <c:pt idx="50">
                        <c:v>1.83</c:v>
                      </c:pt>
                      <c:pt idx="51">
                        <c:v>1.83</c:v>
                      </c:pt>
                      <c:pt idx="52">
                        <c:v>1.83</c:v>
                      </c:pt>
                      <c:pt idx="53">
                        <c:v>1.83</c:v>
                      </c:pt>
                      <c:pt idx="54">
                        <c:v>1.83</c:v>
                      </c:pt>
                      <c:pt idx="55">
                        <c:v>1.83</c:v>
                      </c:pt>
                      <c:pt idx="56">
                        <c:v>1.83</c:v>
                      </c:pt>
                      <c:pt idx="57">
                        <c:v>1.83</c:v>
                      </c:pt>
                      <c:pt idx="58">
                        <c:v>1.83</c:v>
                      </c:pt>
                      <c:pt idx="59">
                        <c:v>1.83</c:v>
                      </c:pt>
                      <c:pt idx="60">
                        <c:v>1.83</c:v>
                      </c:pt>
                      <c:pt idx="61">
                        <c:v>1.83</c:v>
                      </c:pt>
                      <c:pt idx="62">
                        <c:v>1.83</c:v>
                      </c:pt>
                      <c:pt idx="63">
                        <c:v>1.83</c:v>
                      </c:pt>
                      <c:pt idx="64">
                        <c:v>1.83</c:v>
                      </c:pt>
                      <c:pt idx="65">
                        <c:v>1.83</c:v>
                      </c:pt>
                      <c:pt idx="66">
                        <c:v>1.83</c:v>
                      </c:pt>
                      <c:pt idx="67">
                        <c:v>1.83</c:v>
                      </c:pt>
                      <c:pt idx="68">
                        <c:v>1.83</c:v>
                      </c:pt>
                      <c:pt idx="69">
                        <c:v>1.83</c:v>
                      </c:pt>
                      <c:pt idx="70">
                        <c:v>1.83</c:v>
                      </c:pt>
                      <c:pt idx="71">
                        <c:v>1.83</c:v>
                      </c:pt>
                      <c:pt idx="72">
                        <c:v>1.83</c:v>
                      </c:pt>
                      <c:pt idx="73">
                        <c:v>1.83</c:v>
                      </c:pt>
                      <c:pt idx="74">
                        <c:v>1.83</c:v>
                      </c:pt>
                      <c:pt idx="75">
                        <c:v>1.83</c:v>
                      </c:pt>
                      <c:pt idx="76">
                        <c:v>1.83</c:v>
                      </c:pt>
                      <c:pt idx="77">
                        <c:v>1.83</c:v>
                      </c:pt>
                      <c:pt idx="78">
                        <c:v>1.83</c:v>
                      </c:pt>
                      <c:pt idx="79">
                        <c:v>1.83</c:v>
                      </c:pt>
                      <c:pt idx="80">
                        <c:v>1.83</c:v>
                      </c:pt>
                      <c:pt idx="81">
                        <c:v>1.83</c:v>
                      </c:pt>
                      <c:pt idx="82">
                        <c:v>1.83</c:v>
                      </c:pt>
                      <c:pt idx="83">
                        <c:v>1.83</c:v>
                      </c:pt>
                      <c:pt idx="84">
                        <c:v>1.83</c:v>
                      </c:pt>
                      <c:pt idx="85">
                        <c:v>1.83</c:v>
                      </c:pt>
                      <c:pt idx="86">
                        <c:v>1.83</c:v>
                      </c:pt>
                      <c:pt idx="87">
                        <c:v>1.83</c:v>
                      </c:pt>
                      <c:pt idx="88">
                        <c:v>1.83</c:v>
                      </c:pt>
                      <c:pt idx="89">
                        <c:v>1.83</c:v>
                      </c:pt>
                      <c:pt idx="90">
                        <c:v>1.83</c:v>
                      </c:pt>
                      <c:pt idx="91">
                        <c:v>1.83</c:v>
                      </c:pt>
                      <c:pt idx="92">
                        <c:v>1.83</c:v>
                      </c:pt>
                      <c:pt idx="93">
                        <c:v>1.83</c:v>
                      </c:pt>
                      <c:pt idx="94">
                        <c:v>1.83</c:v>
                      </c:pt>
                      <c:pt idx="95">
                        <c:v>1.83</c:v>
                      </c:pt>
                      <c:pt idx="96">
                        <c:v>1.83</c:v>
                      </c:pt>
                      <c:pt idx="97">
                        <c:v>1.83</c:v>
                      </c:pt>
                      <c:pt idx="98">
                        <c:v>1.83</c:v>
                      </c:pt>
                      <c:pt idx="99">
                        <c:v>1.83</c:v>
                      </c:pt>
                      <c:pt idx="100">
                        <c:v>1.83</c:v>
                      </c:pt>
                      <c:pt idx="101">
                        <c:v>1.83</c:v>
                      </c:pt>
                      <c:pt idx="102">
                        <c:v>1.83</c:v>
                      </c:pt>
                      <c:pt idx="103">
                        <c:v>1.83</c:v>
                      </c:pt>
                      <c:pt idx="104">
                        <c:v>1.83</c:v>
                      </c:pt>
                      <c:pt idx="105">
                        <c:v>1.83</c:v>
                      </c:pt>
                      <c:pt idx="106">
                        <c:v>1.83</c:v>
                      </c:pt>
                      <c:pt idx="107">
                        <c:v>1.83</c:v>
                      </c:pt>
                      <c:pt idx="108">
                        <c:v>1.83</c:v>
                      </c:pt>
                      <c:pt idx="109">
                        <c:v>1.83</c:v>
                      </c:pt>
                      <c:pt idx="110">
                        <c:v>1.83</c:v>
                      </c:pt>
                      <c:pt idx="111">
                        <c:v>1.83</c:v>
                      </c:pt>
                      <c:pt idx="112">
                        <c:v>1.83</c:v>
                      </c:pt>
                      <c:pt idx="113">
                        <c:v>1.83</c:v>
                      </c:pt>
                      <c:pt idx="114">
                        <c:v>1.83</c:v>
                      </c:pt>
                      <c:pt idx="115">
                        <c:v>1.83</c:v>
                      </c:pt>
                      <c:pt idx="116">
                        <c:v>1.83</c:v>
                      </c:pt>
                      <c:pt idx="117">
                        <c:v>1.83</c:v>
                      </c:pt>
                      <c:pt idx="118">
                        <c:v>1.83</c:v>
                      </c:pt>
                      <c:pt idx="119">
                        <c:v>1.83</c:v>
                      </c:pt>
                      <c:pt idx="120">
                        <c:v>1.83</c:v>
                      </c:pt>
                      <c:pt idx="121">
                        <c:v>1.83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C9D-4C5D-80F2-BA25F16579F9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Ufin = 1,84 [V/c]</c:v>
                </c:tx>
                <c:spPr>
                  <a:ln w="15875">
                    <a:solidFill>
                      <a:srgbClr val="FFC000"/>
                    </a:solidFill>
                    <a:prstDash val="lgDashDot"/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rev.'!$AX$36:$AX$157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1.84</c:v>
                      </c:pt>
                      <c:pt idx="1">
                        <c:v>1.84</c:v>
                      </c:pt>
                      <c:pt idx="2">
                        <c:v>1.84</c:v>
                      </c:pt>
                      <c:pt idx="3">
                        <c:v>1.84</c:v>
                      </c:pt>
                      <c:pt idx="4">
                        <c:v>1.84</c:v>
                      </c:pt>
                      <c:pt idx="5">
                        <c:v>1.84</c:v>
                      </c:pt>
                      <c:pt idx="6">
                        <c:v>1.84</c:v>
                      </c:pt>
                      <c:pt idx="7">
                        <c:v>1.84</c:v>
                      </c:pt>
                      <c:pt idx="8">
                        <c:v>1.84</c:v>
                      </c:pt>
                      <c:pt idx="9">
                        <c:v>1.84</c:v>
                      </c:pt>
                      <c:pt idx="10">
                        <c:v>1.84</c:v>
                      </c:pt>
                      <c:pt idx="11">
                        <c:v>1.84</c:v>
                      </c:pt>
                      <c:pt idx="12">
                        <c:v>1.84</c:v>
                      </c:pt>
                      <c:pt idx="13">
                        <c:v>1.84</c:v>
                      </c:pt>
                      <c:pt idx="14">
                        <c:v>1.84</c:v>
                      </c:pt>
                      <c:pt idx="15">
                        <c:v>1.84</c:v>
                      </c:pt>
                      <c:pt idx="16">
                        <c:v>1.84</c:v>
                      </c:pt>
                      <c:pt idx="17">
                        <c:v>1.84</c:v>
                      </c:pt>
                      <c:pt idx="18">
                        <c:v>1.84</c:v>
                      </c:pt>
                      <c:pt idx="19">
                        <c:v>1.84</c:v>
                      </c:pt>
                      <c:pt idx="20">
                        <c:v>1.84</c:v>
                      </c:pt>
                      <c:pt idx="21">
                        <c:v>1.84</c:v>
                      </c:pt>
                      <c:pt idx="22">
                        <c:v>1.84</c:v>
                      </c:pt>
                      <c:pt idx="23">
                        <c:v>1.84</c:v>
                      </c:pt>
                      <c:pt idx="24">
                        <c:v>1.84</c:v>
                      </c:pt>
                      <c:pt idx="25">
                        <c:v>1.84</c:v>
                      </c:pt>
                      <c:pt idx="26">
                        <c:v>1.84</c:v>
                      </c:pt>
                      <c:pt idx="27">
                        <c:v>1.84</c:v>
                      </c:pt>
                      <c:pt idx="28">
                        <c:v>1.84</c:v>
                      </c:pt>
                      <c:pt idx="29">
                        <c:v>1.84</c:v>
                      </c:pt>
                      <c:pt idx="30">
                        <c:v>1.84</c:v>
                      </c:pt>
                      <c:pt idx="31">
                        <c:v>1.84</c:v>
                      </c:pt>
                      <c:pt idx="32">
                        <c:v>1.84</c:v>
                      </c:pt>
                      <c:pt idx="33">
                        <c:v>1.84</c:v>
                      </c:pt>
                      <c:pt idx="34">
                        <c:v>1.84</c:v>
                      </c:pt>
                      <c:pt idx="35">
                        <c:v>1.84</c:v>
                      </c:pt>
                      <c:pt idx="36">
                        <c:v>1.84</c:v>
                      </c:pt>
                      <c:pt idx="37">
                        <c:v>1.84</c:v>
                      </c:pt>
                      <c:pt idx="38">
                        <c:v>1.84</c:v>
                      </c:pt>
                      <c:pt idx="39">
                        <c:v>1.84</c:v>
                      </c:pt>
                      <c:pt idx="40">
                        <c:v>1.84</c:v>
                      </c:pt>
                      <c:pt idx="41">
                        <c:v>1.84</c:v>
                      </c:pt>
                      <c:pt idx="42">
                        <c:v>1.84</c:v>
                      </c:pt>
                      <c:pt idx="43">
                        <c:v>1.84</c:v>
                      </c:pt>
                      <c:pt idx="44">
                        <c:v>1.84</c:v>
                      </c:pt>
                      <c:pt idx="45">
                        <c:v>1.84</c:v>
                      </c:pt>
                      <c:pt idx="46">
                        <c:v>1.84</c:v>
                      </c:pt>
                      <c:pt idx="47">
                        <c:v>1.84</c:v>
                      </c:pt>
                      <c:pt idx="48">
                        <c:v>1.84</c:v>
                      </c:pt>
                      <c:pt idx="49">
                        <c:v>1.84</c:v>
                      </c:pt>
                      <c:pt idx="50">
                        <c:v>1.84</c:v>
                      </c:pt>
                      <c:pt idx="51">
                        <c:v>1.84</c:v>
                      </c:pt>
                      <c:pt idx="52">
                        <c:v>1.84</c:v>
                      </c:pt>
                      <c:pt idx="53">
                        <c:v>1.84</c:v>
                      </c:pt>
                      <c:pt idx="54">
                        <c:v>1.84</c:v>
                      </c:pt>
                      <c:pt idx="55">
                        <c:v>1.84</c:v>
                      </c:pt>
                      <c:pt idx="56">
                        <c:v>1.84</c:v>
                      </c:pt>
                      <c:pt idx="57">
                        <c:v>1.84</c:v>
                      </c:pt>
                      <c:pt idx="58">
                        <c:v>1.84</c:v>
                      </c:pt>
                      <c:pt idx="59">
                        <c:v>1.84</c:v>
                      </c:pt>
                      <c:pt idx="60">
                        <c:v>1.84</c:v>
                      </c:pt>
                      <c:pt idx="61">
                        <c:v>1.84</c:v>
                      </c:pt>
                      <c:pt idx="62">
                        <c:v>1.84</c:v>
                      </c:pt>
                      <c:pt idx="63">
                        <c:v>1.84</c:v>
                      </c:pt>
                      <c:pt idx="64">
                        <c:v>1.84</c:v>
                      </c:pt>
                      <c:pt idx="65">
                        <c:v>1.84</c:v>
                      </c:pt>
                      <c:pt idx="66">
                        <c:v>1.84</c:v>
                      </c:pt>
                      <c:pt idx="67">
                        <c:v>1.84</c:v>
                      </c:pt>
                      <c:pt idx="68">
                        <c:v>1.84</c:v>
                      </c:pt>
                      <c:pt idx="69">
                        <c:v>1.84</c:v>
                      </c:pt>
                      <c:pt idx="70">
                        <c:v>1.84</c:v>
                      </c:pt>
                      <c:pt idx="71">
                        <c:v>1.84</c:v>
                      </c:pt>
                      <c:pt idx="72">
                        <c:v>1.84</c:v>
                      </c:pt>
                      <c:pt idx="73">
                        <c:v>1.84</c:v>
                      </c:pt>
                      <c:pt idx="74">
                        <c:v>1.84</c:v>
                      </c:pt>
                      <c:pt idx="75">
                        <c:v>1.84</c:v>
                      </c:pt>
                      <c:pt idx="76">
                        <c:v>1.84</c:v>
                      </c:pt>
                      <c:pt idx="77">
                        <c:v>1.84</c:v>
                      </c:pt>
                      <c:pt idx="78">
                        <c:v>1.84</c:v>
                      </c:pt>
                      <c:pt idx="79">
                        <c:v>1.84</c:v>
                      </c:pt>
                      <c:pt idx="80">
                        <c:v>1.84</c:v>
                      </c:pt>
                      <c:pt idx="81">
                        <c:v>1.84</c:v>
                      </c:pt>
                      <c:pt idx="82">
                        <c:v>1.84</c:v>
                      </c:pt>
                      <c:pt idx="83">
                        <c:v>1.84</c:v>
                      </c:pt>
                      <c:pt idx="84">
                        <c:v>1.84</c:v>
                      </c:pt>
                      <c:pt idx="85">
                        <c:v>1.84</c:v>
                      </c:pt>
                      <c:pt idx="86">
                        <c:v>1.84</c:v>
                      </c:pt>
                      <c:pt idx="87">
                        <c:v>1.84</c:v>
                      </c:pt>
                      <c:pt idx="88">
                        <c:v>1.84</c:v>
                      </c:pt>
                      <c:pt idx="89">
                        <c:v>1.84</c:v>
                      </c:pt>
                      <c:pt idx="90">
                        <c:v>1.84</c:v>
                      </c:pt>
                      <c:pt idx="91">
                        <c:v>1.84</c:v>
                      </c:pt>
                      <c:pt idx="92">
                        <c:v>1.84</c:v>
                      </c:pt>
                      <c:pt idx="93">
                        <c:v>1.84</c:v>
                      </c:pt>
                      <c:pt idx="94">
                        <c:v>1.84</c:v>
                      </c:pt>
                      <c:pt idx="95">
                        <c:v>1.84</c:v>
                      </c:pt>
                      <c:pt idx="96">
                        <c:v>1.84</c:v>
                      </c:pt>
                      <c:pt idx="97">
                        <c:v>1.84</c:v>
                      </c:pt>
                      <c:pt idx="98">
                        <c:v>1.84</c:v>
                      </c:pt>
                      <c:pt idx="99">
                        <c:v>1.84</c:v>
                      </c:pt>
                      <c:pt idx="100">
                        <c:v>1.84</c:v>
                      </c:pt>
                      <c:pt idx="101">
                        <c:v>1.84</c:v>
                      </c:pt>
                      <c:pt idx="102">
                        <c:v>1.84</c:v>
                      </c:pt>
                      <c:pt idx="103">
                        <c:v>1.84</c:v>
                      </c:pt>
                      <c:pt idx="104">
                        <c:v>1.84</c:v>
                      </c:pt>
                      <c:pt idx="105">
                        <c:v>1.84</c:v>
                      </c:pt>
                      <c:pt idx="106">
                        <c:v>1.84</c:v>
                      </c:pt>
                      <c:pt idx="107">
                        <c:v>1.84</c:v>
                      </c:pt>
                      <c:pt idx="108">
                        <c:v>1.84</c:v>
                      </c:pt>
                      <c:pt idx="109">
                        <c:v>1.84</c:v>
                      </c:pt>
                      <c:pt idx="110">
                        <c:v>1.84</c:v>
                      </c:pt>
                      <c:pt idx="111">
                        <c:v>1.84</c:v>
                      </c:pt>
                      <c:pt idx="112">
                        <c:v>1.84</c:v>
                      </c:pt>
                      <c:pt idx="113">
                        <c:v>1.84</c:v>
                      </c:pt>
                      <c:pt idx="114">
                        <c:v>1.84</c:v>
                      </c:pt>
                      <c:pt idx="115">
                        <c:v>1.84</c:v>
                      </c:pt>
                      <c:pt idx="116">
                        <c:v>1.84</c:v>
                      </c:pt>
                      <c:pt idx="117">
                        <c:v>1.84</c:v>
                      </c:pt>
                      <c:pt idx="118">
                        <c:v>1.84</c:v>
                      </c:pt>
                      <c:pt idx="119">
                        <c:v>1.84</c:v>
                      </c:pt>
                      <c:pt idx="120">
                        <c:v>1.84</c:v>
                      </c:pt>
                      <c:pt idx="121">
                        <c:v>1.84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C9D-4C5D-80F2-BA25F16579F9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Ufin = 1,88 [V/c]</c:v>
                </c:tx>
                <c:spPr>
                  <a:ln w="15875">
                    <a:solidFill>
                      <a:srgbClr val="8064A2">
                        <a:lumMod val="60000"/>
                        <a:lumOff val="40000"/>
                      </a:srgbClr>
                    </a:solidFill>
                    <a:prstDash val="lgDashDot"/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rev.'!$AZ$36:$AZ$157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1.88</c:v>
                      </c:pt>
                      <c:pt idx="1">
                        <c:v>1.88</c:v>
                      </c:pt>
                      <c:pt idx="2">
                        <c:v>1.88</c:v>
                      </c:pt>
                      <c:pt idx="3">
                        <c:v>1.88</c:v>
                      </c:pt>
                      <c:pt idx="4">
                        <c:v>1.88</c:v>
                      </c:pt>
                      <c:pt idx="5">
                        <c:v>1.88</c:v>
                      </c:pt>
                      <c:pt idx="6">
                        <c:v>1.88</c:v>
                      </c:pt>
                      <c:pt idx="7">
                        <c:v>1.88</c:v>
                      </c:pt>
                      <c:pt idx="8">
                        <c:v>1.88</c:v>
                      </c:pt>
                      <c:pt idx="9">
                        <c:v>1.88</c:v>
                      </c:pt>
                      <c:pt idx="10">
                        <c:v>1.88</c:v>
                      </c:pt>
                      <c:pt idx="11">
                        <c:v>1.88</c:v>
                      </c:pt>
                      <c:pt idx="12">
                        <c:v>1.88</c:v>
                      </c:pt>
                      <c:pt idx="13">
                        <c:v>1.88</c:v>
                      </c:pt>
                      <c:pt idx="14">
                        <c:v>1.88</c:v>
                      </c:pt>
                      <c:pt idx="15">
                        <c:v>1.88</c:v>
                      </c:pt>
                      <c:pt idx="16">
                        <c:v>1.88</c:v>
                      </c:pt>
                      <c:pt idx="17">
                        <c:v>1.88</c:v>
                      </c:pt>
                      <c:pt idx="18">
                        <c:v>1.88</c:v>
                      </c:pt>
                      <c:pt idx="19">
                        <c:v>1.88</c:v>
                      </c:pt>
                      <c:pt idx="20">
                        <c:v>1.88</c:v>
                      </c:pt>
                      <c:pt idx="21">
                        <c:v>1.88</c:v>
                      </c:pt>
                      <c:pt idx="22">
                        <c:v>1.88</c:v>
                      </c:pt>
                      <c:pt idx="23">
                        <c:v>1.88</c:v>
                      </c:pt>
                      <c:pt idx="24">
                        <c:v>1.88</c:v>
                      </c:pt>
                      <c:pt idx="25">
                        <c:v>1.88</c:v>
                      </c:pt>
                      <c:pt idx="26">
                        <c:v>1.88</c:v>
                      </c:pt>
                      <c:pt idx="27">
                        <c:v>1.88</c:v>
                      </c:pt>
                      <c:pt idx="28">
                        <c:v>1.88</c:v>
                      </c:pt>
                      <c:pt idx="29">
                        <c:v>1.88</c:v>
                      </c:pt>
                      <c:pt idx="30">
                        <c:v>1.88</c:v>
                      </c:pt>
                      <c:pt idx="31">
                        <c:v>1.88</c:v>
                      </c:pt>
                      <c:pt idx="32">
                        <c:v>1.88</c:v>
                      </c:pt>
                      <c:pt idx="33">
                        <c:v>1.88</c:v>
                      </c:pt>
                      <c:pt idx="34">
                        <c:v>1.88</c:v>
                      </c:pt>
                      <c:pt idx="35">
                        <c:v>1.88</c:v>
                      </c:pt>
                      <c:pt idx="36">
                        <c:v>1.88</c:v>
                      </c:pt>
                      <c:pt idx="37">
                        <c:v>1.88</c:v>
                      </c:pt>
                      <c:pt idx="38">
                        <c:v>1.88</c:v>
                      </c:pt>
                      <c:pt idx="39">
                        <c:v>1.88</c:v>
                      </c:pt>
                      <c:pt idx="40">
                        <c:v>1.88</c:v>
                      </c:pt>
                      <c:pt idx="41">
                        <c:v>1.88</c:v>
                      </c:pt>
                      <c:pt idx="42">
                        <c:v>1.88</c:v>
                      </c:pt>
                      <c:pt idx="43">
                        <c:v>1.88</c:v>
                      </c:pt>
                      <c:pt idx="44">
                        <c:v>1.88</c:v>
                      </c:pt>
                      <c:pt idx="45">
                        <c:v>1.88</c:v>
                      </c:pt>
                      <c:pt idx="46">
                        <c:v>1.88</c:v>
                      </c:pt>
                      <c:pt idx="47">
                        <c:v>1.88</c:v>
                      </c:pt>
                      <c:pt idx="48">
                        <c:v>1.88</c:v>
                      </c:pt>
                      <c:pt idx="49">
                        <c:v>1.88</c:v>
                      </c:pt>
                      <c:pt idx="50">
                        <c:v>1.88</c:v>
                      </c:pt>
                      <c:pt idx="51">
                        <c:v>1.88</c:v>
                      </c:pt>
                      <c:pt idx="52">
                        <c:v>1.88</c:v>
                      </c:pt>
                      <c:pt idx="53">
                        <c:v>1.88</c:v>
                      </c:pt>
                      <c:pt idx="54">
                        <c:v>1.88</c:v>
                      </c:pt>
                      <c:pt idx="55">
                        <c:v>1.88</c:v>
                      </c:pt>
                      <c:pt idx="56">
                        <c:v>1.88</c:v>
                      </c:pt>
                      <c:pt idx="57">
                        <c:v>1.88</c:v>
                      </c:pt>
                      <c:pt idx="58">
                        <c:v>1.88</c:v>
                      </c:pt>
                      <c:pt idx="59">
                        <c:v>1.88</c:v>
                      </c:pt>
                      <c:pt idx="60">
                        <c:v>1.88</c:v>
                      </c:pt>
                      <c:pt idx="61">
                        <c:v>1.88</c:v>
                      </c:pt>
                      <c:pt idx="62">
                        <c:v>1.88</c:v>
                      </c:pt>
                      <c:pt idx="63">
                        <c:v>1.88</c:v>
                      </c:pt>
                      <c:pt idx="64">
                        <c:v>1.88</c:v>
                      </c:pt>
                      <c:pt idx="65">
                        <c:v>1.88</c:v>
                      </c:pt>
                      <c:pt idx="66">
                        <c:v>1.88</c:v>
                      </c:pt>
                      <c:pt idx="67">
                        <c:v>1.88</c:v>
                      </c:pt>
                      <c:pt idx="68">
                        <c:v>1.88</c:v>
                      </c:pt>
                      <c:pt idx="69">
                        <c:v>1.88</c:v>
                      </c:pt>
                      <c:pt idx="70">
                        <c:v>1.88</c:v>
                      </c:pt>
                      <c:pt idx="71">
                        <c:v>1.88</c:v>
                      </c:pt>
                      <c:pt idx="72">
                        <c:v>1.88</c:v>
                      </c:pt>
                      <c:pt idx="73">
                        <c:v>1.88</c:v>
                      </c:pt>
                      <c:pt idx="74">
                        <c:v>1.88</c:v>
                      </c:pt>
                      <c:pt idx="75">
                        <c:v>1.88</c:v>
                      </c:pt>
                      <c:pt idx="76">
                        <c:v>1.88</c:v>
                      </c:pt>
                      <c:pt idx="77">
                        <c:v>1.88</c:v>
                      </c:pt>
                      <c:pt idx="78">
                        <c:v>1.88</c:v>
                      </c:pt>
                      <c:pt idx="79">
                        <c:v>1.88</c:v>
                      </c:pt>
                      <c:pt idx="80">
                        <c:v>1.88</c:v>
                      </c:pt>
                      <c:pt idx="81">
                        <c:v>1.88</c:v>
                      </c:pt>
                      <c:pt idx="82">
                        <c:v>1.88</c:v>
                      </c:pt>
                      <c:pt idx="83">
                        <c:v>1.88</c:v>
                      </c:pt>
                      <c:pt idx="84">
                        <c:v>1.88</c:v>
                      </c:pt>
                      <c:pt idx="85">
                        <c:v>1.88</c:v>
                      </c:pt>
                      <c:pt idx="86">
                        <c:v>1.88</c:v>
                      </c:pt>
                      <c:pt idx="87">
                        <c:v>1.88</c:v>
                      </c:pt>
                      <c:pt idx="88">
                        <c:v>1.88</c:v>
                      </c:pt>
                      <c:pt idx="89">
                        <c:v>1.88</c:v>
                      </c:pt>
                      <c:pt idx="90">
                        <c:v>1.88</c:v>
                      </c:pt>
                      <c:pt idx="91">
                        <c:v>1.88</c:v>
                      </c:pt>
                      <c:pt idx="92">
                        <c:v>1.88</c:v>
                      </c:pt>
                      <c:pt idx="93">
                        <c:v>1.88</c:v>
                      </c:pt>
                      <c:pt idx="94">
                        <c:v>1.88</c:v>
                      </c:pt>
                      <c:pt idx="95">
                        <c:v>1.88</c:v>
                      </c:pt>
                      <c:pt idx="96">
                        <c:v>1.88</c:v>
                      </c:pt>
                      <c:pt idx="97">
                        <c:v>1.88</c:v>
                      </c:pt>
                      <c:pt idx="98">
                        <c:v>1.88</c:v>
                      </c:pt>
                      <c:pt idx="99">
                        <c:v>1.88</c:v>
                      </c:pt>
                      <c:pt idx="100">
                        <c:v>1.88</c:v>
                      </c:pt>
                      <c:pt idx="101">
                        <c:v>1.88</c:v>
                      </c:pt>
                      <c:pt idx="102">
                        <c:v>1.88</c:v>
                      </c:pt>
                      <c:pt idx="103">
                        <c:v>1.88</c:v>
                      </c:pt>
                      <c:pt idx="104">
                        <c:v>1.88</c:v>
                      </c:pt>
                      <c:pt idx="105">
                        <c:v>1.88</c:v>
                      </c:pt>
                      <c:pt idx="106">
                        <c:v>1.88</c:v>
                      </c:pt>
                      <c:pt idx="107">
                        <c:v>1.88</c:v>
                      </c:pt>
                      <c:pt idx="108">
                        <c:v>1.88</c:v>
                      </c:pt>
                      <c:pt idx="109">
                        <c:v>1.88</c:v>
                      </c:pt>
                      <c:pt idx="110">
                        <c:v>1.88</c:v>
                      </c:pt>
                      <c:pt idx="111">
                        <c:v>1.88</c:v>
                      </c:pt>
                      <c:pt idx="112">
                        <c:v>1.88</c:v>
                      </c:pt>
                      <c:pt idx="113">
                        <c:v>1.88</c:v>
                      </c:pt>
                      <c:pt idx="114">
                        <c:v>1.88</c:v>
                      </c:pt>
                      <c:pt idx="115">
                        <c:v>1.88</c:v>
                      </c:pt>
                      <c:pt idx="116">
                        <c:v>1.88</c:v>
                      </c:pt>
                      <c:pt idx="117">
                        <c:v>1.88</c:v>
                      </c:pt>
                      <c:pt idx="118">
                        <c:v>1.88</c:v>
                      </c:pt>
                      <c:pt idx="119">
                        <c:v>1.88</c:v>
                      </c:pt>
                      <c:pt idx="120">
                        <c:v>1.88</c:v>
                      </c:pt>
                      <c:pt idx="121">
                        <c:v>1.88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9C9D-4C5D-80F2-BA25F16579F9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Ufin = 1,90 [V/c]</c:v>
                </c:tx>
                <c:spPr>
                  <a:ln w="15875">
                    <a:solidFill>
                      <a:srgbClr val="996633"/>
                    </a:solidFill>
                    <a:prstDash val="lgDashDot"/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rev.'!$AI$36:$AI$157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5.625</c:v>
                      </c:pt>
                      <c:pt idx="7">
                        <c:v>6.75</c:v>
                      </c:pt>
                      <c:pt idx="8">
                        <c:v>7.875</c:v>
                      </c:pt>
                      <c:pt idx="9">
                        <c:v>9</c:v>
                      </c:pt>
                      <c:pt idx="10">
                        <c:v>10.125</c:v>
                      </c:pt>
                      <c:pt idx="11">
                        <c:v>11.25</c:v>
                      </c:pt>
                      <c:pt idx="12">
                        <c:v>12.375</c:v>
                      </c:pt>
                      <c:pt idx="13">
                        <c:v>13.5</c:v>
                      </c:pt>
                      <c:pt idx="14">
                        <c:v>14.625</c:v>
                      </c:pt>
                      <c:pt idx="15">
                        <c:v>15.75</c:v>
                      </c:pt>
                      <c:pt idx="16">
                        <c:v>16.875</c:v>
                      </c:pt>
                      <c:pt idx="17">
                        <c:v>18</c:v>
                      </c:pt>
                      <c:pt idx="18">
                        <c:v>19.125</c:v>
                      </c:pt>
                      <c:pt idx="19">
                        <c:v>20.25</c:v>
                      </c:pt>
                      <c:pt idx="20">
                        <c:v>21.375</c:v>
                      </c:pt>
                      <c:pt idx="21">
                        <c:v>22.5</c:v>
                      </c:pt>
                      <c:pt idx="22">
                        <c:v>23.625</c:v>
                      </c:pt>
                      <c:pt idx="23">
                        <c:v>24.75</c:v>
                      </c:pt>
                      <c:pt idx="24">
                        <c:v>25.875</c:v>
                      </c:pt>
                      <c:pt idx="25">
                        <c:v>27</c:v>
                      </c:pt>
                      <c:pt idx="26">
                        <c:v>28.125</c:v>
                      </c:pt>
                      <c:pt idx="27">
                        <c:v>29.25</c:v>
                      </c:pt>
                      <c:pt idx="28">
                        <c:v>30.375</c:v>
                      </c:pt>
                      <c:pt idx="29">
                        <c:v>31.5</c:v>
                      </c:pt>
                      <c:pt idx="30">
                        <c:v>32.625</c:v>
                      </c:pt>
                      <c:pt idx="31">
                        <c:v>33.75</c:v>
                      </c:pt>
                      <c:pt idx="32">
                        <c:v>34.875</c:v>
                      </c:pt>
                      <c:pt idx="33">
                        <c:v>36</c:v>
                      </c:pt>
                      <c:pt idx="34">
                        <c:v>37.125</c:v>
                      </c:pt>
                      <c:pt idx="35">
                        <c:v>38.25</c:v>
                      </c:pt>
                      <c:pt idx="36">
                        <c:v>39.375</c:v>
                      </c:pt>
                      <c:pt idx="37">
                        <c:v>40.5</c:v>
                      </c:pt>
                      <c:pt idx="38">
                        <c:v>41.625</c:v>
                      </c:pt>
                      <c:pt idx="39">
                        <c:v>42.75</c:v>
                      </c:pt>
                      <c:pt idx="40">
                        <c:v>43.875</c:v>
                      </c:pt>
                      <c:pt idx="41">
                        <c:v>45</c:v>
                      </c:pt>
                      <c:pt idx="42">
                        <c:v>46.125</c:v>
                      </c:pt>
                      <c:pt idx="43">
                        <c:v>47.25</c:v>
                      </c:pt>
                      <c:pt idx="44">
                        <c:v>48.375</c:v>
                      </c:pt>
                      <c:pt idx="45">
                        <c:v>49.5</c:v>
                      </c:pt>
                      <c:pt idx="46">
                        <c:v>50.625</c:v>
                      </c:pt>
                      <c:pt idx="47">
                        <c:v>51.75</c:v>
                      </c:pt>
                      <c:pt idx="48">
                        <c:v>52.875</c:v>
                      </c:pt>
                      <c:pt idx="49">
                        <c:v>54</c:v>
                      </c:pt>
                      <c:pt idx="50">
                        <c:v>55.125</c:v>
                      </c:pt>
                      <c:pt idx="51">
                        <c:v>56.25</c:v>
                      </c:pt>
                      <c:pt idx="52">
                        <c:v>57.375</c:v>
                      </c:pt>
                      <c:pt idx="53">
                        <c:v>58.5</c:v>
                      </c:pt>
                      <c:pt idx="54">
                        <c:v>59.625</c:v>
                      </c:pt>
                      <c:pt idx="55">
                        <c:v>60.75</c:v>
                      </c:pt>
                      <c:pt idx="56">
                        <c:v>61.875</c:v>
                      </c:pt>
                      <c:pt idx="57">
                        <c:v>63</c:v>
                      </c:pt>
                      <c:pt idx="58">
                        <c:v>64.125</c:v>
                      </c:pt>
                      <c:pt idx="59">
                        <c:v>65.25</c:v>
                      </c:pt>
                      <c:pt idx="60">
                        <c:v>66.375</c:v>
                      </c:pt>
                      <c:pt idx="61">
                        <c:v>67.5</c:v>
                      </c:pt>
                      <c:pt idx="62">
                        <c:v>68.625</c:v>
                      </c:pt>
                      <c:pt idx="63">
                        <c:v>69.75</c:v>
                      </c:pt>
                      <c:pt idx="64">
                        <c:v>70.875</c:v>
                      </c:pt>
                      <c:pt idx="65">
                        <c:v>72</c:v>
                      </c:pt>
                      <c:pt idx="66">
                        <c:v>73.125</c:v>
                      </c:pt>
                      <c:pt idx="67">
                        <c:v>74.25</c:v>
                      </c:pt>
                      <c:pt idx="68">
                        <c:v>75.375</c:v>
                      </c:pt>
                      <c:pt idx="69">
                        <c:v>76.5</c:v>
                      </c:pt>
                      <c:pt idx="70">
                        <c:v>77.625</c:v>
                      </c:pt>
                      <c:pt idx="71">
                        <c:v>78.75</c:v>
                      </c:pt>
                      <c:pt idx="72">
                        <c:v>79.875</c:v>
                      </c:pt>
                      <c:pt idx="73">
                        <c:v>81</c:v>
                      </c:pt>
                      <c:pt idx="74">
                        <c:v>82.125</c:v>
                      </c:pt>
                      <c:pt idx="75">
                        <c:v>83.25</c:v>
                      </c:pt>
                      <c:pt idx="76">
                        <c:v>84.375</c:v>
                      </c:pt>
                      <c:pt idx="77">
                        <c:v>85.5</c:v>
                      </c:pt>
                      <c:pt idx="78">
                        <c:v>86.625</c:v>
                      </c:pt>
                      <c:pt idx="79">
                        <c:v>87.75</c:v>
                      </c:pt>
                      <c:pt idx="80">
                        <c:v>88.875</c:v>
                      </c:pt>
                      <c:pt idx="81">
                        <c:v>90</c:v>
                      </c:pt>
                      <c:pt idx="82">
                        <c:v>91.125</c:v>
                      </c:pt>
                      <c:pt idx="83">
                        <c:v>92.25</c:v>
                      </c:pt>
                      <c:pt idx="84">
                        <c:v>93.375</c:v>
                      </c:pt>
                      <c:pt idx="85">
                        <c:v>94.5</c:v>
                      </c:pt>
                      <c:pt idx="86">
                        <c:v>95.625</c:v>
                      </c:pt>
                      <c:pt idx="87">
                        <c:v>96.75</c:v>
                      </c:pt>
                      <c:pt idx="88">
                        <c:v>97.875</c:v>
                      </c:pt>
                      <c:pt idx="89">
                        <c:v>99</c:v>
                      </c:pt>
                      <c:pt idx="90">
                        <c:v>100.125</c:v>
                      </c:pt>
                      <c:pt idx="91">
                        <c:v>101.25</c:v>
                      </c:pt>
                      <c:pt idx="92">
                        <c:v>102.375</c:v>
                      </c:pt>
                      <c:pt idx="93">
                        <c:v>103.5</c:v>
                      </c:pt>
                      <c:pt idx="94">
                        <c:v>104.625</c:v>
                      </c:pt>
                      <c:pt idx="95">
                        <c:v>105.75</c:v>
                      </c:pt>
                      <c:pt idx="96">
                        <c:v>106.875</c:v>
                      </c:pt>
                      <c:pt idx="97">
                        <c:v>108</c:v>
                      </c:pt>
                      <c:pt idx="98">
                        <c:v>109.125</c:v>
                      </c:pt>
                      <c:pt idx="99">
                        <c:v>110.25</c:v>
                      </c:pt>
                      <c:pt idx="100">
                        <c:v>111.375</c:v>
                      </c:pt>
                      <c:pt idx="101">
                        <c:v>112.5</c:v>
                      </c:pt>
                      <c:pt idx="102">
                        <c:v>113.625</c:v>
                      </c:pt>
                      <c:pt idx="103">
                        <c:v>114.75</c:v>
                      </c:pt>
                      <c:pt idx="104">
                        <c:v>115.875</c:v>
                      </c:pt>
                      <c:pt idx="105">
                        <c:v>117</c:v>
                      </c:pt>
                      <c:pt idx="106">
                        <c:v>118.125</c:v>
                      </c:pt>
                      <c:pt idx="107">
                        <c:v>119.25</c:v>
                      </c:pt>
                      <c:pt idx="108">
                        <c:v>120.375</c:v>
                      </c:pt>
                      <c:pt idx="109">
                        <c:v>121.5</c:v>
                      </c:pt>
                      <c:pt idx="110">
                        <c:v>122.625</c:v>
                      </c:pt>
                      <c:pt idx="111">
                        <c:v>123.75</c:v>
                      </c:pt>
                      <c:pt idx="112">
                        <c:v>124.875</c:v>
                      </c:pt>
                      <c:pt idx="113">
                        <c:v>126</c:v>
                      </c:pt>
                      <c:pt idx="114">
                        <c:v>127.125</c:v>
                      </c:pt>
                      <c:pt idx="115">
                        <c:v>128.25</c:v>
                      </c:pt>
                      <c:pt idx="116">
                        <c:v>129.375</c:v>
                      </c:pt>
                      <c:pt idx="117">
                        <c:v>130.5</c:v>
                      </c:pt>
                      <c:pt idx="118">
                        <c:v>131.625</c:v>
                      </c:pt>
                      <c:pt idx="119">
                        <c:v>132.75</c:v>
                      </c:pt>
                      <c:pt idx="120">
                        <c:v>133.875</c:v>
                      </c:pt>
                      <c:pt idx="12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rev.'!$BA$36:$BA$157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1.9</c:v>
                      </c:pt>
                      <c:pt idx="1">
                        <c:v>1.9</c:v>
                      </c:pt>
                      <c:pt idx="2">
                        <c:v>1.9</c:v>
                      </c:pt>
                      <c:pt idx="3">
                        <c:v>1.9</c:v>
                      </c:pt>
                      <c:pt idx="4">
                        <c:v>1.9</c:v>
                      </c:pt>
                      <c:pt idx="5">
                        <c:v>1.9</c:v>
                      </c:pt>
                      <c:pt idx="6">
                        <c:v>1.9</c:v>
                      </c:pt>
                      <c:pt idx="7">
                        <c:v>1.9</c:v>
                      </c:pt>
                      <c:pt idx="8">
                        <c:v>1.9</c:v>
                      </c:pt>
                      <c:pt idx="9">
                        <c:v>1.9</c:v>
                      </c:pt>
                      <c:pt idx="10">
                        <c:v>1.9</c:v>
                      </c:pt>
                      <c:pt idx="11">
                        <c:v>1.9</c:v>
                      </c:pt>
                      <c:pt idx="12">
                        <c:v>1.9</c:v>
                      </c:pt>
                      <c:pt idx="13">
                        <c:v>1.9</c:v>
                      </c:pt>
                      <c:pt idx="14">
                        <c:v>1.9</c:v>
                      </c:pt>
                      <c:pt idx="15">
                        <c:v>1.9</c:v>
                      </c:pt>
                      <c:pt idx="16">
                        <c:v>1.9</c:v>
                      </c:pt>
                      <c:pt idx="17">
                        <c:v>1.9</c:v>
                      </c:pt>
                      <c:pt idx="18">
                        <c:v>1.9</c:v>
                      </c:pt>
                      <c:pt idx="19">
                        <c:v>1.9</c:v>
                      </c:pt>
                      <c:pt idx="20">
                        <c:v>1.9</c:v>
                      </c:pt>
                      <c:pt idx="21">
                        <c:v>1.9</c:v>
                      </c:pt>
                      <c:pt idx="22">
                        <c:v>1.9</c:v>
                      </c:pt>
                      <c:pt idx="23">
                        <c:v>1.9</c:v>
                      </c:pt>
                      <c:pt idx="24">
                        <c:v>1.9</c:v>
                      </c:pt>
                      <c:pt idx="25">
                        <c:v>1.9</c:v>
                      </c:pt>
                      <c:pt idx="26">
                        <c:v>1.9</c:v>
                      </c:pt>
                      <c:pt idx="27">
                        <c:v>1.9</c:v>
                      </c:pt>
                      <c:pt idx="28">
                        <c:v>1.9</c:v>
                      </c:pt>
                      <c:pt idx="29">
                        <c:v>1.9</c:v>
                      </c:pt>
                      <c:pt idx="30">
                        <c:v>1.9</c:v>
                      </c:pt>
                      <c:pt idx="31">
                        <c:v>1.9</c:v>
                      </c:pt>
                      <c:pt idx="32">
                        <c:v>1.9</c:v>
                      </c:pt>
                      <c:pt idx="33">
                        <c:v>1.9</c:v>
                      </c:pt>
                      <c:pt idx="34">
                        <c:v>1.9</c:v>
                      </c:pt>
                      <c:pt idx="35">
                        <c:v>1.9</c:v>
                      </c:pt>
                      <c:pt idx="36">
                        <c:v>1.9</c:v>
                      </c:pt>
                      <c:pt idx="37">
                        <c:v>1.9</c:v>
                      </c:pt>
                      <c:pt idx="38">
                        <c:v>1.9</c:v>
                      </c:pt>
                      <c:pt idx="39">
                        <c:v>1.9</c:v>
                      </c:pt>
                      <c:pt idx="40">
                        <c:v>1.9</c:v>
                      </c:pt>
                      <c:pt idx="41">
                        <c:v>1.9</c:v>
                      </c:pt>
                      <c:pt idx="42">
                        <c:v>1.9</c:v>
                      </c:pt>
                      <c:pt idx="43">
                        <c:v>1.9</c:v>
                      </c:pt>
                      <c:pt idx="44">
                        <c:v>1.9</c:v>
                      </c:pt>
                      <c:pt idx="45">
                        <c:v>1.9</c:v>
                      </c:pt>
                      <c:pt idx="46">
                        <c:v>1.9</c:v>
                      </c:pt>
                      <c:pt idx="47">
                        <c:v>1.9</c:v>
                      </c:pt>
                      <c:pt idx="48">
                        <c:v>1.9</c:v>
                      </c:pt>
                      <c:pt idx="49">
                        <c:v>1.9</c:v>
                      </c:pt>
                      <c:pt idx="50">
                        <c:v>1.9</c:v>
                      </c:pt>
                      <c:pt idx="51">
                        <c:v>1.9</c:v>
                      </c:pt>
                      <c:pt idx="52">
                        <c:v>1.9</c:v>
                      </c:pt>
                      <c:pt idx="53">
                        <c:v>1.9</c:v>
                      </c:pt>
                      <c:pt idx="54">
                        <c:v>1.9</c:v>
                      </c:pt>
                      <c:pt idx="55">
                        <c:v>1.9</c:v>
                      </c:pt>
                      <c:pt idx="56">
                        <c:v>1.9</c:v>
                      </c:pt>
                      <c:pt idx="57">
                        <c:v>1.9</c:v>
                      </c:pt>
                      <c:pt idx="58">
                        <c:v>1.9</c:v>
                      </c:pt>
                      <c:pt idx="59">
                        <c:v>1.9</c:v>
                      </c:pt>
                      <c:pt idx="60">
                        <c:v>1.9</c:v>
                      </c:pt>
                      <c:pt idx="61">
                        <c:v>1.9</c:v>
                      </c:pt>
                      <c:pt idx="62">
                        <c:v>1.9</c:v>
                      </c:pt>
                      <c:pt idx="63">
                        <c:v>1.9</c:v>
                      </c:pt>
                      <c:pt idx="64">
                        <c:v>1.9</c:v>
                      </c:pt>
                      <c:pt idx="65">
                        <c:v>1.9</c:v>
                      </c:pt>
                      <c:pt idx="66">
                        <c:v>1.9</c:v>
                      </c:pt>
                      <c:pt idx="67">
                        <c:v>1.9</c:v>
                      </c:pt>
                      <c:pt idx="68">
                        <c:v>1.9</c:v>
                      </c:pt>
                      <c:pt idx="69">
                        <c:v>1.9</c:v>
                      </c:pt>
                      <c:pt idx="70">
                        <c:v>1.9</c:v>
                      </c:pt>
                      <c:pt idx="71">
                        <c:v>1.9</c:v>
                      </c:pt>
                      <c:pt idx="72">
                        <c:v>1.9</c:v>
                      </c:pt>
                      <c:pt idx="73">
                        <c:v>1.9</c:v>
                      </c:pt>
                      <c:pt idx="74">
                        <c:v>1.9</c:v>
                      </c:pt>
                      <c:pt idx="75">
                        <c:v>1.9</c:v>
                      </c:pt>
                      <c:pt idx="76">
                        <c:v>1.9</c:v>
                      </c:pt>
                      <c:pt idx="77">
                        <c:v>1.9</c:v>
                      </c:pt>
                      <c:pt idx="78">
                        <c:v>1.9</c:v>
                      </c:pt>
                      <c:pt idx="79">
                        <c:v>1.9</c:v>
                      </c:pt>
                      <c:pt idx="80">
                        <c:v>1.9</c:v>
                      </c:pt>
                      <c:pt idx="81">
                        <c:v>1.9</c:v>
                      </c:pt>
                      <c:pt idx="82">
                        <c:v>1.9</c:v>
                      </c:pt>
                      <c:pt idx="83">
                        <c:v>1.9</c:v>
                      </c:pt>
                      <c:pt idx="84">
                        <c:v>1.9</c:v>
                      </c:pt>
                      <c:pt idx="85">
                        <c:v>1.9</c:v>
                      </c:pt>
                      <c:pt idx="86">
                        <c:v>1.9</c:v>
                      </c:pt>
                      <c:pt idx="87">
                        <c:v>1.9</c:v>
                      </c:pt>
                      <c:pt idx="88">
                        <c:v>1.9</c:v>
                      </c:pt>
                      <c:pt idx="89">
                        <c:v>1.9</c:v>
                      </c:pt>
                      <c:pt idx="90">
                        <c:v>1.9</c:v>
                      </c:pt>
                      <c:pt idx="91">
                        <c:v>1.9</c:v>
                      </c:pt>
                      <c:pt idx="92">
                        <c:v>1.9</c:v>
                      </c:pt>
                      <c:pt idx="93">
                        <c:v>1.9</c:v>
                      </c:pt>
                      <c:pt idx="94">
                        <c:v>1.9</c:v>
                      </c:pt>
                      <c:pt idx="95">
                        <c:v>1.9</c:v>
                      </c:pt>
                      <c:pt idx="96">
                        <c:v>1.9</c:v>
                      </c:pt>
                      <c:pt idx="97">
                        <c:v>1.9</c:v>
                      </c:pt>
                      <c:pt idx="98">
                        <c:v>1.9</c:v>
                      </c:pt>
                      <c:pt idx="99">
                        <c:v>1.9</c:v>
                      </c:pt>
                      <c:pt idx="100">
                        <c:v>1.9</c:v>
                      </c:pt>
                      <c:pt idx="101">
                        <c:v>1.9</c:v>
                      </c:pt>
                      <c:pt idx="102">
                        <c:v>1.9</c:v>
                      </c:pt>
                      <c:pt idx="103">
                        <c:v>1.9</c:v>
                      </c:pt>
                      <c:pt idx="104">
                        <c:v>1.9</c:v>
                      </c:pt>
                      <c:pt idx="105">
                        <c:v>1.9</c:v>
                      </c:pt>
                      <c:pt idx="106">
                        <c:v>1.9</c:v>
                      </c:pt>
                      <c:pt idx="107">
                        <c:v>1.9</c:v>
                      </c:pt>
                      <c:pt idx="108">
                        <c:v>1.9</c:v>
                      </c:pt>
                      <c:pt idx="109">
                        <c:v>1.9</c:v>
                      </c:pt>
                      <c:pt idx="110">
                        <c:v>1.9</c:v>
                      </c:pt>
                      <c:pt idx="111">
                        <c:v>1.9</c:v>
                      </c:pt>
                      <c:pt idx="112">
                        <c:v>1.9</c:v>
                      </c:pt>
                      <c:pt idx="113">
                        <c:v>1.9</c:v>
                      </c:pt>
                      <c:pt idx="114">
                        <c:v>1.9</c:v>
                      </c:pt>
                      <c:pt idx="115">
                        <c:v>1.9</c:v>
                      </c:pt>
                      <c:pt idx="116">
                        <c:v>1.9</c:v>
                      </c:pt>
                      <c:pt idx="117">
                        <c:v>1.9</c:v>
                      </c:pt>
                      <c:pt idx="118">
                        <c:v>1.9</c:v>
                      </c:pt>
                      <c:pt idx="119">
                        <c:v>1.9</c:v>
                      </c:pt>
                      <c:pt idx="120">
                        <c:v>1.9</c:v>
                      </c:pt>
                      <c:pt idx="121">
                        <c:v>1.9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9C9D-4C5D-80F2-BA25F16579F9}"/>
                  </c:ext>
                </c:extLst>
              </c15:ser>
            </c15:filteredScatterSeries>
          </c:ext>
        </c:extLst>
      </c:scatterChart>
      <c:valAx>
        <c:axId val="108553728"/>
        <c:scaling>
          <c:orientation val="minMax"/>
          <c:max val="150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/>
                  <a:t>Carga entregada q</a:t>
                </a:r>
                <a:r>
                  <a:rPr lang="es-ES" sz="1100" baseline="-25000"/>
                  <a:t>d</a:t>
                </a:r>
                <a:r>
                  <a:rPr lang="es-ES" sz="1100"/>
                  <a:t> [Ah]</a:t>
                </a:r>
              </a:p>
            </c:rich>
          </c:tx>
          <c:layout>
            <c:manualLayout>
              <c:xMode val="edge"/>
              <c:yMode val="edge"/>
              <c:x val="0.38393075796745496"/>
              <c:y val="0.941032857996809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08555648"/>
        <c:crosses val="autoZero"/>
        <c:crossBetween val="midCat"/>
        <c:majorUnit val="10"/>
        <c:minorUnit val="5"/>
      </c:valAx>
      <c:valAx>
        <c:axId val="108555648"/>
        <c:scaling>
          <c:orientation val="minMax"/>
          <c:max val="2.2999999999999998"/>
          <c:min val="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Tensión en bornes u</a:t>
                </a:r>
                <a:r>
                  <a:rPr lang="en-US" sz="1100" baseline="-25000"/>
                  <a:t>d</a:t>
                </a:r>
                <a:r>
                  <a:rPr lang="en-US" sz="1100"/>
                  <a:t> [V/c]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08553728"/>
        <c:crosses val="autoZero"/>
        <c:crossBetween val="midCat"/>
        <c:majorUnit val="0.1"/>
        <c:minorUnit val="1.0000000000000005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11703450999899591"/>
          <c:y val="0.66743545236885093"/>
          <c:w val="0.65938480804508792"/>
          <c:h val="0.15901716901457977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Curvas de capacidad a corriente constante 0 a 120 horas </a:t>
            </a:r>
          </a:p>
          <a:p>
            <a:pPr>
              <a:defRPr/>
            </a:pPr>
            <a:r>
              <a:rPr lang="es-ES" sz="1100"/>
              <a:t>placa positiva acumulador tipo Absolyte serie 100</a:t>
            </a:r>
            <a:r>
              <a:rPr lang="es-ES" sz="1100" baseline="0"/>
              <a:t> A</a:t>
            </a:r>
            <a:endParaRPr lang="es-ES" sz="11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471208386694492"/>
          <c:y val="0.15121870024520473"/>
          <c:w val="0.86109670649341485"/>
          <c:h val="0.72505647468223777"/>
        </c:manualLayout>
      </c:layout>
      <c:scatterChart>
        <c:scatterStyle val="smoothMarker"/>
        <c:varyColors val="0"/>
        <c:ser>
          <c:idx val="0"/>
          <c:order val="0"/>
          <c:tx>
            <c:v>Id = 1,58 [A]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rev.'!$CA$36:$CA$157</c:f>
              <c:numCache>
                <c:formatCode>#,##0.00</c:formatCode>
                <c:ptCount val="122"/>
                <c:pt idx="0">
                  <c:v>2.25</c:v>
                </c:pt>
                <c:pt idx="1">
                  <c:v>2.2446464000000002</c:v>
                </c:pt>
                <c:pt idx="2">
                  <c:v>2.2312530837856821</c:v>
                </c:pt>
                <c:pt idx="3">
                  <c:v>2.2185215715583326</c:v>
                </c:pt>
                <c:pt idx="4">
                  <c:v>2.2064189580427951</c:v>
                </c:pt>
                <c:pt idx="5">
                  <c:v>2.1949139695991691</c:v>
                </c:pt>
                <c:pt idx="6">
                  <c:v>2.1839768831753119</c:v>
                </c:pt>
                <c:pt idx="7">
                  <c:v>2.1735794492792175</c:v>
                </c:pt>
                <c:pt idx="8">
                  <c:v>2.163694818771567</c:v>
                </c:pt>
                <c:pt idx="9">
                  <c:v>2.1542974732886706</c:v>
                </c:pt>
                <c:pt idx="10">
                  <c:v>2.1453631591154085</c:v>
                </c:pt>
                <c:pt idx="11">
                  <c:v>2.136868824336728</c:v>
                </c:pt>
                <c:pt idx="12">
                  <c:v>2.128792559104757</c:v>
                </c:pt>
                <c:pt idx="13">
                  <c:v>2.1211135388666471</c:v>
                </c:pt>
                <c:pt idx="14">
                  <c:v>2.1138119704059535</c:v>
                </c:pt>
                <c:pt idx="15">
                  <c:v>2.1068690405576294</c:v>
                </c:pt>
                <c:pt idx="16">
                  <c:v>2.1002668674636449</c:v>
                </c:pt>
                <c:pt idx="17">
                  <c:v>2.0939884542428344</c:v>
                </c:pt>
                <c:pt idx="18">
                  <c:v>2.0880176449547916</c:v>
                </c:pt>
                <c:pt idx="19">
                  <c:v>2.082339082743621</c:v>
                </c:pt>
                <c:pt idx="20">
                  <c:v>2.0769381700529541</c:v>
                </c:pt>
                <c:pt idx="21">
                  <c:v>2.0718010308090258</c:v>
                </c:pt>
                <c:pt idx="22">
                  <c:v>2.066914474473684</c:v>
                </c:pt>
                <c:pt idx="23">
                  <c:v>2.0622659618740555</c:v>
                </c:pt>
                <c:pt idx="24">
                  <c:v>2.05784357272017</c:v>
                </c:pt>
                <c:pt idx="25">
                  <c:v>2.053635974726217</c:v>
                </c:pt>
                <c:pt idx="26">
                  <c:v>2.0496323942552537</c:v>
                </c:pt>
                <c:pt idx="27">
                  <c:v>2.0458225884111041</c:v>
                </c:pt>
                <c:pt idx="28">
                  <c:v>2.0421968185049346</c:v>
                </c:pt>
                <c:pt idx="29">
                  <c:v>2.0387458248275272</c:v>
                </c:pt>
                <c:pt idx="30">
                  <c:v>2.0354608026616359</c:v>
                </c:pt>
                <c:pt idx="31">
                  <c:v>2.0323333794720067</c:v>
                </c:pt>
                <c:pt idx="32">
                  <c:v>2.029355593213646</c:v>
                </c:pt>
                <c:pt idx="33">
                  <c:v>2.0265198717018258</c:v>
                </c:pt>
                <c:pt idx="34">
                  <c:v>2.0238190129899869</c:v>
                </c:pt>
                <c:pt idx="35">
                  <c:v>2.0212461667043136</c:v>
                </c:pt>
                <c:pt idx="36">
                  <c:v>2.0187948162861624</c:v>
                </c:pt>
                <c:pt idx="37">
                  <c:v>2.0164587620958461</c:v>
                </c:pt>
                <c:pt idx="38">
                  <c:v>2.0142321053334387</c:v>
                </c:pt>
                <c:pt idx="39">
                  <c:v>2.0121092327343457</c:v>
                </c:pt>
                <c:pt idx="40">
                  <c:v>2.0100848019992816</c:v>
                </c:pt>
                <c:pt idx="41">
                  <c:v>2.00815372792017</c:v>
                </c:pt>
                <c:pt idx="42">
                  <c:v>2.0063111691651554</c:v>
                </c:pt>
                <c:pt idx="43">
                  <c:v>2.0045525156875486</c:v>
                </c:pt>
                <c:pt idx="44">
                  <c:v>2.0028733767250197</c:v>
                </c:pt>
                <c:pt idx="45">
                  <c:v>2.0012695693567615</c:v>
                </c:pt>
                <c:pt idx="46">
                  <c:v>1.9997371075876387</c:v>
                </c:pt>
                <c:pt idx="47">
                  <c:v>1.9982721919295554</c:v>
                </c:pt>
                <c:pt idx="48">
                  <c:v>1.9968711994513544</c:v>
                </c:pt>
                <c:pt idx="49">
                  <c:v>1.9955306742695882</c:v>
                </c:pt>
                <c:pt idx="50">
                  <c:v>1.9942473184533893</c:v>
                </c:pt>
                <c:pt idx="51">
                  <c:v>1.9930179833174668</c:v>
                </c:pt>
                <c:pt idx="52">
                  <c:v>1.9918396610779647</c:v>
                </c:pt>
                <c:pt idx="53">
                  <c:v>1.990709476846487</c:v>
                </c:pt>
                <c:pt idx="54">
                  <c:v>1.9896246809380713</c:v>
                </c:pt>
                <c:pt idx="55">
                  <c:v>1.988582641469244</c:v>
                </c:pt>
                <c:pt idx="56">
                  <c:v>1.9875808372224997</c:v>
                </c:pt>
                <c:pt idx="57">
                  <c:v>1.9866168507536344</c:v>
                </c:pt>
                <c:pt idx="58">
                  <c:v>1.9856883617182732</c:v>
                </c:pt>
                <c:pt idx="59">
                  <c:v>1.9847931403937054</c:v>
                </c:pt>
                <c:pt idx="60">
                  <c:v>1.9839290413716835</c:v>
                </c:pt>
                <c:pt idx="61">
                  <c:v>1.9830939973972201</c:v>
                </c:pt>
                <c:pt idx="62">
                  <c:v>1.9822860133275133</c:v>
                </c:pt>
                <c:pt idx="63">
                  <c:v>1.9815031601839932</c:v>
                </c:pt>
                <c:pt idx="64">
                  <c:v>1.9807435692690041</c:v>
                </c:pt>
                <c:pt idx="65">
                  <c:v>1.9800054263168176</c:v>
                </c:pt>
                <c:pt idx="66">
                  <c:v>1.9792869656464271</c:v>
                </c:pt>
                <c:pt idx="67">
                  <c:v>1.9785864642808464</c:v>
                </c:pt>
                <c:pt idx="68">
                  <c:v>1.9779022359943337</c:v>
                </c:pt>
                <c:pt idx="69">
                  <c:v>1.977232625244989</c:v>
                </c:pt>
                <c:pt idx="70">
                  <c:v>1.9765760009453943</c:v>
                </c:pt>
                <c:pt idx="71">
                  <c:v>1.9759307500182492</c:v>
                </c:pt>
                <c:pt idx="72">
                  <c:v>1.9752952706770883</c:v>
                </c:pt>
                <c:pt idx="73">
                  <c:v>1.9746679653639325</c:v>
                </c:pt>
                <c:pt idx="74">
                  <c:v>1.9740472332658578</c:v>
                </c:pt>
                <c:pt idx="75">
                  <c:v>1.9734314623205838</c:v>
                </c:pt>
                <c:pt idx="76">
                  <c:v>1.9728190206068663</c:v>
                </c:pt>
                <c:pt idx="77">
                  <c:v>1.9722082469982216</c:v>
                </c:pt>
                <c:pt idx="78">
                  <c:v>1.9715974409375332</c:v>
                </c:pt>
                <c:pt idx="79">
                  <c:v>1.9709848511646921</c:v>
                </c:pt>
                <c:pt idx="80">
                  <c:v>1.9703686631983595</c:v>
                </c:pt>
                <c:pt idx="81">
                  <c:v>1.9697469853349681</c:v>
                </c:pt>
                <c:pt idx="82">
                  <c:v>1.9691178328813503</c:v>
                </c:pt>
                <c:pt idx="83">
                  <c:v>1.9684791102797132</c:v>
                </c:pt>
                <c:pt idx="84">
                  <c:v>1.9678285907120692</c:v>
                </c:pt>
                <c:pt idx="85">
                  <c:v>1.9671638926819637</c:v>
                </c:pt>
                <c:pt idx="86">
                  <c:v>1.9664824529593699</c:v>
                </c:pt>
                <c:pt idx="87">
                  <c:v>1.9657814951334245</c:v>
                </c:pt>
                <c:pt idx="88">
                  <c:v>1.9650579928385139</c:v>
                </c:pt>
                <c:pt idx="89">
                  <c:v>1.9643086264904703</c:v>
                </c:pt>
                <c:pt idx="90">
                  <c:v>1.9635297320755012</c:v>
                </c:pt>
                <c:pt idx="91">
                  <c:v>1.9627172401536346</c:v>
                </c:pt>
                <c:pt idx="92">
                  <c:v>1.9618666027414942</c:v>
                </c:pt>
                <c:pt idx="93">
                  <c:v>1.9609727050854591</c:v>
                </c:pt>
                <c:pt idx="94">
                  <c:v>1.960029758468784</c:v>
                </c:pt>
                <c:pt idx="95">
                  <c:v>1.9590311690344953</c:v>
                </c:pt>
                <c:pt idx="96">
                  <c:v>1.9579693760346042</c:v>
                </c:pt>
                <c:pt idx="97">
                  <c:v>1.9568356507685194</c:v>
                </c:pt>
                <c:pt idx="98">
                  <c:v>1.955619844504527</c:v>
                </c:pt>
                <c:pt idx="99">
                  <c:v>1.9543100695234736</c:v>
                </c:pt>
                <c:pt idx="100">
                  <c:v>1.9528922915326645</c:v>
                </c:pt>
                <c:pt idx="101">
                  <c:v>1.9513498032249776</c:v>
                </c:pt>
                <c:pt idx="102">
                  <c:v>1.9496625363816786</c:v>
                </c:pt>
                <c:pt idx="103">
                  <c:v>1.9478061515314404</c:v>
                </c:pt>
                <c:pt idx="104">
                  <c:v>1.9457508163556474</c:v>
                </c:pt>
                <c:pt idx="105">
                  <c:v>1.9434595410645239</c:v>
                </c:pt>
                <c:pt idx="106">
                  <c:v>1.9408858711126413</c:v>
                </c:pt>
                <c:pt idx="107">
                  <c:v>1.9379706277523048</c:v>
                </c:pt>
                <c:pt idx="108">
                  <c:v>1.9346372039997766</c:v>
                </c:pt>
                <c:pt idx="109">
                  <c:v>1.9307846093359828</c:v>
                </c:pt>
                <c:pt idx="110">
                  <c:v>1.9262768970340323</c:v>
                </c:pt>
                <c:pt idx="111">
                  <c:v>1.9209265706911041</c:v>
                </c:pt>
                <c:pt idx="112">
                  <c:v>1.9144675501888053</c:v>
                </c:pt>
                <c:pt idx="113">
                  <c:v>1.9065091349229735</c:v>
                </c:pt>
                <c:pt idx="114">
                  <c:v>1.896453312459538</c:v>
                </c:pt>
                <c:pt idx="115">
                  <c:v>1.8833361541462592</c:v>
                </c:pt>
                <c:pt idx="116">
                  <c:v>1.8654973043900032</c:v>
                </c:pt>
                <c:pt idx="117">
                  <c:v>1.8398122593104209</c:v>
                </c:pt>
                <c:pt idx="118">
                  <c:v>1.799621846030504</c:v>
                </c:pt>
                <c:pt idx="119">
                  <c:v>1.7277624423506182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6C-4C46-819A-F15805C1757F}"/>
            </c:ext>
          </c:extLst>
        </c:ser>
        <c:ser>
          <c:idx val="3"/>
          <c:order val="3"/>
          <c:tx>
            <c:v>Id = 3,15 [A]</c:v>
          </c:tx>
          <c:spPr>
            <a:ln w="1587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rev.'!$CD$36:$CD$157</c:f>
              <c:numCache>
                <c:formatCode>#,##0.00</c:formatCode>
                <c:ptCount val="122"/>
                <c:pt idx="0">
                  <c:v>2.25</c:v>
                </c:pt>
                <c:pt idx="1">
                  <c:v>2.2349297222222222</c:v>
                </c:pt>
                <c:pt idx="2">
                  <c:v>2.1986636741828662</c:v>
                </c:pt>
                <c:pt idx="3">
                  <c:v>2.1671739796160789</c:v>
                </c:pt>
                <c:pt idx="4">
                  <c:v>2.1398192536993967</c:v>
                </c:pt>
                <c:pt idx="5">
                  <c:v>2.1160434307526086</c:v>
                </c:pt>
                <c:pt idx="6">
                  <c:v>2.0953643366835992</c:v>
                </c:pt>
                <c:pt idx="7">
                  <c:v>2.0773637817989874</c:v>
                </c:pt>
                <c:pt idx="8">
                  <c:v>2.061678970021863</c:v>
                </c:pt>
                <c:pt idx="9">
                  <c:v>2.0479950475807156</c:v>
                </c:pt>
                <c:pt idx="10">
                  <c:v>2.0360386375947828</c:v>
                </c:pt>
                <c:pt idx="11">
                  <c:v>2.0255722271548815</c:v>
                </c:pt>
                <c:pt idx="12">
                  <c:v>2.0163892908902512</c:v>
                </c:pt>
                <c:pt idx="13">
                  <c:v>2.0083100499648987</c:v>
                </c:pt>
                <c:pt idx="14">
                  <c:v>2.0011777782494442</c:v>
                </c:pt>
                <c:pt idx="15">
                  <c:v>1.9948555783023594</c:v>
                </c:pt>
                <c:pt idx="16">
                  <c:v>1.9892235589524074</c:v>
                </c:pt>
                <c:pt idx="17">
                  <c:v>1.9841763538340966</c:v>
                </c:pt>
                <c:pt idx="18">
                  <c:v>1.9796209262634674</c:v>
                </c:pt>
                <c:pt idx="19">
                  <c:v>1.9754746103563525</c:v>
                </c:pt>
                <c:pt idx="20">
                  <c:v>1.9716633411992988</c:v>
                </c:pt>
                <c:pt idx="21">
                  <c:v>1.9681200279749544</c:v>
                </c:pt>
                <c:pt idx="22">
                  <c:v>1.9647830228300089</c:v>
                </c:pt>
                <c:pt idx="23">
                  <c:v>1.9615946342940487</c:v>
                </c:pt>
                <c:pt idx="24">
                  <c:v>1.9584996261249412</c:v>
                </c:pt>
                <c:pt idx="25">
                  <c:v>1.9554436287942241</c:v>
                </c:pt>
                <c:pt idx="26">
                  <c:v>1.9523713685127078</c:v>
                </c:pt>
                <c:pt idx="27">
                  <c:v>1.9492245828550556</c:v>
                </c:pt>
                <c:pt idx="28">
                  <c:v>1.9459394343637024</c:v>
                </c:pt>
                <c:pt idx="29">
                  <c:v>1.942443139483826</c:v>
                </c:pt>
                <c:pt idx="30">
                  <c:v>1.9386493737025692</c:v>
                </c:pt>
                <c:pt idx="31">
                  <c:v>1.9344517463105726</c:v>
                </c:pt>
                <c:pt idx="32">
                  <c:v>1.9297141660535926</c:v>
                </c:pt>
                <c:pt idx="33">
                  <c:v>1.924256053067366</c:v>
                </c:pt>
                <c:pt idx="34">
                  <c:v>1.917828692078166</c:v>
                </c:pt>
                <c:pt idx="35">
                  <c:v>1.9100756661545175</c:v>
                </c:pt>
                <c:pt idx="36">
                  <c:v>1.9004630913983489</c:v>
                </c:pt>
                <c:pt idx="37">
                  <c:v>1.8881486259775915</c:v>
                </c:pt>
                <c:pt idx="38">
                  <c:v>1.8717155789447268</c:v>
                </c:pt>
                <c:pt idx="39">
                  <c:v>1.8485761521704736</c:v>
                </c:pt>
                <c:pt idx="40">
                  <c:v>1.8134373863785935</c:v>
                </c:pt>
                <c:pt idx="41">
                  <c:v>1.7535026461008161</c:v>
                </c:pt>
                <c:pt idx="42">
                  <c:v>1.6278487214534443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6C-4C46-819A-F15805C1757F}"/>
            </c:ext>
          </c:extLst>
        </c:ser>
        <c:ser>
          <c:idx val="8"/>
          <c:order val="8"/>
          <c:tx>
            <c:v>Id = 12,5 [A]</c:v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rev.'!$CI$36:$CI$157</c:f>
              <c:numCache>
                <c:formatCode>#,##0.00</c:formatCode>
                <c:ptCount val="122"/>
                <c:pt idx="0">
                  <c:v>2.25</c:v>
                </c:pt>
                <c:pt idx="1">
                  <c:v>2.1902499999999998</c:v>
                </c:pt>
                <c:pt idx="2">
                  <c:v>2.0675967273835214</c:v>
                </c:pt>
                <c:pt idx="3">
                  <c:v>1.9940870208913164</c:v>
                </c:pt>
                <c:pt idx="4">
                  <c:v>1.9472886388460542</c:v>
                </c:pt>
                <c:pt idx="5">
                  <c:v>1.9139491267187621</c:v>
                </c:pt>
                <c:pt idx="6">
                  <c:v>1.8856115871689572</c:v>
                </c:pt>
                <c:pt idx="7">
                  <c:v>1.8556767612508713</c:v>
                </c:pt>
                <c:pt idx="8">
                  <c:v>1.8165173992788854</c:v>
                </c:pt>
                <c:pt idx="9">
                  <c:v>1.7538116662175649</c:v>
                </c:pt>
                <c:pt idx="10">
                  <c:v>1.6248063878088208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A6C-4C46-819A-F15805C1757F}"/>
            </c:ext>
          </c:extLst>
        </c:ser>
        <c:ser>
          <c:idx val="9"/>
          <c:order val="9"/>
          <c:tx>
            <c:v>Id = 26,17 [A]</c:v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rev.'!$CJ$36:$CJ$157</c:f>
              <c:numCache>
                <c:formatCode>#,##0.00</c:formatCode>
                <c:ptCount val="122"/>
                <c:pt idx="0">
                  <c:v>2.25</c:v>
                </c:pt>
                <c:pt idx="1">
                  <c:v>2.1249233333333333</c:v>
                </c:pt>
                <c:pt idx="2">
                  <c:v>1.9078438363309074</c:v>
                </c:pt>
                <c:pt idx="3">
                  <c:v>1.8018917196301869</c:v>
                </c:pt>
                <c:pt idx="4">
                  <c:v>1.6901576660097275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A6C-4C46-819A-F15805C1757F}"/>
            </c:ext>
          </c:extLst>
        </c:ser>
        <c:ser>
          <c:idx val="10"/>
          <c:order val="10"/>
          <c:tx>
            <c:v>UFin = 1,75 [V/c]</c:v>
          </c:tx>
          <c:spPr>
            <a:ln w="1905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rev.'!$CK$36:$CK$157</c:f>
              <c:numCache>
                <c:formatCode>#,##0.00</c:formatCode>
                <c:ptCount val="122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A6C-4C46-819A-F15805C1757F}"/>
            </c:ext>
          </c:extLst>
        </c:ser>
        <c:ser>
          <c:idx val="11"/>
          <c:order val="11"/>
          <c:tx>
            <c:v>n = 8 [h]</c:v>
          </c:tx>
          <c:spPr>
            <a:ln w="19050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rev.'!$CL$36:$CL$157</c:f>
              <c:numCache>
                <c:formatCode>0.0E+00</c:formatCode>
                <c:ptCount val="122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A6C-4C46-819A-F15805C17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51264"/>
        <c:axId val="10865318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Id = 1,92 [A]</c:v>
                </c:tx>
                <c:spPr>
                  <a:ln w="15875">
                    <a:solidFill>
                      <a:srgbClr val="996633"/>
                    </a:solidFill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'[1]100 A 39, 3 par. rev.'!$CB$36:$CB$157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2.2424648611111113</c:v>
                      </c:pt>
                      <c:pt idx="2">
                        <c:v>2.2237798670316815</c:v>
                      </c:pt>
                      <c:pt idx="3">
                        <c:v>2.2063786190472108</c:v>
                      </c:pt>
                      <c:pt idx="4">
                        <c:v>2.1901721257927718</c:v>
                      </c:pt>
                      <c:pt idx="5">
                        <c:v>2.1750775402889091</c:v>
                      </c:pt>
                      <c:pt idx="6">
                        <c:v>2.1610177345794881</c:v>
                      </c:pt>
                      <c:pt idx="7">
                        <c:v>2.1479209037482594</c:v>
                      </c:pt>
                      <c:pt idx="8">
                        <c:v>2.1357201972798938</c:v>
                      </c:pt>
                      <c:pt idx="9">
                        <c:v>2.124353375871638</c:v>
                      </c:pt>
                      <c:pt idx="10">
                        <c:v>2.1137624919323805</c:v>
                      </c:pt>
                      <c:pt idx="11">
                        <c:v>2.1038935921275259</c:v>
                      </c:pt>
                      <c:pt idx="12">
                        <c:v>2.0946964404411901</c:v>
                      </c:pt>
                      <c:pt idx="13">
                        <c:v>2.0861242603325278</c:v>
                      </c:pt>
                      <c:pt idx="14">
                        <c:v>2.0781334946609213</c:v>
                      </c:pt>
                      <c:pt idx="15">
                        <c:v>2.0706835821459015</c:v>
                      </c:pt>
                      <c:pt idx="16">
                        <c:v>2.0637367492123997</c:v>
                      </c:pt>
                      <c:pt idx="17">
                        <c:v>2.0572578161507789</c:v>
                      </c:pt>
                      <c:pt idx="18">
                        <c:v>2.051214016594344</c:v>
                      </c:pt>
                      <c:pt idx="19">
                        <c:v>2.0455748293851954</c:v>
                      </c:pt>
                      <c:pt idx="20">
                        <c:v>2.040311821962562</c:v>
                      </c:pt>
                      <c:pt idx="21">
                        <c:v>2.0353985044665892</c:v>
                      </c:pt>
                      <c:pt idx="22">
                        <c:v>2.0308101938051402</c:v>
                      </c:pt>
                      <c:pt idx="23">
                        <c:v>2.0265238869818263</c:v>
                      </c:pt>
                      <c:pt idx="24">
                        <c:v>2.02251814303047</c:v>
                      </c:pt>
                      <c:pt idx="25">
                        <c:v>2.0187729729446966</c:v>
                      </c:pt>
                      <c:pt idx="26">
                        <c:v>2.0152697370316028</c:v>
                      </c:pt>
                      <c:pt idx="27">
                        <c:v>2.0119910491556179</c:v>
                      </c:pt>
                      <c:pt idx="28">
                        <c:v>2.0089206873729379</c:v>
                      </c:pt>
                      <c:pt idx="29">
                        <c:v>2.0060435104884053</c:v>
                      </c:pt>
                      <c:pt idx="30">
                        <c:v>2.0033453800955607</c:v>
                      </c:pt>
                      <c:pt idx="31">
                        <c:v>2.0008130876869017</c:v>
                      </c:pt>
                      <c:pt idx="32">
                        <c:v>1.9984342864452385</c:v>
                      </c:pt>
                      <c:pt idx="33">
                        <c:v>1.9961974273484786</c:v>
                      </c:pt>
                      <c:pt idx="34">
                        <c:v>1.9940916992392403</c:v>
                      </c:pt>
                      <c:pt idx="35">
                        <c:v>1.9921069725273779</c:v>
                      </c:pt>
                      <c:pt idx="36">
                        <c:v>1.9902337462077591</c:v>
                      </c:pt>
                      <c:pt idx="37">
                        <c:v>1.9884630978874138</c:v>
                      </c:pt>
                      <c:pt idx="38">
                        <c:v>1.9867866365252915</c:v>
                      </c:pt>
                      <c:pt idx="39">
                        <c:v>1.985196457594198</c:v>
                      </c:pt>
                      <c:pt idx="40">
                        <c:v>1.9836851003777238</c:v>
                      </c:pt>
                      <c:pt idx="41">
                        <c:v>1.9822455071148088</c:v>
                      </c:pt>
                      <c:pt idx="42">
                        <c:v>1.9808709837005296</c:v>
                      </c:pt>
                      <c:pt idx="43">
                        <c:v>1.9795551616431861</c:v>
                      </c:pt>
                      <c:pt idx="44">
                        <c:v>1.9782919609639797</c:v>
                      </c:pt>
                      <c:pt idx="45">
                        <c:v>1.977075553705578</c:v>
                      </c:pt>
                      <c:pt idx="46">
                        <c:v>1.9759003276883182</c:v>
                      </c:pt>
                      <c:pt idx="47">
                        <c:v>1.9747608501160749</c:v>
                      </c:pt>
                      <c:pt idx="48">
                        <c:v>1.973651830585748</c:v>
                      </c:pt>
                      <c:pt idx="49">
                        <c:v>1.972568082992102</c:v>
                      </c:pt>
                      <c:pt idx="50">
                        <c:v>1.9715044857396875</c:v>
                      </c:pt>
                      <c:pt idx="51">
                        <c:v>1.9704559395709418</c:v>
                      </c:pt>
                      <c:pt idx="52">
                        <c:v>1.9694173221880094</c:v>
                      </c:pt>
                      <c:pt idx="53">
                        <c:v>1.9683834386768935</c:v>
                      </c:pt>
                      <c:pt idx="54">
                        <c:v>1.9673489665249555</c:v>
                      </c:pt>
                      <c:pt idx="55">
                        <c:v>1.9663083937413131</c:v>
                      </c:pt>
                      <c:pt idx="56">
                        <c:v>1.965255948223684</c:v>
                      </c:pt>
                      <c:pt idx="57">
                        <c:v>1.9641855160362109</c:v>
                      </c:pt>
                      <c:pt idx="58">
                        <c:v>1.9630905456315975</c:v>
                      </c:pt>
                      <c:pt idx="59">
                        <c:v>1.9619639342124335</c:v>
                      </c:pt>
                      <c:pt idx="60">
                        <c:v>1.9607978913032931</c:v>
                      </c:pt>
                      <c:pt idx="61">
                        <c:v>1.9595837730860595</c:v>
                      </c:pt>
                      <c:pt idx="62">
                        <c:v>1.9583118789754081</c:v>
                      </c:pt>
                      <c:pt idx="63">
                        <c:v>1.9569711990442336</c:v>
                      </c:pt>
                      <c:pt idx="64">
                        <c:v>1.9555490969004756</c:v>
                      </c:pt>
                      <c:pt idx="65">
                        <c:v>1.9540309069399682</c:v>
                      </c:pt>
                      <c:pt idx="66">
                        <c:v>1.9523994167463392</c:v>
                      </c:pt>
                      <c:pt idx="67">
                        <c:v>1.950634193517526</c:v>
                      </c:pt>
                      <c:pt idx="68">
                        <c:v>1.9487106957638101</c:v>
                      </c:pt>
                      <c:pt idx="69">
                        <c:v>1.9465990848885613</c:v>
                      </c:pt>
                      <c:pt idx="70">
                        <c:v>1.9442626102216252</c:v>
                      </c:pt>
                      <c:pt idx="71">
                        <c:v>1.9416553764139983</c:v>
                      </c:pt>
                      <c:pt idx="72">
                        <c:v>1.938719197685802</c:v>
                      </c:pt>
                      <c:pt idx="73">
                        <c:v>1.9353790700990385</c:v>
                      </c:pt>
                      <c:pt idx="74">
                        <c:v>1.9315364962842771</c:v>
                      </c:pt>
                      <c:pt idx="75">
                        <c:v>1.9270593708427</c:v>
                      </c:pt>
                      <c:pt idx="76">
                        <c:v>1.9217661632839775</c:v>
                      </c:pt>
                      <c:pt idx="77">
                        <c:v>1.9154002570100026</c:v>
                      </c:pt>
                      <c:pt idx="78">
                        <c:v>1.9075864676084227</c:v>
                      </c:pt>
                      <c:pt idx="79">
                        <c:v>1.8977534097830533</c:v>
                      </c:pt>
                      <c:pt idx="80">
                        <c:v>1.8849857030989683</c:v>
                      </c:pt>
                      <c:pt idx="81">
                        <c:v>1.8677189178022051</c:v>
                      </c:pt>
                      <c:pt idx="82">
                        <c:v>1.8430399518207468</c:v>
                      </c:pt>
                      <c:pt idx="83">
                        <c:v>1.8048337952696936</c:v>
                      </c:pt>
                      <c:pt idx="84">
                        <c:v>1.7377164312709443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FA6C-4C46-819A-F15805C1757F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Id = 2,36 [A]</c:v>
                </c:tx>
                <c:spPr>
                  <a:ln w="15875">
                    <a:solidFill>
                      <a:schemeClr val="accent4">
                        <a:lumMod val="60000"/>
                        <a:lumOff val="40000"/>
                      </a:schemeClr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rev.'!$CC$36:$CC$157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2.2386972916666665</c:v>
                      </c:pt>
                      <c:pt idx="2">
                        <c:v>2.2110898899472984</c:v>
                      </c:pt>
                      <c:pt idx="3">
                        <c:v>2.1862680700117689</c:v>
                      </c:pt>
                      <c:pt idx="4">
                        <c:v>2.1639468143247598</c:v>
                      </c:pt>
                      <c:pt idx="5">
                        <c:v>2.1438700787238281</c:v>
                      </c:pt>
                      <c:pt idx="6">
                        <c:v>2.1258078338094393</c:v>
                      </c:pt>
                      <c:pt idx="7">
                        <c:v>2.1095534071943511</c:v>
                      </c:pt>
                      <c:pt idx="8">
                        <c:v>2.0949210958697604</c:v>
                      </c:pt>
                      <c:pt idx="9">
                        <c:v>2.0817440210657572</c:v>
                      </c:pt>
                      <c:pt idx="10">
                        <c:v>2.0698722007835682</c:v>
                      </c:pt>
                      <c:pt idx="11">
                        <c:v>2.0591708176889094</c:v>
                      </c:pt>
                      <c:pt idx="12">
                        <c:v>2.0495186623083939</c:v>
                      </c:pt>
                      <c:pt idx="13">
                        <c:v>2.0408067334899891</c:v>
                      </c:pt>
                      <c:pt idx="14">
                        <c:v>2.0329369798969434</c:v>
                      </c:pt>
                      <c:pt idx="15">
                        <c:v>2.0258211679228508</c:v>
                      </c:pt>
                      <c:pt idx="16">
                        <c:v>2.0193798628614954</c:v>
                      </c:pt>
                      <c:pt idx="17">
                        <c:v>2.0135415114547977</c:v>
                      </c:pt>
                      <c:pt idx="18">
                        <c:v>2.0082416150892488</c:v>
                      </c:pt>
                      <c:pt idx="19">
                        <c:v>2.0034219839274789</c:v>
                      </c:pt>
                      <c:pt idx="20">
                        <c:v>1.9990300631569238</c:v>
                      </c:pt>
                      <c:pt idx="21">
                        <c:v>1.9950183233196546</c:v>
                      </c:pt>
                      <c:pt idx="22">
                        <c:v>1.9913437073620763</c:v>
                      </c:pt>
                      <c:pt idx="23">
                        <c:v>1.987967127613651</c:v>
                      </c:pt>
                      <c:pt idx="24">
                        <c:v>1.984853006370692</c:v>
                      </c:pt>
                      <c:pt idx="25">
                        <c:v>1.981968854121883</c:v>
                      </c:pt>
                      <c:pt idx="26">
                        <c:v>1.9792848796997136</c:v>
                      </c:pt>
                      <c:pt idx="27">
                        <c:v>1.9767736267642513</c:v>
                      </c:pt>
                      <c:pt idx="28">
                        <c:v>1.9744096310032846</c:v>
                      </c:pt>
                      <c:pt idx="29">
                        <c:v>1.9721690922365973</c:v>
                      </c:pt>
                      <c:pt idx="30">
                        <c:v>1.9700295551991218</c:v>
                      </c:pt>
                      <c:pt idx="31">
                        <c:v>1.9679695920853371</c:v>
                      </c:pt>
                      <c:pt idx="32">
                        <c:v>1.9659684788747658</c:v>
                      </c:pt>
                      <c:pt idx="33">
                        <c:v>1.9640058558931628</c:v>
                      </c:pt>
                      <c:pt idx="34">
                        <c:v>1.9620613608012996</c:v>
                      </c:pt>
                      <c:pt idx="35">
                        <c:v>1.9601142189539804</c:v>
                      </c:pt>
                      <c:pt idx="36">
                        <c:v>1.9581427714015875</c:v>
                      </c:pt>
                      <c:pt idx="37">
                        <c:v>1.9561239140525077</c:v>
                      </c:pt>
                      <c:pt idx="38">
                        <c:v>1.9540324116507677</c:v>
                      </c:pt>
                      <c:pt idx="39">
                        <c:v>1.9518400356299312</c:v>
                      </c:pt>
                      <c:pt idx="40">
                        <c:v>1.9495144529771629</c:v>
                      </c:pt>
                      <c:pt idx="41">
                        <c:v>1.947017759698316</c:v>
                      </c:pt>
                      <c:pt idx="42">
                        <c:v>1.9443045001059904</c:v>
                      </c:pt>
                      <c:pt idx="43">
                        <c:v>1.9413189294919331</c:v>
                      </c:pt>
                      <c:pt idx="44">
                        <c:v>1.9379911405959005</c:v>
                      </c:pt>
                      <c:pt idx="45">
                        <c:v>1.934231442797846</c:v>
                      </c:pt>
                      <c:pt idx="46">
                        <c:v>1.9299219791341167</c:v>
                      </c:pt>
                      <c:pt idx="47">
                        <c:v>1.924903834710858</c:v>
                      </c:pt>
                      <c:pt idx="48">
                        <c:v>1.9189565061681866</c:v>
                      </c:pt>
                      <c:pt idx="49">
                        <c:v>1.911763848038315</c:v>
                      </c:pt>
                      <c:pt idx="50">
                        <c:v>1.9028547953580417</c:v>
                      </c:pt>
                      <c:pt idx="51">
                        <c:v>1.8914939645693467</c:v>
                      </c:pt>
                      <c:pt idx="52">
                        <c:v>1.8764645419610657</c:v>
                      </c:pt>
                      <c:pt idx="53">
                        <c:v>1.8555953980808233</c:v>
                      </c:pt>
                      <c:pt idx="54">
                        <c:v>1.8245949377549053</c:v>
                      </c:pt>
                      <c:pt idx="55">
                        <c:v>1.7736224544916865</c:v>
                      </c:pt>
                      <c:pt idx="56">
                        <c:v>1.6740283400710092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A6C-4C46-819A-F15805C1757F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Id = 4,67 [A]</c:v>
                </c:tx>
                <c:spPr>
                  <a:ln w="15875">
                    <a:solidFill>
                      <a:srgbClr val="FFC000"/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rev.'!$CE$36:$CE$157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2.2276933333333333</c:v>
                      </c:pt>
                      <c:pt idx="2">
                        <c:v>2.1754936530344104</c:v>
                      </c:pt>
                      <c:pt idx="3">
                        <c:v>2.1330595369067247</c:v>
                      </c:pt>
                      <c:pt idx="4">
                        <c:v>2.098506296442451</c:v>
                      </c:pt>
                      <c:pt idx="5">
                        <c:v>2.0703070618672172</c:v>
                      </c:pt>
                      <c:pt idx="6">
                        <c:v>2.0472239513478327</c:v>
                      </c:pt>
                      <c:pt idx="7">
                        <c:v>2.0282522920745683</c:v>
                      </c:pt>
                      <c:pt idx="8">
                        <c:v>2.0125753679007503</c:v>
                      </c:pt>
                      <c:pt idx="9">
                        <c:v>1.9995276398955835</c:v>
                      </c:pt>
                      <c:pt idx="10">
                        <c:v>1.9885647629737597</c:v>
                      </c:pt>
                      <c:pt idx="11">
                        <c:v>1.979239019457002</c:v>
                      </c:pt>
                      <c:pt idx="12">
                        <c:v>1.9711790203298007</c:v>
                      </c:pt>
                      <c:pt idx="13">
                        <c:v>1.96407269386599</c:v>
                      </c:pt>
                      <c:pt idx="14">
                        <c:v>1.9576526906118885</c:v>
                      </c:pt>
                      <c:pt idx="15">
                        <c:v>1.9516833772314643</c:v>
                      </c:pt>
                      <c:pt idx="16">
                        <c:v>1.9459485510340202</c:v>
                      </c:pt>
                      <c:pt idx="17">
                        <c:v>1.9402388417184762</c:v>
                      </c:pt>
                      <c:pt idx="18">
                        <c:v>1.9343373938753714</c:v>
                      </c:pt>
                      <c:pt idx="19">
                        <c:v>1.9280016715872588</c:v>
                      </c:pt>
                      <c:pt idx="20">
                        <c:v>1.9209377293853771</c:v>
                      </c:pt>
                      <c:pt idx="21">
                        <c:v>1.912760231978466</c:v>
                      </c:pt>
                      <c:pt idx="22">
                        <c:v>1.902924917892457</c:v>
                      </c:pt>
                      <c:pt idx="23">
                        <c:v>1.890605012928215</c:v>
                      </c:pt>
                      <c:pt idx="24">
                        <c:v>1.8744448097456055</c:v>
                      </c:pt>
                      <c:pt idx="25">
                        <c:v>1.8520153800365717</c:v>
                      </c:pt>
                      <c:pt idx="26">
                        <c:v>1.8184411054298966</c:v>
                      </c:pt>
                      <c:pt idx="27">
                        <c:v>1.7622144802327013</c:v>
                      </c:pt>
                      <c:pt idx="28">
                        <c:v>1.6479929341170019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A6C-4C46-819A-F15805C1757F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v>Id = 5,55 [A]</c:v>
                </c:tx>
                <c:spPr>
                  <a:ln w="15875">
                    <a:solidFill>
                      <a:srgbClr val="FFFF00"/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rev.'!$CF$36:$CF$157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2.223471</c:v>
                      </c:pt>
                      <c:pt idx="2">
                        <c:v>2.1623720649585843</c:v>
                      </c:pt>
                      <c:pt idx="3">
                        <c:v>2.1145414330857171</c:v>
                      </c:pt>
                      <c:pt idx="4">
                        <c:v>2.0769837301920728</c:v>
                      </c:pt>
                      <c:pt idx="5">
                        <c:v>2.0473654472521798</c:v>
                      </c:pt>
                      <c:pt idx="6">
                        <c:v>2.0238660099625951</c:v>
                      </c:pt>
                      <c:pt idx="7">
                        <c:v>2.0050616539565165</c:v>
                      </c:pt>
                      <c:pt idx="8">
                        <c:v>1.9898346415288106</c:v>
                      </c:pt>
                      <c:pt idx="9">
                        <c:v>1.9773019512650636</c:v>
                      </c:pt>
                      <c:pt idx="10">
                        <c:v>1.9667587734848273</c:v>
                      </c:pt>
                      <c:pt idx="11">
                        <c:v>1.9576330142072278</c:v>
                      </c:pt>
                      <c:pt idx="12">
                        <c:v>1.9494475765343544</c:v>
                      </c:pt>
                      <c:pt idx="13">
                        <c:v>1.9417874333298015</c:v>
                      </c:pt>
                      <c:pt idx="14">
                        <c:v>1.934268335268484</c:v>
                      </c:pt>
                      <c:pt idx="15">
                        <c:v>1.926503171102842</c:v>
                      </c:pt>
                      <c:pt idx="16">
                        <c:v>1.9180599416694466</c:v>
                      </c:pt>
                      <c:pt idx="17">
                        <c:v>1.908400665273069</c:v>
                      </c:pt>
                      <c:pt idx="18">
                        <c:v>1.8967798649276104</c:v>
                      </c:pt>
                      <c:pt idx="19">
                        <c:v>1.8820551613530001</c:v>
                      </c:pt>
                      <c:pt idx="20">
                        <c:v>1.8622919536346896</c:v>
                      </c:pt>
                      <c:pt idx="21">
                        <c:v>1.8338265759266441</c:v>
                      </c:pt>
                      <c:pt idx="22">
                        <c:v>1.7886453971693272</c:v>
                      </c:pt>
                      <c:pt idx="23">
                        <c:v>1.7050056813756433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A6C-4C46-819A-F15805C1757F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Id = 8,92 [A]</c:v>
                </c:tx>
                <c:spPr>
                  <a:ln w="15875">
                    <a:solidFill>
                      <a:schemeClr val="accent2">
                        <a:lumMod val="40000"/>
                        <a:lumOff val="60000"/>
                      </a:schemeClr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rev.'!$CG$36:$CG$157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2.2073783333333332</c:v>
                      </c:pt>
                      <c:pt idx="2">
                        <c:v>2.1147541316165772</c:v>
                      </c:pt>
                      <c:pt idx="3">
                        <c:v>2.0515345215940508</c:v>
                      </c:pt>
                      <c:pt idx="4">
                        <c:v>2.0076554599718146</c:v>
                      </c:pt>
                      <c:pt idx="5">
                        <c:v>1.976328176529178</c:v>
                      </c:pt>
                      <c:pt idx="6">
                        <c:v>1.9529142041613823</c:v>
                      </c:pt>
                      <c:pt idx="7">
                        <c:v>1.9341554542812127</c:v>
                      </c:pt>
                      <c:pt idx="8">
                        <c:v>1.9176253392179274</c:v>
                      </c:pt>
                      <c:pt idx="9">
                        <c:v>1.9012951587618547</c:v>
                      </c:pt>
                      <c:pt idx="10">
                        <c:v>1.8831059912036432</c:v>
                      </c:pt>
                      <c:pt idx="11">
                        <c:v>1.8603685751497092</c:v>
                      </c:pt>
                      <c:pt idx="12">
                        <c:v>1.8285530602626496</c:v>
                      </c:pt>
                      <c:pt idx="13">
                        <c:v>1.7779842010828861</c:v>
                      </c:pt>
                      <c:pt idx="14">
                        <c:v>1.6814746288444711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A6C-4C46-819A-F15805C1757F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Id = 10,39 [A]</c:v>
                </c:tx>
                <c:spPr>
                  <a:ln w="15875">
                    <a:solidFill>
                      <a:srgbClr val="00B050"/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rev.'!$CH$36:$CH$157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2.2003358</c:v>
                      </c:pt>
                      <c:pt idx="2">
                        <c:v>2.094971470877157</c:v>
                      </c:pt>
                      <c:pt idx="3">
                        <c:v>2.0269607429090888</c:v>
                      </c:pt>
                      <c:pt idx="4">
                        <c:v>1.9817344220764981</c:v>
                      </c:pt>
                      <c:pt idx="5">
                        <c:v>1.9500220645740478</c:v>
                      </c:pt>
                      <c:pt idx="6">
                        <c:v>1.9257568621249499</c:v>
                      </c:pt>
                      <c:pt idx="7">
                        <c:v>1.9046916539988459</c:v>
                      </c:pt>
                      <c:pt idx="8">
                        <c:v>1.8833751841418045</c:v>
                      </c:pt>
                      <c:pt idx="9">
                        <c:v>1.8581453017916931</c:v>
                      </c:pt>
                      <c:pt idx="10">
                        <c:v>1.8235353724708154</c:v>
                      </c:pt>
                      <c:pt idx="11">
                        <c:v>1.7682180075647862</c:v>
                      </c:pt>
                      <c:pt idx="12">
                        <c:v>1.6593878208044344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A6C-4C46-819A-F15805C1757F}"/>
                  </c:ext>
                </c:extLst>
              </c15:ser>
            </c15:filteredScatterSeries>
          </c:ext>
        </c:extLst>
      </c:scatterChart>
      <c:valAx>
        <c:axId val="108651264"/>
        <c:scaling>
          <c:orientation val="minMax"/>
          <c:max val="120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/>
                  <a:t>Tiempo de descarga  t  [h]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8653184"/>
        <c:crosses val="autoZero"/>
        <c:crossBetween val="midCat"/>
        <c:majorUnit val="8"/>
        <c:minorUnit val="0.1"/>
      </c:valAx>
      <c:valAx>
        <c:axId val="108653184"/>
        <c:scaling>
          <c:orientation val="minMax"/>
          <c:max val="2.2999999999999998"/>
          <c:min val="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Tensión en bornes u</a:t>
                </a:r>
                <a:r>
                  <a:rPr lang="en-US" sz="1100" baseline="-25000"/>
                  <a:t>d</a:t>
                </a:r>
                <a:r>
                  <a:rPr lang="en-US" sz="1100"/>
                  <a:t> [V/c]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08651264"/>
        <c:crosses val="autoZero"/>
        <c:crossBetween val="midCat"/>
        <c:majorUnit val="0.1"/>
        <c:minorUnit val="1.0000000000000005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28256064713222323"/>
          <c:y val="0.69212745878675275"/>
          <c:w val="0.67728256099135153"/>
          <c:h val="0.16808605385001033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Curvas de recarga a tensión constante</a:t>
            </a:r>
          </a:p>
          <a:p>
            <a:pPr>
              <a:defRPr sz="1400"/>
            </a:pPr>
            <a:r>
              <a:rPr lang="en-US" sz="1400"/>
              <a:t>placa positiva acumulador Pb-ác Absolyte serie 100 A</a:t>
            </a:r>
          </a:p>
        </c:rich>
      </c:tx>
      <c:layout>
        <c:manualLayout>
          <c:xMode val="edge"/>
          <c:yMode val="edge"/>
          <c:x val="0.20637605332228204"/>
          <c:y val="1.57977883096366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660270914411572"/>
          <c:y val="0.14258673665791791"/>
          <c:w val="0.8691663542057243"/>
          <c:h val="0.7496432147976515"/>
        </c:manualLayout>
      </c:layout>
      <c:scatterChart>
        <c:scatterStyle val="smoothMarker"/>
        <c:varyColors val="0"/>
        <c:ser>
          <c:idx val="0"/>
          <c:order val="0"/>
          <c:tx>
            <c:v>qe; Ur = 2,23 [V/c]</c:v>
          </c:tx>
          <c:spPr>
            <a:ln w="15875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rev.'!$DC$6:$DC$127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11.98641835674824</c:v>
                </c:pt>
                <c:pt idx="3">
                  <c:v>22.908583194807651</c:v>
                </c:pt>
                <c:pt idx="4">
                  <c:v>32.860987757975614</c:v>
                </c:pt>
                <c:pt idx="5">
                  <c:v>41.929735397071411</c:v>
                </c:pt>
                <c:pt idx="6">
                  <c:v>50.193284494137764</c:v>
                </c:pt>
                <c:pt idx="7">
                  <c:v>57.723127246100674</c:v>
                </c:pt>
                <c:pt idx="8">
                  <c:v>64.584408180392785</c:v>
                </c:pt>
                <c:pt idx="9">
                  <c:v>70.836487753635978</c:v>
                </c:pt>
                <c:pt idx="10">
                  <c:v>76.533455909363809</c:v>
                </c:pt>
                <c:pt idx="11">
                  <c:v>81.72460003783516</c:v>
                </c:pt>
                <c:pt idx="12">
                  <c:v>86.454831386498839</c:v>
                </c:pt>
                <c:pt idx="13">
                  <c:v>90.765073610204851</c:v>
                </c:pt>
                <c:pt idx="14">
                  <c:v>94.692616822708885</c:v>
                </c:pt>
                <c:pt idx="15">
                  <c:v>98.27144021255161</c:v>
                </c:pt>
                <c:pt idx="16">
                  <c:v>101.53250601442714</c:v>
                </c:pt>
                <c:pt idx="17">
                  <c:v>104.50402737933848</c:v>
                </c:pt>
                <c:pt idx="18">
                  <c:v>107.21171246102135</c:v>
                </c:pt>
                <c:pt idx="19">
                  <c:v>109.6789868303533</c:v>
                </c:pt>
                <c:pt idx="20">
                  <c:v>111.92719614196896</c:v>
                </c:pt>
                <c:pt idx="21">
                  <c:v>113.97579080645457</c:v>
                </c:pt>
                <c:pt idx="22">
                  <c:v>115.84249426581478</c:v>
                </c:pt>
                <c:pt idx="23">
                  <c:v>117.54345632804994</c:v>
                </c:pt>
                <c:pt idx="24">
                  <c:v>119.09339288741913</c:v>
                </c:pt>
                <c:pt idx="25">
                  <c:v>120.50571323918076</c:v>
                </c:pt>
                <c:pt idx="26">
                  <c:v>121.79263609027599</c:v>
                </c:pt>
                <c:pt idx="27">
                  <c:v>122.96529526962244</c:v>
                </c:pt>
                <c:pt idx="28">
                  <c:v>124.03383605257238</c:v>
                </c:pt>
                <c:pt idx="29">
                  <c:v>125.00750293288762</c:v>
                </c:pt>
                <c:pt idx="30">
                  <c:v>125.89471960159123</c:v>
                </c:pt>
                <c:pt idx="31">
                  <c:v>126.70316182463439</c:v>
                </c:pt>
                <c:pt idx="32">
                  <c:v>127.43982384988011</c:v>
                </c:pt>
                <c:pt idx="33">
                  <c:v>128.11107891792491</c:v>
                </c:pt>
                <c:pt idx="34">
                  <c:v>128.72273440026842</c:v>
                </c:pt>
                <c:pt idx="35">
                  <c:v>129.2800820418596</c:v>
                </c:pt>
                <c:pt idx="36">
                  <c:v>129.78794374269327</c:v>
                </c:pt>
                <c:pt idx="37">
                  <c:v>130.25071327453762</c:v>
                </c:pt>
                <c:pt idx="38">
                  <c:v>130.6723942937046</c:v>
                </c:pt>
                <c:pt idx="39">
                  <c:v>131.05663497873206</c:v>
                </c:pt>
                <c:pt idx="40">
                  <c:v>131.40675959264527</c:v>
                </c:pt>
                <c:pt idx="41">
                  <c:v>131.72579724285956</c:v>
                </c:pt>
                <c:pt idx="42">
                  <c:v>132.01650808754033</c:v>
                </c:pt>
                <c:pt idx="43">
                  <c:v>132.28140721514563</c:v>
                </c:pt>
                <c:pt idx="44">
                  <c:v>132.5227864037449</c:v>
                </c:pt>
                <c:pt idx="45">
                  <c:v>132.74273394836518</c:v>
                </c:pt>
                <c:pt idx="46">
                  <c:v>132.94315272790132</c:v>
                </c:pt>
                <c:pt idx="47">
                  <c:v>133.12577666789625</c:v>
                </c:pt>
                <c:pt idx="48">
                  <c:v>133.29218574161899</c:v>
                </c:pt>
                <c:pt idx="49">
                  <c:v>133.44381963922328</c:v>
                </c:pt>
                <c:pt idx="50">
                  <c:v>133.58199022324419</c:v>
                </c:pt>
                <c:pt idx="51">
                  <c:v>133.70789287819349</c:v>
                </c:pt>
                <c:pt idx="52">
                  <c:v>133.82261685244316</c:v>
                </c:pt>
                <c:pt idx="53">
                  <c:v>133.92715468187131</c:v>
                </c:pt>
                <c:pt idx="54">
                  <c:v>134.02241077679849</c:v>
                </c:pt>
                <c:pt idx="55">
                  <c:v>134.10920924650472</c:v>
                </c:pt>
                <c:pt idx="56">
                  <c:v>134.18830102902115</c:v>
                </c:pt>
                <c:pt idx="57">
                  <c:v>134.26037038787965</c:v>
                </c:pt>
                <c:pt idx="58">
                  <c:v>134.32604083202713</c:v>
                </c:pt>
                <c:pt idx="59">
                  <c:v>134.38588051012113</c:v>
                </c:pt>
                <c:pt idx="60">
                  <c:v>134.44040712587463</c:v>
                </c:pt>
                <c:pt idx="61">
                  <c:v>134.49009241697627</c:v>
                </c:pt>
                <c:pt idx="62">
                  <c:v>134.5353662363348</c:v>
                </c:pt>
                <c:pt idx="63">
                  <c:v>134.57662027095674</c:v>
                </c:pt>
                <c:pt idx="64">
                  <c:v>134.6142114306314</c:v>
                </c:pt>
                <c:pt idx="65">
                  <c:v>134.64846493574029</c:v>
                </c:pt>
                <c:pt idx="66">
                  <c:v>134.67967713090536</c:v>
                </c:pt>
                <c:pt idx="67">
                  <c:v>134.70811804881797</c:v>
                </c:pt>
                <c:pt idx="68">
                  <c:v>134.73403374643021</c:v>
                </c:pt>
                <c:pt idx="69">
                  <c:v>134.75764843371957</c:v>
                </c:pt>
                <c:pt idx="70">
                  <c:v>134.77916641344439</c:v>
                </c:pt>
                <c:pt idx="71">
                  <c:v>134.79877384867163</c:v>
                </c:pt>
                <c:pt idx="72">
                  <c:v>134.81664037336895</c:v>
                </c:pt>
                <c:pt idx="73">
                  <c:v>134.83292055999516</c:v>
                </c:pt>
                <c:pt idx="74">
                  <c:v>134.8477552567856</c:v>
                </c:pt>
                <c:pt idx="75">
                  <c:v>134.86127280630251</c:v>
                </c:pt>
                <c:pt idx="76">
                  <c:v>134.87359015579224</c:v>
                </c:pt>
                <c:pt idx="77">
                  <c:v>134.88481386895586</c:v>
                </c:pt>
                <c:pt idx="78">
                  <c:v>134.89504104788617</c:v>
                </c:pt>
                <c:pt idx="79">
                  <c:v>134.90436017314781</c:v>
                </c:pt>
                <c:pt idx="80">
                  <c:v>134.91285186926794</c:v>
                </c:pt>
                <c:pt idx="81">
                  <c:v>134.92058960226024</c:v>
                </c:pt>
                <c:pt idx="82">
                  <c:v>134.92764031521716</c:v>
                </c:pt>
                <c:pt idx="83">
                  <c:v>134.9340650074688</c:v>
                </c:pt>
                <c:pt idx="84">
                  <c:v>134.93991926231939</c:v>
                </c:pt>
                <c:pt idx="85">
                  <c:v>134.94525372792694</c:v>
                </c:pt>
                <c:pt idx="86">
                  <c:v>134.95011455548649</c:v>
                </c:pt>
                <c:pt idx="87">
                  <c:v>134.95454379850761</c:v>
                </c:pt>
                <c:pt idx="88">
                  <c:v>134.95857977664093</c:v>
                </c:pt>
                <c:pt idx="89">
                  <c:v>134.96225740720101</c:v>
                </c:pt>
                <c:pt idx="90">
                  <c:v>134.96560850725402</c:v>
                </c:pt>
                <c:pt idx="91">
                  <c:v>134.96866206888342</c:v>
                </c:pt>
                <c:pt idx="92">
                  <c:v>134.97144451001526</c:v>
                </c:pt>
                <c:pt idx="93">
                  <c:v>134.97397990297333</c:v>
                </c:pt>
                <c:pt idx="94">
                  <c:v>134.97629018274105</c:v>
                </c:pt>
                <c:pt idx="95">
                  <c:v>134.97839533673238</c:v>
                </c:pt>
                <c:pt idx="96">
                  <c:v>134.98031357771299</c:v>
                </c:pt>
                <c:pt idx="97">
                  <c:v>134.98206150136838</c:v>
                </c:pt>
                <c:pt idx="98">
                  <c:v>134.98365422988167</c:v>
                </c:pt>
                <c:pt idx="99">
                  <c:v>134.98510554276314</c:v>
                </c:pt>
                <c:pt idx="100">
                  <c:v>134.98642799606418</c:v>
                </c:pt>
                <c:pt idx="101">
                  <c:v>134.98763303100574</c:v>
                </c:pt>
                <c:pt idx="102">
                  <c:v>134.98873107296257</c:v>
                </c:pt>
                <c:pt idx="103">
                  <c:v>134.98973162165814</c:v>
                </c:pt>
                <c:pt idx="104">
                  <c:v>134.99064333335184</c:v>
                </c:pt>
                <c:pt idx="105">
                  <c:v>134.99147409572865</c:v>
                </c:pt>
                <c:pt idx="106">
                  <c:v>134.99223109613953</c:v>
                </c:pt>
                <c:pt idx="107">
                  <c:v>134.9929208837828</c:v>
                </c:pt>
                <c:pt idx="108">
                  <c:v>134.99354942636486</c:v>
                </c:pt>
                <c:pt idx="109">
                  <c:v>134.99412216172954</c:v>
                </c:pt>
                <c:pt idx="110">
                  <c:v>134.99464404490394</c:v>
                </c:pt>
                <c:pt idx="111">
                  <c:v>134.99511959096677</c:v>
                </c:pt>
                <c:pt idx="112">
                  <c:v>134.99555291411065</c:v>
                </c:pt>
                <c:pt idx="113">
                  <c:v>134.9959477632361</c:v>
                </c:pt>
                <c:pt idx="114">
                  <c:v>134.99630755438523</c:v>
                </c:pt>
                <c:pt idx="115">
                  <c:v>134.99663540029559</c:v>
                </c:pt>
                <c:pt idx="116">
                  <c:v>134.9969341373301</c:v>
                </c:pt>
                <c:pt idx="117">
                  <c:v>134.99720635001594</c:v>
                </c:pt>
                <c:pt idx="118">
                  <c:v>134.99745439340447</c:v>
                </c:pt>
                <c:pt idx="119">
                  <c:v>134.99768041344612</c:v>
                </c:pt>
                <c:pt idx="120">
                  <c:v>134.99788636555613</c:v>
                </c:pt>
                <c:pt idx="121">
                  <c:v>134.99807403153167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CA-4CC9-8225-A21385D7BD8B}"/>
            </c:ext>
          </c:extLst>
        </c:ser>
        <c:ser>
          <c:idx val="1"/>
          <c:order val="1"/>
          <c:tx>
            <c:v>qe; Ur = 2,25 [V/c]</c:v>
          </c:tx>
          <c:spPr>
            <a:ln w="15875">
              <a:solidFill>
                <a:srgbClr val="00B0F0"/>
              </a:solidFill>
              <a:prstDash val="sysDash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rev.'!$DD$6:$DD$127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13.502044610705216</c:v>
                </c:pt>
                <c:pt idx="3">
                  <c:v>25.653680268303212</c:v>
                </c:pt>
                <c:pt idx="4">
                  <c:v>36.589968320405461</c:v>
                </c:pt>
                <c:pt idx="5">
                  <c:v>46.43246193432249</c:v>
                </c:pt>
                <c:pt idx="6">
                  <c:v>55.290557119678844</c:v>
                </c:pt>
                <c:pt idx="7">
                  <c:v>63.262708628305191</c:v>
                </c:pt>
                <c:pt idx="8">
                  <c:v>70.437524245725783</c:v>
                </c:pt>
                <c:pt idx="9">
                  <c:v>76.894749636924203</c:v>
                </c:pt>
                <c:pt idx="10">
                  <c:v>82.706154692616366</c:v>
                </c:pt>
                <c:pt idx="11">
                  <c:v>87.936331227472735</c:v>
                </c:pt>
                <c:pt idx="12">
                  <c:v>92.643410896436578</c:v>
                </c:pt>
                <c:pt idx="13">
                  <c:v>96.879711308537495</c:v>
                </c:pt>
                <c:pt idx="14">
                  <c:v>100.69231751953815</c:v>
                </c:pt>
                <c:pt idx="15">
                  <c:v>104.12360536650928</c:v>
                </c:pt>
                <c:pt idx="16">
                  <c:v>107.21171246102136</c:v>
                </c:pt>
                <c:pt idx="17">
                  <c:v>109.99096207588353</c:v>
                </c:pt>
                <c:pt idx="18">
                  <c:v>112.49224463678901</c:v>
                </c:pt>
                <c:pt idx="19">
                  <c:v>114.743361059018</c:v>
                </c:pt>
                <c:pt idx="20">
                  <c:v>116.76933174527049</c:v>
                </c:pt>
                <c:pt idx="21">
                  <c:v>118.59267467903587</c:v>
                </c:pt>
                <c:pt idx="22">
                  <c:v>120.23365570441372</c:v>
                </c:pt>
                <c:pt idx="23">
                  <c:v>121.71051377416217</c:v>
                </c:pt>
                <c:pt idx="24">
                  <c:v>123.03966366952969</c:v>
                </c:pt>
                <c:pt idx="25">
                  <c:v>124.23587844503373</c:v>
                </c:pt>
                <c:pt idx="26">
                  <c:v>125.31245362599824</c:v>
                </c:pt>
                <c:pt idx="27">
                  <c:v>126.28135498385045</c:v>
                </c:pt>
                <c:pt idx="28">
                  <c:v>127.1533515316501</c:v>
                </c:pt>
                <c:pt idx="29">
                  <c:v>127.93813521805144</c:v>
                </c:pt>
                <c:pt idx="30">
                  <c:v>128.64442865005617</c:v>
                </c:pt>
                <c:pt idx="31">
                  <c:v>129.2800820418596</c:v>
                </c:pt>
                <c:pt idx="32">
                  <c:v>129.85216046734394</c:v>
                </c:pt>
                <c:pt idx="33">
                  <c:v>130.36702238600077</c:v>
                </c:pt>
                <c:pt idx="34">
                  <c:v>130.83039031507201</c:v>
                </c:pt>
                <c:pt idx="35">
                  <c:v>131.24741443340628</c:v>
                </c:pt>
                <c:pt idx="36">
                  <c:v>131.62272982396655</c:v>
                </c:pt>
                <c:pt idx="37">
                  <c:v>131.96050799121994</c:v>
                </c:pt>
                <c:pt idx="38">
                  <c:v>132.26450322600832</c:v>
                </c:pt>
                <c:pt idx="39">
                  <c:v>132.53809433322962</c:v>
                </c:pt>
                <c:pt idx="40">
                  <c:v>132.78432218611911</c:v>
                </c:pt>
                <c:pt idx="41">
                  <c:v>133.0059235245337</c:v>
                </c:pt>
                <c:pt idx="42">
                  <c:v>133.20536137289594</c:v>
                </c:pt>
                <c:pt idx="43">
                  <c:v>133.38485241588302</c:v>
                </c:pt>
                <c:pt idx="44">
                  <c:v>133.54639163613206</c:v>
                </c:pt>
                <c:pt idx="45">
                  <c:v>133.69177448780198</c:v>
                </c:pt>
                <c:pt idx="46">
                  <c:v>133.82261685244316</c:v>
                </c:pt>
                <c:pt idx="47">
                  <c:v>133.94037299897801</c:v>
                </c:pt>
                <c:pt idx="48">
                  <c:v>134.04635174741139</c:v>
                </c:pt>
                <c:pt idx="49">
                  <c:v>134.14173101592527</c:v>
                </c:pt>
                <c:pt idx="50">
                  <c:v>134.22757091304351</c:v>
                </c:pt>
                <c:pt idx="51">
                  <c:v>134.30482552038197</c:v>
                </c:pt>
                <c:pt idx="52">
                  <c:v>134.37435349694513</c:v>
                </c:pt>
                <c:pt idx="53">
                  <c:v>134.43692762283237</c:v>
                </c:pt>
                <c:pt idx="54">
                  <c:v>134.49324338842922</c:v>
                </c:pt>
                <c:pt idx="55">
                  <c:v>134.54392672454921</c:v>
                </c:pt>
                <c:pt idx="56">
                  <c:v>134.58954095944466</c:v>
                </c:pt>
                <c:pt idx="57">
                  <c:v>134.63059308001093</c:v>
                </c:pt>
                <c:pt idx="58">
                  <c:v>134.66753936677532</c:v>
                </c:pt>
                <c:pt idx="59">
                  <c:v>134.70079046530202</c:v>
                </c:pt>
                <c:pt idx="60">
                  <c:v>134.73071595037936</c:v>
                </c:pt>
                <c:pt idx="61">
                  <c:v>134.75764843371957</c:v>
                </c:pt>
                <c:pt idx="62">
                  <c:v>134.78188726082618</c:v>
                </c:pt>
                <c:pt idx="63">
                  <c:v>134.80370183811868</c:v>
                </c:pt>
                <c:pt idx="64">
                  <c:v>134.8233346272944</c:v>
                </c:pt>
                <c:pt idx="65">
                  <c:v>134.84100384020874</c:v>
                </c:pt>
                <c:pt idx="66">
                  <c:v>134.85690586422677</c:v>
                </c:pt>
                <c:pt idx="67">
                  <c:v>134.87121744500263</c:v>
                </c:pt>
                <c:pt idx="68">
                  <c:v>134.88409765094823</c:v>
                </c:pt>
                <c:pt idx="69">
                  <c:v>134.89568964122512</c:v>
                </c:pt>
                <c:pt idx="70">
                  <c:v>134.90612225691061</c:v>
                </c:pt>
                <c:pt idx="71">
                  <c:v>134.91551145302276</c:v>
                </c:pt>
                <c:pt idx="72">
                  <c:v>134.92396158732188</c:v>
                </c:pt>
                <c:pt idx="73">
                  <c:v>134.93156658021155</c:v>
                </c:pt>
                <c:pt idx="74">
                  <c:v>134.93841095863266</c:v>
                </c:pt>
                <c:pt idx="75">
                  <c:v>134.94457079555173</c:v>
                </c:pt>
                <c:pt idx="76">
                  <c:v>134.95011455548649</c:v>
                </c:pt>
                <c:pt idx="77">
                  <c:v>134.95510385546612</c:v>
                </c:pt>
                <c:pt idx="78">
                  <c:v>134.95959414988346</c:v>
                </c:pt>
                <c:pt idx="79">
                  <c:v>134.96363534685241</c:v>
                </c:pt>
                <c:pt idx="80">
                  <c:v>134.96727236291946</c:v>
                </c:pt>
                <c:pt idx="81">
                  <c:v>134.97054562229624</c:v>
                </c:pt>
                <c:pt idx="82">
                  <c:v>134.97349150616094</c:v>
                </c:pt>
                <c:pt idx="83">
                  <c:v>134.97614275702301</c:v>
                </c:pt>
                <c:pt idx="84">
                  <c:v>134.97852884264495</c:v>
                </c:pt>
                <c:pt idx="85">
                  <c:v>134.98067628356682</c:v>
                </c:pt>
                <c:pt idx="86">
                  <c:v>134.98260894787293</c:v>
                </c:pt>
                <c:pt idx="87">
                  <c:v>134.98434831647774</c:v>
                </c:pt>
                <c:pt idx="88">
                  <c:v>134.98591372187886</c:v>
                </c:pt>
                <c:pt idx="89">
                  <c:v>134.98732256303137</c:v>
                </c:pt>
                <c:pt idx="90">
                  <c:v>134.98859049873136</c:v>
                </c:pt>
                <c:pt idx="91">
                  <c:v>134.98973162165814</c:v>
                </c:pt>
                <c:pt idx="92">
                  <c:v>134.99075861500964</c:v>
                </c:pt>
                <c:pt idx="93">
                  <c:v>134.9916828934719</c:v>
                </c:pt>
                <c:pt idx="94">
                  <c:v>134.99251473008948</c:v>
                </c:pt>
                <c:pt idx="95">
                  <c:v>134.99326337044693</c:v>
                </c:pt>
                <c:pt idx="96">
                  <c:v>134.99393713543026</c:v>
                </c:pt>
                <c:pt idx="97">
                  <c:v>134.99454351371094</c:v>
                </c:pt>
                <c:pt idx="98">
                  <c:v>134.99508924497977</c:v>
                </c:pt>
                <c:pt idx="99">
                  <c:v>134.99558039485646</c:v>
                </c:pt>
                <c:pt idx="100">
                  <c:v>134.99602242230691</c:v>
                </c:pt>
                <c:pt idx="101">
                  <c:v>134.99642024031769</c:v>
                </c:pt>
                <c:pt idx="102">
                  <c:v>134.99677827050235</c:v>
                </c:pt>
                <c:pt idx="103">
                  <c:v>134.99710049224603</c:v>
                </c:pt>
                <c:pt idx="104">
                  <c:v>134.99739048693525</c:v>
                </c:pt>
                <c:pt idx="105">
                  <c:v>134.9976514777635</c:v>
                </c:pt>
                <c:pt idx="106">
                  <c:v>134.99788636555613</c:v>
                </c:pt>
                <c:pt idx="107">
                  <c:v>134.99809776101208</c:v>
                </c:pt>
                <c:pt idx="108">
                  <c:v>134.99828801372078</c:v>
                </c:pt>
                <c:pt idx="109">
                  <c:v>134.99845923827718</c:v>
                </c:pt>
                <c:pt idx="110">
                  <c:v>134.99861333778472</c:v>
                </c:pt>
                <c:pt idx="111">
                  <c:v>134.9987520250076</c:v>
                </c:pt>
                <c:pt idx="112">
                  <c:v>134.99887684140776</c:v>
                </c:pt>
                <c:pt idx="113">
                  <c:v>134.99898917427751</c:v>
                </c:pt>
                <c:pt idx="114">
                  <c:v>134.99909027215898</c:v>
                </c:pt>
                <c:pt idx="115">
                  <c:v>134.99918125872114</c:v>
                </c:pt>
                <c:pt idx="116">
                  <c:v>134.9992631452491</c:v>
                </c:pt>
                <c:pt idx="117">
                  <c:v>134.99933684188403</c:v>
                </c:pt>
                <c:pt idx="118">
                  <c:v>134.99940316773936</c:v>
                </c:pt>
                <c:pt idx="119">
                  <c:v>134.9994628600046</c:v>
                </c:pt>
                <c:pt idx="120">
                  <c:v>134.99951658213925</c:v>
                </c:pt>
                <c:pt idx="121">
                  <c:v>134.99956493124682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CA-4CC9-8225-A21385D7BD8B}"/>
            </c:ext>
          </c:extLst>
        </c:ser>
        <c:ser>
          <c:idx val="2"/>
          <c:order val="2"/>
          <c:tx>
            <c:v>qe; Ur = 2,28 [V/c]</c:v>
          </c:tx>
          <c:spPr>
            <a:ln w="1587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rev.'!$DE$6:$DE$127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17.20991517185168</c:v>
                </c:pt>
                <c:pt idx="3">
                  <c:v>32.225895675389808</c:v>
                </c:pt>
                <c:pt idx="4">
                  <c:v>45.327626173831128</c:v>
                </c:pt>
                <c:pt idx="5">
                  <c:v>56.759136890919571</c:v>
                </c:pt>
                <c:pt idx="6">
                  <c:v>66.73334886928798</c:v>
                </c:pt>
                <c:pt idx="7">
                  <c:v>75.436039795406089</c:v>
                </c:pt>
                <c:pt idx="8">
                  <c:v>83.029304257780979</c:v>
                </c:pt>
                <c:pt idx="9">
                  <c:v>89.654572888489895</c:v>
                </c:pt>
                <c:pt idx="10">
                  <c:v>95.435246621974869</c:v>
                </c:pt>
                <c:pt idx="11">
                  <c:v>100.47899513627891</c:v>
                </c:pt>
                <c:pt idx="12">
                  <c:v>104.87976228703238</c:v>
                </c:pt>
                <c:pt idx="13">
                  <c:v>108.71951588700412</c:v>
                </c:pt>
                <c:pt idx="14">
                  <c:v>112.0697744222623</c:v>
                </c:pt>
                <c:pt idx="15">
                  <c:v>114.99293914125703</c:v>
                </c:pt>
                <c:pt idx="16">
                  <c:v>117.54345632804993</c:v>
                </c:pt>
                <c:pt idx="17">
                  <c:v>119.76883140796093</c:v>
                </c:pt>
                <c:pt idx="18">
                  <c:v>121.71051377416214</c:v>
                </c:pt>
                <c:pt idx="19">
                  <c:v>123.40466881582257</c:v>
                </c:pt>
                <c:pt idx="20">
                  <c:v>124.88285152744643</c:v>
                </c:pt>
                <c:pt idx="21">
                  <c:v>126.17259424591812</c:v>
                </c:pt>
                <c:pt idx="22">
                  <c:v>127.29791946232747</c:v>
                </c:pt>
                <c:pt idx="23">
                  <c:v>128.2797872601061</c:v>
                </c:pt>
                <c:pt idx="24">
                  <c:v>129.1364857133681</c:v>
                </c:pt>
                <c:pt idx="25">
                  <c:v>129.88397151693755</c:v>
                </c:pt>
                <c:pt idx="26">
                  <c:v>130.53616719256928</c:v>
                </c:pt>
                <c:pt idx="27">
                  <c:v>131.10522040706712</c:v>
                </c:pt>
                <c:pt idx="28">
                  <c:v>131.60173023230737</c:v>
                </c:pt>
                <c:pt idx="29">
                  <c:v>132.03494456144114</c:v>
                </c:pt>
                <c:pt idx="30">
                  <c:v>132.41293235831105</c:v>
                </c:pt>
                <c:pt idx="31">
                  <c:v>132.74273394836518</c:v>
                </c:pt>
                <c:pt idx="32">
                  <c:v>133.0304921503573</c:v>
                </c:pt>
                <c:pt idx="33">
                  <c:v>133.28156669126579</c:v>
                </c:pt>
                <c:pt idx="34">
                  <c:v>133.50063403550135</c:v>
                </c:pt>
                <c:pt idx="35">
                  <c:v>133.69177448780198</c:v>
                </c:pt>
                <c:pt idx="36">
                  <c:v>133.85854819217664</c:v>
                </c:pt>
                <c:pt idx="37">
                  <c:v>134.00406144243883</c:v>
                </c:pt>
                <c:pt idx="38">
                  <c:v>134.13102453941664</c:v>
                </c:pt>
                <c:pt idx="39">
                  <c:v>134.24180227247635</c:v>
                </c:pt>
                <c:pt idx="40">
                  <c:v>134.33845796561837</c:v>
                </c:pt>
                <c:pt idx="41">
                  <c:v>134.42279190853927</c:v>
                </c:pt>
                <c:pt idx="42">
                  <c:v>134.49637488846923</c:v>
                </c:pt>
                <c:pt idx="43">
                  <c:v>134.56057744734227</c:v>
                </c:pt>
                <c:pt idx="44">
                  <c:v>134.61659540923736</c:v>
                </c:pt>
                <c:pt idx="45">
                  <c:v>134.66547215355976</c:v>
                </c:pt>
                <c:pt idx="46">
                  <c:v>134.70811804881797</c:v>
                </c:pt>
                <c:pt idx="47">
                  <c:v>134.7453274089664</c:v>
                </c:pt>
                <c:pt idx="48">
                  <c:v>134.77779328813887</c:v>
                </c:pt>
                <c:pt idx="49">
                  <c:v>134.806120389337</c:v>
                </c:pt>
                <c:pt idx="50">
                  <c:v>134.83083632750782</c:v>
                </c:pt>
                <c:pt idx="51">
                  <c:v>134.85240145679487</c:v>
                </c:pt>
                <c:pt idx="52">
                  <c:v>134.87121744500263</c:v>
                </c:pt>
                <c:pt idx="53">
                  <c:v>134.88763475498129</c:v>
                </c:pt>
                <c:pt idx="54">
                  <c:v>134.90195917227786</c:v>
                </c:pt>
                <c:pt idx="55">
                  <c:v>134.91445750063693</c:v>
                </c:pt>
                <c:pt idx="56">
                  <c:v>134.92536253143416</c:v>
                </c:pt>
                <c:pt idx="57">
                  <c:v>134.93487737960203</c:v>
                </c:pt>
                <c:pt idx="58">
                  <c:v>134.94317926680807</c:v>
                </c:pt>
                <c:pt idx="59">
                  <c:v>134.95042282235056</c:v>
                </c:pt>
                <c:pt idx="60">
                  <c:v>134.95674296325285</c:v>
                </c:pt>
                <c:pt idx="61">
                  <c:v>134.96225740720101</c:v>
                </c:pt>
                <c:pt idx="62">
                  <c:v>134.96706886513016</c:v>
                </c:pt>
                <c:pt idx="63">
                  <c:v>134.97126695429776</c:v>
                </c:pt>
                <c:pt idx="64">
                  <c:v>134.97492986747673</c:v>
                </c:pt>
                <c:pt idx="65">
                  <c:v>134.97812582935876</c:v>
                </c:pt>
                <c:pt idx="66">
                  <c:v>134.98091436729351</c:v>
                </c:pt>
                <c:pt idx="67">
                  <c:v>134.98334742003337</c:v>
                </c:pt>
                <c:pt idx="68">
                  <c:v>134.98547030513424</c:v>
                </c:pt>
                <c:pt idx="69">
                  <c:v>134.98732256303137</c:v>
                </c:pt>
                <c:pt idx="70">
                  <c:v>134.98893869351156</c:v>
                </c:pt>
                <c:pt idx="71">
                  <c:v>134.99034879829938</c:v>
                </c:pt>
                <c:pt idx="72">
                  <c:v>134.99157914172585</c:v>
                </c:pt>
                <c:pt idx="73">
                  <c:v>134.99265263992268</c:v>
                </c:pt>
                <c:pt idx="74">
                  <c:v>134.99358928765355</c:v>
                </c:pt>
                <c:pt idx="75">
                  <c:v>134.99440653073262</c:v>
                </c:pt>
                <c:pt idx="76">
                  <c:v>134.99511959096677</c:v>
                </c:pt>
                <c:pt idx="77">
                  <c:v>134.99574174967393</c:v>
                </c:pt>
                <c:pt idx="78">
                  <c:v>134.99628459505828</c:v>
                </c:pt>
                <c:pt idx="79">
                  <c:v>134.99675823804998</c:v>
                </c:pt>
                <c:pt idx="80">
                  <c:v>134.99717150062898</c:v>
                </c:pt>
                <c:pt idx="81">
                  <c:v>134.99753208014187</c:v>
                </c:pt>
                <c:pt idx="82">
                  <c:v>134.99784669267083</c:v>
                </c:pt>
                <c:pt idx="83">
                  <c:v>134.9981211981262</c:v>
                </c:pt>
                <c:pt idx="84">
                  <c:v>134.9983607093919</c:v>
                </c:pt>
                <c:pt idx="85">
                  <c:v>134.99856968755714</c:v>
                </c:pt>
                <c:pt idx="86">
                  <c:v>134.9987520250076</c:v>
                </c:pt>
                <c:pt idx="87">
                  <c:v>134.99891111792431</c:v>
                </c:pt>
                <c:pt idx="88">
                  <c:v>134.99904992954026</c:v>
                </c:pt>
                <c:pt idx="89">
                  <c:v>134.99917104533301</c:v>
                </c:pt>
                <c:pt idx="90">
                  <c:v>134.99927672118116</c:v>
                </c:pt>
                <c:pt idx="91">
                  <c:v>134.99936892538204</c:v>
                </c:pt>
                <c:pt idx="92">
                  <c:v>134.99944937531271</c:v>
                </c:pt>
                <c:pt idx="93">
                  <c:v>134.9995195694176</c:v>
                </c:pt>
                <c:pt idx="94">
                  <c:v>134.99958081511812</c:v>
                </c:pt>
                <c:pt idx="95">
                  <c:v>134.99963425316449</c:v>
                </c:pt>
                <c:pt idx="96">
                  <c:v>134.99968087888311</c:v>
                </c:pt>
                <c:pt idx="97">
                  <c:v>134.99972156071533</c:v>
                </c:pt>
                <c:pt idx="98">
                  <c:v>134.99975705639287</c:v>
                </c:pt>
                <c:pt idx="99">
                  <c:v>134.99978802705118</c:v>
                </c:pt>
                <c:pt idx="100">
                  <c:v>134.99981504954354</c:v>
                </c:pt>
                <c:pt idx="101">
                  <c:v>134.99983862718551</c:v>
                </c:pt>
                <c:pt idx="102">
                  <c:v>134.99985919912956</c:v>
                </c:pt>
                <c:pt idx="103">
                  <c:v>134.99987714854467</c:v>
                </c:pt>
                <c:pt idx="104">
                  <c:v>134.99989280975299</c:v>
                </c:pt>
                <c:pt idx="105">
                  <c:v>134.99990647445713</c:v>
                </c:pt>
                <c:pt idx="106">
                  <c:v>134.99991839717313</c:v>
                </c:pt>
                <c:pt idx="107">
                  <c:v>134.99992879997112</c:v>
                </c:pt>
                <c:pt idx="108">
                  <c:v>134.99993787661154</c:v>
                </c:pt>
                <c:pt idx="109">
                  <c:v>134.99994579615409</c:v>
                </c:pt>
                <c:pt idx="110">
                  <c:v>134.9999527061066</c:v>
                </c:pt>
                <c:pt idx="111">
                  <c:v>134.9999587351725</c:v>
                </c:pt>
                <c:pt idx="112">
                  <c:v>134.9999639956479</c:v>
                </c:pt>
                <c:pt idx="113">
                  <c:v>134.99996858551341</c:v>
                </c:pt>
                <c:pt idx="114">
                  <c:v>134.99997259025898</c:v>
                </c:pt>
                <c:pt idx="115">
                  <c:v>134.99997608447615</c:v>
                </c:pt>
                <c:pt idx="116">
                  <c:v>134.99997913324754</c:v>
                </c:pt>
                <c:pt idx="117">
                  <c:v>134.99998179335893</c:v>
                </c:pt>
                <c:pt idx="118">
                  <c:v>134.99998411435706</c:v>
                </c:pt>
                <c:pt idx="119">
                  <c:v>134.99998613947238</c:v>
                </c:pt>
                <c:pt idx="120">
                  <c:v>134.99998790642428</c:v>
                </c:pt>
                <c:pt idx="121">
                  <c:v>134.99998944812361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CA-4CC9-8225-A21385D7BD8B}"/>
            </c:ext>
          </c:extLst>
        </c:ser>
        <c:ser>
          <c:idx val="3"/>
          <c:order val="3"/>
          <c:tx>
            <c:v>qE; Ur = 2,23 [V/c]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rev.'!$DF$6:$DF$127</c:f>
              <c:numCache>
                <c:formatCode>0.000</c:formatCode>
                <c:ptCount val="122"/>
                <c:pt idx="0">
                  <c:v>-42.705882352941202</c:v>
                </c:pt>
                <c:pt idx="1">
                  <c:v>-42.705882352941202</c:v>
                </c:pt>
                <c:pt idx="2">
                  <c:v>19.411764705882348</c:v>
                </c:pt>
                <c:pt idx="3">
                  <c:v>19.411764705882348</c:v>
                </c:pt>
                <c:pt idx="4">
                  <c:v>19.411764705882348</c:v>
                </c:pt>
                <c:pt idx="5">
                  <c:v>19.411764705882348</c:v>
                </c:pt>
                <c:pt idx="6">
                  <c:v>19.411764705882348</c:v>
                </c:pt>
                <c:pt idx="7">
                  <c:v>19.411764705882348</c:v>
                </c:pt>
                <c:pt idx="8">
                  <c:v>19.411764705882348</c:v>
                </c:pt>
                <c:pt idx="9">
                  <c:v>19.411764705882348</c:v>
                </c:pt>
                <c:pt idx="10">
                  <c:v>19.411764705882348</c:v>
                </c:pt>
                <c:pt idx="11">
                  <c:v>19.411764705882348</c:v>
                </c:pt>
                <c:pt idx="12">
                  <c:v>19.411764705882348</c:v>
                </c:pt>
                <c:pt idx="13">
                  <c:v>19.411764705882348</c:v>
                </c:pt>
                <c:pt idx="14">
                  <c:v>19.411764705882348</c:v>
                </c:pt>
                <c:pt idx="15">
                  <c:v>19.411764705882348</c:v>
                </c:pt>
                <c:pt idx="16">
                  <c:v>19.411764705882348</c:v>
                </c:pt>
                <c:pt idx="17">
                  <c:v>19.411764705882348</c:v>
                </c:pt>
                <c:pt idx="18">
                  <c:v>19.411764705882348</c:v>
                </c:pt>
                <c:pt idx="19">
                  <c:v>19.411764705882348</c:v>
                </c:pt>
                <c:pt idx="20">
                  <c:v>19.411764705882348</c:v>
                </c:pt>
                <c:pt idx="21">
                  <c:v>19.411764705882348</c:v>
                </c:pt>
                <c:pt idx="22">
                  <c:v>19.411764705882348</c:v>
                </c:pt>
                <c:pt idx="23">
                  <c:v>19.411764705882348</c:v>
                </c:pt>
                <c:pt idx="24">
                  <c:v>19.411764705882348</c:v>
                </c:pt>
                <c:pt idx="25">
                  <c:v>19.411764705882348</c:v>
                </c:pt>
                <c:pt idx="26">
                  <c:v>19.411764705882348</c:v>
                </c:pt>
                <c:pt idx="27">
                  <c:v>19.411764705882348</c:v>
                </c:pt>
                <c:pt idx="28">
                  <c:v>19.411764705882348</c:v>
                </c:pt>
                <c:pt idx="29">
                  <c:v>19.411764705882348</c:v>
                </c:pt>
                <c:pt idx="30">
                  <c:v>19.411764705882348</c:v>
                </c:pt>
                <c:pt idx="31">
                  <c:v>19.411764705882348</c:v>
                </c:pt>
                <c:pt idx="32">
                  <c:v>19.411764705882348</c:v>
                </c:pt>
                <c:pt idx="33">
                  <c:v>19.411764705882348</c:v>
                </c:pt>
                <c:pt idx="34">
                  <c:v>19.411764705882348</c:v>
                </c:pt>
                <c:pt idx="35">
                  <c:v>19.411764705882348</c:v>
                </c:pt>
                <c:pt idx="36">
                  <c:v>19.411764705882348</c:v>
                </c:pt>
                <c:pt idx="37">
                  <c:v>19.411764705882348</c:v>
                </c:pt>
                <c:pt idx="38">
                  <c:v>19.411764705882348</c:v>
                </c:pt>
                <c:pt idx="39">
                  <c:v>19.411764705882348</c:v>
                </c:pt>
                <c:pt idx="40">
                  <c:v>19.411764705882348</c:v>
                </c:pt>
                <c:pt idx="41">
                  <c:v>19.411764705882348</c:v>
                </c:pt>
                <c:pt idx="42">
                  <c:v>19.411764705882348</c:v>
                </c:pt>
                <c:pt idx="43">
                  <c:v>19.411764705882348</c:v>
                </c:pt>
                <c:pt idx="44">
                  <c:v>19.411764705882348</c:v>
                </c:pt>
                <c:pt idx="45">
                  <c:v>19.411764705882348</c:v>
                </c:pt>
                <c:pt idx="46">
                  <c:v>19.411764705882348</c:v>
                </c:pt>
                <c:pt idx="47">
                  <c:v>19.411764705882348</c:v>
                </c:pt>
                <c:pt idx="48">
                  <c:v>19.411764705882348</c:v>
                </c:pt>
                <c:pt idx="49">
                  <c:v>19.411764705882348</c:v>
                </c:pt>
                <c:pt idx="50">
                  <c:v>19.411764705882348</c:v>
                </c:pt>
                <c:pt idx="51">
                  <c:v>19.411764705882348</c:v>
                </c:pt>
                <c:pt idx="52">
                  <c:v>19.411764705882348</c:v>
                </c:pt>
                <c:pt idx="53">
                  <c:v>19.411764705882348</c:v>
                </c:pt>
                <c:pt idx="54">
                  <c:v>19.411764705882348</c:v>
                </c:pt>
                <c:pt idx="55">
                  <c:v>19.411764705882348</c:v>
                </c:pt>
                <c:pt idx="56">
                  <c:v>19.411764705882348</c:v>
                </c:pt>
                <c:pt idx="57">
                  <c:v>19.411764705882348</c:v>
                </c:pt>
                <c:pt idx="58">
                  <c:v>19.411764705882348</c:v>
                </c:pt>
                <c:pt idx="59">
                  <c:v>19.411764705882348</c:v>
                </c:pt>
                <c:pt idx="60">
                  <c:v>19.411764705882348</c:v>
                </c:pt>
                <c:pt idx="61">
                  <c:v>19.411764705882348</c:v>
                </c:pt>
                <c:pt idx="62">
                  <c:v>19.411764705882348</c:v>
                </c:pt>
                <c:pt idx="63">
                  <c:v>19.411764705882348</c:v>
                </c:pt>
                <c:pt idx="64">
                  <c:v>19.411764705882348</c:v>
                </c:pt>
                <c:pt idx="65">
                  <c:v>19.411764705882348</c:v>
                </c:pt>
                <c:pt idx="66">
                  <c:v>19.411764705882348</c:v>
                </c:pt>
                <c:pt idx="67">
                  <c:v>19.411764705882348</c:v>
                </c:pt>
                <c:pt idx="68">
                  <c:v>19.411764705882348</c:v>
                </c:pt>
                <c:pt idx="69">
                  <c:v>19.411764705882348</c:v>
                </c:pt>
                <c:pt idx="70">
                  <c:v>19.411764705882348</c:v>
                </c:pt>
                <c:pt idx="71">
                  <c:v>19.411764705882348</c:v>
                </c:pt>
                <c:pt idx="72">
                  <c:v>19.411764705882348</c:v>
                </c:pt>
                <c:pt idx="73">
                  <c:v>19.411764705882348</c:v>
                </c:pt>
                <c:pt idx="74">
                  <c:v>19.411764705882348</c:v>
                </c:pt>
                <c:pt idx="75">
                  <c:v>19.411764705882348</c:v>
                </c:pt>
                <c:pt idx="76">
                  <c:v>19.411764705882348</c:v>
                </c:pt>
                <c:pt idx="77">
                  <c:v>19.411764705882348</c:v>
                </c:pt>
                <c:pt idx="78">
                  <c:v>19.411764705882348</c:v>
                </c:pt>
                <c:pt idx="79">
                  <c:v>19.411764705882348</c:v>
                </c:pt>
                <c:pt idx="80">
                  <c:v>19.411764705882348</c:v>
                </c:pt>
                <c:pt idx="81">
                  <c:v>19.411764705882348</c:v>
                </c:pt>
                <c:pt idx="82">
                  <c:v>19.411764705882348</c:v>
                </c:pt>
                <c:pt idx="83">
                  <c:v>19.411764705882348</c:v>
                </c:pt>
                <c:pt idx="84">
                  <c:v>19.411764705882348</c:v>
                </c:pt>
                <c:pt idx="85">
                  <c:v>19.411764705882348</c:v>
                </c:pt>
                <c:pt idx="86">
                  <c:v>19.411764705882348</c:v>
                </c:pt>
                <c:pt idx="87">
                  <c:v>19.411764705882348</c:v>
                </c:pt>
                <c:pt idx="88">
                  <c:v>19.411764705882348</c:v>
                </c:pt>
                <c:pt idx="89">
                  <c:v>19.411764705882348</c:v>
                </c:pt>
                <c:pt idx="90">
                  <c:v>19.411764705882348</c:v>
                </c:pt>
                <c:pt idx="91">
                  <c:v>19.411764705882348</c:v>
                </c:pt>
                <c:pt idx="92">
                  <c:v>19.411764705882348</c:v>
                </c:pt>
                <c:pt idx="93">
                  <c:v>19.411764705882348</c:v>
                </c:pt>
                <c:pt idx="94">
                  <c:v>19.411764705882348</c:v>
                </c:pt>
                <c:pt idx="95">
                  <c:v>19.411764705882348</c:v>
                </c:pt>
                <c:pt idx="96">
                  <c:v>19.411764705882348</c:v>
                </c:pt>
                <c:pt idx="97">
                  <c:v>19.411764705882348</c:v>
                </c:pt>
                <c:pt idx="98">
                  <c:v>19.411764705882348</c:v>
                </c:pt>
                <c:pt idx="99">
                  <c:v>19.411764705882348</c:v>
                </c:pt>
                <c:pt idx="100">
                  <c:v>19.411764705882348</c:v>
                </c:pt>
                <c:pt idx="101">
                  <c:v>19.411764705882348</c:v>
                </c:pt>
                <c:pt idx="102">
                  <c:v>19.411764705882348</c:v>
                </c:pt>
                <c:pt idx="103">
                  <c:v>19.411764705882348</c:v>
                </c:pt>
                <c:pt idx="104">
                  <c:v>19.411764705882348</c:v>
                </c:pt>
                <c:pt idx="105">
                  <c:v>19.411764705882348</c:v>
                </c:pt>
                <c:pt idx="106">
                  <c:v>19.411764705882348</c:v>
                </c:pt>
                <c:pt idx="107">
                  <c:v>19.411764705882348</c:v>
                </c:pt>
                <c:pt idx="108">
                  <c:v>19.411764705882348</c:v>
                </c:pt>
                <c:pt idx="109">
                  <c:v>19.411764705882348</c:v>
                </c:pt>
                <c:pt idx="110">
                  <c:v>19.411764705882348</c:v>
                </c:pt>
                <c:pt idx="111">
                  <c:v>19.411764705882348</c:v>
                </c:pt>
                <c:pt idx="112">
                  <c:v>19.411764705882348</c:v>
                </c:pt>
                <c:pt idx="113">
                  <c:v>19.411764705882348</c:v>
                </c:pt>
                <c:pt idx="114">
                  <c:v>19.411764705882348</c:v>
                </c:pt>
                <c:pt idx="115">
                  <c:v>19.411764705882348</c:v>
                </c:pt>
                <c:pt idx="116">
                  <c:v>19.411764705882348</c:v>
                </c:pt>
                <c:pt idx="117">
                  <c:v>19.411764705882348</c:v>
                </c:pt>
                <c:pt idx="118">
                  <c:v>19.411764705882348</c:v>
                </c:pt>
                <c:pt idx="119">
                  <c:v>19.411764705882348</c:v>
                </c:pt>
                <c:pt idx="120">
                  <c:v>19.411764705882348</c:v>
                </c:pt>
                <c:pt idx="121">
                  <c:v>19.411764705882348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CA-4CC9-8225-A21385D7BD8B}"/>
            </c:ext>
          </c:extLst>
        </c:ser>
        <c:ser>
          <c:idx val="4"/>
          <c:order val="4"/>
          <c:tx>
            <c:v>QE; Ur = 2,25 [V/c]</c:v>
          </c:tx>
          <c:spPr>
            <a:ln w="15875">
              <a:solidFill>
                <a:srgbClr val="00B0F0"/>
              </a:solidFill>
              <a:prstDash val="dash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rev.'!$DG$6:$DG$127</c:f>
              <c:numCache>
                <c:formatCode>0.000</c:formatCode>
                <c:ptCount val="122"/>
                <c:pt idx="0">
                  <c:v>-42.705882352941202</c:v>
                </c:pt>
                <c:pt idx="1">
                  <c:v>-42.705882352941202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22</c:v>
                </c:pt>
                <c:pt idx="43">
                  <c:v>22</c:v>
                </c:pt>
                <c:pt idx="44">
                  <c:v>22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22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  <c:pt idx="117">
                  <c:v>22</c:v>
                </c:pt>
                <c:pt idx="118">
                  <c:v>22</c:v>
                </c:pt>
                <c:pt idx="119">
                  <c:v>22</c:v>
                </c:pt>
                <c:pt idx="120">
                  <c:v>22</c:v>
                </c:pt>
                <c:pt idx="121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1CA-4CC9-8225-A21385D7BD8B}"/>
            </c:ext>
          </c:extLst>
        </c:ser>
        <c:ser>
          <c:idx val="5"/>
          <c:order val="5"/>
          <c:tx>
            <c:v>qE; Ur = 2,28 [V/c]</c:v>
          </c:tx>
          <c:spPr>
            <a:ln w="1587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rev.'!$DH$6:$DH$127</c:f>
              <c:numCache>
                <c:formatCode>0.000</c:formatCode>
                <c:ptCount val="122"/>
                <c:pt idx="0">
                  <c:v>-42.705882352941202</c:v>
                </c:pt>
                <c:pt idx="1">
                  <c:v>-42.705882352941202</c:v>
                </c:pt>
                <c:pt idx="2">
                  <c:v>28.470588235294098</c:v>
                </c:pt>
                <c:pt idx="3">
                  <c:v>28.470588235294098</c:v>
                </c:pt>
                <c:pt idx="4">
                  <c:v>28.470588235294098</c:v>
                </c:pt>
                <c:pt idx="5">
                  <c:v>28.470588235294098</c:v>
                </c:pt>
                <c:pt idx="6">
                  <c:v>28.470588235294098</c:v>
                </c:pt>
                <c:pt idx="7">
                  <c:v>28.470588235294098</c:v>
                </c:pt>
                <c:pt idx="8">
                  <c:v>28.470588235294098</c:v>
                </c:pt>
                <c:pt idx="9">
                  <c:v>28.470588235294098</c:v>
                </c:pt>
                <c:pt idx="10">
                  <c:v>28.470588235294098</c:v>
                </c:pt>
                <c:pt idx="11">
                  <c:v>28.470588235294098</c:v>
                </c:pt>
                <c:pt idx="12">
                  <c:v>28.470588235294098</c:v>
                </c:pt>
                <c:pt idx="13">
                  <c:v>28.470588235294098</c:v>
                </c:pt>
                <c:pt idx="14">
                  <c:v>28.470588235294098</c:v>
                </c:pt>
                <c:pt idx="15">
                  <c:v>28.470588235294098</c:v>
                </c:pt>
                <c:pt idx="16">
                  <c:v>28.470588235294098</c:v>
                </c:pt>
                <c:pt idx="17">
                  <c:v>28.470588235294098</c:v>
                </c:pt>
                <c:pt idx="18">
                  <c:v>28.470588235294098</c:v>
                </c:pt>
                <c:pt idx="19">
                  <c:v>28.470588235294098</c:v>
                </c:pt>
                <c:pt idx="20">
                  <c:v>28.470588235294098</c:v>
                </c:pt>
                <c:pt idx="21">
                  <c:v>28.470588235294098</c:v>
                </c:pt>
                <c:pt idx="22">
                  <c:v>28.470588235294098</c:v>
                </c:pt>
                <c:pt idx="23">
                  <c:v>28.470588235294098</c:v>
                </c:pt>
                <c:pt idx="24">
                  <c:v>28.470588235294098</c:v>
                </c:pt>
                <c:pt idx="25">
                  <c:v>28.470588235294098</c:v>
                </c:pt>
                <c:pt idx="26">
                  <c:v>28.470588235294098</c:v>
                </c:pt>
                <c:pt idx="27">
                  <c:v>28.470588235294098</c:v>
                </c:pt>
                <c:pt idx="28">
                  <c:v>28.470588235294098</c:v>
                </c:pt>
                <c:pt idx="29">
                  <c:v>28.470588235294098</c:v>
                </c:pt>
                <c:pt idx="30">
                  <c:v>28.470588235294098</c:v>
                </c:pt>
                <c:pt idx="31">
                  <c:v>28.470588235294098</c:v>
                </c:pt>
                <c:pt idx="32">
                  <c:v>28.470588235294098</c:v>
                </c:pt>
                <c:pt idx="33">
                  <c:v>28.470588235294098</c:v>
                </c:pt>
                <c:pt idx="34">
                  <c:v>28.470588235294098</c:v>
                </c:pt>
                <c:pt idx="35">
                  <c:v>28.470588235294098</c:v>
                </c:pt>
                <c:pt idx="36">
                  <c:v>28.470588235294098</c:v>
                </c:pt>
                <c:pt idx="37">
                  <c:v>28.470588235294098</c:v>
                </c:pt>
                <c:pt idx="38">
                  <c:v>28.470588235294098</c:v>
                </c:pt>
                <c:pt idx="39">
                  <c:v>28.470588235294098</c:v>
                </c:pt>
                <c:pt idx="40">
                  <c:v>28.470588235294098</c:v>
                </c:pt>
                <c:pt idx="41">
                  <c:v>28.470588235294098</c:v>
                </c:pt>
                <c:pt idx="42">
                  <c:v>28.470588235294098</c:v>
                </c:pt>
                <c:pt idx="43">
                  <c:v>28.470588235294098</c:v>
                </c:pt>
                <c:pt idx="44">
                  <c:v>28.470588235294098</c:v>
                </c:pt>
                <c:pt idx="45">
                  <c:v>28.470588235294098</c:v>
                </c:pt>
                <c:pt idx="46">
                  <c:v>28.470588235294098</c:v>
                </c:pt>
                <c:pt idx="47">
                  <c:v>28.470588235294098</c:v>
                </c:pt>
                <c:pt idx="48">
                  <c:v>28.470588235294098</c:v>
                </c:pt>
                <c:pt idx="49">
                  <c:v>28.470588235294098</c:v>
                </c:pt>
                <c:pt idx="50">
                  <c:v>28.470588235294098</c:v>
                </c:pt>
                <c:pt idx="51">
                  <c:v>28.470588235294098</c:v>
                </c:pt>
                <c:pt idx="52">
                  <c:v>28.470588235294098</c:v>
                </c:pt>
                <c:pt idx="53">
                  <c:v>28.470588235294098</c:v>
                </c:pt>
                <c:pt idx="54">
                  <c:v>28.470588235294098</c:v>
                </c:pt>
                <c:pt idx="55">
                  <c:v>28.470588235294098</c:v>
                </c:pt>
                <c:pt idx="56">
                  <c:v>28.470588235294098</c:v>
                </c:pt>
                <c:pt idx="57">
                  <c:v>28.470588235294098</c:v>
                </c:pt>
                <c:pt idx="58">
                  <c:v>28.470588235294098</c:v>
                </c:pt>
                <c:pt idx="59">
                  <c:v>28.470588235294098</c:v>
                </c:pt>
                <c:pt idx="60">
                  <c:v>28.470588235294098</c:v>
                </c:pt>
                <c:pt idx="61">
                  <c:v>28.470588235294098</c:v>
                </c:pt>
                <c:pt idx="62">
                  <c:v>28.470588235294098</c:v>
                </c:pt>
                <c:pt idx="63">
                  <c:v>28.470588235294098</c:v>
                </c:pt>
                <c:pt idx="64">
                  <c:v>28.470588235294098</c:v>
                </c:pt>
                <c:pt idx="65">
                  <c:v>28.470588235294098</c:v>
                </c:pt>
                <c:pt idx="66">
                  <c:v>28.470588235294098</c:v>
                </c:pt>
                <c:pt idx="67">
                  <c:v>28.470588235294098</c:v>
                </c:pt>
                <c:pt idx="68">
                  <c:v>28.470588235294098</c:v>
                </c:pt>
                <c:pt idx="69">
                  <c:v>28.470588235294098</c:v>
                </c:pt>
                <c:pt idx="70">
                  <c:v>28.470588235294098</c:v>
                </c:pt>
                <c:pt idx="71">
                  <c:v>28.470588235294098</c:v>
                </c:pt>
                <c:pt idx="72">
                  <c:v>28.470588235294098</c:v>
                </c:pt>
                <c:pt idx="73">
                  <c:v>28.470588235294098</c:v>
                </c:pt>
                <c:pt idx="74">
                  <c:v>28.470588235294098</c:v>
                </c:pt>
                <c:pt idx="75">
                  <c:v>28.470588235294098</c:v>
                </c:pt>
                <c:pt idx="76">
                  <c:v>28.470588235294098</c:v>
                </c:pt>
                <c:pt idx="77">
                  <c:v>28.470588235294098</c:v>
                </c:pt>
                <c:pt idx="78">
                  <c:v>28.470588235294098</c:v>
                </c:pt>
                <c:pt idx="79">
                  <c:v>28.470588235294098</c:v>
                </c:pt>
                <c:pt idx="80">
                  <c:v>28.470588235294098</c:v>
                </c:pt>
                <c:pt idx="81">
                  <c:v>28.470588235294098</c:v>
                </c:pt>
                <c:pt idx="82">
                  <c:v>28.470588235294098</c:v>
                </c:pt>
                <c:pt idx="83">
                  <c:v>28.470588235294098</c:v>
                </c:pt>
                <c:pt idx="84">
                  <c:v>28.470588235294098</c:v>
                </c:pt>
                <c:pt idx="85">
                  <c:v>28.470588235294098</c:v>
                </c:pt>
                <c:pt idx="86">
                  <c:v>28.470588235294098</c:v>
                </c:pt>
                <c:pt idx="87">
                  <c:v>28.470588235294098</c:v>
                </c:pt>
                <c:pt idx="88">
                  <c:v>28.470588235294098</c:v>
                </c:pt>
                <c:pt idx="89">
                  <c:v>28.470588235294098</c:v>
                </c:pt>
                <c:pt idx="90">
                  <c:v>28.470588235294098</c:v>
                </c:pt>
                <c:pt idx="91">
                  <c:v>28.470588235294098</c:v>
                </c:pt>
                <c:pt idx="92">
                  <c:v>28.470588235294098</c:v>
                </c:pt>
                <c:pt idx="93">
                  <c:v>28.470588235294098</c:v>
                </c:pt>
                <c:pt idx="94">
                  <c:v>28.470588235294098</c:v>
                </c:pt>
                <c:pt idx="95">
                  <c:v>28.470588235294098</c:v>
                </c:pt>
                <c:pt idx="96">
                  <c:v>28.470588235294098</c:v>
                </c:pt>
                <c:pt idx="97">
                  <c:v>28.470588235294098</c:v>
                </c:pt>
                <c:pt idx="98">
                  <c:v>28.470588235294098</c:v>
                </c:pt>
                <c:pt idx="99">
                  <c:v>28.470588235294098</c:v>
                </c:pt>
                <c:pt idx="100">
                  <c:v>28.470588235294098</c:v>
                </c:pt>
                <c:pt idx="101">
                  <c:v>28.470588235294098</c:v>
                </c:pt>
                <c:pt idx="102">
                  <c:v>28.470588235294098</c:v>
                </c:pt>
                <c:pt idx="103">
                  <c:v>28.470588235294098</c:v>
                </c:pt>
                <c:pt idx="104">
                  <c:v>28.470588235294098</c:v>
                </c:pt>
                <c:pt idx="105">
                  <c:v>28.470588235294098</c:v>
                </c:pt>
                <c:pt idx="106">
                  <c:v>28.470588235294098</c:v>
                </c:pt>
                <c:pt idx="107">
                  <c:v>28.470588235294098</c:v>
                </c:pt>
                <c:pt idx="108">
                  <c:v>28.470588235294098</c:v>
                </c:pt>
                <c:pt idx="109">
                  <c:v>28.470588235294098</c:v>
                </c:pt>
                <c:pt idx="110">
                  <c:v>28.470588235294098</c:v>
                </c:pt>
                <c:pt idx="111">
                  <c:v>28.470588235294098</c:v>
                </c:pt>
                <c:pt idx="112">
                  <c:v>28.470588235294098</c:v>
                </c:pt>
                <c:pt idx="113">
                  <c:v>28.470588235294098</c:v>
                </c:pt>
                <c:pt idx="114">
                  <c:v>28.470588235294098</c:v>
                </c:pt>
                <c:pt idx="115">
                  <c:v>28.470588235294098</c:v>
                </c:pt>
                <c:pt idx="116">
                  <c:v>28.470588235294098</c:v>
                </c:pt>
                <c:pt idx="117">
                  <c:v>28.470588235294098</c:v>
                </c:pt>
                <c:pt idx="118">
                  <c:v>28.470588235294098</c:v>
                </c:pt>
                <c:pt idx="119">
                  <c:v>28.470588235294098</c:v>
                </c:pt>
                <c:pt idx="120">
                  <c:v>28.470588235294098</c:v>
                </c:pt>
                <c:pt idx="121">
                  <c:v>28.470588235294098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1CA-4CC9-8225-A21385D7BD8B}"/>
            </c:ext>
          </c:extLst>
        </c:ser>
        <c:ser>
          <c:idx val="6"/>
          <c:order val="6"/>
          <c:tx>
            <c:v>qr; Ur = 2,23 [V/c]</c:v>
          </c:tx>
          <c:spPr>
            <a:ln w="15875">
              <a:solidFill>
                <a:schemeClr val="tx1"/>
              </a:solidFill>
              <a:prstDash val="dashDot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rev.'!$DI$6:$DI$127</c:f>
              <c:numCache>
                <c:formatCode>0.000</c:formatCode>
                <c:ptCount val="122"/>
                <c:pt idx="0">
                  <c:v>-42.705882352941202</c:v>
                </c:pt>
                <c:pt idx="1">
                  <c:v>-42.705882352941202</c:v>
                </c:pt>
                <c:pt idx="2">
                  <c:v>31.398183062630586</c:v>
                </c:pt>
                <c:pt idx="3">
                  <c:v>42.320347900689995</c:v>
                </c:pt>
                <c:pt idx="4">
                  <c:v>52.272752463857962</c:v>
                </c:pt>
                <c:pt idx="5">
                  <c:v>61.341500102953759</c:v>
                </c:pt>
                <c:pt idx="6">
                  <c:v>69.605049200020119</c:v>
                </c:pt>
                <c:pt idx="7">
                  <c:v>77.134891951983022</c:v>
                </c:pt>
                <c:pt idx="8">
                  <c:v>83.996172886275133</c:v>
                </c:pt>
                <c:pt idx="9">
                  <c:v>90.248252459518326</c:v>
                </c:pt>
                <c:pt idx="10">
                  <c:v>95.945220615246157</c:v>
                </c:pt>
                <c:pt idx="11">
                  <c:v>101.13636474371751</c:v>
                </c:pt>
                <c:pt idx="12">
                  <c:v>105.86659609238119</c:v>
                </c:pt>
                <c:pt idx="13">
                  <c:v>110.1768383160872</c:v>
                </c:pt>
                <c:pt idx="14">
                  <c:v>114.10438152859123</c:v>
                </c:pt>
                <c:pt idx="15">
                  <c:v>117.68320491843396</c:v>
                </c:pt>
                <c:pt idx="16">
                  <c:v>120.94427072030949</c:v>
                </c:pt>
                <c:pt idx="17">
                  <c:v>123.91579208522083</c:v>
                </c:pt>
                <c:pt idx="18">
                  <c:v>126.6234771669037</c:v>
                </c:pt>
                <c:pt idx="19">
                  <c:v>129.09075153623564</c:v>
                </c:pt>
                <c:pt idx="20">
                  <c:v>131.3389608478513</c:v>
                </c:pt>
                <c:pt idx="21">
                  <c:v>133.38755551233692</c:v>
                </c:pt>
                <c:pt idx="22">
                  <c:v>135.25425897169714</c:v>
                </c:pt>
                <c:pt idx="23">
                  <c:v>136.95522103393228</c:v>
                </c:pt>
                <c:pt idx="24">
                  <c:v>138.50515759330148</c:v>
                </c:pt>
                <c:pt idx="25">
                  <c:v>139.91747794506313</c:v>
                </c:pt>
                <c:pt idx="26">
                  <c:v>141.20440079615832</c:v>
                </c:pt>
                <c:pt idx="27">
                  <c:v>142.37705997550478</c:v>
                </c:pt>
                <c:pt idx="28">
                  <c:v>143.44560075845473</c:v>
                </c:pt>
                <c:pt idx="29">
                  <c:v>144.41926763876995</c:v>
                </c:pt>
                <c:pt idx="30">
                  <c:v>145.30648430747357</c:v>
                </c:pt>
                <c:pt idx="31">
                  <c:v>146.11492653051675</c:v>
                </c:pt>
                <c:pt idx="32">
                  <c:v>146.85158855576248</c:v>
                </c:pt>
                <c:pt idx="33">
                  <c:v>147.52284362380726</c:v>
                </c:pt>
                <c:pt idx="34">
                  <c:v>148.13449910615077</c:v>
                </c:pt>
                <c:pt idx="35">
                  <c:v>148.69184674774195</c:v>
                </c:pt>
                <c:pt idx="36">
                  <c:v>149.19970844857562</c:v>
                </c:pt>
                <c:pt idx="37">
                  <c:v>149.66247798041996</c:v>
                </c:pt>
                <c:pt idx="38">
                  <c:v>150.08415899958695</c:v>
                </c:pt>
                <c:pt idx="39">
                  <c:v>150.46839968461441</c:v>
                </c:pt>
                <c:pt idx="40">
                  <c:v>150.81852429852762</c:v>
                </c:pt>
                <c:pt idx="41">
                  <c:v>151.1375619487419</c:v>
                </c:pt>
                <c:pt idx="42">
                  <c:v>151.42827279342268</c:v>
                </c:pt>
                <c:pt idx="43">
                  <c:v>151.69317192102798</c:v>
                </c:pt>
                <c:pt idx="44">
                  <c:v>151.93455110962725</c:v>
                </c:pt>
                <c:pt idx="45">
                  <c:v>152.15449865424753</c:v>
                </c:pt>
                <c:pt idx="46">
                  <c:v>152.35491743378367</c:v>
                </c:pt>
                <c:pt idx="47">
                  <c:v>152.53754137377859</c:v>
                </c:pt>
                <c:pt idx="48">
                  <c:v>152.70395044750134</c:v>
                </c:pt>
                <c:pt idx="49">
                  <c:v>152.85558434510563</c:v>
                </c:pt>
                <c:pt idx="50">
                  <c:v>152.99375492912654</c:v>
                </c:pt>
                <c:pt idx="51">
                  <c:v>153.11965758407584</c:v>
                </c:pt>
                <c:pt idx="52">
                  <c:v>153.23438155832551</c:v>
                </c:pt>
                <c:pt idx="53">
                  <c:v>153.33891938775366</c:v>
                </c:pt>
                <c:pt idx="54">
                  <c:v>153.43417548268084</c:v>
                </c:pt>
                <c:pt idx="55">
                  <c:v>153.52097395238707</c:v>
                </c:pt>
                <c:pt idx="56">
                  <c:v>153.6000657349035</c:v>
                </c:pt>
                <c:pt idx="57">
                  <c:v>153.67213509376199</c:v>
                </c:pt>
                <c:pt idx="58">
                  <c:v>153.73780553790948</c:v>
                </c:pt>
                <c:pt idx="59">
                  <c:v>153.79764521600347</c:v>
                </c:pt>
                <c:pt idx="60">
                  <c:v>153.85217183175698</c:v>
                </c:pt>
                <c:pt idx="61">
                  <c:v>153.90185712285862</c:v>
                </c:pt>
                <c:pt idx="62">
                  <c:v>153.94713094221714</c:v>
                </c:pt>
                <c:pt idx="63">
                  <c:v>153.98838497683909</c:v>
                </c:pt>
                <c:pt idx="64">
                  <c:v>154.02597613651375</c:v>
                </c:pt>
                <c:pt idx="65">
                  <c:v>154.06022964162264</c:v>
                </c:pt>
                <c:pt idx="66">
                  <c:v>154.09144183678771</c:v>
                </c:pt>
                <c:pt idx="67">
                  <c:v>154.11988275470031</c:v>
                </c:pt>
                <c:pt idx="68">
                  <c:v>154.14579845231256</c:v>
                </c:pt>
                <c:pt idx="69">
                  <c:v>154.16941313960191</c:v>
                </c:pt>
                <c:pt idx="70">
                  <c:v>154.19093111932673</c:v>
                </c:pt>
                <c:pt idx="71">
                  <c:v>154.21053855455398</c:v>
                </c:pt>
                <c:pt idx="72">
                  <c:v>154.2284050792513</c:v>
                </c:pt>
                <c:pt idx="73">
                  <c:v>154.24468526587751</c:v>
                </c:pt>
                <c:pt idx="74">
                  <c:v>154.25951996266795</c:v>
                </c:pt>
                <c:pt idx="75">
                  <c:v>154.27303751218486</c:v>
                </c:pt>
                <c:pt idx="76">
                  <c:v>154.28535486167459</c:v>
                </c:pt>
                <c:pt idx="77">
                  <c:v>154.29657857483821</c:v>
                </c:pt>
                <c:pt idx="78">
                  <c:v>154.30680575376851</c:v>
                </c:pt>
                <c:pt idx="79">
                  <c:v>154.31612487903016</c:v>
                </c:pt>
                <c:pt idx="80">
                  <c:v>154.32461657515029</c:v>
                </c:pt>
                <c:pt idx="81">
                  <c:v>154.33235430814258</c:v>
                </c:pt>
                <c:pt idx="82">
                  <c:v>154.33940502109951</c:v>
                </c:pt>
                <c:pt idx="83">
                  <c:v>154.34582971335115</c:v>
                </c:pt>
                <c:pt idx="84">
                  <c:v>154.35168396820174</c:v>
                </c:pt>
                <c:pt idx="85">
                  <c:v>154.35701843380929</c:v>
                </c:pt>
                <c:pt idx="86">
                  <c:v>154.36187926136884</c:v>
                </c:pt>
                <c:pt idx="87">
                  <c:v>154.36630850438996</c:v>
                </c:pt>
                <c:pt idx="88">
                  <c:v>154.37034448252328</c:v>
                </c:pt>
                <c:pt idx="89">
                  <c:v>154.37402211308336</c:v>
                </c:pt>
                <c:pt idx="90">
                  <c:v>154.37737321313637</c:v>
                </c:pt>
                <c:pt idx="91">
                  <c:v>154.38042677476577</c:v>
                </c:pt>
                <c:pt idx="92">
                  <c:v>154.38320921589761</c:v>
                </c:pt>
                <c:pt idx="93">
                  <c:v>154.38574460885567</c:v>
                </c:pt>
                <c:pt idx="94">
                  <c:v>154.3880548886234</c:v>
                </c:pt>
                <c:pt idx="95">
                  <c:v>154.39016004261472</c:v>
                </c:pt>
                <c:pt idx="96">
                  <c:v>154.39207828359534</c:v>
                </c:pt>
                <c:pt idx="97">
                  <c:v>154.39382620725073</c:v>
                </c:pt>
                <c:pt idx="98">
                  <c:v>154.39541893576401</c:v>
                </c:pt>
                <c:pt idx="99">
                  <c:v>154.39687024864548</c:v>
                </c:pt>
                <c:pt idx="100">
                  <c:v>154.39819270194653</c:v>
                </c:pt>
                <c:pt idx="101">
                  <c:v>154.39939773688809</c:v>
                </c:pt>
                <c:pt idx="102">
                  <c:v>154.40049577884491</c:v>
                </c:pt>
                <c:pt idx="103">
                  <c:v>154.40149632754049</c:v>
                </c:pt>
                <c:pt idx="104">
                  <c:v>154.40240803923419</c:v>
                </c:pt>
                <c:pt idx="105">
                  <c:v>154.403238801611</c:v>
                </c:pt>
                <c:pt idx="106">
                  <c:v>154.40399580202188</c:v>
                </c:pt>
                <c:pt idx="107">
                  <c:v>154.40468558966515</c:v>
                </c:pt>
                <c:pt idx="108">
                  <c:v>154.40531413224721</c:v>
                </c:pt>
                <c:pt idx="109">
                  <c:v>154.40588686761188</c:v>
                </c:pt>
                <c:pt idx="110">
                  <c:v>154.40640875078628</c:v>
                </c:pt>
                <c:pt idx="111">
                  <c:v>154.40688429684911</c:v>
                </c:pt>
                <c:pt idx="112">
                  <c:v>154.40731761999299</c:v>
                </c:pt>
                <c:pt idx="113">
                  <c:v>154.40771246911845</c:v>
                </c:pt>
                <c:pt idx="114">
                  <c:v>154.40807226026757</c:v>
                </c:pt>
                <c:pt idx="115">
                  <c:v>154.40840010617794</c:v>
                </c:pt>
                <c:pt idx="116">
                  <c:v>154.40869884321245</c:v>
                </c:pt>
                <c:pt idx="117">
                  <c:v>154.40897105589829</c:v>
                </c:pt>
                <c:pt idx="118">
                  <c:v>154.40921909928682</c:v>
                </c:pt>
                <c:pt idx="119">
                  <c:v>154.40944511932847</c:v>
                </c:pt>
                <c:pt idx="120">
                  <c:v>154.40965107143847</c:v>
                </c:pt>
                <c:pt idx="121">
                  <c:v>154.40983873741402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1CA-4CC9-8225-A21385D7BD8B}"/>
            </c:ext>
          </c:extLst>
        </c:ser>
        <c:ser>
          <c:idx val="7"/>
          <c:order val="7"/>
          <c:tx>
            <c:v>qr; Ur = 2,25 [V/c]</c:v>
          </c:tx>
          <c:spPr>
            <a:ln w="15875">
              <a:solidFill>
                <a:srgbClr val="00B0F0"/>
              </a:solidFill>
              <a:prstDash val="dashDot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rev.'!$DJ$6:$DJ$127</c:f>
              <c:numCache>
                <c:formatCode>0.000</c:formatCode>
                <c:ptCount val="122"/>
                <c:pt idx="0">
                  <c:v>-42.705882352941202</c:v>
                </c:pt>
                <c:pt idx="1">
                  <c:v>-42.705882352941202</c:v>
                </c:pt>
                <c:pt idx="2">
                  <c:v>35.502044610705212</c:v>
                </c:pt>
                <c:pt idx="3">
                  <c:v>47.653680268303212</c:v>
                </c:pt>
                <c:pt idx="4">
                  <c:v>58.589968320405461</c:v>
                </c:pt>
                <c:pt idx="5">
                  <c:v>68.43246193432249</c:v>
                </c:pt>
                <c:pt idx="6">
                  <c:v>77.290557119678851</c:v>
                </c:pt>
                <c:pt idx="7">
                  <c:v>85.262708628305191</c:v>
                </c:pt>
                <c:pt idx="8">
                  <c:v>92.437524245725783</c:v>
                </c:pt>
                <c:pt idx="9">
                  <c:v>98.894749636924203</c:v>
                </c:pt>
                <c:pt idx="10">
                  <c:v>104.70615469261637</c:v>
                </c:pt>
                <c:pt idx="11">
                  <c:v>109.93633122747273</c:v>
                </c:pt>
                <c:pt idx="12">
                  <c:v>114.64341089643658</c:v>
                </c:pt>
                <c:pt idx="13">
                  <c:v>118.87971130853749</c:v>
                </c:pt>
                <c:pt idx="14">
                  <c:v>122.69231751953815</c:v>
                </c:pt>
                <c:pt idx="15">
                  <c:v>126.12360536650928</c:v>
                </c:pt>
                <c:pt idx="16">
                  <c:v>129.21171246102136</c:v>
                </c:pt>
                <c:pt idx="17">
                  <c:v>131.99096207588354</c:v>
                </c:pt>
                <c:pt idx="18">
                  <c:v>134.492244636789</c:v>
                </c:pt>
                <c:pt idx="19">
                  <c:v>136.74336105901801</c:v>
                </c:pt>
                <c:pt idx="20">
                  <c:v>138.76933174527051</c:v>
                </c:pt>
                <c:pt idx="21">
                  <c:v>140.59267467903587</c:v>
                </c:pt>
                <c:pt idx="22">
                  <c:v>142.23365570441371</c:v>
                </c:pt>
                <c:pt idx="23">
                  <c:v>143.71051377416217</c:v>
                </c:pt>
                <c:pt idx="24">
                  <c:v>145.03966366952969</c:v>
                </c:pt>
                <c:pt idx="25">
                  <c:v>146.23587844503373</c:v>
                </c:pt>
                <c:pt idx="26">
                  <c:v>147.31245362599824</c:v>
                </c:pt>
                <c:pt idx="27">
                  <c:v>148.28135498385046</c:v>
                </c:pt>
                <c:pt idx="28">
                  <c:v>149.15335153165012</c:v>
                </c:pt>
                <c:pt idx="29">
                  <c:v>149.93813521805146</c:v>
                </c:pt>
                <c:pt idx="30">
                  <c:v>150.64442865005617</c:v>
                </c:pt>
                <c:pt idx="31">
                  <c:v>151.2800820418596</c:v>
                </c:pt>
                <c:pt idx="32">
                  <c:v>151.85216046734394</c:v>
                </c:pt>
                <c:pt idx="33">
                  <c:v>152.36702238600077</c:v>
                </c:pt>
                <c:pt idx="34">
                  <c:v>152.83039031507201</c:v>
                </c:pt>
                <c:pt idx="35">
                  <c:v>153.24741443340628</c:v>
                </c:pt>
                <c:pt idx="36">
                  <c:v>153.62272982396655</c:v>
                </c:pt>
                <c:pt idx="37">
                  <c:v>153.96050799121994</c:v>
                </c:pt>
                <c:pt idx="38">
                  <c:v>154.26450322600832</c:v>
                </c:pt>
                <c:pt idx="39">
                  <c:v>154.53809433322962</c:v>
                </c:pt>
                <c:pt idx="40">
                  <c:v>154.78432218611911</c:v>
                </c:pt>
                <c:pt idx="41">
                  <c:v>155.0059235245337</c:v>
                </c:pt>
                <c:pt idx="42">
                  <c:v>155.20536137289594</c:v>
                </c:pt>
                <c:pt idx="43">
                  <c:v>155.38485241588302</c:v>
                </c:pt>
                <c:pt idx="44">
                  <c:v>155.54639163613206</c:v>
                </c:pt>
                <c:pt idx="45">
                  <c:v>155.69177448780198</c:v>
                </c:pt>
                <c:pt idx="46">
                  <c:v>155.82261685244316</c:v>
                </c:pt>
                <c:pt idx="47">
                  <c:v>155.94037299897801</c:v>
                </c:pt>
                <c:pt idx="48">
                  <c:v>156.04635174741139</c:v>
                </c:pt>
                <c:pt idx="49">
                  <c:v>156.14173101592527</c:v>
                </c:pt>
                <c:pt idx="50">
                  <c:v>156.22757091304351</c:v>
                </c:pt>
                <c:pt idx="51">
                  <c:v>156.30482552038197</c:v>
                </c:pt>
                <c:pt idx="52">
                  <c:v>156.37435349694513</c:v>
                </c:pt>
                <c:pt idx="53">
                  <c:v>156.43692762283237</c:v>
                </c:pt>
                <c:pt idx="54">
                  <c:v>156.49324338842922</c:v>
                </c:pt>
                <c:pt idx="55">
                  <c:v>156.54392672454921</c:v>
                </c:pt>
                <c:pt idx="56">
                  <c:v>156.58954095944466</c:v>
                </c:pt>
                <c:pt idx="57">
                  <c:v>156.63059308001093</c:v>
                </c:pt>
                <c:pt idx="58">
                  <c:v>156.66753936677532</c:v>
                </c:pt>
                <c:pt idx="59">
                  <c:v>156.70079046530202</c:v>
                </c:pt>
                <c:pt idx="60">
                  <c:v>156.73071595037936</c:v>
                </c:pt>
                <c:pt idx="61">
                  <c:v>156.75764843371957</c:v>
                </c:pt>
                <c:pt idx="62">
                  <c:v>156.78188726082618</c:v>
                </c:pt>
                <c:pt idx="63">
                  <c:v>156.80370183811868</c:v>
                </c:pt>
                <c:pt idx="64">
                  <c:v>156.8233346272944</c:v>
                </c:pt>
                <c:pt idx="65">
                  <c:v>156.84100384020874</c:v>
                </c:pt>
                <c:pt idx="66">
                  <c:v>156.85690586422677</c:v>
                </c:pt>
                <c:pt idx="67">
                  <c:v>156.87121744500263</c:v>
                </c:pt>
                <c:pt idx="68">
                  <c:v>156.88409765094823</c:v>
                </c:pt>
                <c:pt idx="69">
                  <c:v>156.89568964122512</c:v>
                </c:pt>
                <c:pt idx="70">
                  <c:v>156.90612225691061</c:v>
                </c:pt>
                <c:pt idx="71">
                  <c:v>156.91551145302276</c:v>
                </c:pt>
                <c:pt idx="72">
                  <c:v>156.92396158732188</c:v>
                </c:pt>
                <c:pt idx="73">
                  <c:v>156.93156658021155</c:v>
                </c:pt>
                <c:pt idx="74">
                  <c:v>156.93841095863266</c:v>
                </c:pt>
                <c:pt idx="75">
                  <c:v>156.94457079555173</c:v>
                </c:pt>
                <c:pt idx="76">
                  <c:v>156.95011455548649</c:v>
                </c:pt>
                <c:pt idx="77">
                  <c:v>156.95510385546612</c:v>
                </c:pt>
                <c:pt idx="78">
                  <c:v>156.95959414988346</c:v>
                </c:pt>
                <c:pt idx="79">
                  <c:v>156.96363534685241</c:v>
                </c:pt>
                <c:pt idx="80">
                  <c:v>156.96727236291946</c:v>
                </c:pt>
                <c:pt idx="81">
                  <c:v>156.97054562229624</c:v>
                </c:pt>
                <c:pt idx="82">
                  <c:v>156.97349150616094</c:v>
                </c:pt>
                <c:pt idx="83">
                  <c:v>156.97614275702301</c:v>
                </c:pt>
                <c:pt idx="84">
                  <c:v>156.97852884264495</c:v>
                </c:pt>
                <c:pt idx="85">
                  <c:v>156.98067628356682</c:v>
                </c:pt>
                <c:pt idx="86">
                  <c:v>156.98260894787293</c:v>
                </c:pt>
                <c:pt idx="87">
                  <c:v>156.98434831647774</c:v>
                </c:pt>
                <c:pt idx="88">
                  <c:v>156.98591372187886</c:v>
                </c:pt>
                <c:pt idx="89">
                  <c:v>156.98732256303137</c:v>
                </c:pt>
                <c:pt idx="90">
                  <c:v>156.98859049873136</c:v>
                </c:pt>
                <c:pt idx="91">
                  <c:v>156.98973162165814</c:v>
                </c:pt>
                <c:pt idx="92">
                  <c:v>156.99075861500964</c:v>
                </c:pt>
                <c:pt idx="93">
                  <c:v>156.9916828934719</c:v>
                </c:pt>
                <c:pt idx="94">
                  <c:v>156.99251473008948</c:v>
                </c:pt>
                <c:pt idx="95">
                  <c:v>156.99326337044693</c:v>
                </c:pt>
                <c:pt idx="96">
                  <c:v>156.99393713543026</c:v>
                </c:pt>
                <c:pt idx="97">
                  <c:v>156.99454351371094</c:v>
                </c:pt>
                <c:pt idx="98">
                  <c:v>156.99508924497977</c:v>
                </c:pt>
                <c:pt idx="99">
                  <c:v>156.99558039485646</c:v>
                </c:pt>
                <c:pt idx="100">
                  <c:v>156.99602242230691</c:v>
                </c:pt>
                <c:pt idx="101">
                  <c:v>156.99642024031769</c:v>
                </c:pt>
                <c:pt idx="102">
                  <c:v>156.99677827050235</c:v>
                </c:pt>
                <c:pt idx="103">
                  <c:v>156.99710049224603</c:v>
                </c:pt>
                <c:pt idx="104">
                  <c:v>156.99739048693525</c:v>
                </c:pt>
                <c:pt idx="105">
                  <c:v>156.9976514777635</c:v>
                </c:pt>
                <c:pt idx="106">
                  <c:v>156.99788636555613</c:v>
                </c:pt>
                <c:pt idx="107">
                  <c:v>156.99809776101208</c:v>
                </c:pt>
                <c:pt idx="108">
                  <c:v>156.99828801372078</c:v>
                </c:pt>
                <c:pt idx="109">
                  <c:v>156.99845923827718</c:v>
                </c:pt>
                <c:pt idx="110">
                  <c:v>156.99861333778472</c:v>
                </c:pt>
                <c:pt idx="111">
                  <c:v>156.9987520250076</c:v>
                </c:pt>
                <c:pt idx="112">
                  <c:v>156.99887684140776</c:v>
                </c:pt>
                <c:pt idx="113">
                  <c:v>156.99898917427751</c:v>
                </c:pt>
                <c:pt idx="114">
                  <c:v>156.99909027215898</c:v>
                </c:pt>
                <c:pt idx="115">
                  <c:v>156.99918125872114</c:v>
                </c:pt>
                <c:pt idx="116">
                  <c:v>156.9992631452491</c:v>
                </c:pt>
                <c:pt idx="117">
                  <c:v>156.99933684188403</c:v>
                </c:pt>
                <c:pt idx="118">
                  <c:v>156.99940316773936</c:v>
                </c:pt>
                <c:pt idx="119">
                  <c:v>156.9994628600046</c:v>
                </c:pt>
                <c:pt idx="120">
                  <c:v>156.99951658213925</c:v>
                </c:pt>
                <c:pt idx="121">
                  <c:v>156.99956493124682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1CA-4CC9-8225-A21385D7BD8B}"/>
            </c:ext>
          </c:extLst>
        </c:ser>
        <c:ser>
          <c:idx val="8"/>
          <c:order val="8"/>
          <c:tx>
            <c:v>qr; Ur = 2,28 [V/c]</c:v>
          </c:tx>
          <c:spPr>
            <a:ln w="15875">
              <a:solidFill>
                <a:srgbClr val="FF0000"/>
              </a:solidFill>
              <a:prstDash val="dashDot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rev.'!$DK$6:$DK$127</c:f>
              <c:numCache>
                <c:formatCode>0.000</c:formatCode>
                <c:ptCount val="122"/>
                <c:pt idx="0">
                  <c:v>-42.705882352941202</c:v>
                </c:pt>
                <c:pt idx="1">
                  <c:v>-42.705882352941202</c:v>
                </c:pt>
                <c:pt idx="2">
                  <c:v>45.680503407145778</c:v>
                </c:pt>
                <c:pt idx="3">
                  <c:v>60.696483910683909</c:v>
                </c:pt>
                <c:pt idx="4">
                  <c:v>73.798214409125222</c:v>
                </c:pt>
                <c:pt idx="5">
                  <c:v>85.229725126213665</c:v>
                </c:pt>
                <c:pt idx="6">
                  <c:v>95.203937104582081</c:v>
                </c:pt>
                <c:pt idx="7">
                  <c:v>103.90662803070019</c:v>
                </c:pt>
                <c:pt idx="8">
                  <c:v>111.49989249307508</c:v>
                </c:pt>
                <c:pt idx="9">
                  <c:v>118.125161123784</c:v>
                </c:pt>
                <c:pt idx="10">
                  <c:v>123.90583485726897</c:v>
                </c:pt>
                <c:pt idx="11">
                  <c:v>128.949583371573</c:v>
                </c:pt>
                <c:pt idx="12">
                  <c:v>133.35035052232647</c:v>
                </c:pt>
                <c:pt idx="13">
                  <c:v>137.19010412229821</c:v>
                </c:pt>
                <c:pt idx="14">
                  <c:v>140.54036265755639</c:v>
                </c:pt>
                <c:pt idx="15">
                  <c:v>143.46352737655113</c:v>
                </c:pt>
                <c:pt idx="16">
                  <c:v>146.01404456334402</c:v>
                </c:pt>
                <c:pt idx="17">
                  <c:v>148.23941964325502</c:v>
                </c:pt>
                <c:pt idx="18">
                  <c:v>150.18110200945623</c:v>
                </c:pt>
                <c:pt idx="19">
                  <c:v>151.87525705111668</c:v>
                </c:pt>
                <c:pt idx="20">
                  <c:v>153.35343976274052</c:v>
                </c:pt>
                <c:pt idx="21">
                  <c:v>154.64318248121222</c:v>
                </c:pt>
                <c:pt idx="22">
                  <c:v>155.76850769762157</c:v>
                </c:pt>
                <c:pt idx="23">
                  <c:v>156.75037549540019</c:v>
                </c:pt>
                <c:pt idx="24">
                  <c:v>157.60707394866219</c:v>
                </c:pt>
                <c:pt idx="25">
                  <c:v>158.35455975223164</c:v>
                </c:pt>
                <c:pt idx="26">
                  <c:v>159.00675542786337</c:v>
                </c:pt>
                <c:pt idx="27">
                  <c:v>159.57580864236121</c:v>
                </c:pt>
                <c:pt idx="28">
                  <c:v>160.07231846760146</c:v>
                </c:pt>
                <c:pt idx="29">
                  <c:v>160.50553279673522</c:v>
                </c:pt>
                <c:pt idx="30">
                  <c:v>160.88352059360514</c:v>
                </c:pt>
                <c:pt idx="31">
                  <c:v>161.21332218365927</c:v>
                </c:pt>
                <c:pt idx="32">
                  <c:v>161.50108038565139</c:v>
                </c:pt>
                <c:pt idx="33">
                  <c:v>161.75215492655988</c:v>
                </c:pt>
                <c:pt idx="34">
                  <c:v>161.97122227079544</c:v>
                </c:pt>
                <c:pt idx="35">
                  <c:v>162.16236272309607</c:v>
                </c:pt>
                <c:pt idx="36">
                  <c:v>162.32913642747073</c:v>
                </c:pt>
                <c:pt idx="37">
                  <c:v>162.47464967773291</c:v>
                </c:pt>
                <c:pt idx="38">
                  <c:v>162.60161277471073</c:v>
                </c:pt>
                <c:pt idx="39">
                  <c:v>162.71239050777044</c:v>
                </c:pt>
                <c:pt idx="40">
                  <c:v>162.80904620091246</c:v>
                </c:pt>
                <c:pt idx="41">
                  <c:v>162.89338014383335</c:v>
                </c:pt>
                <c:pt idx="42">
                  <c:v>162.96696312376332</c:v>
                </c:pt>
                <c:pt idx="43">
                  <c:v>163.03116568263636</c:v>
                </c:pt>
                <c:pt idx="44">
                  <c:v>163.08718364453145</c:v>
                </c:pt>
                <c:pt idx="45">
                  <c:v>163.13606038885385</c:v>
                </c:pt>
                <c:pt idx="46">
                  <c:v>163.17870628411205</c:v>
                </c:pt>
                <c:pt idx="47">
                  <c:v>163.21591564426049</c:v>
                </c:pt>
                <c:pt idx="48">
                  <c:v>163.24838152343295</c:v>
                </c:pt>
                <c:pt idx="49">
                  <c:v>163.27670862463108</c:v>
                </c:pt>
                <c:pt idx="50">
                  <c:v>163.30142456280191</c:v>
                </c:pt>
                <c:pt idx="51">
                  <c:v>163.32298969208895</c:v>
                </c:pt>
                <c:pt idx="52">
                  <c:v>163.34180568029672</c:v>
                </c:pt>
                <c:pt idx="53">
                  <c:v>163.35822299027538</c:v>
                </c:pt>
                <c:pt idx="54">
                  <c:v>163.37254740757194</c:v>
                </c:pt>
                <c:pt idx="55">
                  <c:v>163.38504573593102</c:v>
                </c:pt>
                <c:pt idx="56">
                  <c:v>163.39595076672825</c:v>
                </c:pt>
                <c:pt idx="57">
                  <c:v>163.40546561489612</c:v>
                </c:pt>
                <c:pt idx="58">
                  <c:v>163.41376750210216</c:v>
                </c:pt>
                <c:pt idx="59">
                  <c:v>163.42101105764465</c:v>
                </c:pt>
                <c:pt idx="60">
                  <c:v>163.42733119854694</c:v>
                </c:pt>
                <c:pt idx="61">
                  <c:v>163.4328456424951</c:v>
                </c:pt>
                <c:pt idx="62">
                  <c:v>163.43765710042425</c:v>
                </c:pt>
                <c:pt idx="63">
                  <c:v>163.44185518959185</c:v>
                </c:pt>
                <c:pt idx="64">
                  <c:v>163.44551810277082</c:v>
                </c:pt>
                <c:pt idx="65">
                  <c:v>163.44871406465285</c:v>
                </c:pt>
                <c:pt idx="66">
                  <c:v>163.4515026025876</c:v>
                </c:pt>
                <c:pt idx="67">
                  <c:v>163.45393565532746</c:v>
                </c:pt>
                <c:pt idx="68">
                  <c:v>163.45605854042833</c:v>
                </c:pt>
                <c:pt idx="69">
                  <c:v>163.45791079832546</c:v>
                </c:pt>
                <c:pt idx="70">
                  <c:v>163.45952692880564</c:v>
                </c:pt>
                <c:pt idx="71">
                  <c:v>163.46093703359347</c:v>
                </c:pt>
                <c:pt idx="72">
                  <c:v>163.46216737701994</c:v>
                </c:pt>
                <c:pt idx="73">
                  <c:v>163.46324087521677</c:v>
                </c:pt>
                <c:pt idx="74">
                  <c:v>163.46417752294764</c:v>
                </c:pt>
                <c:pt idx="75">
                  <c:v>163.46499476602671</c:v>
                </c:pt>
                <c:pt idx="76">
                  <c:v>163.46570782626085</c:v>
                </c:pt>
                <c:pt idx="77">
                  <c:v>163.46632998496801</c:v>
                </c:pt>
                <c:pt idx="78">
                  <c:v>163.46687283035237</c:v>
                </c:pt>
                <c:pt idx="79">
                  <c:v>163.46734647334407</c:v>
                </c:pt>
                <c:pt idx="80">
                  <c:v>163.46775973592307</c:v>
                </c:pt>
                <c:pt idx="81">
                  <c:v>163.46812031543595</c:v>
                </c:pt>
                <c:pt idx="82">
                  <c:v>163.46843492796492</c:v>
                </c:pt>
                <c:pt idx="83">
                  <c:v>163.46870943342029</c:v>
                </c:pt>
                <c:pt idx="84">
                  <c:v>163.46894894468599</c:v>
                </c:pt>
                <c:pt idx="85">
                  <c:v>163.46915792285122</c:v>
                </c:pt>
                <c:pt idx="86">
                  <c:v>163.46934026030169</c:v>
                </c:pt>
                <c:pt idx="87">
                  <c:v>163.4694993532184</c:v>
                </c:pt>
                <c:pt idx="88">
                  <c:v>163.46963816483435</c:v>
                </c:pt>
                <c:pt idx="89">
                  <c:v>163.4697592806271</c:v>
                </c:pt>
                <c:pt idx="90">
                  <c:v>163.46986495647525</c:v>
                </c:pt>
                <c:pt idx="91">
                  <c:v>163.46995716067613</c:v>
                </c:pt>
                <c:pt idx="92">
                  <c:v>163.47003761060679</c:v>
                </c:pt>
                <c:pt idx="93">
                  <c:v>163.47010780471169</c:v>
                </c:pt>
                <c:pt idx="94">
                  <c:v>163.47016905041221</c:v>
                </c:pt>
                <c:pt idx="95">
                  <c:v>163.47022248845857</c:v>
                </c:pt>
                <c:pt idx="96">
                  <c:v>163.4702691141772</c:v>
                </c:pt>
                <c:pt idx="97">
                  <c:v>163.47030979600942</c:v>
                </c:pt>
                <c:pt idx="98">
                  <c:v>163.47034529168695</c:v>
                </c:pt>
                <c:pt idx="99">
                  <c:v>163.47037626234527</c:v>
                </c:pt>
                <c:pt idx="100">
                  <c:v>163.47040328483763</c:v>
                </c:pt>
                <c:pt idx="101">
                  <c:v>163.4704268624796</c:v>
                </c:pt>
                <c:pt idx="102">
                  <c:v>163.47044743442365</c:v>
                </c:pt>
                <c:pt idx="103">
                  <c:v>163.47046538383876</c:v>
                </c:pt>
                <c:pt idx="104">
                  <c:v>163.47048104504708</c:v>
                </c:pt>
                <c:pt idx="105">
                  <c:v>163.47049470975122</c:v>
                </c:pt>
                <c:pt idx="106">
                  <c:v>163.47050663246722</c:v>
                </c:pt>
                <c:pt idx="107">
                  <c:v>163.4705170352652</c:v>
                </c:pt>
                <c:pt idx="108">
                  <c:v>163.47052611190563</c:v>
                </c:pt>
                <c:pt idx="109">
                  <c:v>163.47053403144818</c:v>
                </c:pt>
                <c:pt idx="110">
                  <c:v>163.47054094140069</c:v>
                </c:pt>
                <c:pt idx="111">
                  <c:v>163.47054697046659</c:v>
                </c:pt>
                <c:pt idx="112">
                  <c:v>163.47055223094199</c:v>
                </c:pt>
                <c:pt idx="113">
                  <c:v>163.4705568208075</c:v>
                </c:pt>
                <c:pt idx="114">
                  <c:v>163.47056082555306</c:v>
                </c:pt>
                <c:pt idx="115">
                  <c:v>163.47056431977023</c:v>
                </c:pt>
                <c:pt idx="116">
                  <c:v>163.47056736854162</c:v>
                </c:pt>
                <c:pt idx="117">
                  <c:v>163.47057002865301</c:v>
                </c:pt>
                <c:pt idx="118">
                  <c:v>163.47057234965115</c:v>
                </c:pt>
                <c:pt idx="119">
                  <c:v>163.47057437476647</c:v>
                </c:pt>
                <c:pt idx="120">
                  <c:v>163.47057614171837</c:v>
                </c:pt>
                <c:pt idx="121">
                  <c:v>163.4705776834177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1CA-4CC9-8225-A21385D7BD8B}"/>
            </c:ext>
          </c:extLst>
        </c:ser>
        <c:ser>
          <c:idx val="9"/>
          <c:order val="9"/>
          <c:tx>
            <c:v>qr contr.; 2,23 [V/c]</c:v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rev.'!$DL$6:$DL$127</c:f>
              <c:numCache>
                <c:formatCode>0.000</c:formatCode>
                <c:ptCount val="122"/>
                <c:pt idx="0">
                  <c:v>-42.705882352941202</c:v>
                </c:pt>
                <c:pt idx="1">
                  <c:v>-42.705882352941202</c:v>
                </c:pt>
                <c:pt idx="2">
                  <c:v>-37.705882352941202</c:v>
                </c:pt>
                <c:pt idx="3">
                  <c:v>-32.705882352941202</c:v>
                </c:pt>
                <c:pt idx="4">
                  <c:v>-27.705882352941202</c:v>
                </c:pt>
                <c:pt idx="5">
                  <c:v>-22.705882352941202</c:v>
                </c:pt>
                <c:pt idx="6">
                  <c:v>-17.705882352941202</c:v>
                </c:pt>
                <c:pt idx="7">
                  <c:v>-12.705882352941199</c:v>
                </c:pt>
                <c:pt idx="8">
                  <c:v>-7.7058823529412059</c:v>
                </c:pt>
                <c:pt idx="9">
                  <c:v>-2.7058823529412015</c:v>
                </c:pt>
                <c:pt idx="10">
                  <c:v>2.2941176470587914</c:v>
                </c:pt>
                <c:pt idx="11">
                  <c:v>7.2941176470587958</c:v>
                </c:pt>
                <c:pt idx="12">
                  <c:v>12.294117647058789</c:v>
                </c:pt>
                <c:pt idx="13">
                  <c:v>17.294117647058805</c:v>
                </c:pt>
                <c:pt idx="14">
                  <c:v>22.294117647058798</c:v>
                </c:pt>
                <c:pt idx="15">
                  <c:v>27.294117647058791</c:v>
                </c:pt>
                <c:pt idx="16">
                  <c:v>32.294117647058798</c:v>
                </c:pt>
                <c:pt idx="17">
                  <c:v>37.294117647058805</c:v>
                </c:pt>
                <c:pt idx="18">
                  <c:v>42.294117647058798</c:v>
                </c:pt>
                <c:pt idx="19">
                  <c:v>47.294117647058791</c:v>
                </c:pt>
                <c:pt idx="20">
                  <c:v>52.294117647058798</c:v>
                </c:pt>
                <c:pt idx="21">
                  <c:v>57.294117647058805</c:v>
                </c:pt>
                <c:pt idx="22">
                  <c:v>62.294117647058783</c:v>
                </c:pt>
                <c:pt idx="23">
                  <c:v>67.294117647058783</c:v>
                </c:pt>
                <c:pt idx="24">
                  <c:v>72.294117647058812</c:v>
                </c:pt>
                <c:pt idx="25">
                  <c:v>77.294117647058812</c:v>
                </c:pt>
                <c:pt idx="26">
                  <c:v>82.294117647058798</c:v>
                </c:pt>
                <c:pt idx="27">
                  <c:v>87.294117647058798</c:v>
                </c:pt>
                <c:pt idx="28">
                  <c:v>92.294117647058798</c:v>
                </c:pt>
                <c:pt idx="29">
                  <c:v>97.294117647058783</c:v>
                </c:pt>
                <c:pt idx="30">
                  <c:v>102.29411764705878</c:v>
                </c:pt>
                <c:pt idx="31">
                  <c:v>107.29411764705878</c:v>
                </c:pt>
                <c:pt idx="32">
                  <c:v>112.29411764705881</c:v>
                </c:pt>
                <c:pt idx="33">
                  <c:v>117.2941176470588</c:v>
                </c:pt>
                <c:pt idx="34">
                  <c:v>122.2941176470588</c:v>
                </c:pt>
                <c:pt idx="35">
                  <c:v>127.29411764705878</c:v>
                </c:pt>
                <c:pt idx="36">
                  <c:v>132.29411764705878</c:v>
                </c:pt>
                <c:pt idx="37">
                  <c:v>137.29411764705875</c:v>
                </c:pt>
                <c:pt idx="38">
                  <c:v>142.29411764705878</c:v>
                </c:pt>
                <c:pt idx="39">
                  <c:v>147.29411764705875</c:v>
                </c:pt>
                <c:pt idx="40">
                  <c:v>150.81852429852762</c:v>
                </c:pt>
                <c:pt idx="41">
                  <c:v>151.1375619487419</c:v>
                </c:pt>
                <c:pt idx="42">
                  <c:v>151.42827279342268</c:v>
                </c:pt>
                <c:pt idx="43">
                  <c:v>151.69317192102798</c:v>
                </c:pt>
                <c:pt idx="44">
                  <c:v>151.93455110962725</c:v>
                </c:pt>
                <c:pt idx="45">
                  <c:v>152.15449865424753</c:v>
                </c:pt>
                <c:pt idx="46">
                  <c:v>152.35491743378367</c:v>
                </c:pt>
                <c:pt idx="47">
                  <c:v>152.53754137377859</c:v>
                </c:pt>
                <c:pt idx="48">
                  <c:v>152.70395044750134</c:v>
                </c:pt>
                <c:pt idx="49">
                  <c:v>152.85558434510563</c:v>
                </c:pt>
                <c:pt idx="50">
                  <c:v>152.99375492912654</c:v>
                </c:pt>
                <c:pt idx="51">
                  <c:v>153.11965758407584</c:v>
                </c:pt>
                <c:pt idx="52">
                  <c:v>153.23438155832551</c:v>
                </c:pt>
                <c:pt idx="53">
                  <c:v>153.33891938775366</c:v>
                </c:pt>
                <c:pt idx="54">
                  <c:v>153.43417548268084</c:v>
                </c:pt>
                <c:pt idx="55">
                  <c:v>153.52097395238707</c:v>
                </c:pt>
                <c:pt idx="56">
                  <c:v>153.6000657349035</c:v>
                </c:pt>
                <c:pt idx="57">
                  <c:v>153.67213509376199</c:v>
                </c:pt>
                <c:pt idx="58">
                  <c:v>153.73780553790948</c:v>
                </c:pt>
                <c:pt idx="59">
                  <c:v>153.79764521600347</c:v>
                </c:pt>
                <c:pt idx="60">
                  <c:v>153.85217183175698</c:v>
                </c:pt>
                <c:pt idx="61">
                  <c:v>153.90185712285862</c:v>
                </c:pt>
                <c:pt idx="62">
                  <c:v>153.94713094221714</c:v>
                </c:pt>
                <c:pt idx="63">
                  <c:v>153.98838497683909</c:v>
                </c:pt>
                <c:pt idx="64">
                  <c:v>154.02597613651375</c:v>
                </c:pt>
                <c:pt idx="65">
                  <c:v>154.06022964162264</c:v>
                </c:pt>
                <c:pt idx="66">
                  <c:v>154.09144183678771</c:v>
                </c:pt>
                <c:pt idx="67">
                  <c:v>154.11988275470031</c:v>
                </c:pt>
                <c:pt idx="68">
                  <c:v>154.14579845231256</c:v>
                </c:pt>
                <c:pt idx="69">
                  <c:v>154.16941313960191</c:v>
                </c:pt>
                <c:pt idx="70">
                  <c:v>154.19093111932673</c:v>
                </c:pt>
                <c:pt idx="71">
                  <c:v>154.21053855455398</c:v>
                </c:pt>
                <c:pt idx="72">
                  <c:v>154.2284050792513</c:v>
                </c:pt>
                <c:pt idx="73">
                  <c:v>154.24468526587751</c:v>
                </c:pt>
                <c:pt idx="74">
                  <c:v>154.25951996266795</c:v>
                </c:pt>
                <c:pt idx="75">
                  <c:v>154.27303751218486</c:v>
                </c:pt>
                <c:pt idx="76">
                  <c:v>154.28535486167459</c:v>
                </c:pt>
                <c:pt idx="77">
                  <c:v>154.29657857483821</c:v>
                </c:pt>
                <c:pt idx="78">
                  <c:v>154.30680575376851</c:v>
                </c:pt>
                <c:pt idx="79">
                  <c:v>154.31612487903016</c:v>
                </c:pt>
                <c:pt idx="80">
                  <c:v>154.32461657515029</c:v>
                </c:pt>
                <c:pt idx="81">
                  <c:v>154.33235430814258</c:v>
                </c:pt>
                <c:pt idx="82">
                  <c:v>154.33940502109951</c:v>
                </c:pt>
                <c:pt idx="83">
                  <c:v>154.34582971335115</c:v>
                </c:pt>
                <c:pt idx="84">
                  <c:v>154.35168396820174</c:v>
                </c:pt>
                <c:pt idx="85">
                  <c:v>154.35701843380929</c:v>
                </c:pt>
                <c:pt idx="86">
                  <c:v>154.36187926136884</c:v>
                </c:pt>
                <c:pt idx="87">
                  <c:v>154.36630850438996</c:v>
                </c:pt>
                <c:pt idx="88">
                  <c:v>154.37034448252328</c:v>
                </c:pt>
                <c:pt idx="89">
                  <c:v>154.37402211308336</c:v>
                </c:pt>
                <c:pt idx="90">
                  <c:v>154.37737321313637</c:v>
                </c:pt>
                <c:pt idx="91">
                  <c:v>154.38042677476577</c:v>
                </c:pt>
                <c:pt idx="92">
                  <c:v>154.38320921589761</c:v>
                </c:pt>
                <c:pt idx="93">
                  <c:v>154.38574460885567</c:v>
                </c:pt>
                <c:pt idx="94">
                  <c:v>154.3880548886234</c:v>
                </c:pt>
                <c:pt idx="95">
                  <c:v>154.39016004261472</c:v>
                </c:pt>
                <c:pt idx="96">
                  <c:v>154.39207828359534</c:v>
                </c:pt>
                <c:pt idx="97">
                  <c:v>154.39382620725073</c:v>
                </c:pt>
                <c:pt idx="98">
                  <c:v>154.39541893576401</c:v>
                </c:pt>
                <c:pt idx="99">
                  <c:v>154.39687024864548</c:v>
                </c:pt>
                <c:pt idx="100">
                  <c:v>154.39819270194653</c:v>
                </c:pt>
                <c:pt idx="101">
                  <c:v>154.39939773688809</c:v>
                </c:pt>
                <c:pt idx="102">
                  <c:v>154.40049577884491</c:v>
                </c:pt>
                <c:pt idx="103">
                  <c:v>154.40149632754049</c:v>
                </c:pt>
                <c:pt idx="104">
                  <c:v>154.40240803923419</c:v>
                </c:pt>
                <c:pt idx="105">
                  <c:v>154.403238801611</c:v>
                </c:pt>
                <c:pt idx="106">
                  <c:v>154.40399580202188</c:v>
                </c:pt>
                <c:pt idx="107">
                  <c:v>154.40468558966515</c:v>
                </c:pt>
                <c:pt idx="108">
                  <c:v>154.40531413224721</c:v>
                </c:pt>
                <c:pt idx="109">
                  <c:v>154.40588686761188</c:v>
                </c:pt>
                <c:pt idx="110">
                  <c:v>154.40640875078628</c:v>
                </c:pt>
                <c:pt idx="111">
                  <c:v>154.40688429684911</c:v>
                </c:pt>
                <c:pt idx="112">
                  <c:v>154.40731761999299</c:v>
                </c:pt>
                <c:pt idx="113">
                  <c:v>154.40771246911845</c:v>
                </c:pt>
                <c:pt idx="114">
                  <c:v>154.40807226026757</c:v>
                </c:pt>
                <c:pt idx="115">
                  <c:v>154.40840010617794</c:v>
                </c:pt>
                <c:pt idx="116">
                  <c:v>154.40869884321245</c:v>
                </c:pt>
                <c:pt idx="117">
                  <c:v>154.40897105589829</c:v>
                </c:pt>
                <c:pt idx="118">
                  <c:v>154.40921909928682</c:v>
                </c:pt>
                <c:pt idx="119">
                  <c:v>154.40944511932847</c:v>
                </c:pt>
                <c:pt idx="120">
                  <c:v>154.40965107143847</c:v>
                </c:pt>
                <c:pt idx="121">
                  <c:v>154.40983873741402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1CA-4CC9-8225-A21385D7BD8B}"/>
            </c:ext>
          </c:extLst>
        </c:ser>
        <c:ser>
          <c:idx val="10"/>
          <c:order val="10"/>
          <c:tx>
            <c:v>qr contr.; 2,25 [V/c]</c:v>
          </c:tx>
          <c:spPr>
            <a:ln w="1270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rev.'!$DM$6:$DM$127</c:f>
              <c:numCache>
                <c:formatCode>0.000</c:formatCode>
                <c:ptCount val="122"/>
                <c:pt idx="0">
                  <c:v>-42.705882352941202</c:v>
                </c:pt>
                <c:pt idx="1">
                  <c:v>-42.705882352941202</c:v>
                </c:pt>
                <c:pt idx="2">
                  <c:v>-37.705882352941202</c:v>
                </c:pt>
                <c:pt idx="3">
                  <c:v>-32.705882352941202</c:v>
                </c:pt>
                <c:pt idx="4">
                  <c:v>-27.705882352941202</c:v>
                </c:pt>
                <c:pt idx="5">
                  <c:v>-22.705882352941202</c:v>
                </c:pt>
                <c:pt idx="6">
                  <c:v>-17.705882352941202</c:v>
                </c:pt>
                <c:pt idx="7">
                  <c:v>-12.705882352941199</c:v>
                </c:pt>
                <c:pt idx="8">
                  <c:v>-7.7058823529412059</c:v>
                </c:pt>
                <c:pt idx="9">
                  <c:v>-2.7058823529412015</c:v>
                </c:pt>
                <c:pt idx="10">
                  <c:v>2.2941176470587914</c:v>
                </c:pt>
                <c:pt idx="11">
                  <c:v>7.2941176470587958</c:v>
                </c:pt>
                <c:pt idx="12">
                  <c:v>12.294117647058789</c:v>
                </c:pt>
                <c:pt idx="13">
                  <c:v>17.294117647058805</c:v>
                </c:pt>
                <c:pt idx="14">
                  <c:v>22.294117647058798</c:v>
                </c:pt>
                <c:pt idx="15">
                  <c:v>27.294117647058791</c:v>
                </c:pt>
                <c:pt idx="16">
                  <c:v>32.294117647058798</c:v>
                </c:pt>
                <c:pt idx="17">
                  <c:v>37.294117647058805</c:v>
                </c:pt>
                <c:pt idx="18">
                  <c:v>42.294117647058798</c:v>
                </c:pt>
                <c:pt idx="19">
                  <c:v>47.294117647058791</c:v>
                </c:pt>
                <c:pt idx="20">
                  <c:v>52.294117647058798</c:v>
                </c:pt>
                <c:pt idx="21">
                  <c:v>57.294117647058805</c:v>
                </c:pt>
                <c:pt idx="22">
                  <c:v>62.294117647058783</c:v>
                </c:pt>
                <c:pt idx="23">
                  <c:v>67.294117647058783</c:v>
                </c:pt>
                <c:pt idx="24">
                  <c:v>72.294117647058812</c:v>
                </c:pt>
                <c:pt idx="25">
                  <c:v>77.294117647058812</c:v>
                </c:pt>
                <c:pt idx="26">
                  <c:v>82.294117647058798</c:v>
                </c:pt>
                <c:pt idx="27">
                  <c:v>87.294117647058798</c:v>
                </c:pt>
                <c:pt idx="28">
                  <c:v>92.294117647058798</c:v>
                </c:pt>
                <c:pt idx="29">
                  <c:v>97.294117647058783</c:v>
                </c:pt>
                <c:pt idx="30">
                  <c:v>102.29411764705878</c:v>
                </c:pt>
                <c:pt idx="31">
                  <c:v>107.29411764705878</c:v>
                </c:pt>
                <c:pt idx="32">
                  <c:v>112.29411764705881</c:v>
                </c:pt>
                <c:pt idx="33">
                  <c:v>117.2941176470588</c:v>
                </c:pt>
                <c:pt idx="34">
                  <c:v>122.2941176470588</c:v>
                </c:pt>
                <c:pt idx="35">
                  <c:v>127.29411764705878</c:v>
                </c:pt>
                <c:pt idx="36">
                  <c:v>132.29411764705878</c:v>
                </c:pt>
                <c:pt idx="37">
                  <c:v>137.29411764705875</c:v>
                </c:pt>
                <c:pt idx="38">
                  <c:v>142.29411764705878</c:v>
                </c:pt>
                <c:pt idx="39">
                  <c:v>147.29411764705875</c:v>
                </c:pt>
                <c:pt idx="40">
                  <c:v>152.29411764705878</c:v>
                </c:pt>
                <c:pt idx="41">
                  <c:v>155.0059235245337</c:v>
                </c:pt>
                <c:pt idx="42">
                  <c:v>155.20536137289594</c:v>
                </c:pt>
                <c:pt idx="43">
                  <c:v>155.38485241588302</c:v>
                </c:pt>
                <c:pt idx="44">
                  <c:v>155.54639163613206</c:v>
                </c:pt>
                <c:pt idx="45">
                  <c:v>155.69177448780198</c:v>
                </c:pt>
                <c:pt idx="46">
                  <c:v>155.82261685244316</c:v>
                </c:pt>
                <c:pt idx="47">
                  <c:v>155.94037299897801</c:v>
                </c:pt>
                <c:pt idx="48">
                  <c:v>156.04635174741139</c:v>
                </c:pt>
                <c:pt idx="49">
                  <c:v>156.14173101592527</c:v>
                </c:pt>
                <c:pt idx="50">
                  <c:v>156.22757091304351</c:v>
                </c:pt>
                <c:pt idx="51">
                  <c:v>156.30482552038197</c:v>
                </c:pt>
                <c:pt idx="52">
                  <c:v>156.37435349694513</c:v>
                </c:pt>
                <c:pt idx="53">
                  <c:v>156.43692762283237</c:v>
                </c:pt>
                <c:pt idx="54">
                  <c:v>156.49324338842922</c:v>
                </c:pt>
                <c:pt idx="55">
                  <c:v>156.54392672454921</c:v>
                </c:pt>
                <c:pt idx="56">
                  <c:v>156.58954095944466</c:v>
                </c:pt>
                <c:pt idx="57">
                  <c:v>156.63059308001093</c:v>
                </c:pt>
                <c:pt idx="58">
                  <c:v>156.66753936677532</c:v>
                </c:pt>
                <c:pt idx="59">
                  <c:v>156.70079046530202</c:v>
                </c:pt>
                <c:pt idx="60">
                  <c:v>156.73071595037936</c:v>
                </c:pt>
                <c:pt idx="61">
                  <c:v>156.75764843371957</c:v>
                </c:pt>
                <c:pt idx="62">
                  <c:v>156.78188726082618</c:v>
                </c:pt>
                <c:pt idx="63">
                  <c:v>156.80370183811868</c:v>
                </c:pt>
                <c:pt idx="64">
                  <c:v>156.8233346272944</c:v>
                </c:pt>
                <c:pt idx="65">
                  <c:v>156.84100384020874</c:v>
                </c:pt>
                <c:pt idx="66">
                  <c:v>156.85690586422677</c:v>
                </c:pt>
                <c:pt idx="67">
                  <c:v>156.87121744500263</c:v>
                </c:pt>
                <c:pt idx="68">
                  <c:v>156.88409765094823</c:v>
                </c:pt>
                <c:pt idx="69">
                  <c:v>156.89568964122512</c:v>
                </c:pt>
                <c:pt idx="70">
                  <c:v>156.90612225691061</c:v>
                </c:pt>
                <c:pt idx="71">
                  <c:v>156.91551145302276</c:v>
                </c:pt>
                <c:pt idx="72">
                  <c:v>156.92396158732188</c:v>
                </c:pt>
                <c:pt idx="73">
                  <c:v>156.93156658021155</c:v>
                </c:pt>
                <c:pt idx="74">
                  <c:v>156.93841095863266</c:v>
                </c:pt>
                <c:pt idx="75">
                  <c:v>156.94457079555173</c:v>
                </c:pt>
                <c:pt idx="76">
                  <c:v>156.95011455548649</c:v>
                </c:pt>
                <c:pt idx="77">
                  <c:v>156.95510385546612</c:v>
                </c:pt>
                <c:pt idx="78">
                  <c:v>156.95959414988346</c:v>
                </c:pt>
                <c:pt idx="79">
                  <c:v>156.96363534685241</c:v>
                </c:pt>
                <c:pt idx="80">
                  <c:v>156.96727236291946</c:v>
                </c:pt>
                <c:pt idx="81">
                  <c:v>156.97054562229624</c:v>
                </c:pt>
                <c:pt idx="82">
                  <c:v>156.97349150616094</c:v>
                </c:pt>
                <c:pt idx="83">
                  <c:v>156.97614275702301</c:v>
                </c:pt>
                <c:pt idx="84">
                  <c:v>156.97852884264495</c:v>
                </c:pt>
                <c:pt idx="85">
                  <c:v>156.98067628356682</c:v>
                </c:pt>
                <c:pt idx="86">
                  <c:v>156.98260894787293</c:v>
                </c:pt>
                <c:pt idx="87">
                  <c:v>156.98434831647774</c:v>
                </c:pt>
                <c:pt idx="88">
                  <c:v>156.98591372187886</c:v>
                </c:pt>
                <c:pt idx="89">
                  <c:v>156.98732256303137</c:v>
                </c:pt>
                <c:pt idx="90">
                  <c:v>156.98859049873136</c:v>
                </c:pt>
                <c:pt idx="91">
                  <c:v>156.98973162165814</c:v>
                </c:pt>
                <c:pt idx="92">
                  <c:v>156.99075861500964</c:v>
                </c:pt>
                <c:pt idx="93">
                  <c:v>156.9916828934719</c:v>
                </c:pt>
                <c:pt idx="94">
                  <c:v>156.99251473008948</c:v>
                </c:pt>
                <c:pt idx="95">
                  <c:v>156.99326337044693</c:v>
                </c:pt>
                <c:pt idx="96">
                  <c:v>156.99393713543026</c:v>
                </c:pt>
                <c:pt idx="97">
                  <c:v>156.99454351371094</c:v>
                </c:pt>
                <c:pt idx="98">
                  <c:v>156.99508924497977</c:v>
                </c:pt>
                <c:pt idx="99">
                  <c:v>156.99558039485646</c:v>
                </c:pt>
                <c:pt idx="100">
                  <c:v>156.99602242230691</c:v>
                </c:pt>
                <c:pt idx="101">
                  <c:v>156.99642024031769</c:v>
                </c:pt>
                <c:pt idx="102">
                  <c:v>156.99677827050235</c:v>
                </c:pt>
                <c:pt idx="103">
                  <c:v>156.99710049224603</c:v>
                </c:pt>
                <c:pt idx="104">
                  <c:v>156.99739048693525</c:v>
                </c:pt>
                <c:pt idx="105">
                  <c:v>156.9976514777635</c:v>
                </c:pt>
                <c:pt idx="106">
                  <c:v>156.99788636555613</c:v>
                </c:pt>
                <c:pt idx="107">
                  <c:v>156.99809776101208</c:v>
                </c:pt>
                <c:pt idx="108">
                  <c:v>156.99828801372078</c:v>
                </c:pt>
                <c:pt idx="109">
                  <c:v>156.99845923827718</c:v>
                </c:pt>
                <c:pt idx="110">
                  <c:v>156.99861333778472</c:v>
                </c:pt>
                <c:pt idx="111">
                  <c:v>156.9987520250076</c:v>
                </c:pt>
                <c:pt idx="112">
                  <c:v>156.99887684140776</c:v>
                </c:pt>
                <c:pt idx="113">
                  <c:v>156.99898917427751</c:v>
                </c:pt>
                <c:pt idx="114">
                  <c:v>156.99909027215898</c:v>
                </c:pt>
                <c:pt idx="115">
                  <c:v>156.99918125872114</c:v>
                </c:pt>
                <c:pt idx="116">
                  <c:v>156.9992631452491</c:v>
                </c:pt>
                <c:pt idx="117">
                  <c:v>156.99933684188403</c:v>
                </c:pt>
                <c:pt idx="118">
                  <c:v>156.99940316773936</c:v>
                </c:pt>
                <c:pt idx="119">
                  <c:v>156.9994628600046</c:v>
                </c:pt>
                <c:pt idx="120">
                  <c:v>156.99951658213925</c:v>
                </c:pt>
                <c:pt idx="121">
                  <c:v>156.99956493124682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1CA-4CC9-8225-A21385D7BD8B}"/>
            </c:ext>
          </c:extLst>
        </c:ser>
        <c:ser>
          <c:idx val="11"/>
          <c:order val="11"/>
          <c:tx>
            <c:v>qr contr.; 2,28 [V/c]</c:v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rev.'!$DN$6:$DN$127</c:f>
              <c:numCache>
                <c:formatCode>0.000</c:formatCode>
                <c:ptCount val="122"/>
                <c:pt idx="0">
                  <c:v>-42.705882352941202</c:v>
                </c:pt>
                <c:pt idx="1">
                  <c:v>-42.705882352941202</c:v>
                </c:pt>
                <c:pt idx="2">
                  <c:v>-37.705882352941202</c:v>
                </c:pt>
                <c:pt idx="3">
                  <c:v>-32.705882352941202</c:v>
                </c:pt>
                <c:pt idx="4">
                  <c:v>-27.705882352941202</c:v>
                </c:pt>
                <c:pt idx="5">
                  <c:v>-22.705882352941202</c:v>
                </c:pt>
                <c:pt idx="6">
                  <c:v>-17.705882352941202</c:v>
                </c:pt>
                <c:pt idx="7">
                  <c:v>-12.705882352941199</c:v>
                </c:pt>
                <c:pt idx="8">
                  <c:v>-7.7058823529412059</c:v>
                </c:pt>
                <c:pt idx="9">
                  <c:v>-2.7058823529412015</c:v>
                </c:pt>
                <c:pt idx="10">
                  <c:v>2.2941176470587914</c:v>
                </c:pt>
                <c:pt idx="11">
                  <c:v>7.2941176470587958</c:v>
                </c:pt>
                <c:pt idx="12">
                  <c:v>12.294117647058789</c:v>
                </c:pt>
                <c:pt idx="13">
                  <c:v>17.294117647058805</c:v>
                </c:pt>
                <c:pt idx="14">
                  <c:v>22.294117647058798</c:v>
                </c:pt>
                <c:pt idx="15">
                  <c:v>27.294117647058791</c:v>
                </c:pt>
                <c:pt idx="16">
                  <c:v>32.294117647058798</c:v>
                </c:pt>
                <c:pt idx="17">
                  <c:v>37.294117647058805</c:v>
                </c:pt>
                <c:pt idx="18">
                  <c:v>42.294117647058798</c:v>
                </c:pt>
                <c:pt idx="19">
                  <c:v>47.294117647058791</c:v>
                </c:pt>
                <c:pt idx="20">
                  <c:v>52.294117647058798</c:v>
                </c:pt>
                <c:pt idx="21">
                  <c:v>57.294117647058805</c:v>
                </c:pt>
                <c:pt idx="22">
                  <c:v>62.294117647058783</c:v>
                </c:pt>
                <c:pt idx="23">
                  <c:v>67.294117647058783</c:v>
                </c:pt>
                <c:pt idx="24">
                  <c:v>72.294117647058812</c:v>
                </c:pt>
                <c:pt idx="25">
                  <c:v>77.294117647058812</c:v>
                </c:pt>
                <c:pt idx="26">
                  <c:v>82.294117647058798</c:v>
                </c:pt>
                <c:pt idx="27">
                  <c:v>87.294117647058798</c:v>
                </c:pt>
                <c:pt idx="28">
                  <c:v>92.294117647058798</c:v>
                </c:pt>
                <c:pt idx="29">
                  <c:v>97.294117647058783</c:v>
                </c:pt>
                <c:pt idx="30">
                  <c:v>102.29411764705878</c:v>
                </c:pt>
                <c:pt idx="31">
                  <c:v>107.29411764705878</c:v>
                </c:pt>
                <c:pt idx="32">
                  <c:v>112.29411764705881</c:v>
                </c:pt>
                <c:pt idx="33">
                  <c:v>117.2941176470588</c:v>
                </c:pt>
                <c:pt idx="34">
                  <c:v>122.2941176470588</c:v>
                </c:pt>
                <c:pt idx="35">
                  <c:v>127.29411764705878</c:v>
                </c:pt>
                <c:pt idx="36">
                  <c:v>132.29411764705878</c:v>
                </c:pt>
                <c:pt idx="37">
                  <c:v>137.29411764705875</c:v>
                </c:pt>
                <c:pt idx="38">
                  <c:v>142.29411764705878</c:v>
                </c:pt>
                <c:pt idx="39">
                  <c:v>147.29411764705875</c:v>
                </c:pt>
                <c:pt idx="40">
                  <c:v>152.29411764705878</c:v>
                </c:pt>
                <c:pt idx="41">
                  <c:v>157.29411764705875</c:v>
                </c:pt>
                <c:pt idx="42">
                  <c:v>162.29411764705873</c:v>
                </c:pt>
                <c:pt idx="43">
                  <c:v>163.03116568263636</c:v>
                </c:pt>
                <c:pt idx="44">
                  <c:v>163.08718364453145</c:v>
                </c:pt>
                <c:pt idx="45">
                  <c:v>163.13606038885385</c:v>
                </c:pt>
                <c:pt idx="46">
                  <c:v>163.17870628411205</c:v>
                </c:pt>
                <c:pt idx="47">
                  <c:v>163.21591564426049</c:v>
                </c:pt>
                <c:pt idx="48">
                  <c:v>163.24838152343295</c:v>
                </c:pt>
                <c:pt idx="49">
                  <c:v>163.27670862463108</c:v>
                </c:pt>
                <c:pt idx="50">
                  <c:v>163.30142456280191</c:v>
                </c:pt>
                <c:pt idx="51">
                  <c:v>163.32298969208895</c:v>
                </c:pt>
                <c:pt idx="52">
                  <c:v>163.34180568029672</c:v>
                </c:pt>
                <c:pt idx="53">
                  <c:v>163.35822299027538</c:v>
                </c:pt>
                <c:pt idx="54">
                  <c:v>163.37254740757194</c:v>
                </c:pt>
                <c:pt idx="55">
                  <c:v>163.38504573593102</c:v>
                </c:pt>
                <c:pt idx="56">
                  <c:v>163.39595076672825</c:v>
                </c:pt>
                <c:pt idx="57">
                  <c:v>163.40546561489612</c:v>
                </c:pt>
                <c:pt idx="58">
                  <c:v>163.41376750210216</c:v>
                </c:pt>
                <c:pt idx="59">
                  <c:v>163.42101105764465</c:v>
                </c:pt>
                <c:pt idx="60">
                  <c:v>163.42733119854694</c:v>
                </c:pt>
                <c:pt idx="61">
                  <c:v>163.4328456424951</c:v>
                </c:pt>
                <c:pt idx="62">
                  <c:v>163.43765710042425</c:v>
                </c:pt>
                <c:pt idx="63">
                  <c:v>163.44185518959185</c:v>
                </c:pt>
                <c:pt idx="64">
                  <c:v>163.44551810277082</c:v>
                </c:pt>
                <c:pt idx="65">
                  <c:v>163.44871406465285</c:v>
                </c:pt>
                <c:pt idx="66">
                  <c:v>163.4515026025876</c:v>
                </c:pt>
                <c:pt idx="67">
                  <c:v>163.45393565532746</c:v>
                </c:pt>
                <c:pt idx="68">
                  <c:v>163.45605854042833</c:v>
                </c:pt>
                <c:pt idx="69">
                  <c:v>163.45791079832546</c:v>
                </c:pt>
                <c:pt idx="70">
                  <c:v>163.45952692880564</c:v>
                </c:pt>
                <c:pt idx="71">
                  <c:v>163.46093703359347</c:v>
                </c:pt>
                <c:pt idx="72">
                  <c:v>163.46216737701994</c:v>
                </c:pt>
                <c:pt idx="73">
                  <c:v>163.46324087521677</c:v>
                </c:pt>
                <c:pt idx="74">
                  <c:v>163.46417752294764</c:v>
                </c:pt>
                <c:pt idx="75">
                  <c:v>163.46499476602671</c:v>
                </c:pt>
                <c:pt idx="76">
                  <c:v>163.46570782626085</c:v>
                </c:pt>
                <c:pt idx="77">
                  <c:v>163.46632998496801</c:v>
                </c:pt>
                <c:pt idx="78">
                  <c:v>163.46687283035237</c:v>
                </c:pt>
                <c:pt idx="79">
                  <c:v>163.46734647334407</c:v>
                </c:pt>
                <c:pt idx="80">
                  <c:v>163.46775973592307</c:v>
                </c:pt>
                <c:pt idx="81">
                  <c:v>163.46812031543595</c:v>
                </c:pt>
                <c:pt idx="82">
                  <c:v>163.46843492796492</c:v>
                </c:pt>
                <c:pt idx="83">
                  <c:v>163.46870943342029</c:v>
                </c:pt>
                <c:pt idx="84">
                  <c:v>163.46894894468599</c:v>
                </c:pt>
                <c:pt idx="85">
                  <c:v>163.46915792285122</c:v>
                </c:pt>
                <c:pt idx="86">
                  <c:v>163.46934026030169</c:v>
                </c:pt>
                <c:pt idx="87">
                  <c:v>163.4694993532184</c:v>
                </c:pt>
                <c:pt idx="88">
                  <c:v>163.46963816483435</c:v>
                </c:pt>
                <c:pt idx="89">
                  <c:v>163.4697592806271</c:v>
                </c:pt>
                <c:pt idx="90">
                  <c:v>163.46986495647525</c:v>
                </c:pt>
                <c:pt idx="91">
                  <c:v>163.46995716067613</c:v>
                </c:pt>
                <c:pt idx="92">
                  <c:v>163.47003761060679</c:v>
                </c:pt>
                <c:pt idx="93">
                  <c:v>163.47010780471169</c:v>
                </c:pt>
                <c:pt idx="94">
                  <c:v>163.47016905041221</c:v>
                </c:pt>
                <c:pt idx="95">
                  <c:v>163.47022248845857</c:v>
                </c:pt>
                <c:pt idx="96">
                  <c:v>163.4702691141772</c:v>
                </c:pt>
                <c:pt idx="97">
                  <c:v>163.47030979600942</c:v>
                </c:pt>
                <c:pt idx="98">
                  <c:v>163.47034529168695</c:v>
                </c:pt>
                <c:pt idx="99">
                  <c:v>163.47037626234527</c:v>
                </c:pt>
                <c:pt idx="100">
                  <c:v>163.47040328483763</c:v>
                </c:pt>
                <c:pt idx="101">
                  <c:v>163.4704268624796</c:v>
                </c:pt>
                <c:pt idx="102">
                  <c:v>163.47044743442365</c:v>
                </c:pt>
                <c:pt idx="103">
                  <c:v>163.47046538383876</c:v>
                </c:pt>
                <c:pt idx="104">
                  <c:v>163.47048104504708</c:v>
                </c:pt>
                <c:pt idx="105">
                  <c:v>163.47049470975122</c:v>
                </c:pt>
                <c:pt idx="106">
                  <c:v>163.47050663246722</c:v>
                </c:pt>
                <c:pt idx="107">
                  <c:v>163.4705170352652</c:v>
                </c:pt>
                <c:pt idx="108">
                  <c:v>163.47052611190563</c:v>
                </c:pt>
                <c:pt idx="109">
                  <c:v>163.47053403144818</c:v>
                </c:pt>
                <c:pt idx="110">
                  <c:v>163.47054094140069</c:v>
                </c:pt>
                <c:pt idx="111">
                  <c:v>163.47054697046659</c:v>
                </c:pt>
                <c:pt idx="112">
                  <c:v>163.47055223094199</c:v>
                </c:pt>
                <c:pt idx="113">
                  <c:v>163.4705568208075</c:v>
                </c:pt>
                <c:pt idx="114">
                  <c:v>163.47056082555306</c:v>
                </c:pt>
                <c:pt idx="115">
                  <c:v>163.47056431977023</c:v>
                </c:pt>
                <c:pt idx="116">
                  <c:v>163.47056736854162</c:v>
                </c:pt>
                <c:pt idx="117">
                  <c:v>163.47057002865301</c:v>
                </c:pt>
                <c:pt idx="118">
                  <c:v>163.47057234965115</c:v>
                </c:pt>
                <c:pt idx="119">
                  <c:v>163.47057437476647</c:v>
                </c:pt>
                <c:pt idx="120">
                  <c:v>163.47057614171837</c:v>
                </c:pt>
                <c:pt idx="121">
                  <c:v>163.4705776834177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1CA-4CC9-8225-A21385D7BD8B}"/>
            </c:ext>
          </c:extLst>
        </c:ser>
        <c:ser>
          <c:idx val="12"/>
          <c:order val="12"/>
          <c:tx>
            <c:v>Qe  =  135  [Ah]</c:v>
          </c:tx>
          <c:spPr>
            <a:ln w="19050">
              <a:solidFill>
                <a:srgbClr val="66FF66"/>
              </a:solidFill>
              <a:prstDash val="lgDashDot"/>
            </a:ln>
          </c:spPr>
          <c:marker>
            <c:symbol val="none"/>
          </c:marker>
          <c:xVal>
            <c:numRef>
              <c:f>'100 A 39, 3 par. rev.'!$DB$6:$DB$127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rev.'!$DO$6:$DO$127</c:f>
              <c:numCache>
                <c:formatCode>0.000</c:formatCode>
                <c:ptCount val="122"/>
                <c:pt idx="0">
                  <c:v>135</c:v>
                </c:pt>
                <c:pt idx="1">
                  <c:v>135</c:v>
                </c:pt>
                <c:pt idx="2">
                  <c:v>135</c:v>
                </c:pt>
                <c:pt idx="3">
                  <c:v>135</c:v>
                </c:pt>
                <c:pt idx="4">
                  <c:v>135</c:v>
                </c:pt>
                <c:pt idx="5">
                  <c:v>135</c:v>
                </c:pt>
                <c:pt idx="6">
                  <c:v>135</c:v>
                </c:pt>
                <c:pt idx="7">
                  <c:v>135</c:v>
                </c:pt>
                <c:pt idx="8">
                  <c:v>135</c:v>
                </c:pt>
                <c:pt idx="9">
                  <c:v>135</c:v>
                </c:pt>
                <c:pt idx="10">
                  <c:v>135</c:v>
                </c:pt>
                <c:pt idx="11">
                  <c:v>135</c:v>
                </c:pt>
                <c:pt idx="12">
                  <c:v>135</c:v>
                </c:pt>
                <c:pt idx="13">
                  <c:v>135</c:v>
                </c:pt>
                <c:pt idx="14">
                  <c:v>135</c:v>
                </c:pt>
                <c:pt idx="15">
                  <c:v>135</c:v>
                </c:pt>
                <c:pt idx="16">
                  <c:v>135</c:v>
                </c:pt>
                <c:pt idx="17">
                  <c:v>135</c:v>
                </c:pt>
                <c:pt idx="18">
                  <c:v>135</c:v>
                </c:pt>
                <c:pt idx="19">
                  <c:v>135</c:v>
                </c:pt>
                <c:pt idx="20">
                  <c:v>135</c:v>
                </c:pt>
                <c:pt idx="21">
                  <c:v>135</c:v>
                </c:pt>
                <c:pt idx="22">
                  <c:v>135</c:v>
                </c:pt>
                <c:pt idx="23">
                  <c:v>135</c:v>
                </c:pt>
                <c:pt idx="24">
                  <c:v>135</c:v>
                </c:pt>
                <c:pt idx="25">
                  <c:v>135</c:v>
                </c:pt>
                <c:pt idx="26">
                  <c:v>135</c:v>
                </c:pt>
                <c:pt idx="27">
                  <c:v>135</c:v>
                </c:pt>
                <c:pt idx="28">
                  <c:v>135</c:v>
                </c:pt>
                <c:pt idx="29">
                  <c:v>135</c:v>
                </c:pt>
                <c:pt idx="30">
                  <c:v>135</c:v>
                </c:pt>
                <c:pt idx="31">
                  <c:v>135</c:v>
                </c:pt>
                <c:pt idx="32">
                  <c:v>135</c:v>
                </c:pt>
                <c:pt idx="33">
                  <c:v>135</c:v>
                </c:pt>
                <c:pt idx="34">
                  <c:v>135</c:v>
                </c:pt>
                <c:pt idx="35">
                  <c:v>135</c:v>
                </c:pt>
                <c:pt idx="36">
                  <c:v>135</c:v>
                </c:pt>
                <c:pt idx="37">
                  <c:v>135</c:v>
                </c:pt>
                <c:pt idx="38">
                  <c:v>135</c:v>
                </c:pt>
                <c:pt idx="39">
                  <c:v>135</c:v>
                </c:pt>
                <c:pt idx="40">
                  <c:v>135</c:v>
                </c:pt>
                <c:pt idx="41">
                  <c:v>135</c:v>
                </c:pt>
                <c:pt idx="42">
                  <c:v>135</c:v>
                </c:pt>
                <c:pt idx="43">
                  <c:v>135</c:v>
                </c:pt>
                <c:pt idx="44">
                  <c:v>135</c:v>
                </c:pt>
                <c:pt idx="45">
                  <c:v>135</c:v>
                </c:pt>
                <c:pt idx="46">
                  <c:v>135</c:v>
                </c:pt>
                <c:pt idx="47">
                  <c:v>135</c:v>
                </c:pt>
                <c:pt idx="48">
                  <c:v>135</c:v>
                </c:pt>
                <c:pt idx="49">
                  <c:v>135</c:v>
                </c:pt>
                <c:pt idx="50">
                  <c:v>135</c:v>
                </c:pt>
                <c:pt idx="51">
                  <c:v>135</c:v>
                </c:pt>
                <c:pt idx="52">
                  <c:v>135</c:v>
                </c:pt>
                <c:pt idx="53">
                  <c:v>135</c:v>
                </c:pt>
                <c:pt idx="54">
                  <c:v>135</c:v>
                </c:pt>
                <c:pt idx="55">
                  <c:v>135</c:v>
                </c:pt>
                <c:pt idx="56">
                  <c:v>135</c:v>
                </c:pt>
                <c:pt idx="57">
                  <c:v>135</c:v>
                </c:pt>
                <c:pt idx="58">
                  <c:v>135</c:v>
                </c:pt>
                <c:pt idx="59">
                  <c:v>135</c:v>
                </c:pt>
                <c:pt idx="60">
                  <c:v>135</c:v>
                </c:pt>
                <c:pt idx="61">
                  <c:v>135</c:v>
                </c:pt>
                <c:pt idx="62">
                  <c:v>135</c:v>
                </c:pt>
                <c:pt idx="63">
                  <c:v>135</c:v>
                </c:pt>
                <c:pt idx="64">
                  <c:v>135</c:v>
                </c:pt>
                <c:pt idx="65">
                  <c:v>135</c:v>
                </c:pt>
                <c:pt idx="66">
                  <c:v>135</c:v>
                </c:pt>
                <c:pt idx="67">
                  <c:v>135</c:v>
                </c:pt>
                <c:pt idx="68">
                  <c:v>135</c:v>
                </c:pt>
                <c:pt idx="69">
                  <c:v>135</c:v>
                </c:pt>
                <c:pt idx="70">
                  <c:v>135</c:v>
                </c:pt>
                <c:pt idx="71">
                  <c:v>135</c:v>
                </c:pt>
                <c:pt idx="72">
                  <c:v>135</c:v>
                </c:pt>
                <c:pt idx="73">
                  <c:v>135</c:v>
                </c:pt>
                <c:pt idx="74">
                  <c:v>135</c:v>
                </c:pt>
                <c:pt idx="75">
                  <c:v>135</c:v>
                </c:pt>
                <c:pt idx="76">
                  <c:v>135</c:v>
                </c:pt>
                <c:pt idx="77">
                  <c:v>135</c:v>
                </c:pt>
                <c:pt idx="78">
                  <c:v>135</c:v>
                </c:pt>
                <c:pt idx="79">
                  <c:v>135</c:v>
                </c:pt>
                <c:pt idx="80">
                  <c:v>135</c:v>
                </c:pt>
                <c:pt idx="81">
                  <c:v>135</c:v>
                </c:pt>
                <c:pt idx="82">
                  <c:v>135</c:v>
                </c:pt>
                <c:pt idx="83">
                  <c:v>135</c:v>
                </c:pt>
                <c:pt idx="84">
                  <c:v>135</c:v>
                </c:pt>
                <c:pt idx="85">
                  <c:v>135</c:v>
                </c:pt>
                <c:pt idx="86">
                  <c:v>135</c:v>
                </c:pt>
                <c:pt idx="87">
                  <c:v>135</c:v>
                </c:pt>
                <c:pt idx="88">
                  <c:v>135</c:v>
                </c:pt>
                <c:pt idx="89">
                  <c:v>135</c:v>
                </c:pt>
                <c:pt idx="90">
                  <c:v>135</c:v>
                </c:pt>
                <c:pt idx="91">
                  <c:v>135</c:v>
                </c:pt>
                <c:pt idx="92">
                  <c:v>135</c:v>
                </c:pt>
                <c:pt idx="93">
                  <c:v>135</c:v>
                </c:pt>
                <c:pt idx="94">
                  <c:v>135</c:v>
                </c:pt>
                <c:pt idx="95">
                  <c:v>135</c:v>
                </c:pt>
                <c:pt idx="96">
                  <c:v>135</c:v>
                </c:pt>
                <c:pt idx="97">
                  <c:v>135</c:v>
                </c:pt>
                <c:pt idx="98">
                  <c:v>135</c:v>
                </c:pt>
                <c:pt idx="99">
                  <c:v>135</c:v>
                </c:pt>
                <c:pt idx="100">
                  <c:v>135</c:v>
                </c:pt>
                <c:pt idx="101">
                  <c:v>135</c:v>
                </c:pt>
                <c:pt idx="102">
                  <c:v>135</c:v>
                </c:pt>
                <c:pt idx="103">
                  <c:v>135</c:v>
                </c:pt>
                <c:pt idx="104">
                  <c:v>135</c:v>
                </c:pt>
                <c:pt idx="105">
                  <c:v>135</c:v>
                </c:pt>
                <c:pt idx="106">
                  <c:v>135</c:v>
                </c:pt>
                <c:pt idx="107">
                  <c:v>135</c:v>
                </c:pt>
                <c:pt idx="108">
                  <c:v>135</c:v>
                </c:pt>
                <c:pt idx="109">
                  <c:v>135</c:v>
                </c:pt>
                <c:pt idx="110">
                  <c:v>135</c:v>
                </c:pt>
                <c:pt idx="111">
                  <c:v>135</c:v>
                </c:pt>
                <c:pt idx="112">
                  <c:v>135</c:v>
                </c:pt>
                <c:pt idx="113">
                  <c:v>135</c:v>
                </c:pt>
                <c:pt idx="114">
                  <c:v>135</c:v>
                </c:pt>
                <c:pt idx="115">
                  <c:v>135</c:v>
                </c:pt>
                <c:pt idx="116">
                  <c:v>135</c:v>
                </c:pt>
                <c:pt idx="117">
                  <c:v>135</c:v>
                </c:pt>
                <c:pt idx="118">
                  <c:v>135</c:v>
                </c:pt>
                <c:pt idx="119">
                  <c:v>135</c:v>
                </c:pt>
                <c:pt idx="120">
                  <c:v>135</c:v>
                </c:pt>
                <c:pt idx="121">
                  <c:v>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1CA-4CC9-8225-A21385D7B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26720"/>
        <c:axId val="113337088"/>
      </c:scatterChart>
      <c:valAx>
        <c:axId val="113326720"/>
        <c:scaling>
          <c:orientation val="minMax"/>
          <c:max val="36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/>
                  <a:t>Tiempo  de  recarga t [h]</a:t>
                </a:r>
              </a:p>
            </c:rich>
          </c:tx>
          <c:layout>
            <c:manualLayout>
              <c:xMode val="edge"/>
              <c:yMode val="edge"/>
              <c:x val="0.40783628367699531"/>
              <c:y val="0.9390477063268556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3337088"/>
        <c:crossesAt val="-10"/>
        <c:crossBetween val="midCat"/>
        <c:majorUnit val="3"/>
        <c:minorUnit val="1"/>
      </c:valAx>
      <c:valAx>
        <c:axId val="113337088"/>
        <c:scaling>
          <c:orientation val="minMax"/>
          <c:max val="140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Carga  inyectada q</a:t>
                </a:r>
                <a:r>
                  <a:rPr lang="en-US" sz="1100" baseline="-25000"/>
                  <a:t>r</a:t>
                </a:r>
                <a:r>
                  <a:rPr lang="en-US" sz="1100"/>
                  <a:t> [Ah]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3326720"/>
        <c:crossesAt val="-10"/>
        <c:crossBetween val="midCat"/>
        <c:majorUnit val="10"/>
        <c:minorUnit val="1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4146987783903342"/>
          <c:y val="0.3145990666378673"/>
          <c:w val="0.55812301422848476"/>
          <c:h val="0.30294460822728914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Corriente de recarga a tensión constante</a:t>
            </a:r>
          </a:p>
          <a:p>
            <a:pPr>
              <a:defRPr sz="1400"/>
            </a:pPr>
            <a:r>
              <a:rPr lang="en-US" sz="1400"/>
              <a:t>placa positiva</a:t>
            </a:r>
            <a:r>
              <a:rPr lang="en-US" sz="1400" baseline="0"/>
              <a:t> acumulador Pb-ác Absolyte serie </a:t>
            </a:r>
            <a:r>
              <a:rPr lang="en-US" sz="1400"/>
              <a:t>100 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9220121914728093E-2"/>
          <c:y val="0.15634228214054993"/>
          <c:w val="0.87240315644583866"/>
          <c:h val="0.69496483562700062"/>
        </c:manualLayout>
      </c:layout>
      <c:scatterChart>
        <c:scatterStyle val="smoothMarker"/>
        <c:varyColors val="0"/>
        <c:ser>
          <c:idx val="0"/>
          <c:order val="0"/>
          <c:tx>
            <c:v>ir; Ur = 2,23 [V/c]</c:v>
          </c:tx>
          <c:spPr>
            <a:ln w="15875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'100 A 39, 3 par. rev.'!$DQ$6:$DQ$127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rev.'!$DR$6:$DR$127</c:f>
              <c:numCache>
                <c:formatCode>0.000</c:formatCode>
                <c:ptCount val="122"/>
                <c:pt idx="0">
                  <c:v>132.00968395568535</c:v>
                </c:pt>
                <c:pt idx="1">
                  <c:v>132.00968395568535</c:v>
                </c:pt>
                <c:pt idx="2">
                  <c:v>28.594509912424851</c:v>
                </c:pt>
                <c:pt idx="3">
                  <c:v>26.055652441932192</c:v>
                </c:pt>
                <c:pt idx="4">
                  <c:v>23.742215769880136</c:v>
                </c:pt>
                <c:pt idx="5">
                  <c:v>21.634185170369257</c:v>
                </c:pt>
                <c:pt idx="6">
                  <c:v>19.713322990669965</c:v>
                </c:pt>
                <c:pt idx="7">
                  <c:v>17.963010867944977</c:v>
                </c:pt>
                <c:pt idx="8">
                  <c:v>16.368105955278285</c:v>
                </c:pt>
                <c:pt idx="9">
                  <c:v>14.914809913148298</c:v>
                </c:pt>
                <c:pt idx="10">
                  <c:v>13.590549532923328</c:v>
                </c:pt>
                <c:pt idx="11">
                  <c:v>12.383867959592008</c:v>
                </c:pt>
                <c:pt idx="12">
                  <c:v>11.284325572640897</c:v>
                </c:pt>
                <c:pt idx="13">
                  <c:v>10.282409667548848</c:v>
                </c:pt>
                <c:pt idx="14">
                  <c:v>9.3694521565065312</c:v>
                </c:pt>
                <c:pt idx="15">
                  <c:v>8.5375545763478335</c:v>
                </c:pt>
                <c:pt idx="16">
                  <c:v>7.7795197548983852</c:v>
                </c:pt>
                <c:pt idx="17">
                  <c:v>7.0887895445517204</c:v>
                </c:pt>
                <c:pt idx="18">
                  <c:v>6.4593880843743916</c:v>
                </c:pt>
                <c:pt idx="19">
                  <c:v>5.8858700998713838</c:v>
                </c:pt>
                <c:pt idx="20">
                  <c:v>5.3632737931266883</c:v>
                </c:pt>
                <c:pt idx="21">
                  <c:v>4.8870779157474251</c:v>
                </c:pt>
                <c:pt idx="22">
                  <c:v>4.4531626532276203</c:v>
                </c:pt>
                <c:pt idx="23">
                  <c:v>4.0577739823221881</c:v>
                </c:pt>
                <c:pt idx="24">
                  <c:v>3.6974911930685415</c:v>
                </c:pt>
                <c:pt idx="25">
                  <c:v>3.3691972944721589</c:v>
                </c:pt>
                <c:pt idx="26">
                  <c:v>3.0700520478205484</c:v>
                </c:pt>
                <c:pt idx="27">
                  <c:v>2.7974673943230024</c:v>
                </c:pt>
                <c:pt idx="28">
                  <c:v>2.5490850644880538</c:v>
                </c:pt>
                <c:pt idx="29">
                  <c:v>2.3227561755258894</c:v>
                </c:pt>
                <c:pt idx="30">
                  <c:v>2.1165226402623798</c:v>
                </c:pt>
                <c:pt idx="31">
                  <c:v>1.9286002267237556</c:v>
                </c:pt>
                <c:pt idx="32">
                  <c:v>1.7573631218316776</c:v>
                </c:pt>
                <c:pt idx="33">
                  <c:v>1.6013298656613397</c:v>
                </c:pt>
                <c:pt idx="34">
                  <c:v>1.4591505345726565</c:v>
                </c:pt>
                <c:pt idx="35">
                  <c:v>1.3295950623292445</c:v>
                </c:pt>
                <c:pt idx="36">
                  <c:v>1.211542598165207</c:v>
                </c:pt>
                <c:pt idx="37">
                  <c:v>1.1039718097309115</c:v>
                </c:pt>
                <c:pt idx="38">
                  <c:v>1.0059520470235692</c:v>
                </c:pt>
                <c:pt idx="39">
                  <c:v>0.91663529085726025</c:v>
                </c:pt>
                <c:pt idx="40">
                  <c:v>0.83524881621448421</c:v>
                </c:pt>
                <c:pt idx="41">
                  <c:v>0.76108850700614716</c:v>
                </c:pt>
                <c:pt idx="42">
                  <c:v>0.69351276440252807</c:v>
                </c:pt>
                <c:pt idx="43">
                  <c:v>0.63193695603309363</c:v>
                </c:pt>
                <c:pt idx="44">
                  <c:v>0.5758283580323329</c:v>
                </c:pt>
                <c:pt idx="45">
                  <c:v>0.52470154617266662</c:v>
                </c:pt>
                <c:pt idx="46">
                  <c:v>0.47811419621075363</c:v>
                </c:pt>
                <c:pt idx="47">
                  <c:v>0.43566325711384601</c:v>
                </c:pt>
                <c:pt idx="48">
                  <c:v>0.39698146405880819</c:v>
                </c:pt>
                <c:pt idx="49">
                  <c:v>0.36173416103596884</c:v>
                </c:pt>
                <c:pt idx="50">
                  <c:v>0.32961640556852856</c:v>
                </c:pt>
                <c:pt idx="51">
                  <c:v>0.30035033049895848</c:v>
                </c:pt>
                <c:pt idx="52">
                  <c:v>0.27368274001786147</c:v>
                </c:pt>
                <c:pt idx="53">
                  <c:v>0.24938291913730395</c:v>
                </c:pt>
                <c:pt idx="54">
                  <c:v>0.22724063765725316</c:v>
                </c:pt>
                <c:pt idx="55">
                  <c:v>0.20706433135640809</c:v>
                </c:pt>
                <c:pt idx="56">
                  <c:v>0.18867944467197673</c:v>
                </c:pt>
                <c:pt idx="57">
                  <c:v>0.17192692053007128</c:v>
                </c:pt>
                <c:pt idx="58">
                  <c:v>0.15666182426147254</c:v>
                </c:pt>
                <c:pt idx="59">
                  <c:v>0.14275208969755113</c:v>
                </c:pt>
                <c:pt idx="60">
                  <c:v>0.13007737659818158</c:v>
                </c:pt>
                <c:pt idx="61">
                  <c:v>0.11852802952666969</c:v>
                </c:pt>
                <c:pt idx="62">
                  <c:v>0.1080041291643907</c:v>
                </c:pt>
                <c:pt idx="63">
                  <c:v>9.841462785757088E-2</c:v>
                </c:pt>
                <c:pt idx="64">
                  <c:v>8.9676561917389111E-2</c:v>
                </c:pt>
                <c:pt idx="65">
                  <c:v>8.1714333858599053E-2</c:v>
                </c:pt>
                <c:pt idx="66">
                  <c:v>7.4459058366953421E-2</c:v>
                </c:pt>
                <c:pt idx="67">
                  <c:v>6.7847966337058294E-2</c:v>
                </c:pt>
                <c:pt idx="68">
                  <c:v>6.1823861824683857E-2</c:v>
                </c:pt>
                <c:pt idx="69">
                  <c:v>5.6334627215347169E-2</c:v>
                </c:pt>
                <c:pt idx="70">
                  <c:v>5.1332772328127885E-2</c:v>
                </c:pt>
                <c:pt idx="71">
                  <c:v>4.6775023553782311E-2</c:v>
                </c:pt>
                <c:pt idx="72">
                  <c:v>4.2621949472579468E-2</c:v>
                </c:pt>
                <c:pt idx="73">
                  <c:v>3.8837619712886684E-2</c:v>
                </c:pt>
                <c:pt idx="74">
                  <c:v>3.5389294099116689E-2</c:v>
                </c:pt>
                <c:pt idx="75">
                  <c:v>3.224713939969432E-2</c:v>
                </c:pt>
                <c:pt idx="76">
                  <c:v>2.9383971224486074E-2</c:v>
                </c:pt>
                <c:pt idx="77">
                  <c:v>2.6775018838713183E-2</c:v>
                </c:pt>
                <c:pt idx="78">
                  <c:v>2.4397710858634399E-2</c:v>
                </c:pt>
                <c:pt idx="79">
                  <c:v>2.2231479974941293E-2</c:v>
                </c:pt>
                <c:pt idx="80">
                  <c:v>2.0257585014427839E-2</c:v>
                </c:pt>
                <c:pt idx="81">
                  <c:v>1.8458948800499506E-2</c:v>
                </c:pt>
                <c:pt idx="82">
                  <c:v>1.6820010409769243E-2</c:v>
                </c:pt>
                <c:pt idx="83">
                  <c:v>1.5326590546537009E-2</c:v>
                </c:pt>
                <c:pt idx="84">
                  <c:v>1.3965768870437914E-2</c:v>
                </c:pt>
                <c:pt idx="85">
                  <c:v>1.2725772215958534E-2</c:v>
                </c:pt>
                <c:pt idx="86">
                  <c:v>1.1595872736749911E-2</c:v>
                </c:pt>
                <c:pt idx="87">
                  <c:v>1.0566295093532912E-2</c:v>
                </c:pt>
                <c:pt idx="88">
                  <c:v>9.6281318826296463E-3</c:v>
                </c:pt>
                <c:pt idx="89">
                  <c:v>8.7732665734507904E-3</c:v>
                </c:pt>
                <c:pt idx="90">
                  <c:v>7.9943032882311103E-3</c:v>
                </c:pt>
                <c:pt idx="91">
                  <c:v>7.2845028165017291E-3</c:v>
                </c:pt>
                <c:pt idx="92">
                  <c:v>6.63772431072766E-3</c:v>
                </c:pt>
                <c:pt idx="93">
                  <c:v>6.0483721586895717E-3</c:v>
                </c:pt>
                <c:pt idx="94">
                  <c:v>5.5113475729757899E-3</c:v>
                </c:pt>
                <c:pt idx="95">
                  <c:v>5.0220044787599588E-3</c:v>
                </c:pt>
                <c:pt idx="96">
                  <c:v>4.5761093182275191E-3</c:v>
                </c:pt>
                <c:pt idx="97">
                  <c:v>4.1698044238979628E-3</c:v>
                </c:pt>
                <c:pt idx="98">
                  <c:v>3.7995746439671487E-3</c:v>
                </c:pt>
                <c:pt idx="99">
                  <c:v>3.4622169309280137E-3</c:v>
                </c:pt>
                <c:pt idx="100">
                  <c:v>3.1548126303656472E-3</c:v>
                </c:pt>
                <c:pt idx="101">
                  <c:v>2.8747022301825647E-3</c:v>
                </c:pt>
                <c:pt idx="102">
                  <c:v>2.6194623517970424E-3</c:v>
                </c:pt>
                <c:pt idx="103">
                  <c:v>2.3868847842534089E-3</c:v>
                </c:pt>
                <c:pt idx="104">
                  <c:v>2.1749573798577181E-3</c:v>
                </c:pt>
                <c:pt idx="105">
                  <c:v>1.9818466460571867E-3</c:v>
                </c:pt>
                <c:pt idx="106">
                  <c:v>1.8058818829567432E-3</c:v>
                </c:pt>
                <c:pt idx="107">
                  <c:v>1.645540729238285E-3</c:v>
                </c:pt>
                <c:pt idx="108">
                  <c:v>1.499435991432961E-3</c:v>
                </c:pt>
                <c:pt idx="109">
                  <c:v>1.3663036425997676E-3</c:v>
                </c:pt>
                <c:pt idx="110">
                  <c:v>1.2449918865808816E-3</c:v>
                </c:pt>
                <c:pt idx="111">
                  <c:v>1.1344511932229872E-3</c:v>
                </c:pt>
                <c:pt idx="112">
                  <c:v>1.0337252183542239E-3</c:v>
                </c:pt>
                <c:pt idx="113">
                  <c:v>9.4194252996078357E-4</c:v>
                </c:pt>
                <c:pt idx="114">
                  <c:v>8.5830906898208819E-4</c:v>
                </c:pt>
                <c:pt idx="115">
                  <c:v>7.8210127949904945E-4</c:v>
                </c:pt>
                <c:pt idx="116">
                  <c:v>7.1265984888109458E-4</c:v>
                </c:pt>
                <c:pt idx="117">
                  <c:v>6.493840037348304E-4</c:v>
                </c:pt>
                <c:pt idx="118">
                  <c:v>5.9172631230560184E-4</c:v>
                </c:pt>
                <c:pt idx="119">
                  <c:v>5.3918794836492988E-4</c:v>
                </c:pt>
                <c:pt idx="120">
                  <c:v>4.9131437560923389E-4</c:v>
                </c:pt>
                <c:pt idx="121">
                  <c:v>4.4769141523340621E-4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F4-46A8-981B-93B25993F629}"/>
            </c:ext>
          </c:extLst>
        </c:ser>
        <c:ser>
          <c:idx val="1"/>
          <c:order val="1"/>
          <c:tx>
            <c:v>ir; Ur = 2,25 [V/c]</c:v>
          </c:tx>
          <c:spPr>
            <a:ln w="15875">
              <a:solidFill>
                <a:srgbClr val="00B0F0"/>
              </a:solidFill>
              <a:prstDash val="lgDash"/>
            </a:ln>
          </c:spPr>
          <c:marker>
            <c:symbol val="none"/>
          </c:marker>
          <c:xVal>
            <c:numRef>
              <c:f>'100 A 39, 3 par. rev.'!$DQ$6:$DQ$127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rev.'!$DS$6:$DS$127</c:f>
              <c:numCache>
                <c:formatCode>0.000</c:formatCode>
                <c:ptCount val="122"/>
                <c:pt idx="0">
                  <c:v>140.38665649149584</c:v>
                </c:pt>
                <c:pt idx="1">
                  <c:v>140.38665649149584</c:v>
                </c:pt>
                <c:pt idx="2">
                  <c:v>32.007829561723398</c:v>
                </c:pt>
                <c:pt idx="3">
                  <c:v>28.806561838506816</c:v>
                </c:pt>
                <c:pt idx="4">
                  <c:v>25.925469371658249</c:v>
                </c:pt>
                <c:pt idx="5">
                  <c:v>23.332529786401942</c:v>
                </c:pt>
                <c:pt idx="6">
                  <c:v>20.998923430427077</c:v>
                </c:pt>
                <c:pt idx="7">
                  <c:v>18.898713053135154</c:v>
                </c:pt>
                <c:pt idx="8">
                  <c:v>17.00855552181406</c:v>
                </c:pt>
                <c:pt idx="9">
                  <c:v>15.307442370560802</c:v>
                </c:pt>
                <c:pt idx="10">
                  <c:v>13.776466298241465</c:v>
                </c:pt>
                <c:pt idx="11">
                  <c:v>12.39861102019159</c:v>
                </c:pt>
                <c:pt idx="12">
                  <c:v>11.158562137929307</c:v>
                </c:pt>
                <c:pt idx="13">
                  <c:v>10.042536924761546</c:v>
                </c:pt>
                <c:pt idx="14">
                  <c:v>9.0381311354075837</c:v>
                </c:pt>
                <c:pt idx="15">
                  <c:v>8.1341811369803505</c:v>
                </c:pt>
                <c:pt idx="16">
                  <c:v>7.3206398289576411</c:v>
                </c:pt>
                <c:pt idx="17">
                  <c:v>6.5884649730354825</c:v>
                </c:pt>
                <c:pt idx="18">
                  <c:v>5.9295186916873819</c:v>
                </c:pt>
                <c:pt idx="19">
                  <c:v>5.336477018389802</c:v>
                </c:pt>
                <c:pt idx="20">
                  <c:v>4.8027484941949696</c:v>
                </c:pt>
                <c:pt idx="21">
                  <c:v>4.3224009058792836</c:v>
                </c:pt>
                <c:pt idx="22">
                  <c:v>3.8900953513864347</c:v>
                </c:pt>
                <c:pt idx="23">
                  <c:v>3.5010268997248293</c:v>
                </c:pt>
                <c:pt idx="24">
                  <c:v>3.1508711857739859</c:v>
                </c:pt>
                <c:pt idx="25">
                  <c:v>2.8357363464191274</c:v>
                </c:pt>
                <c:pt idx="26">
                  <c:v>2.5521197638002446</c:v>
                </c:pt>
                <c:pt idx="27">
                  <c:v>2.2968691348914048</c:v>
                </c:pt>
                <c:pt idx="28">
                  <c:v>2.067147434711734</c:v>
                </c:pt>
                <c:pt idx="29">
                  <c:v>1.8604013837459368</c:v>
                </c:pt>
                <c:pt idx="30">
                  <c:v>1.6743330691003415</c:v>
                </c:pt>
                <c:pt idx="31">
                  <c:v>1.5068744039731428</c:v>
                </c:pt>
                <c:pt idx="32">
                  <c:v>1.3561641415644372</c:v>
                </c:pt>
                <c:pt idx="33">
                  <c:v>1.2205271879433874</c:v>
                </c:pt>
                <c:pt idx="34">
                  <c:v>1.0984559839419785</c:v>
                </c:pt>
                <c:pt idx="35">
                  <c:v>0.98859374914138154</c:v>
                </c:pt>
                <c:pt idx="36">
                  <c:v>0.88971940171344621</c:v>
                </c:pt>
                <c:pt idx="37">
                  <c:v>0.800733986506447</c:v>
                </c:pt>
                <c:pt idx="38">
                  <c:v>0.72064846052779574</c:v>
                </c:pt>
                <c:pt idx="39">
                  <c:v>0.64857270006348233</c:v>
                </c:pt>
                <c:pt idx="40">
                  <c:v>0.58370560725205489</c:v>
                </c:pt>
                <c:pt idx="41">
                  <c:v>0.52532620615104786</c:v>
                </c:pt>
                <c:pt idx="42">
                  <c:v>0.47278562933161117</c:v>
                </c:pt>
                <c:pt idx="43">
                  <c:v>0.42549990593505016</c:v>
                </c:pt>
                <c:pt idx="44">
                  <c:v>0.38294347103293197</c:v>
                </c:pt>
                <c:pt idx="45">
                  <c:v>0.34464332414948801</c:v>
                </c:pt>
                <c:pt idx="46">
                  <c:v>0.31017377202024249</c:v>
                </c:pt>
                <c:pt idx="47">
                  <c:v>0.27915169715440513</c:v>
                </c:pt>
                <c:pt idx="48">
                  <c:v>0.25123229961268057</c:v>
                </c:pt>
                <c:pt idx="49">
                  <c:v>0.22610526467178807</c:v>
                </c:pt>
                <c:pt idx="50">
                  <c:v>0.20349131378057486</c:v>
                </c:pt>
                <c:pt idx="51">
                  <c:v>0.1831391004727502</c:v>
                </c:pt>
                <c:pt idx="52">
                  <c:v>0.16482241673536138</c:v>
                </c:pt>
                <c:pt idx="53">
                  <c:v>0.14833767878273096</c:v>
                </c:pt>
                <c:pt idx="54">
                  <c:v>0.13350166429107993</c:v>
                </c:pt>
                <c:pt idx="55">
                  <c:v>0.12014947594395735</c:v>
                </c:pt>
                <c:pt idx="56">
                  <c:v>0.10813270865397098</c:v>
                </c:pt>
                <c:pt idx="57">
                  <c:v>9.7317800090102075E-2</c:v>
                </c:pt>
                <c:pt idx="58">
                  <c:v>8.7584546177270614E-2</c:v>
                </c:pt>
                <c:pt idx="59">
                  <c:v>7.8824765068427033E-2</c:v>
                </c:pt>
                <c:pt idx="60">
                  <c:v>7.0941094739669572E-2</c:v>
                </c:pt>
                <c:pt idx="61">
                  <c:v>6.3845910844060022E-2</c:v>
                </c:pt>
                <c:pt idx="62">
                  <c:v>5.7460352796448184E-2</c:v>
                </c:pt>
                <c:pt idx="63">
                  <c:v>5.1713447264562902E-2</c:v>
                </c:pt>
                <c:pt idx="64">
                  <c:v>4.6541319324270476E-2</c:v>
                </c:pt>
                <c:pt idx="65">
                  <c:v>4.1886482511252883E-2</c:v>
                </c:pt>
                <c:pt idx="66">
                  <c:v>3.7697199878271706E-2</c:v>
                </c:pt>
                <c:pt idx="67">
                  <c:v>3.392690895638209E-2</c:v>
                </c:pt>
                <c:pt idx="68">
                  <c:v>3.0533704228734648E-2</c:v>
                </c:pt>
                <c:pt idx="69">
                  <c:v>2.7479871364835023E-2</c:v>
                </c:pt>
                <c:pt idx="70">
                  <c:v>2.4731468038431747E-2</c:v>
                </c:pt>
                <c:pt idx="71">
                  <c:v>2.2257946669964064E-2</c:v>
                </c:pt>
                <c:pt idx="72">
                  <c:v>2.0031814900478496E-2</c:v>
                </c:pt>
                <c:pt idx="73">
                  <c:v>1.8028330023295909E-2</c:v>
                </c:pt>
                <c:pt idx="74">
                  <c:v>1.6225223977139932E-2</c:v>
                </c:pt>
                <c:pt idx="75">
                  <c:v>1.4602455844117486E-2</c:v>
                </c:pt>
                <c:pt idx="76">
                  <c:v>1.3141989101649891E-2</c:v>
                </c:pt>
                <c:pt idx="77">
                  <c:v>1.1827591152584116E-2</c:v>
                </c:pt>
                <c:pt idx="78">
                  <c:v>1.0644652905329484E-2</c:v>
                </c:pt>
                <c:pt idx="79">
                  <c:v>9.5800263987129569E-3</c:v>
                </c:pt>
                <c:pt idx="80">
                  <c:v>8.6218786668081169E-3</c:v>
                </c:pt>
                <c:pt idx="81">
                  <c:v>7.7595602194945575E-3</c:v>
                </c:pt>
                <c:pt idx="82">
                  <c:v>6.9834866769532943E-3</c:v>
                </c:pt>
                <c:pt idx="83">
                  <c:v>6.2850322425052419E-3</c:v>
                </c:pt>
                <c:pt idx="84">
                  <c:v>5.6564338297791124E-3</c:v>
                </c:pt>
                <c:pt idx="85">
                  <c:v>5.0907047786148277E-3</c:v>
                </c:pt>
                <c:pt idx="86">
                  <c:v>4.5815572006830613E-3</c:v>
                </c:pt>
                <c:pt idx="87">
                  <c:v>4.1233320917192081E-3</c:v>
                </c:pt>
                <c:pt idx="88">
                  <c:v>3.7109364335922075E-3</c:v>
                </c:pt>
                <c:pt idx="89">
                  <c:v>3.3397865871192213E-3</c:v>
                </c:pt>
                <c:pt idx="90">
                  <c:v>3.0057573464561155E-3</c:v>
                </c:pt>
                <c:pt idx="91">
                  <c:v>2.7051360888205207E-3</c:v>
                </c:pt>
                <c:pt idx="92">
                  <c:v>2.4345815099369415E-3</c:v>
                </c:pt>
                <c:pt idx="93">
                  <c:v>2.1910864865623708E-3</c:v>
                </c:pt>
                <c:pt idx="94">
                  <c:v>1.9719446533217931E-3</c:v>
                </c:pt>
                <c:pt idx="95">
                  <c:v>1.7747203223662941E-3</c:v>
                </c:pt>
                <c:pt idx="96">
                  <c:v>1.5972214115209994E-3</c:v>
                </c:pt>
                <c:pt idx="97">
                  <c:v>1.4374750800281817E-3</c:v>
                </c:pt>
                <c:pt idx="98">
                  <c:v>1.2937058010850913E-3</c:v>
                </c:pt>
                <c:pt idx="99">
                  <c:v>1.1643156274600598E-3</c:v>
                </c:pt>
                <c:pt idx="100">
                  <c:v>1.0478664308459363E-3</c:v>
                </c:pt>
                <c:pt idx="101">
                  <c:v>9.4306391754710314E-4</c:v>
                </c:pt>
                <c:pt idx="102">
                  <c:v>8.487432428399374E-4</c:v>
                </c:pt>
                <c:pt idx="103">
                  <c:v>7.6385606411505293E-4</c:v>
                </c:pt>
                <c:pt idx="104">
                  <c:v>6.8745888890142984E-4</c:v>
                </c:pt>
                <c:pt idx="105">
                  <c:v>6.1870258826459226E-4</c:v>
                </c:pt>
                <c:pt idx="106">
                  <c:v>5.5682295902379755E-4</c:v>
                </c:pt>
                <c:pt idx="107">
                  <c:v>5.0113222989043324E-4</c:v>
                </c:pt>
                <c:pt idx="108">
                  <c:v>4.5101141712122658E-4</c:v>
                </c:pt>
                <c:pt idx="109">
                  <c:v>4.0590344472190762E-4</c:v>
                </c:pt>
                <c:pt idx="110">
                  <c:v>3.6530695273469206E-4</c:v>
                </c:pt>
                <c:pt idx="111">
                  <c:v>3.2877072479080624E-4</c:v>
                </c:pt>
                <c:pt idx="112">
                  <c:v>2.9588867299214396E-4</c:v>
                </c:pt>
                <c:pt idx="113">
                  <c:v>2.6629532438072009E-4</c:v>
                </c:pt>
                <c:pt idx="114">
                  <c:v>2.3966175882952936E-4</c:v>
                </c:pt>
                <c:pt idx="115">
                  <c:v>2.1569195320585291E-4</c:v>
                </c:pt>
                <c:pt idx="116">
                  <c:v>1.9411949117358919E-4</c:v>
                </c:pt>
                <c:pt idx="117">
                  <c:v>1.7470460206519517E-4</c:v>
                </c:pt>
                <c:pt idx="118">
                  <c:v>1.57231495911271E-4</c:v>
                </c:pt>
                <c:pt idx="119">
                  <c:v>1.4150596500755333E-4</c:v>
                </c:pt>
                <c:pt idx="120">
                  <c:v>1.2735322536153182E-4</c:v>
                </c:pt>
                <c:pt idx="121">
                  <c:v>1.146159740270978E-4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F4-46A8-981B-93B25993F629}"/>
            </c:ext>
          </c:extLst>
        </c:ser>
        <c:ser>
          <c:idx val="2"/>
          <c:order val="2"/>
          <c:tx>
            <c:v>ir; Ur = 2,28 [V/c]</c:v>
          </c:tx>
          <c:spPr>
            <a:ln w="15875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'100 A 39, 3 par. rev.'!$DQ$6:$DQ$127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rev.'!$DT$6:$DT$127</c:f>
              <c:numCache>
                <c:formatCode>0.000</c:formatCode>
                <c:ptCount val="122"/>
                <c:pt idx="0">
                  <c:v>161.32908783102192</c:v>
                </c:pt>
                <c:pt idx="1">
                  <c:v>161.32908783102192</c:v>
                </c:pt>
                <c:pt idx="2">
                  <c:v>40.157785002622973</c:v>
                </c:pt>
                <c:pt idx="3">
                  <c:v>35.038436310885196</c:v>
                </c:pt>
                <c:pt idx="4">
                  <c:v>30.57170655781362</c:v>
                </c:pt>
                <c:pt idx="5">
                  <c:v>26.674399324341664</c:v>
                </c:pt>
                <c:pt idx="6">
                  <c:v>23.273924141882272</c:v>
                </c:pt>
                <c:pt idx="7">
                  <c:v>20.306944436712605</c:v>
                </c:pt>
                <c:pt idx="8">
                  <c:v>17.71819783556202</c:v>
                </c:pt>
                <c:pt idx="9">
                  <c:v>15.459466859650103</c:v>
                </c:pt>
                <c:pt idx="10">
                  <c:v>13.488680835526917</c:v>
                </c:pt>
                <c:pt idx="11">
                  <c:v>11.769132295085434</c:v>
                </c:pt>
                <c:pt idx="12">
                  <c:v>10.268793269568988</c:v>
                </c:pt>
                <c:pt idx="13">
                  <c:v>8.9597187430018437</c:v>
                </c:pt>
                <c:pt idx="14">
                  <c:v>7.8175261538854661</c:v>
                </c:pt>
                <c:pt idx="15">
                  <c:v>6.8209412504624982</c:v>
                </c:pt>
                <c:pt idx="16">
                  <c:v>5.9514018407392113</c:v>
                </c:pt>
                <c:pt idx="17">
                  <c:v>5.1927120567931082</c:v>
                </c:pt>
                <c:pt idx="18">
                  <c:v>4.5307406937615466</c:v>
                </c:pt>
                <c:pt idx="19">
                  <c:v>3.9531580048334547</c:v>
                </c:pt>
                <c:pt idx="20">
                  <c:v>3.4492060498400439</c:v>
                </c:pt>
                <c:pt idx="21">
                  <c:v>3.0094983200031193</c:v>
                </c:pt>
                <c:pt idx="22">
                  <c:v>2.625844906691388</c:v>
                </c:pt>
                <c:pt idx="23">
                  <c:v>2.2910999578128877</c:v>
                </c:pt>
                <c:pt idx="24">
                  <c:v>1.9990285805966432</c:v>
                </c:pt>
                <c:pt idx="25">
                  <c:v>1.7441907117212703</c:v>
                </c:pt>
                <c:pt idx="26">
                  <c:v>1.5218397917786437</c:v>
                </c:pt>
                <c:pt idx="27">
                  <c:v>1.3278343568033928</c:v>
                </c:pt>
                <c:pt idx="28">
                  <c:v>1.1585609001896398</c:v>
                </c:pt>
                <c:pt idx="29">
                  <c:v>1.0108665682363971</c:v>
                </c:pt>
                <c:pt idx="30">
                  <c:v>0.88200043572225473</c:v>
                </c:pt>
                <c:pt idx="31">
                  <c:v>0.76956226771991199</c:v>
                </c:pt>
                <c:pt idx="32">
                  <c:v>0.67145781329830023</c:v>
                </c:pt>
                <c:pt idx="33">
                  <c:v>0.58585979842170244</c:v>
                </c:pt>
                <c:pt idx="34">
                  <c:v>0.51117389150736448</c:v>
                </c:pt>
                <c:pt idx="35">
                  <c:v>0.44600900772286767</c:v>
                </c:pt>
                <c:pt idx="36">
                  <c:v>0.38915139891699879</c:v>
                </c:pt>
                <c:pt idx="37">
                  <c:v>0.33954204658834014</c:v>
                </c:pt>
                <c:pt idx="38">
                  <c:v>0.29625693681750842</c:v>
                </c:pt>
                <c:pt idx="39">
                  <c:v>0.25848984976786438</c:v>
                </c:pt>
                <c:pt idx="40">
                  <c:v>0.22553734319534857</c:v>
                </c:pt>
                <c:pt idx="41">
                  <c:v>0.19678565027329856</c:v>
                </c:pt>
                <c:pt idx="42">
                  <c:v>0.17169924769373471</c:v>
                </c:pt>
                <c:pt idx="43">
                  <c:v>0.14981088111684637</c:v>
                </c:pt>
                <c:pt idx="44">
                  <c:v>0.13071286218468861</c:v>
                </c:pt>
                <c:pt idx="45">
                  <c:v>0.11404947499899663</c:v>
                </c:pt>
                <c:pt idx="46">
                  <c:v>9.951035062768579E-2</c:v>
                </c:pt>
                <c:pt idx="47">
                  <c:v>8.6824686234917625E-2</c:v>
                </c:pt>
                <c:pt idx="48">
                  <c:v>7.5756201161394934E-2</c:v>
                </c:pt>
                <c:pt idx="49">
                  <c:v>6.6098736007844217E-2</c:v>
                </c:pt>
                <c:pt idx="50">
                  <c:v>5.7672412751091549E-2</c:v>
                </c:pt>
                <c:pt idx="51">
                  <c:v>5.0320284371815224E-2</c:v>
                </c:pt>
                <c:pt idx="52">
                  <c:v>4.3905411590612349E-2</c:v>
                </c:pt>
                <c:pt idx="53">
                  <c:v>3.8308312264244367E-2</c:v>
                </c:pt>
                <c:pt idx="54">
                  <c:v>3.3424735935026213E-2</c:v>
                </c:pt>
                <c:pt idx="55">
                  <c:v>2.9163722082556999E-2</c:v>
                </c:pt>
                <c:pt idx="56">
                  <c:v>2.544590591117727E-2</c:v>
                </c:pt>
                <c:pt idx="57">
                  <c:v>2.2202040117086323E-2</c:v>
                </c:pt>
                <c:pt idx="58">
                  <c:v>1.9371705101848519E-2</c:v>
                </c:pt>
                <c:pt idx="59">
                  <c:v>1.69021836089823E-2</c:v>
                </c:pt>
                <c:pt idx="60">
                  <c:v>1.4747478822836778E-2</c:v>
                </c:pt>
                <c:pt idx="61">
                  <c:v>1.2867457641061196E-2</c:v>
                </c:pt>
                <c:pt idx="62">
                  <c:v>1.1227103163431137E-2</c:v>
                </c:pt>
                <c:pt idx="63">
                  <c:v>9.7958624740364705E-3</c:v>
                </c:pt>
                <c:pt idx="64">
                  <c:v>8.5470775687528349E-3</c:v>
                </c:pt>
                <c:pt idx="65">
                  <c:v>7.4574888285641495E-3</c:v>
                </c:pt>
                <c:pt idx="66">
                  <c:v>6.5068017905299223E-3</c:v>
                </c:pt>
                <c:pt idx="67">
                  <c:v>5.6773091471590134E-3</c:v>
                </c:pt>
                <c:pt idx="68">
                  <c:v>4.9535609336257974E-3</c:v>
                </c:pt>
                <c:pt idx="69">
                  <c:v>4.3220767598013644E-3</c:v>
                </c:pt>
                <c:pt idx="70">
                  <c:v>3.7710947271909034E-3</c:v>
                </c:pt>
                <c:pt idx="71">
                  <c:v>3.2903523541540636E-3</c:v>
                </c:pt>
                <c:pt idx="72">
                  <c:v>2.8708954289652197E-3</c:v>
                </c:pt>
                <c:pt idx="73">
                  <c:v>2.5049112304485707E-3</c:v>
                </c:pt>
                <c:pt idx="74">
                  <c:v>2.1855830097890264E-3</c:v>
                </c:pt>
                <c:pt idx="75">
                  <c:v>1.9069630231259899E-3</c:v>
                </c:pt>
                <c:pt idx="76">
                  <c:v>1.663861750060389E-3</c:v>
                </c:pt>
                <c:pt idx="77">
                  <c:v>1.4517512346809225E-3</c:v>
                </c:pt>
                <c:pt idx="78">
                  <c:v>1.2666807487587747E-3</c:v>
                </c:pt>
                <c:pt idx="79">
                  <c:v>1.1052032062702131E-3</c:v>
                </c:pt>
                <c:pt idx="80">
                  <c:v>9.6431095865859187E-4</c:v>
                </c:pt>
                <c:pt idx="81">
                  <c:v>8.4137977497117443E-4</c:v>
                </c:pt>
                <c:pt idx="82">
                  <c:v>7.3411996345587268E-4</c:v>
                </c:pt>
                <c:pt idx="83">
                  <c:v>6.4053372421855317E-4</c:v>
                </c:pt>
                <c:pt idx="84">
                  <c:v>5.5887793859994825E-4</c:v>
                </c:pt>
                <c:pt idx="85">
                  <c:v>4.8763170219458279E-4</c:v>
                </c:pt>
                <c:pt idx="86">
                  <c:v>4.2546799678810487E-4</c:v>
                </c:pt>
                <c:pt idx="87">
                  <c:v>3.7122897358024597E-4</c:v>
                </c:pt>
                <c:pt idx="88">
                  <c:v>3.2390438732358284E-4</c:v>
                </c:pt>
                <c:pt idx="89">
                  <c:v>2.82612779696698E-4</c:v>
                </c:pt>
                <c:pt idx="90">
                  <c:v>2.465850614369836E-4</c:v>
                </c:pt>
                <c:pt idx="91">
                  <c:v>2.1515018743715897E-4</c:v>
                </c:pt>
                <c:pt idx="92">
                  <c:v>1.8772265799270346E-4</c:v>
                </c:pt>
                <c:pt idx="93">
                  <c:v>1.6379161340093315E-4</c:v>
                </c:pt>
                <c:pt idx="94">
                  <c:v>1.4291131878989055E-4</c:v>
                </c:pt>
                <c:pt idx="95">
                  <c:v>1.2469286194936115E-4</c:v>
                </c:pt>
                <c:pt idx="96">
                  <c:v>1.0879690952948026E-4</c:v>
                </c:pt>
                <c:pt idx="97">
                  <c:v>9.4927386685317292E-5</c:v>
                </c:pt>
                <c:pt idx="98">
                  <c:v>8.2825962445762973E-5</c:v>
                </c:pt>
                <c:pt idx="99">
                  <c:v>7.2267238092292062E-5</c:v>
                </c:pt>
                <c:pt idx="100">
                  <c:v>6.3054548927311764E-5</c:v>
                </c:pt>
                <c:pt idx="101">
                  <c:v>5.5016301236656804E-5</c:v>
                </c:pt>
                <c:pt idx="102">
                  <c:v>4.8002776219235303E-5</c:v>
                </c:pt>
                <c:pt idx="103">
                  <c:v>4.1883341354447088E-5</c:v>
                </c:pt>
                <c:pt idx="104">
                  <c:v>3.6544017266863809E-5</c:v>
                </c:pt>
                <c:pt idx="105">
                  <c:v>3.1885354769075537E-5</c:v>
                </c:pt>
                <c:pt idx="106">
                  <c:v>2.7820582540926004E-5</c:v>
                </c:pt>
                <c:pt idx="107">
                  <c:v>2.4273990944179082E-5</c:v>
                </c:pt>
                <c:pt idx="108">
                  <c:v>2.1179521869870762E-5</c:v>
                </c:pt>
                <c:pt idx="109">
                  <c:v>1.8479538353123732E-5</c:v>
                </c:pt>
                <c:pt idx="110">
                  <c:v>1.6123751038514553E-5</c:v>
                </c:pt>
                <c:pt idx="111">
                  <c:v>1.4068281500552397E-5</c:v>
                </c:pt>
                <c:pt idx="112">
                  <c:v>1.227484497286173E-5</c:v>
                </c:pt>
                <c:pt idx="113">
                  <c:v>1.0710037263746358E-5</c:v>
                </c:pt>
                <c:pt idx="114">
                  <c:v>9.344712576365263E-6</c:v>
                </c:pt>
                <c:pt idx="115">
                  <c:v>8.1534406449239319E-6</c:v>
                </c:pt>
                <c:pt idx="116">
                  <c:v>7.1140330756063737E-6</c:v>
                </c:pt>
                <c:pt idx="117">
                  <c:v>6.2071300699698459E-6</c:v>
                </c:pt>
                <c:pt idx="118">
                  <c:v>5.4158398331933207E-6</c:v>
                </c:pt>
                <c:pt idx="119">
                  <c:v>4.7254239508704216E-6</c:v>
                </c:pt>
                <c:pt idx="120">
                  <c:v>4.123022874236954E-6</c:v>
                </c:pt>
                <c:pt idx="121">
                  <c:v>3.5974164007760493E-6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F4-46A8-981B-93B25993F629}"/>
            </c:ext>
          </c:extLst>
        </c:ser>
        <c:ser>
          <c:idx val="3"/>
          <c:order val="3"/>
          <c:tx>
            <c:v>ir contr.; Ur = 2,23 [V/c]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'100 A 39, 3 par. rev.'!$DQ$6:$DQ$127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rev.'!$DU$6:$DU$127</c:f>
              <c:numCache>
                <c:formatCode>0.000</c:formatCode>
                <c:ptCount val="122"/>
                <c:pt idx="2">
                  <c:v>12.5</c:v>
                </c:pt>
                <c:pt idx="3">
                  <c:v>12.5</c:v>
                </c:pt>
                <c:pt idx="4">
                  <c:v>12.499999999999996</c:v>
                </c:pt>
                <c:pt idx="5">
                  <c:v>12.500000000000004</c:v>
                </c:pt>
                <c:pt idx="6">
                  <c:v>12.500000000000004</c:v>
                </c:pt>
                <c:pt idx="7">
                  <c:v>12.499999999999998</c:v>
                </c:pt>
                <c:pt idx="8">
                  <c:v>12.499999999999998</c:v>
                </c:pt>
                <c:pt idx="9">
                  <c:v>12.5</c:v>
                </c:pt>
                <c:pt idx="10">
                  <c:v>12.499999999999998</c:v>
                </c:pt>
                <c:pt idx="11">
                  <c:v>12.5</c:v>
                </c:pt>
                <c:pt idx="12">
                  <c:v>12.499999999999998</c:v>
                </c:pt>
                <c:pt idx="13">
                  <c:v>12.500000000000002</c:v>
                </c:pt>
                <c:pt idx="14">
                  <c:v>12.499999999999998</c:v>
                </c:pt>
                <c:pt idx="15">
                  <c:v>12.499999999999998</c:v>
                </c:pt>
                <c:pt idx="16">
                  <c:v>12.500000000000007</c:v>
                </c:pt>
                <c:pt idx="17">
                  <c:v>12.500000000000007</c:v>
                </c:pt>
                <c:pt idx="18">
                  <c:v>12.499999999999998</c:v>
                </c:pt>
                <c:pt idx="19">
                  <c:v>12.499999999999998</c:v>
                </c:pt>
                <c:pt idx="20">
                  <c:v>12.500000000000007</c:v>
                </c:pt>
                <c:pt idx="21">
                  <c:v>12.500000000000007</c:v>
                </c:pt>
                <c:pt idx="22">
                  <c:v>12.499999999999991</c:v>
                </c:pt>
                <c:pt idx="23">
                  <c:v>12.499999999999989</c:v>
                </c:pt>
                <c:pt idx="24">
                  <c:v>12.500000000000004</c:v>
                </c:pt>
                <c:pt idx="25">
                  <c:v>12.499999999999989</c:v>
                </c:pt>
                <c:pt idx="26">
                  <c:v>12.500000000000009</c:v>
                </c:pt>
                <c:pt idx="27">
                  <c:v>12.499999999999989</c:v>
                </c:pt>
                <c:pt idx="28">
                  <c:v>12.499999999999989</c:v>
                </c:pt>
                <c:pt idx="29">
                  <c:v>12.500000000000009</c:v>
                </c:pt>
                <c:pt idx="30">
                  <c:v>12.499999999999989</c:v>
                </c:pt>
                <c:pt idx="31">
                  <c:v>12.499999999999989</c:v>
                </c:pt>
                <c:pt idx="32">
                  <c:v>12.500000000000004</c:v>
                </c:pt>
                <c:pt idx="33">
                  <c:v>12.500000000000009</c:v>
                </c:pt>
                <c:pt idx="34">
                  <c:v>12.499999999999989</c:v>
                </c:pt>
                <c:pt idx="35">
                  <c:v>12.500000000000009</c:v>
                </c:pt>
                <c:pt idx="36">
                  <c:v>12.499999999999989</c:v>
                </c:pt>
                <c:pt idx="37">
                  <c:v>12.499999999999973</c:v>
                </c:pt>
                <c:pt idx="38">
                  <c:v>12.500000000000004</c:v>
                </c:pt>
                <c:pt idx="39">
                  <c:v>12.499999999999973</c:v>
                </c:pt>
                <c:pt idx="40">
                  <c:v>8.8110166286721174</c:v>
                </c:pt>
                <c:pt idx="41">
                  <c:v>0.79759412553571285</c:v>
                </c:pt>
                <c:pt idx="42">
                  <c:v>0.72677711170193759</c:v>
                </c:pt>
                <c:pt idx="43">
                  <c:v>0.66224781901326202</c:v>
                </c:pt>
                <c:pt idx="44">
                  <c:v>0.60344797149816676</c:v>
                </c:pt>
                <c:pt idx="45">
                  <c:v>0.54986886155070835</c:v>
                </c:pt>
                <c:pt idx="46">
                  <c:v>0.50104694884033751</c:v>
                </c:pt>
                <c:pt idx="47">
                  <c:v>0.45655984998731225</c:v>
                </c:pt>
                <c:pt idx="48">
                  <c:v>0.41602268430686856</c:v>
                </c:pt>
                <c:pt idx="49">
                  <c:v>0.37908474401070946</c:v>
                </c:pt>
                <c:pt idx="50">
                  <c:v>0.34542646005228173</c:v>
                </c:pt>
                <c:pt idx="51">
                  <c:v>0.31475663737325132</c:v>
                </c:pt>
                <c:pt idx="52">
                  <c:v>0.28680993562417811</c:v>
                </c:pt>
                <c:pt idx="53">
                  <c:v>0.26134457357038204</c:v>
                </c:pt>
                <c:pt idx="54">
                  <c:v>0.23814023731795059</c:v>
                </c:pt>
                <c:pt idx="55">
                  <c:v>0.21699617426555901</c:v>
                </c:pt>
                <c:pt idx="56">
                  <c:v>0.19772945629107211</c:v>
                </c:pt>
                <c:pt idx="57">
                  <c:v>0.18017339714624889</c:v>
                </c:pt>
                <c:pt idx="58">
                  <c:v>0.16417611036871507</c:v>
                </c:pt>
                <c:pt idx="59">
                  <c:v>0.14959919523498319</c:v>
                </c:pt>
                <c:pt idx="60">
                  <c:v>0.13631653938375668</c:v>
                </c:pt>
                <c:pt idx="61">
                  <c:v>0.12421322775409682</c:v>
                </c:pt>
                <c:pt idx="62">
                  <c:v>0.11318454839631938</c:v>
                </c:pt>
                <c:pt idx="63">
                  <c:v>0.10313508655485601</c:v>
                </c:pt>
                <c:pt idx="64">
                  <c:v>9.3977899186655001E-2</c:v>
                </c:pt>
                <c:pt idx="65">
                  <c:v>8.5633762772232863E-2</c:v>
                </c:pt>
                <c:pt idx="66">
                  <c:v>7.8030487912670587E-2</c:v>
                </c:pt>
                <c:pt idx="67">
                  <c:v>7.1102294781510603E-2</c:v>
                </c:pt>
                <c:pt idx="68">
                  <c:v>6.4789244030621043E-2</c:v>
                </c:pt>
                <c:pt idx="69">
                  <c:v>5.9036718223382176E-2</c:v>
                </c:pt>
                <c:pt idx="70">
                  <c:v>5.3794949312049506E-2</c:v>
                </c:pt>
                <c:pt idx="71">
                  <c:v>4.9018588068107952E-2</c:v>
                </c:pt>
                <c:pt idx="72">
                  <c:v>4.4666311743313418E-2</c:v>
                </c:pt>
                <c:pt idx="73">
                  <c:v>4.0700466565510997E-2</c:v>
                </c:pt>
                <c:pt idx="74">
                  <c:v>3.7086741976111302E-2</c:v>
                </c:pt>
                <c:pt idx="75">
                  <c:v>3.3793873792262251E-2</c:v>
                </c:pt>
                <c:pt idx="76">
                  <c:v>3.0793373724336104E-2</c:v>
                </c:pt>
                <c:pt idx="77">
                  <c:v>2.8059282909041017E-2</c:v>
                </c:pt>
                <c:pt idx="78">
                  <c:v>2.556794732576825E-2</c:v>
                </c:pt>
                <c:pt idx="79">
                  <c:v>2.3297813154101815E-2</c:v>
                </c:pt>
                <c:pt idx="80">
                  <c:v>2.1229240300328987E-2</c:v>
                </c:pt>
                <c:pt idx="81">
                  <c:v>1.9344332480741924E-2</c:v>
                </c:pt>
                <c:pt idx="82">
                  <c:v>1.7626782392312385E-2</c:v>
                </c:pt>
                <c:pt idx="83">
                  <c:v>1.6061730629104775E-2</c:v>
                </c:pt>
                <c:pt idx="84">
                  <c:v>1.4635637126474213E-2</c:v>
                </c:pt>
                <c:pt idx="85">
                  <c:v>1.333616401886701E-2</c:v>
                </c:pt>
                <c:pt idx="86">
                  <c:v>1.2152068898885031E-2</c:v>
                </c:pt>
                <c:pt idx="87">
                  <c:v>1.1073107552803703E-2</c:v>
                </c:pt>
                <c:pt idx="88">
                  <c:v>1.0089945333291475E-2</c:v>
                </c:pt>
                <c:pt idx="89">
                  <c:v>9.1940764001919081E-3</c:v>
                </c:pt>
                <c:pt idx="90">
                  <c:v>8.3777501325242778E-3</c:v>
                </c:pt>
                <c:pt idx="91">
                  <c:v>7.6339040735007571E-3</c:v>
                </c:pt>
                <c:pt idx="92">
                  <c:v>6.9561028296050396E-3</c:v>
                </c:pt>
                <c:pt idx="93">
                  <c:v>6.3384823951650113E-3</c:v>
                </c:pt>
                <c:pt idx="94">
                  <c:v>5.7756994193170139E-3</c:v>
                </c:pt>
                <c:pt idx="95">
                  <c:v>5.2628849783076439E-3</c:v>
                </c:pt>
                <c:pt idx="96">
                  <c:v>4.7956024515372238E-3</c:v>
                </c:pt>
                <c:pt idx="97">
                  <c:v>4.3698091384668999E-3</c:v>
                </c:pt>
                <c:pt idx="98">
                  <c:v>3.9818212832188633E-3</c:v>
                </c:pt>
                <c:pt idx="99">
                  <c:v>3.6282822036781165E-3</c:v>
                </c:pt>
                <c:pt idx="100">
                  <c:v>3.3061332526074945E-3</c:v>
                </c:pt>
                <c:pt idx="101">
                  <c:v>3.0125873539077045E-3</c:v>
                </c:pt>
                <c:pt idx="102">
                  <c:v>2.7451048920568251E-3</c:v>
                </c:pt>
                <c:pt idx="103">
                  <c:v>2.5013717389299559E-3</c:v>
                </c:pt>
                <c:pt idx="104">
                  <c:v>2.2792792342585327E-3</c:v>
                </c:pt>
                <c:pt idx="105">
                  <c:v>2.0769059420188956E-3</c:v>
                </c:pt>
                <c:pt idx="106">
                  <c:v>1.892501027214173E-3</c:v>
                </c:pt>
                <c:pt idx="107">
                  <c:v>1.7244691081685975E-3</c:v>
                </c:pt>
                <c:pt idx="108">
                  <c:v>1.571356455158912E-3</c:v>
                </c:pt>
                <c:pt idx="109">
                  <c:v>1.4318384116762722E-3</c:v>
                </c:pt>
                <c:pt idx="110">
                  <c:v>1.3047079360006865E-3</c:v>
                </c:pt>
                <c:pt idx="111">
                  <c:v>1.1888651570757288E-3</c:v>
                </c:pt>
                <c:pt idx="112">
                  <c:v>1.0833078597016611E-3</c:v>
                </c:pt>
                <c:pt idx="113">
                  <c:v>9.8712281364046078E-4</c:v>
                </c:pt>
                <c:pt idx="114">
                  <c:v>8.9947787280662936E-4</c:v>
                </c:pt>
                <c:pt idx="115">
                  <c:v>8.1961477590654721E-4</c:v>
                </c:pt>
                <c:pt idx="116">
                  <c:v>7.4684258628109393E-4</c:v>
                </c:pt>
                <c:pt idx="117">
                  <c:v>6.8053171460747091E-4</c:v>
                </c:pt>
                <c:pt idx="118">
                  <c:v>6.2010847130977926E-4</c:v>
                </c:pt>
                <c:pt idx="119">
                  <c:v>5.6505010412877461E-4</c:v>
                </c:pt>
                <c:pt idx="120">
                  <c:v>5.1488027501988382E-4</c:v>
                </c:pt>
                <c:pt idx="121">
                  <c:v>4.6916493886328849E-4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EF4-46A8-981B-93B25993F629}"/>
            </c:ext>
          </c:extLst>
        </c:ser>
        <c:ser>
          <c:idx val="4"/>
          <c:order val="4"/>
          <c:tx>
            <c:v>ir contr.; Ur = 2,25 [V/c]</c:v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'100 A 39, 3 par. rev.'!$DQ$6:$DQ$127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rev.'!$DV$6:$DV$127</c:f>
              <c:numCache>
                <c:formatCode>0.000</c:formatCode>
                <c:ptCount val="122"/>
                <c:pt idx="2">
                  <c:v>12.5</c:v>
                </c:pt>
                <c:pt idx="3">
                  <c:v>12.5</c:v>
                </c:pt>
                <c:pt idx="4">
                  <c:v>12.499999999999996</c:v>
                </c:pt>
                <c:pt idx="5">
                  <c:v>12.500000000000004</c:v>
                </c:pt>
                <c:pt idx="6">
                  <c:v>12.500000000000004</c:v>
                </c:pt>
                <c:pt idx="7">
                  <c:v>12.499999999999998</c:v>
                </c:pt>
                <c:pt idx="8">
                  <c:v>12.499999999999998</c:v>
                </c:pt>
                <c:pt idx="9">
                  <c:v>12.5</c:v>
                </c:pt>
                <c:pt idx="10">
                  <c:v>12.499999999999998</c:v>
                </c:pt>
                <c:pt idx="11">
                  <c:v>12.5</c:v>
                </c:pt>
                <c:pt idx="12">
                  <c:v>12.499999999999998</c:v>
                </c:pt>
                <c:pt idx="13">
                  <c:v>12.500000000000002</c:v>
                </c:pt>
                <c:pt idx="14">
                  <c:v>12.499999999999998</c:v>
                </c:pt>
                <c:pt idx="15">
                  <c:v>12.499999999999998</c:v>
                </c:pt>
                <c:pt idx="16">
                  <c:v>12.500000000000007</c:v>
                </c:pt>
                <c:pt idx="17">
                  <c:v>12.500000000000007</c:v>
                </c:pt>
                <c:pt idx="18">
                  <c:v>12.499999999999998</c:v>
                </c:pt>
                <c:pt idx="19">
                  <c:v>12.499999999999998</c:v>
                </c:pt>
                <c:pt idx="20">
                  <c:v>12.500000000000007</c:v>
                </c:pt>
                <c:pt idx="21">
                  <c:v>12.500000000000007</c:v>
                </c:pt>
                <c:pt idx="22">
                  <c:v>12.499999999999991</c:v>
                </c:pt>
                <c:pt idx="23">
                  <c:v>12.499999999999989</c:v>
                </c:pt>
                <c:pt idx="24">
                  <c:v>12.500000000000004</c:v>
                </c:pt>
                <c:pt idx="25">
                  <c:v>12.499999999999989</c:v>
                </c:pt>
                <c:pt idx="26">
                  <c:v>12.500000000000009</c:v>
                </c:pt>
                <c:pt idx="27">
                  <c:v>12.499999999999989</c:v>
                </c:pt>
                <c:pt idx="28">
                  <c:v>12.499999999999989</c:v>
                </c:pt>
                <c:pt idx="29">
                  <c:v>12.500000000000009</c:v>
                </c:pt>
                <c:pt idx="30">
                  <c:v>12.499999999999989</c:v>
                </c:pt>
                <c:pt idx="31">
                  <c:v>12.499999999999989</c:v>
                </c:pt>
                <c:pt idx="32">
                  <c:v>12.500000000000004</c:v>
                </c:pt>
                <c:pt idx="33">
                  <c:v>12.500000000000009</c:v>
                </c:pt>
                <c:pt idx="34">
                  <c:v>12.499999999999989</c:v>
                </c:pt>
                <c:pt idx="35">
                  <c:v>12.500000000000009</c:v>
                </c:pt>
                <c:pt idx="36">
                  <c:v>12.499999999999989</c:v>
                </c:pt>
                <c:pt idx="37">
                  <c:v>12.499999999999973</c:v>
                </c:pt>
                <c:pt idx="38">
                  <c:v>12.500000000000004</c:v>
                </c:pt>
                <c:pt idx="39">
                  <c:v>12.499999999999973</c:v>
                </c:pt>
                <c:pt idx="40">
                  <c:v>12.500000000000004</c:v>
                </c:pt>
                <c:pt idx="41">
                  <c:v>6.7795146936873136</c:v>
                </c:pt>
                <c:pt idx="42">
                  <c:v>0.49859462090559425</c:v>
                </c:pt>
                <c:pt idx="43">
                  <c:v>0.44872760746770429</c:v>
                </c:pt>
                <c:pt idx="44">
                  <c:v>0.40384805062259727</c:v>
                </c:pt>
                <c:pt idx="45">
                  <c:v>0.36345712917480583</c:v>
                </c:pt>
                <c:pt idx="46">
                  <c:v>0.32710591160295449</c:v>
                </c:pt>
                <c:pt idx="47">
                  <c:v>0.29439036633711013</c:v>
                </c:pt>
                <c:pt idx="48">
                  <c:v>0.26494687108346776</c:v>
                </c:pt>
                <c:pt idx="49">
                  <c:v>0.23844817128470069</c:v>
                </c:pt>
                <c:pt idx="50">
                  <c:v>0.21459974279558555</c:v>
                </c:pt>
                <c:pt idx="51">
                  <c:v>0.19313651834615156</c:v>
                </c:pt>
                <c:pt idx="52">
                  <c:v>0.17381994140791396</c:v>
                </c:pt>
                <c:pt idx="53">
                  <c:v>0.15643531471809441</c:v>
                </c:pt>
                <c:pt idx="54">
                  <c:v>0.14078941399212447</c:v>
                </c:pt>
                <c:pt idx="55">
                  <c:v>0.12670834029996958</c:v>
                </c:pt>
                <c:pt idx="56">
                  <c:v>0.11403558723863268</c:v>
                </c:pt>
                <c:pt idx="57">
                  <c:v>0.10263030141565857</c:v>
                </c:pt>
                <c:pt idx="58">
                  <c:v>9.2365716910976281E-2</c:v>
                </c:pt>
                <c:pt idx="59">
                  <c:v>8.3127746316761897E-2</c:v>
                </c:pt>
                <c:pt idx="60">
                  <c:v>7.4813712693355947E-2</c:v>
                </c:pt>
                <c:pt idx="61">
                  <c:v>6.7331208350509181E-2</c:v>
                </c:pt>
                <c:pt idx="62">
                  <c:v>6.0597067766537054E-2</c:v>
                </c:pt>
                <c:pt idx="63">
                  <c:v>5.4536443231255949E-2</c:v>
                </c:pt>
                <c:pt idx="64">
                  <c:v>4.9081972939291237E-2</c:v>
                </c:pt>
                <c:pt idx="65">
                  <c:v>4.4173032285854834E-2</c:v>
                </c:pt>
                <c:pt idx="66">
                  <c:v>3.9755060045081475E-2</c:v>
                </c:pt>
                <c:pt idx="67">
                  <c:v>3.5778951939633243E-2</c:v>
                </c:pt>
                <c:pt idx="68">
                  <c:v>3.2200514864015983E-2</c:v>
                </c:pt>
                <c:pt idx="69">
                  <c:v>2.8979975692209441E-2</c:v>
                </c:pt>
                <c:pt idx="70">
                  <c:v>2.6081539213720455E-2</c:v>
                </c:pt>
                <c:pt idx="71">
                  <c:v>2.3472990280381953E-2</c:v>
                </c:pt>
                <c:pt idx="72">
                  <c:v>2.1125335747811468E-2</c:v>
                </c:pt>
                <c:pt idx="73">
                  <c:v>1.9012482224170024E-2</c:v>
                </c:pt>
                <c:pt idx="74">
                  <c:v>1.711094605276748E-2</c:v>
                </c:pt>
                <c:pt idx="75">
                  <c:v>1.5399592297668855E-2</c:v>
                </c:pt>
                <c:pt idx="76">
                  <c:v>1.3859399836917467E-2</c:v>
                </c:pt>
                <c:pt idx="77">
                  <c:v>1.2473249949067667E-2</c:v>
                </c:pt>
                <c:pt idx="78">
                  <c:v>1.1225736043343044E-2</c:v>
                </c:pt>
                <c:pt idx="79">
                  <c:v>1.010299242238947E-2</c:v>
                </c:pt>
                <c:pt idx="80">
                  <c:v>9.0925401676145486E-3</c:v>
                </c:pt>
                <c:pt idx="81">
                  <c:v>8.1831484419581397E-3</c:v>
                </c:pt>
                <c:pt idx="82">
                  <c:v>7.3647096617434132E-3</c:v>
                </c:pt>
                <c:pt idx="83">
                  <c:v>6.6281271551817149E-3</c:v>
                </c:pt>
                <c:pt idx="84">
                  <c:v>5.9652140548393223E-3</c:v>
                </c:pt>
                <c:pt idx="85">
                  <c:v>5.3686023046851696E-3</c:v>
                </c:pt>
                <c:pt idx="86">
                  <c:v>4.8316607652764557E-3</c:v>
                </c:pt>
                <c:pt idx="87">
                  <c:v>4.348421512006E-3</c:v>
                </c:pt>
                <c:pt idx="88">
                  <c:v>3.9135135028090101E-3</c:v>
                </c:pt>
                <c:pt idx="89">
                  <c:v>3.5221028812770908E-3</c:v>
                </c:pt>
                <c:pt idx="90">
                  <c:v>3.1698392499634569E-3</c:v>
                </c:pt>
                <c:pt idx="91">
                  <c:v>2.8528073169553736E-3</c:v>
                </c:pt>
                <c:pt idx="92">
                  <c:v>2.5674833787547959E-3</c:v>
                </c:pt>
                <c:pt idx="93">
                  <c:v>2.3106961556606746E-3</c:v>
                </c:pt>
                <c:pt idx="94">
                  <c:v>2.0795915439464426E-3</c:v>
                </c:pt>
                <c:pt idx="95">
                  <c:v>1.8716008936081675E-3</c:v>
                </c:pt>
                <c:pt idx="96">
                  <c:v>1.6844124583315139E-3</c:v>
                </c:pt>
                <c:pt idx="97">
                  <c:v>1.5159457016977525E-3</c:v>
                </c:pt>
                <c:pt idx="98">
                  <c:v>1.3643281720732438E-3</c:v>
                </c:pt>
                <c:pt idx="99">
                  <c:v>1.2278746917360021E-3</c:v>
                </c:pt>
                <c:pt idx="100">
                  <c:v>1.1050686261171686E-3</c:v>
                </c:pt>
                <c:pt idx="101">
                  <c:v>9.9454502695549263E-4</c:v>
                </c:pt>
                <c:pt idx="102">
                  <c:v>8.950754616421395E-4</c:v>
                </c:pt>
                <c:pt idx="103">
                  <c:v>8.0555435921781109E-4</c:v>
                </c:pt>
                <c:pt idx="104">
                  <c:v>7.2498672302856709E-4</c:v>
                </c:pt>
                <c:pt idx="105">
                  <c:v>6.5247707063064331E-4</c:v>
                </c:pt>
                <c:pt idx="106">
                  <c:v>5.8721948157369958E-4</c:v>
                </c:pt>
                <c:pt idx="107">
                  <c:v>5.2848863987265033E-4</c:v>
                </c:pt>
                <c:pt idx="108">
                  <c:v>4.7563177176356708E-4</c:v>
                </c:pt>
                <c:pt idx="109">
                  <c:v>4.2806139099127601E-4</c:v>
                </c:pt>
                <c:pt idx="110">
                  <c:v>3.8524876885048933E-4</c:v>
                </c:pt>
                <c:pt idx="111">
                  <c:v>3.4671805721586804E-4</c:v>
                </c:pt>
                <c:pt idx="112">
                  <c:v>3.1204100039871729E-4</c:v>
                </c:pt>
                <c:pt idx="113">
                  <c:v>2.8083217436858973E-4</c:v>
                </c:pt>
                <c:pt idx="114">
                  <c:v>2.5274470367264354E-4</c:v>
                </c:pt>
                <c:pt idx="115">
                  <c:v>2.2746640539140147E-4</c:v>
                </c:pt>
                <c:pt idx="116">
                  <c:v>2.0471631991369742E-4</c:v>
                </c:pt>
                <c:pt idx="117">
                  <c:v>1.8424158731988947E-4</c:v>
                </c:pt>
                <c:pt idx="118">
                  <c:v>1.6581463832210434E-4</c:v>
                </c:pt>
                <c:pt idx="119">
                  <c:v>1.4923066309791065E-4</c:v>
                </c:pt>
                <c:pt idx="120">
                  <c:v>1.3430533662983445E-4</c:v>
                </c:pt>
                <c:pt idx="121">
                  <c:v>1.2087276893169062E-4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EF4-46A8-981B-93B25993F629}"/>
            </c:ext>
          </c:extLst>
        </c:ser>
        <c:ser>
          <c:idx val="5"/>
          <c:order val="5"/>
          <c:tx>
            <c:v>ir contr.; Ur = 2,28 [V/c]</c:v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'100 A 39, 3 par. rev.'!$DQ$6:$DQ$127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rev.'!$DW$6:$DW$127</c:f>
              <c:numCache>
                <c:formatCode>0.000</c:formatCode>
                <c:ptCount val="122"/>
                <c:pt idx="2">
                  <c:v>12.5</c:v>
                </c:pt>
                <c:pt idx="3">
                  <c:v>12.5</c:v>
                </c:pt>
                <c:pt idx="4">
                  <c:v>12.499999999999996</c:v>
                </c:pt>
                <c:pt idx="5">
                  <c:v>12.500000000000004</c:v>
                </c:pt>
                <c:pt idx="6">
                  <c:v>12.500000000000004</c:v>
                </c:pt>
                <c:pt idx="7">
                  <c:v>12.499999999999998</c:v>
                </c:pt>
                <c:pt idx="8">
                  <c:v>12.499999999999998</c:v>
                </c:pt>
                <c:pt idx="9">
                  <c:v>12.5</c:v>
                </c:pt>
                <c:pt idx="10">
                  <c:v>12.499999999999998</c:v>
                </c:pt>
                <c:pt idx="11">
                  <c:v>12.5</c:v>
                </c:pt>
                <c:pt idx="12">
                  <c:v>12.499999999999998</c:v>
                </c:pt>
                <c:pt idx="13">
                  <c:v>12.500000000000002</c:v>
                </c:pt>
                <c:pt idx="14">
                  <c:v>12.499999999999998</c:v>
                </c:pt>
                <c:pt idx="15">
                  <c:v>12.499999999999998</c:v>
                </c:pt>
                <c:pt idx="16">
                  <c:v>12.500000000000007</c:v>
                </c:pt>
                <c:pt idx="17">
                  <c:v>12.500000000000007</c:v>
                </c:pt>
                <c:pt idx="18">
                  <c:v>12.499999999999998</c:v>
                </c:pt>
                <c:pt idx="19">
                  <c:v>12.499999999999998</c:v>
                </c:pt>
                <c:pt idx="20">
                  <c:v>12.500000000000007</c:v>
                </c:pt>
                <c:pt idx="21">
                  <c:v>12.500000000000007</c:v>
                </c:pt>
                <c:pt idx="22">
                  <c:v>12.499999999999991</c:v>
                </c:pt>
                <c:pt idx="23">
                  <c:v>12.499999999999989</c:v>
                </c:pt>
                <c:pt idx="24">
                  <c:v>12.500000000000004</c:v>
                </c:pt>
                <c:pt idx="25">
                  <c:v>12.499999999999989</c:v>
                </c:pt>
                <c:pt idx="26">
                  <c:v>12.500000000000009</c:v>
                </c:pt>
                <c:pt idx="27">
                  <c:v>12.499999999999989</c:v>
                </c:pt>
                <c:pt idx="28">
                  <c:v>12.499999999999989</c:v>
                </c:pt>
                <c:pt idx="29">
                  <c:v>12.500000000000009</c:v>
                </c:pt>
                <c:pt idx="30">
                  <c:v>12.499999999999989</c:v>
                </c:pt>
                <c:pt idx="31">
                  <c:v>12.499999999999989</c:v>
                </c:pt>
                <c:pt idx="32">
                  <c:v>12.500000000000004</c:v>
                </c:pt>
                <c:pt idx="33">
                  <c:v>12.500000000000009</c:v>
                </c:pt>
                <c:pt idx="34">
                  <c:v>12.499999999999989</c:v>
                </c:pt>
                <c:pt idx="35">
                  <c:v>12.500000000000009</c:v>
                </c:pt>
                <c:pt idx="36">
                  <c:v>12.499999999999989</c:v>
                </c:pt>
                <c:pt idx="37">
                  <c:v>12.499999999999973</c:v>
                </c:pt>
                <c:pt idx="38">
                  <c:v>12.500000000000004</c:v>
                </c:pt>
                <c:pt idx="39">
                  <c:v>12.499999999999973</c:v>
                </c:pt>
                <c:pt idx="40">
                  <c:v>12.500000000000004</c:v>
                </c:pt>
                <c:pt idx="41">
                  <c:v>12.499999999999973</c:v>
                </c:pt>
                <c:pt idx="42">
                  <c:v>12.499999999999973</c:v>
                </c:pt>
                <c:pt idx="43">
                  <c:v>1.84262008894408</c:v>
                </c:pt>
                <c:pt idx="44">
                  <c:v>0.14004490473773426</c:v>
                </c:pt>
                <c:pt idx="45">
                  <c:v>0.12219186080599841</c:v>
                </c:pt>
                <c:pt idx="46">
                  <c:v>0.10661473814550902</c:v>
                </c:pt>
                <c:pt idx="47">
                  <c:v>9.3023400371094522E-2</c:v>
                </c:pt>
                <c:pt idx="48">
                  <c:v>8.1164697931157839E-2</c:v>
                </c:pt>
                <c:pt idx="49">
                  <c:v>7.0817752995324293E-2</c:v>
                </c:pt>
                <c:pt idx="50">
                  <c:v>6.1789845427071777E-2</c:v>
                </c:pt>
                <c:pt idx="51">
                  <c:v>5.3912823217601352E-2</c:v>
                </c:pt>
                <c:pt idx="52">
                  <c:v>4.7039970519407059E-2</c:v>
                </c:pt>
                <c:pt idx="53">
                  <c:v>4.1043274946659158E-2</c:v>
                </c:pt>
                <c:pt idx="54">
                  <c:v>3.5811043241409504E-2</c:v>
                </c:pt>
                <c:pt idx="55">
                  <c:v>3.1245820897680521E-2</c:v>
                </c:pt>
                <c:pt idx="56">
                  <c:v>2.7262576993081308E-2</c:v>
                </c:pt>
                <c:pt idx="57">
                  <c:v>2.3787120419669433E-2</c:v>
                </c:pt>
                <c:pt idx="58">
                  <c:v>2.075471801511249E-2</c:v>
                </c:pt>
                <c:pt idx="59">
                  <c:v>1.8108888856218544E-2</c:v>
                </c:pt>
                <c:pt idx="60">
                  <c:v>1.5800352255723793E-2</c:v>
                </c:pt>
                <c:pt idx="61">
                  <c:v>1.3786109870395007E-2</c:v>
                </c:pt>
                <c:pt idx="62">
                  <c:v>1.2028644822876843E-2</c:v>
                </c:pt>
                <c:pt idx="63">
                  <c:v>1.0495222919004583E-2</c:v>
                </c:pt>
                <c:pt idx="64">
                  <c:v>9.1572829474273806E-3</c:v>
                </c:pt>
                <c:pt idx="65">
                  <c:v>7.9899047050702443E-3</c:v>
                </c:pt>
                <c:pt idx="66">
                  <c:v>6.9713448368702554E-3</c:v>
                </c:pt>
                <c:pt idx="67">
                  <c:v>6.0826318496509336E-3</c:v>
                </c:pt>
                <c:pt idx="68">
                  <c:v>5.3072127521858383E-3</c:v>
                </c:pt>
                <c:pt idx="69">
                  <c:v>4.6306447428179518E-3</c:v>
                </c:pt>
                <c:pt idx="70">
                  <c:v>4.0403262004673627E-3</c:v>
                </c:pt>
                <c:pt idx="71">
                  <c:v>3.5252619695569178E-3</c:v>
                </c:pt>
                <c:pt idx="72">
                  <c:v>3.0758585661772139E-3</c:v>
                </c:pt>
                <c:pt idx="73">
                  <c:v>2.6837454920780697E-3</c:v>
                </c:pt>
                <c:pt idx="74">
                  <c:v>2.3416193271685952E-3</c:v>
                </c:pt>
                <c:pt idx="75">
                  <c:v>2.043107697673434E-3</c:v>
                </c:pt>
                <c:pt idx="76">
                  <c:v>1.7826505853690896E-3</c:v>
                </c:pt>
                <c:pt idx="77">
                  <c:v>1.5553967678982926E-3</c:v>
                </c:pt>
                <c:pt idx="78">
                  <c:v>1.3571134608980435E-3</c:v>
                </c:pt>
                <c:pt idx="79">
                  <c:v>1.184107479232925E-3</c:v>
                </c:pt>
                <c:pt idx="80">
                  <c:v>1.0331564475052383E-3</c:v>
                </c:pt>
                <c:pt idx="81">
                  <c:v>9.0144878221565575E-4</c:v>
                </c:pt>
                <c:pt idx="82">
                  <c:v>7.865313224186709E-4</c:v>
                </c:pt>
                <c:pt idx="83">
                  <c:v>6.8626363841418978E-4</c:v>
                </c:pt>
                <c:pt idx="84">
                  <c:v>5.987781642602301E-4</c:v>
                </c:pt>
                <c:pt idx="85">
                  <c:v>5.2244541308256183E-4</c:v>
                </c:pt>
                <c:pt idx="86">
                  <c:v>4.5584362617034267E-4</c:v>
                </c:pt>
                <c:pt idx="87">
                  <c:v>3.9773229175921329E-4</c:v>
                </c:pt>
                <c:pt idx="88">
                  <c:v>3.4702903988659397E-4</c:v>
                </c:pt>
                <c:pt idx="89">
                  <c:v>3.0278948187856367E-4</c:v>
                </c:pt>
                <c:pt idx="90">
                  <c:v>2.6418962036700203E-4</c:v>
                </c:pt>
                <c:pt idx="91">
                  <c:v>2.3051050220601691E-4</c:v>
                </c:pt>
                <c:pt idx="92">
                  <c:v>2.0112482665979385E-4</c:v>
                </c:pt>
                <c:pt idx="93">
                  <c:v>1.7548526223265277E-4</c:v>
                </c:pt>
                <c:pt idx="94">
                  <c:v>1.5311425130448751E-4</c:v>
                </c:pt>
                <c:pt idx="95">
                  <c:v>1.3359511591204458E-4</c:v>
                </c:pt>
                <c:pt idx="96">
                  <c:v>1.1656429656170573E-4</c:v>
                </c:pt>
                <c:pt idx="97">
                  <c:v>1.0170458054403608E-4</c:v>
                </c:pt>
                <c:pt idx="98">
                  <c:v>8.8739193842004248E-5</c:v>
                </c:pt>
                <c:pt idx="99">
                  <c:v>7.7426645788135641E-5</c:v>
                </c:pt>
                <c:pt idx="100">
                  <c:v>6.7556230902711449E-5</c:v>
                </c:pt>
                <c:pt idx="101">
                  <c:v>5.8944104921464783E-5</c:v>
                </c:pt>
                <c:pt idx="102">
                  <c:v>5.1429860121743515E-5</c:v>
                </c:pt>
                <c:pt idx="103">
                  <c:v>4.4873537774492596E-5</c:v>
                </c:pt>
                <c:pt idx="104">
                  <c:v>3.915302080770303E-5</c:v>
                </c:pt>
                <c:pt idx="105">
                  <c:v>3.4161760353867488E-5</c:v>
                </c:pt>
                <c:pt idx="106">
                  <c:v>2.9806789996200783E-5</c:v>
                </c:pt>
                <c:pt idx="107">
                  <c:v>2.600699495758372E-5</c:v>
                </c:pt>
                <c:pt idx="108">
                  <c:v>2.2691601060386935E-5</c:v>
                </c:pt>
                <c:pt idx="109">
                  <c:v>1.9798856385477919E-5</c:v>
                </c:pt>
                <c:pt idx="110">
                  <c:v>1.7274881258799785E-5</c:v>
                </c:pt>
                <c:pt idx="111">
                  <c:v>1.5072664751869579E-5</c:v>
                </c:pt>
                <c:pt idx="112">
                  <c:v>1.3151188511528558E-5</c:v>
                </c:pt>
                <c:pt idx="113">
                  <c:v>1.1474663779154315E-5</c:v>
                </c:pt>
                <c:pt idx="114">
                  <c:v>1.0011863906811271E-5</c:v>
                </c:pt>
                <c:pt idx="115">
                  <c:v>8.7355429201354172E-6</c:v>
                </c:pt>
                <c:pt idx="116">
                  <c:v>7.6219284750321829E-6</c:v>
                </c:pt>
                <c:pt idx="117">
                  <c:v>6.6502784790145834E-6</c:v>
                </c:pt>
                <c:pt idx="118">
                  <c:v>5.802495337547973E-6</c:v>
                </c:pt>
                <c:pt idx="119">
                  <c:v>5.0627883041443234E-6</c:v>
                </c:pt>
                <c:pt idx="120">
                  <c:v>4.4173797419943467E-6</c:v>
                </c:pt>
                <c:pt idx="121">
                  <c:v>3.8542483338233204E-6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EF4-46A8-981B-93B25993F629}"/>
            </c:ext>
          </c:extLst>
        </c:ser>
        <c:ser>
          <c:idx val="6"/>
          <c:order val="6"/>
          <c:tx>
            <c:v>I máx.adm. = 12,5 [A]</c:v>
          </c:tx>
          <c:spPr>
            <a:ln w="19050">
              <a:solidFill>
                <a:srgbClr val="66FF66"/>
              </a:solidFill>
              <a:prstDash val="lgDashDot"/>
            </a:ln>
          </c:spPr>
          <c:marker>
            <c:symbol val="none"/>
          </c:marker>
          <c:xVal>
            <c:numRef>
              <c:f>'100 A 39, 3 par. rev.'!$DQ$6:$DQ$127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rev.'!$DX$6:$DX$127</c:f>
              <c:numCache>
                <c:formatCode>#,##0.000</c:formatCode>
                <c:ptCount val="122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  <c:pt idx="16">
                  <c:v>12.5</c:v>
                </c:pt>
                <c:pt idx="17">
                  <c:v>12.5</c:v>
                </c:pt>
                <c:pt idx="18">
                  <c:v>12.5</c:v>
                </c:pt>
                <c:pt idx="19">
                  <c:v>12.5</c:v>
                </c:pt>
                <c:pt idx="20">
                  <c:v>12.5</c:v>
                </c:pt>
                <c:pt idx="21">
                  <c:v>12.5</c:v>
                </c:pt>
                <c:pt idx="22">
                  <c:v>12.5</c:v>
                </c:pt>
                <c:pt idx="23">
                  <c:v>12.5</c:v>
                </c:pt>
                <c:pt idx="24">
                  <c:v>12.5</c:v>
                </c:pt>
                <c:pt idx="25">
                  <c:v>12.5</c:v>
                </c:pt>
                <c:pt idx="26">
                  <c:v>12.5</c:v>
                </c:pt>
                <c:pt idx="27">
                  <c:v>12.5</c:v>
                </c:pt>
                <c:pt idx="28">
                  <c:v>12.5</c:v>
                </c:pt>
                <c:pt idx="29">
                  <c:v>12.5</c:v>
                </c:pt>
                <c:pt idx="30">
                  <c:v>12.5</c:v>
                </c:pt>
                <c:pt idx="31">
                  <c:v>12.5</c:v>
                </c:pt>
                <c:pt idx="32">
                  <c:v>12.5</c:v>
                </c:pt>
                <c:pt idx="33">
                  <c:v>12.5</c:v>
                </c:pt>
                <c:pt idx="34">
                  <c:v>12.5</c:v>
                </c:pt>
                <c:pt idx="35">
                  <c:v>12.5</c:v>
                </c:pt>
                <c:pt idx="36">
                  <c:v>12.5</c:v>
                </c:pt>
                <c:pt idx="37">
                  <c:v>12.5</c:v>
                </c:pt>
                <c:pt idx="38">
                  <c:v>12.5</c:v>
                </c:pt>
                <c:pt idx="39">
                  <c:v>12.5</c:v>
                </c:pt>
                <c:pt idx="40">
                  <c:v>12.5</c:v>
                </c:pt>
                <c:pt idx="41">
                  <c:v>12.5</c:v>
                </c:pt>
                <c:pt idx="42">
                  <c:v>12.5</c:v>
                </c:pt>
                <c:pt idx="43">
                  <c:v>12.5</c:v>
                </c:pt>
                <c:pt idx="44">
                  <c:v>12.5</c:v>
                </c:pt>
                <c:pt idx="45">
                  <c:v>12.5</c:v>
                </c:pt>
                <c:pt idx="46">
                  <c:v>12.5</c:v>
                </c:pt>
                <c:pt idx="47">
                  <c:v>12.5</c:v>
                </c:pt>
                <c:pt idx="48">
                  <c:v>12.5</c:v>
                </c:pt>
                <c:pt idx="49">
                  <c:v>12.5</c:v>
                </c:pt>
                <c:pt idx="50">
                  <c:v>12.5</c:v>
                </c:pt>
                <c:pt idx="51">
                  <c:v>12.5</c:v>
                </c:pt>
                <c:pt idx="52">
                  <c:v>12.5</c:v>
                </c:pt>
                <c:pt idx="53">
                  <c:v>12.5</c:v>
                </c:pt>
                <c:pt idx="54">
                  <c:v>12.5</c:v>
                </c:pt>
                <c:pt idx="55">
                  <c:v>12.5</c:v>
                </c:pt>
                <c:pt idx="56">
                  <c:v>12.5</c:v>
                </c:pt>
                <c:pt idx="57">
                  <c:v>12.5</c:v>
                </c:pt>
                <c:pt idx="58">
                  <c:v>12.5</c:v>
                </c:pt>
                <c:pt idx="59">
                  <c:v>12.5</c:v>
                </c:pt>
                <c:pt idx="60">
                  <c:v>12.5</c:v>
                </c:pt>
                <c:pt idx="61">
                  <c:v>12.5</c:v>
                </c:pt>
                <c:pt idx="62">
                  <c:v>12.5</c:v>
                </c:pt>
                <c:pt idx="63">
                  <c:v>12.5</c:v>
                </c:pt>
                <c:pt idx="64">
                  <c:v>12.5</c:v>
                </c:pt>
                <c:pt idx="65">
                  <c:v>12.5</c:v>
                </c:pt>
                <c:pt idx="66">
                  <c:v>12.5</c:v>
                </c:pt>
                <c:pt idx="67">
                  <c:v>12.5</c:v>
                </c:pt>
                <c:pt idx="68">
                  <c:v>12.5</c:v>
                </c:pt>
                <c:pt idx="69">
                  <c:v>12.5</c:v>
                </c:pt>
                <c:pt idx="70">
                  <c:v>12.5</c:v>
                </c:pt>
                <c:pt idx="71">
                  <c:v>12.5</c:v>
                </c:pt>
                <c:pt idx="72">
                  <c:v>12.5</c:v>
                </c:pt>
                <c:pt idx="73">
                  <c:v>12.5</c:v>
                </c:pt>
                <c:pt idx="74">
                  <c:v>12.5</c:v>
                </c:pt>
                <c:pt idx="75">
                  <c:v>12.5</c:v>
                </c:pt>
                <c:pt idx="76">
                  <c:v>12.5</c:v>
                </c:pt>
                <c:pt idx="77">
                  <c:v>12.5</c:v>
                </c:pt>
                <c:pt idx="78">
                  <c:v>12.5</c:v>
                </c:pt>
                <c:pt idx="79">
                  <c:v>12.5</c:v>
                </c:pt>
                <c:pt idx="80">
                  <c:v>12.5</c:v>
                </c:pt>
                <c:pt idx="81">
                  <c:v>12.5</c:v>
                </c:pt>
                <c:pt idx="82">
                  <c:v>12.5</c:v>
                </c:pt>
                <c:pt idx="83">
                  <c:v>12.5</c:v>
                </c:pt>
                <c:pt idx="84">
                  <c:v>12.5</c:v>
                </c:pt>
                <c:pt idx="85">
                  <c:v>12.5</c:v>
                </c:pt>
                <c:pt idx="86">
                  <c:v>12.5</c:v>
                </c:pt>
                <c:pt idx="87">
                  <c:v>12.5</c:v>
                </c:pt>
                <c:pt idx="88">
                  <c:v>12.5</c:v>
                </c:pt>
                <c:pt idx="89">
                  <c:v>12.5</c:v>
                </c:pt>
                <c:pt idx="90">
                  <c:v>12.5</c:v>
                </c:pt>
                <c:pt idx="91">
                  <c:v>12.5</c:v>
                </c:pt>
                <c:pt idx="92">
                  <c:v>12.5</c:v>
                </c:pt>
                <c:pt idx="93">
                  <c:v>12.5</c:v>
                </c:pt>
                <c:pt idx="94">
                  <c:v>12.5</c:v>
                </c:pt>
                <c:pt idx="95">
                  <c:v>12.5</c:v>
                </c:pt>
                <c:pt idx="96">
                  <c:v>12.5</c:v>
                </c:pt>
                <c:pt idx="97">
                  <c:v>12.5</c:v>
                </c:pt>
                <c:pt idx="98">
                  <c:v>12.5</c:v>
                </c:pt>
                <c:pt idx="99">
                  <c:v>12.5</c:v>
                </c:pt>
                <c:pt idx="100">
                  <c:v>12.5</c:v>
                </c:pt>
                <c:pt idx="101">
                  <c:v>12.5</c:v>
                </c:pt>
                <c:pt idx="102">
                  <c:v>12.5</c:v>
                </c:pt>
                <c:pt idx="103">
                  <c:v>12.5</c:v>
                </c:pt>
                <c:pt idx="104">
                  <c:v>12.5</c:v>
                </c:pt>
                <c:pt idx="105">
                  <c:v>12.5</c:v>
                </c:pt>
                <c:pt idx="106">
                  <c:v>12.5</c:v>
                </c:pt>
                <c:pt idx="107">
                  <c:v>12.5</c:v>
                </c:pt>
                <c:pt idx="108">
                  <c:v>12.5</c:v>
                </c:pt>
                <c:pt idx="109">
                  <c:v>12.5</c:v>
                </c:pt>
                <c:pt idx="110">
                  <c:v>12.5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12.5</c:v>
                </c:pt>
                <c:pt idx="121">
                  <c:v>12.5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EF4-46A8-981B-93B25993F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29728"/>
        <c:axId val="113144192"/>
      </c:scatterChart>
      <c:valAx>
        <c:axId val="113129728"/>
        <c:scaling>
          <c:orientation val="minMax"/>
          <c:max val="36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/>
                  <a:t>Tiempo de recarga t [h]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3144192"/>
        <c:crosses val="autoZero"/>
        <c:crossBetween val="midCat"/>
        <c:majorUnit val="3"/>
        <c:minorUnit val="1"/>
      </c:valAx>
      <c:valAx>
        <c:axId val="113144192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Corriente  de  recarga i</a:t>
                </a:r>
                <a:r>
                  <a:rPr lang="en-US" sz="1100" baseline="-25000"/>
                  <a:t>r</a:t>
                </a:r>
                <a:r>
                  <a:rPr lang="en-US" sz="1100" baseline="0"/>
                  <a:t> </a:t>
                </a:r>
                <a:r>
                  <a:rPr lang="en-US" sz="1100"/>
                  <a:t>[A]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3129728"/>
        <c:crosses val="autoZero"/>
        <c:crossBetween val="midCat"/>
        <c:majorUnit val="1"/>
        <c:minorUnit val="0.1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64316041377180799"/>
          <c:y val="0.39416341037170854"/>
          <c:w val="0.31228021578736193"/>
          <c:h val="0.36802141627558399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Tensión de recarga a corriente constante</a:t>
            </a:r>
          </a:p>
          <a:p>
            <a:pPr>
              <a:defRPr sz="1400"/>
            </a:pPr>
            <a:r>
              <a:rPr lang="en-US" sz="1400"/>
              <a:t>placa positiva acumulador Pb-ác Absolyte serie 100 A</a:t>
            </a:r>
          </a:p>
        </c:rich>
      </c:tx>
      <c:layout>
        <c:manualLayout>
          <c:xMode val="edge"/>
          <c:yMode val="edge"/>
          <c:x val="0.17899122807017545"/>
          <c:y val="9.569380393921911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19910982001042"/>
          <c:y val="0.13972086900321562"/>
          <c:w val="0.86228168080931633"/>
          <c:h val="0.75985024547595614"/>
        </c:manualLayout>
      </c:layout>
      <c:scatterChart>
        <c:scatterStyle val="smoothMarker"/>
        <c:varyColors val="0"/>
        <c:ser>
          <c:idx val="0"/>
          <c:order val="0"/>
          <c:tx>
            <c:v>ue: Ir = 3,0 [A]</c:v>
          </c:tx>
          <c:spPr>
            <a:ln w="15875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rev.'!$EA$6:$EA$127</c:f>
              <c:numCache>
                <c:formatCode>0.000</c:formatCode>
                <c:ptCount val="122"/>
                <c:pt idx="0">
                  <c:v>2.0943100000000001</c:v>
                </c:pt>
                <c:pt idx="1">
                  <c:v>2.0943100000000001</c:v>
                </c:pt>
                <c:pt idx="2">
                  <c:v>2.0944383408071752</c:v>
                </c:pt>
                <c:pt idx="3">
                  <c:v>2.094569004524887</c:v>
                </c:pt>
                <c:pt idx="4">
                  <c:v>2.0947020547945208</c:v>
                </c:pt>
                <c:pt idx="5">
                  <c:v>2.0948375576036868</c:v>
                </c:pt>
                <c:pt idx="6">
                  <c:v>2.094975581395349</c:v>
                </c:pt>
                <c:pt idx="7">
                  <c:v>2.0951161971830987</c:v>
                </c:pt>
                <c:pt idx="8">
                  <c:v>2.0952594786729857</c:v>
                </c:pt>
                <c:pt idx="9">
                  <c:v>2.0954055023923446</c:v>
                </c:pt>
                <c:pt idx="10">
                  <c:v>2.095554347826087</c:v>
                </c:pt>
                <c:pt idx="11">
                  <c:v>2.0957060975609756</c:v>
                </c:pt>
                <c:pt idx="12">
                  <c:v>2.0958608374384236</c:v>
                </c:pt>
                <c:pt idx="13">
                  <c:v>2.0960186567164181</c:v>
                </c:pt>
                <c:pt idx="14">
                  <c:v>2.0961796482412063</c:v>
                </c:pt>
                <c:pt idx="15">
                  <c:v>2.0963439086294415</c:v>
                </c:pt>
                <c:pt idx="16">
                  <c:v>2.0965115384615385</c:v>
                </c:pt>
                <c:pt idx="17">
                  <c:v>2.0966826424870466</c:v>
                </c:pt>
                <c:pt idx="18">
                  <c:v>2.096857329842932</c:v>
                </c:pt>
                <c:pt idx="19">
                  <c:v>2.0970357142857146</c:v>
                </c:pt>
                <c:pt idx="20">
                  <c:v>2.0972179144385028</c:v>
                </c:pt>
                <c:pt idx="21">
                  <c:v>2.0974040540540542</c:v>
                </c:pt>
                <c:pt idx="22">
                  <c:v>2.0975942622950821</c:v>
                </c:pt>
                <c:pt idx="23">
                  <c:v>2.0977886740331493</c:v>
                </c:pt>
                <c:pt idx="24">
                  <c:v>2.0979874301675978</c:v>
                </c:pt>
                <c:pt idx="25">
                  <c:v>2.0981906779661017</c:v>
                </c:pt>
                <c:pt idx="26">
                  <c:v>2.0983985714285716</c:v>
                </c:pt>
                <c:pt idx="27">
                  <c:v>2.0986112716763006</c:v>
                </c:pt>
                <c:pt idx="28">
                  <c:v>2.0988289473684212</c:v>
                </c:pt>
                <c:pt idx="29">
                  <c:v>2.0990517751479292</c:v>
                </c:pt>
                <c:pt idx="30">
                  <c:v>2.0992799401197604</c:v>
                </c:pt>
                <c:pt idx="31">
                  <c:v>2.0995136363636364</c:v>
                </c:pt>
                <c:pt idx="32">
                  <c:v>2.0997530674846625</c:v>
                </c:pt>
                <c:pt idx="33">
                  <c:v>2.0999984472049689</c:v>
                </c:pt>
                <c:pt idx="34">
                  <c:v>2.10025</c:v>
                </c:pt>
                <c:pt idx="35">
                  <c:v>2.1005079617834395</c:v>
                </c:pt>
                <c:pt idx="36">
                  <c:v>2.1007725806451614</c:v>
                </c:pt>
                <c:pt idx="37">
                  <c:v>2.1010441176470587</c:v>
                </c:pt>
                <c:pt idx="38">
                  <c:v>2.1013228476821193</c:v>
                </c:pt>
                <c:pt idx="39">
                  <c:v>2.1016090604026845</c:v>
                </c:pt>
                <c:pt idx="40">
                  <c:v>2.10190306122449</c:v>
                </c:pt>
                <c:pt idx="41">
                  <c:v>2.1022051724137931</c:v>
                </c:pt>
                <c:pt idx="42">
                  <c:v>2.1025157342657343</c:v>
                </c:pt>
                <c:pt idx="43">
                  <c:v>2.1028351063829787</c:v>
                </c:pt>
                <c:pt idx="44">
                  <c:v>2.1031636690647484</c:v>
                </c:pt>
                <c:pt idx="45">
                  <c:v>2.1035018248175184</c:v>
                </c:pt>
                <c:pt idx="46">
                  <c:v>2.10385</c:v>
                </c:pt>
                <c:pt idx="47">
                  <c:v>2.1042086466165415</c:v>
                </c:pt>
                <c:pt idx="48">
                  <c:v>2.1045782442748093</c:v>
                </c:pt>
                <c:pt idx="49">
                  <c:v>2.1049593023255815</c:v>
                </c:pt>
                <c:pt idx="50">
                  <c:v>2.1053523622047243</c:v>
                </c:pt>
                <c:pt idx="51">
                  <c:v>2.1057580000000002</c:v>
                </c:pt>
                <c:pt idx="52">
                  <c:v>2.1061768292682927</c:v>
                </c:pt>
                <c:pt idx="53">
                  <c:v>2.1066095041322317</c:v>
                </c:pt>
                <c:pt idx="54">
                  <c:v>2.1070567226890757</c:v>
                </c:pt>
                <c:pt idx="55">
                  <c:v>2.1075192307692308</c:v>
                </c:pt>
                <c:pt idx="56">
                  <c:v>2.1079978260869567</c:v>
                </c:pt>
                <c:pt idx="57">
                  <c:v>2.1084933628318585</c:v>
                </c:pt>
                <c:pt idx="58">
                  <c:v>2.1090067567567568</c:v>
                </c:pt>
                <c:pt idx="59">
                  <c:v>2.1095389908256883</c:v>
                </c:pt>
                <c:pt idx="60">
                  <c:v>2.1100911214953273</c:v>
                </c:pt>
                <c:pt idx="61">
                  <c:v>2.1106642857142859</c:v>
                </c:pt>
                <c:pt idx="62">
                  <c:v>2.1112597087378639</c:v>
                </c:pt>
                <c:pt idx="63">
                  <c:v>2.1118787128712873</c:v>
                </c:pt>
                <c:pt idx="64">
                  <c:v>2.1125227272727272</c:v>
                </c:pt>
                <c:pt idx="65">
                  <c:v>2.113193298969072</c:v>
                </c:pt>
                <c:pt idx="66">
                  <c:v>2.1138921052631581</c:v>
                </c:pt>
                <c:pt idx="67">
                  <c:v>2.1146209677419354</c:v>
                </c:pt>
                <c:pt idx="68">
                  <c:v>2.1153818681318683</c:v>
                </c:pt>
                <c:pt idx="69">
                  <c:v>2.116176966292135</c:v>
                </c:pt>
                <c:pt idx="70">
                  <c:v>2.1170086206896555</c:v>
                </c:pt>
                <c:pt idx="71">
                  <c:v>2.1178794117647062</c:v>
                </c:pt>
                <c:pt idx="72">
                  <c:v>2.1187921686746987</c:v>
                </c:pt>
                <c:pt idx="73">
                  <c:v>2.1197500000000002</c:v>
                </c:pt>
                <c:pt idx="74">
                  <c:v>2.1207563291139242</c:v>
                </c:pt>
                <c:pt idx="75">
                  <c:v>2.1218149350649353</c:v>
                </c:pt>
                <c:pt idx="76">
                  <c:v>2.1229300000000002</c:v>
                </c:pt>
                <c:pt idx="77">
                  <c:v>2.1241061643835617</c:v>
                </c:pt>
                <c:pt idx="78">
                  <c:v>2.125348591549296</c:v>
                </c:pt>
                <c:pt idx="79">
                  <c:v>2.1266630434782607</c:v>
                </c:pt>
                <c:pt idx="80">
                  <c:v>2.1280559701492536</c:v>
                </c:pt>
                <c:pt idx="81">
                  <c:v>2.1295346153846153</c:v>
                </c:pt>
                <c:pt idx="82">
                  <c:v>2.1311071428571431</c:v>
                </c:pt>
                <c:pt idx="83">
                  <c:v>2.132782786885246</c:v>
                </c:pt>
                <c:pt idx="84">
                  <c:v>2.134572033898305</c:v>
                </c:pt>
                <c:pt idx="85">
                  <c:v>2.1364868421052634</c:v>
                </c:pt>
                <c:pt idx="86">
                  <c:v>2.1385409090909091</c:v>
                </c:pt>
                <c:pt idx="87">
                  <c:v>2.1407500000000002</c:v>
                </c:pt>
                <c:pt idx="88">
                  <c:v>2.1431323529411763</c:v>
                </c:pt>
                <c:pt idx="89">
                  <c:v>2.1457091836734694</c:v>
                </c:pt>
                <c:pt idx="90">
                  <c:v>2.1485053191489363</c:v>
                </c:pt>
                <c:pt idx="91">
                  <c:v>2.1515500000000003</c:v>
                </c:pt>
                <c:pt idx="92">
                  <c:v>2.1548779069767443</c:v>
                </c:pt>
                <c:pt idx="93">
                  <c:v>2.1585304878048781</c:v>
                </c:pt>
                <c:pt idx="94">
                  <c:v>2.1625576923076926</c:v>
                </c:pt>
                <c:pt idx="95">
                  <c:v>2.1670202702702706</c:v>
                </c:pt>
                <c:pt idx="96">
                  <c:v>2.1719928571428571</c:v>
                </c:pt>
                <c:pt idx="97">
                  <c:v>2.1775681818181818</c:v>
                </c:pt>
                <c:pt idx="98">
                  <c:v>2.1838629032258066</c:v>
                </c:pt>
                <c:pt idx="99">
                  <c:v>2.1910258620689658</c:v>
                </c:pt>
                <c:pt idx="100">
                  <c:v>2.1992500000000001</c:v>
                </c:pt>
                <c:pt idx="101">
                  <c:v>2.20879</c:v>
                </c:pt>
                <c:pt idx="102">
                  <c:v>2.2199891304347825</c:v>
                </c:pt>
                <c:pt idx="103">
                  <c:v>2.2333214285714287</c:v>
                </c:pt>
                <c:pt idx="104">
                  <c:v>2.2494605263157896</c:v>
                </c:pt>
                <c:pt idx="105">
                  <c:v>2.2693970588235297</c:v>
                </c:pt>
                <c:pt idx="106">
                  <c:v>2.2946500000000003</c:v>
                </c:pt>
                <c:pt idx="107">
                  <c:v>2.3276730769230767</c:v>
                </c:pt>
                <c:pt idx="108">
                  <c:v>2.3727045454545457</c:v>
                </c:pt>
                <c:pt idx="109">
                  <c:v>2.4377500000000016</c:v>
                </c:pt>
                <c:pt idx="110">
                  <c:v>2.5399642857142877</c:v>
                </c:pt>
                <c:pt idx="111">
                  <c:v>2.723949999999999</c:v>
                </c:pt>
                <c:pt idx="112">
                  <c:v>3.153250000000011</c:v>
                </c:pt>
                <c:pt idx="113">
                  <c:v>5.2997499999998983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AD-44C6-BD1C-881B8C21CF89}"/>
            </c:ext>
          </c:extLst>
        </c:ser>
        <c:ser>
          <c:idx val="1"/>
          <c:order val="1"/>
          <c:tx>
            <c:v>ue: Ir = 6,0 [A]</c:v>
          </c:tx>
          <c:spPr>
            <a:ln w="15875">
              <a:solidFill>
                <a:srgbClr val="00B050"/>
              </a:solidFill>
              <a:prstDash val="lgDash"/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rev.'!$EB$6:$EB$127</c:f>
              <c:numCache>
                <c:formatCode>0.000</c:formatCode>
                <c:ptCount val="122"/>
                <c:pt idx="0">
                  <c:v>2.1086200000000002</c:v>
                </c:pt>
                <c:pt idx="1">
                  <c:v>2.1086200000000002</c:v>
                </c:pt>
                <c:pt idx="2">
                  <c:v>2.109138009049774</c:v>
                </c:pt>
                <c:pt idx="3">
                  <c:v>2.1096751152073732</c:v>
                </c:pt>
                <c:pt idx="4">
                  <c:v>2.1102323943661974</c:v>
                </c:pt>
                <c:pt idx="5">
                  <c:v>2.1108110047846891</c:v>
                </c:pt>
                <c:pt idx="6">
                  <c:v>2.1114121951219511</c:v>
                </c:pt>
                <c:pt idx="7">
                  <c:v>2.1120373134328361</c:v>
                </c:pt>
                <c:pt idx="8">
                  <c:v>2.1126878172588834</c:v>
                </c:pt>
                <c:pt idx="9">
                  <c:v>2.1133652849740932</c:v>
                </c:pt>
                <c:pt idx="10">
                  <c:v>2.1140714285714286</c:v>
                </c:pt>
                <c:pt idx="11">
                  <c:v>2.1148081081081083</c:v>
                </c:pt>
                <c:pt idx="12">
                  <c:v>2.1155773480662985</c:v>
                </c:pt>
                <c:pt idx="13">
                  <c:v>2.1163813559322033</c:v>
                </c:pt>
                <c:pt idx="14">
                  <c:v>2.1172225433526011</c:v>
                </c:pt>
                <c:pt idx="15">
                  <c:v>2.1181035502958578</c:v>
                </c:pt>
                <c:pt idx="16">
                  <c:v>2.1190272727272728</c:v>
                </c:pt>
                <c:pt idx="17">
                  <c:v>2.1199968944099381</c:v>
                </c:pt>
                <c:pt idx="18">
                  <c:v>2.1210159235668788</c:v>
                </c:pt>
                <c:pt idx="19">
                  <c:v>2.1220882352941177</c:v>
                </c:pt>
                <c:pt idx="20">
                  <c:v>2.1232181208053693</c:v>
                </c:pt>
                <c:pt idx="21">
                  <c:v>2.1244103448275862</c:v>
                </c:pt>
                <c:pt idx="22">
                  <c:v>2.1256702127659577</c:v>
                </c:pt>
                <c:pt idx="23">
                  <c:v>2.1270036496350366</c:v>
                </c:pt>
                <c:pt idx="24">
                  <c:v>2.1284172932330829</c:v>
                </c:pt>
                <c:pt idx="25">
                  <c:v>2.1299186046511629</c:v>
                </c:pt>
                <c:pt idx="26">
                  <c:v>2.131516</c:v>
                </c:pt>
                <c:pt idx="27">
                  <c:v>2.1332190082644629</c:v>
                </c:pt>
                <c:pt idx="28">
                  <c:v>2.1350384615384614</c:v>
                </c:pt>
                <c:pt idx="29">
                  <c:v>2.1369867256637169</c:v>
                </c:pt>
                <c:pt idx="30">
                  <c:v>2.1390779816513761</c:v>
                </c:pt>
                <c:pt idx="31">
                  <c:v>2.1413285714285717</c:v>
                </c:pt>
                <c:pt idx="32">
                  <c:v>2.1437574257425744</c:v>
                </c:pt>
                <c:pt idx="33">
                  <c:v>2.1463865979381445</c:v>
                </c:pt>
                <c:pt idx="34">
                  <c:v>2.1492419354838712</c:v>
                </c:pt>
                <c:pt idx="35">
                  <c:v>2.1523539325842695</c:v>
                </c:pt>
                <c:pt idx="36">
                  <c:v>2.1557588235294118</c:v>
                </c:pt>
                <c:pt idx="37">
                  <c:v>2.1595</c:v>
                </c:pt>
                <c:pt idx="38">
                  <c:v>2.1636298701298702</c:v>
                </c:pt>
                <c:pt idx="39">
                  <c:v>2.1682123287671233</c:v>
                </c:pt>
                <c:pt idx="40">
                  <c:v>2.1733260869565219</c:v>
                </c:pt>
                <c:pt idx="41">
                  <c:v>2.179069230769231</c:v>
                </c:pt>
                <c:pt idx="42">
                  <c:v>2.185565573770492</c:v>
                </c:pt>
                <c:pt idx="43">
                  <c:v>2.1929736842105263</c:v>
                </c:pt>
                <c:pt idx="44">
                  <c:v>2.2015000000000002</c:v>
                </c:pt>
                <c:pt idx="45">
                  <c:v>2.2114183673469388</c:v>
                </c:pt>
                <c:pt idx="46">
                  <c:v>2.2231000000000001</c:v>
                </c:pt>
                <c:pt idx="47">
                  <c:v>2.2370609756097561</c:v>
                </c:pt>
                <c:pt idx="48">
                  <c:v>2.2540405405405406</c:v>
                </c:pt>
                <c:pt idx="49">
                  <c:v>2.275136363636364</c:v>
                </c:pt>
                <c:pt idx="50">
                  <c:v>2.302051724137931</c:v>
                </c:pt>
                <c:pt idx="51">
                  <c:v>2.33758</c:v>
                </c:pt>
                <c:pt idx="52">
                  <c:v>2.3866428571428573</c:v>
                </c:pt>
                <c:pt idx="53">
                  <c:v>2.4587941176470594</c:v>
                </c:pt>
                <c:pt idx="54">
                  <c:v>2.5753461538461537</c:v>
                </c:pt>
                <c:pt idx="55">
                  <c:v>2.7955000000000032</c:v>
                </c:pt>
                <c:pt idx="56">
                  <c:v>3.3678999999999979</c:v>
                </c:pt>
                <c:pt idx="57">
                  <c:v>8.5194999999997982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AD-44C6-BD1C-881B8C21CF89}"/>
            </c:ext>
          </c:extLst>
        </c:ser>
        <c:ser>
          <c:idx val="2"/>
          <c:order val="2"/>
          <c:tx>
            <c:v>ue: Ir = 12,5 [A]</c:v>
          </c:tx>
          <c:spPr>
            <a:ln w="15875">
              <a:solidFill>
                <a:srgbClr val="00B0F0"/>
              </a:solidFill>
              <a:prstDash val="lgDash"/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rev.'!$EC$6:$EC$127</c:f>
              <c:numCache>
                <c:formatCode>0.000</c:formatCode>
                <c:ptCount val="122"/>
                <c:pt idx="0">
                  <c:v>2.1396250000000001</c:v>
                </c:pt>
                <c:pt idx="1">
                  <c:v>2.1396250000000001</c:v>
                </c:pt>
                <c:pt idx="2">
                  <c:v>2.1419182692307692</c:v>
                </c:pt>
                <c:pt idx="3">
                  <c:v>2.1443950000000003</c:v>
                </c:pt>
                <c:pt idx="4">
                  <c:v>2.1470781250000002</c:v>
                </c:pt>
                <c:pt idx="5">
                  <c:v>2.1499945652173915</c:v>
                </c:pt>
                <c:pt idx="6">
                  <c:v>2.1531761363636366</c:v>
                </c:pt>
                <c:pt idx="7">
                  <c:v>2.1566607142857142</c:v>
                </c:pt>
                <c:pt idx="8">
                  <c:v>2.1604937500000001</c:v>
                </c:pt>
                <c:pt idx="9">
                  <c:v>2.1647302631578946</c:v>
                </c:pt>
                <c:pt idx="10">
                  <c:v>2.1694374999999999</c:v>
                </c:pt>
                <c:pt idx="11">
                  <c:v>2.1746985294117649</c:v>
                </c:pt>
                <c:pt idx="12">
                  <c:v>2.1806171875000002</c:v>
                </c:pt>
                <c:pt idx="13">
                  <c:v>2.187325</c:v>
                </c:pt>
                <c:pt idx="14">
                  <c:v>2.1949910714285714</c:v>
                </c:pt>
                <c:pt idx="15">
                  <c:v>2.2038365384615384</c:v>
                </c:pt>
                <c:pt idx="16">
                  <c:v>2.2141562500000003</c:v>
                </c:pt>
                <c:pt idx="17">
                  <c:v>2.2263522727272727</c:v>
                </c:pt>
                <c:pt idx="18">
                  <c:v>2.2409875000000001</c:v>
                </c:pt>
                <c:pt idx="19">
                  <c:v>2.2588750000000002</c:v>
                </c:pt>
                <c:pt idx="20">
                  <c:v>2.2812343749999999</c:v>
                </c:pt>
                <c:pt idx="21">
                  <c:v>2.3099821428571428</c:v>
                </c:pt>
                <c:pt idx="22">
                  <c:v>2.3483125</c:v>
                </c:pt>
                <c:pt idx="23">
                  <c:v>2.4019749999999997</c:v>
                </c:pt>
                <c:pt idx="24">
                  <c:v>2.4824687500000002</c:v>
                </c:pt>
                <c:pt idx="25">
                  <c:v>2.6166250000000004</c:v>
                </c:pt>
                <c:pt idx="26">
                  <c:v>2.8849374999999999</c:v>
                </c:pt>
                <c:pt idx="27">
                  <c:v>3.6898749999999976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AD-44C6-BD1C-881B8C21CF89}"/>
            </c:ext>
          </c:extLst>
        </c:ser>
        <c:ser>
          <c:idx val="3"/>
          <c:order val="3"/>
          <c:tx>
            <c:v>uE: Ir = 3,0 [A]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rev.'!$ED$6:$ED$127</c:f>
              <c:numCache>
                <c:formatCode>0.000</c:formatCode>
                <c:ptCount val="122"/>
                <c:pt idx="0">
                  <c:v>-0.3299700000000001</c:v>
                </c:pt>
                <c:pt idx="1">
                  <c:v>-0.3299700000000001</c:v>
                </c:pt>
                <c:pt idx="2">
                  <c:v>0.22002999999999975</c:v>
                </c:pt>
                <c:pt idx="3">
                  <c:v>0.22002999999999975</c:v>
                </c:pt>
                <c:pt idx="4">
                  <c:v>0.22002999999999975</c:v>
                </c:pt>
                <c:pt idx="5">
                  <c:v>0.22002999999999975</c:v>
                </c:pt>
                <c:pt idx="6">
                  <c:v>0.22002999999999975</c:v>
                </c:pt>
                <c:pt idx="7">
                  <c:v>0.22002999999999975</c:v>
                </c:pt>
                <c:pt idx="8">
                  <c:v>0.22002999999999975</c:v>
                </c:pt>
                <c:pt idx="9">
                  <c:v>0.22002999999999975</c:v>
                </c:pt>
                <c:pt idx="10">
                  <c:v>0.22002999999999975</c:v>
                </c:pt>
                <c:pt idx="11">
                  <c:v>0.22002999999999975</c:v>
                </c:pt>
                <c:pt idx="12">
                  <c:v>0.22002999999999975</c:v>
                </c:pt>
                <c:pt idx="13">
                  <c:v>0.22002999999999975</c:v>
                </c:pt>
                <c:pt idx="14">
                  <c:v>0.22002999999999975</c:v>
                </c:pt>
                <c:pt idx="15">
                  <c:v>0.22002999999999975</c:v>
                </c:pt>
                <c:pt idx="16">
                  <c:v>0.22002999999999975</c:v>
                </c:pt>
                <c:pt idx="17">
                  <c:v>0.22002999999999975</c:v>
                </c:pt>
                <c:pt idx="18">
                  <c:v>0.22002999999999975</c:v>
                </c:pt>
                <c:pt idx="19">
                  <c:v>0.22002999999999975</c:v>
                </c:pt>
                <c:pt idx="20">
                  <c:v>0.22002999999999975</c:v>
                </c:pt>
                <c:pt idx="21">
                  <c:v>0.22002999999999975</c:v>
                </c:pt>
                <c:pt idx="22">
                  <c:v>0.22002999999999975</c:v>
                </c:pt>
                <c:pt idx="23">
                  <c:v>0.22002999999999975</c:v>
                </c:pt>
                <c:pt idx="24">
                  <c:v>0.22002999999999975</c:v>
                </c:pt>
                <c:pt idx="25">
                  <c:v>0.22002999999999975</c:v>
                </c:pt>
                <c:pt idx="26">
                  <c:v>0.22002999999999975</c:v>
                </c:pt>
                <c:pt idx="27">
                  <c:v>0.22002999999999975</c:v>
                </c:pt>
                <c:pt idx="28">
                  <c:v>0.22002999999999975</c:v>
                </c:pt>
                <c:pt idx="29">
                  <c:v>0.22002999999999975</c:v>
                </c:pt>
                <c:pt idx="30">
                  <c:v>0.22002999999999975</c:v>
                </c:pt>
                <c:pt idx="31">
                  <c:v>0.22002999999999975</c:v>
                </c:pt>
                <c:pt idx="32">
                  <c:v>0.22002999999999975</c:v>
                </c:pt>
                <c:pt idx="33">
                  <c:v>0.22002999999999975</c:v>
                </c:pt>
                <c:pt idx="34">
                  <c:v>0.22002999999999975</c:v>
                </c:pt>
                <c:pt idx="35">
                  <c:v>0.22002999999999975</c:v>
                </c:pt>
                <c:pt idx="36">
                  <c:v>0.22002999999999975</c:v>
                </c:pt>
                <c:pt idx="37">
                  <c:v>0.22002999999999975</c:v>
                </c:pt>
                <c:pt idx="38">
                  <c:v>0.22002999999999975</c:v>
                </c:pt>
                <c:pt idx="39">
                  <c:v>0.22002999999999975</c:v>
                </c:pt>
                <c:pt idx="40">
                  <c:v>0.22002999999999975</c:v>
                </c:pt>
                <c:pt idx="41">
                  <c:v>0.22002999999999975</c:v>
                </c:pt>
                <c:pt idx="42">
                  <c:v>0.22002999999999975</c:v>
                </c:pt>
                <c:pt idx="43">
                  <c:v>0.22002999999999975</c:v>
                </c:pt>
                <c:pt idx="44">
                  <c:v>0.22002999999999975</c:v>
                </c:pt>
                <c:pt idx="45">
                  <c:v>0.22002999999999975</c:v>
                </c:pt>
                <c:pt idx="46">
                  <c:v>0.22002999999999975</c:v>
                </c:pt>
                <c:pt idx="47">
                  <c:v>0.22002999999999975</c:v>
                </c:pt>
                <c:pt idx="48">
                  <c:v>0.22002999999999975</c:v>
                </c:pt>
                <c:pt idx="49">
                  <c:v>0.22002999999999975</c:v>
                </c:pt>
                <c:pt idx="50">
                  <c:v>0.22002999999999975</c:v>
                </c:pt>
                <c:pt idx="51">
                  <c:v>0.22002999999999975</c:v>
                </c:pt>
                <c:pt idx="52">
                  <c:v>0.22002999999999975</c:v>
                </c:pt>
                <c:pt idx="53">
                  <c:v>0.22002999999999975</c:v>
                </c:pt>
                <c:pt idx="54">
                  <c:v>0.22002999999999975</c:v>
                </c:pt>
                <c:pt idx="55">
                  <c:v>0.22002999999999975</c:v>
                </c:pt>
                <c:pt idx="56">
                  <c:v>0.22002999999999975</c:v>
                </c:pt>
                <c:pt idx="57">
                  <c:v>0.22002999999999975</c:v>
                </c:pt>
                <c:pt idx="58">
                  <c:v>0.22002999999999975</c:v>
                </c:pt>
                <c:pt idx="59">
                  <c:v>0.22002999999999975</c:v>
                </c:pt>
                <c:pt idx="60">
                  <c:v>0.22002999999999975</c:v>
                </c:pt>
                <c:pt idx="61">
                  <c:v>0.22002999999999975</c:v>
                </c:pt>
                <c:pt idx="62">
                  <c:v>0.22002999999999975</c:v>
                </c:pt>
                <c:pt idx="63">
                  <c:v>0.22002999999999975</c:v>
                </c:pt>
                <c:pt idx="64">
                  <c:v>0.22002999999999975</c:v>
                </c:pt>
                <c:pt idx="65">
                  <c:v>0.22002999999999975</c:v>
                </c:pt>
                <c:pt idx="66">
                  <c:v>0.22002999999999975</c:v>
                </c:pt>
                <c:pt idx="67">
                  <c:v>0.22002999999999975</c:v>
                </c:pt>
                <c:pt idx="68">
                  <c:v>0.22002999999999975</c:v>
                </c:pt>
                <c:pt idx="69">
                  <c:v>0.22002999999999975</c:v>
                </c:pt>
                <c:pt idx="70">
                  <c:v>0.22002999999999975</c:v>
                </c:pt>
                <c:pt idx="71">
                  <c:v>0.22002999999999975</c:v>
                </c:pt>
                <c:pt idx="72">
                  <c:v>0.22002999999999975</c:v>
                </c:pt>
                <c:pt idx="73">
                  <c:v>0.22002999999999975</c:v>
                </c:pt>
                <c:pt idx="74">
                  <c:v>0.22002999999999975</c:v>
                </c:pt>
                <c:pt idx="75">
                  <c:v>0.22002999999999975</c:v>
                </c:pt>
                <c:pt idx="76">
                  <c:v>0.22002999999999975</c:v>
                </c:pt>
                <c:pt idx="77">
                  <c:v>0.22002999999999975</c:v>
                </c:pt>
                <c:pt idx="78">
                  <c:v>0.22002999999999975</c:v>
                </c:pt>
                <c:pt idx="79">
                  <c:v>0.22002999999999975</c:v>
                </c:pt>
                <c:pt idx="80">
                  <c:v>0.22002999999999975</c:v>
                </c:pt>
                <c:pt idx="81">
                  <c:v>0.22002999999999975</c:v>
                </c:pt>
                <c:pt idx="82">
                  <c:v>0.22002999999999975</c:v>
                </c:pt>
                <c:pt idx="83">
                  <c:v>0.22002999999999975</c:v>
                </c:pt>
                <c:pt idx="84">
                  <c:v>0.22002999999999975</c:v>
                </c:pt>
                <c:pt idx="85">
                  <c:v>0.22002999999999975</c:v>
                </c:pt>
                <c:pt idx="86">
                  <c:v>0.22002999999999975</c:v>
                </c:pt>
                <c:pt idx="87">
                  <c:v>0.22002999999999975</c:v>
                </c:pt>
                <c:pt idx="88">
                  <c:v>0.22002999999999975</c:v>
                </c:pt>
                <c:pt idx="89">
                  <c:v>0.22002999999999975</c:v>
                </c:pt>
                <c:pt idx="90">
                  <c:v>0.22002999999999975</c:v>
                </c:pt>
                <c:pt idx="91">
                  <c:v>0.22002999999999975</c:v>
                </c:pt>
                <c:pt idx="92">
                  <c:v>0.22002999999999975</c:v>
                </c:pt>
                <c:pt idx="93">
                  <c:v>0.22002999999999975</c:v>
                </c:pt>
                <c:pt idx="94">
                  <c:v>0.22002999999999975</c:v>
                </c:pt>
                <c:pt idx="95">
                  <c:v>0.22002999999999975</c:v>
                </c:pt>
                <c:pt idx="96">
                  <c:v>0.22002999999999975</c:v>
                </c:pt>
                <c:pt idx="97">
                  <c:v>0.22002999999999975</c:v>
                </c:pt>
                <c:pt idx="98">
                  <c:v>0.22002999999999975</c:v>
                </c:pt>
                <c:pt idx="99">
                  <c:v>0.22002999999999975</c:v>
                </c:pt>
                <c:pt idx="100">
                  <c:v>0.22002999999999975</c:v>
                </c:pt>
                <c:pt idx="101">
                  <c:v>0.22002999999999975</c:v>
                </c:pt>
                <c:pt idx="102">
                  <c:v>0.22002999999999975</c:v>
                </c:pt>
                <c:pt idx="103">
                  <c:v>0.22002999999999975</c:v>
                </c:pt>
                <c:pt idx="104">
                  <c:v>0.22002999999999975</c:v>
                </c:pt>
                <c:pt idx="105">
                  <c:v>0.22002999999999975</c:v>
                </c:pt>
                <c:pt idx="106">
                  <c:v>0.22002999999999975</c:v>
                </c:pt>
                <c:pt idx="107">
                  <c:v>0.22002999999999975</c:v>
                </c:pt>
                <c:pt idx="108">
                  <c:v>0.22002999999999975</c:v>
                </c:pt>
                <c:pt idx="109">
                  <c:v>0.22002999999999975</c:v>
                </c:pt>
                <c:pt idx="110">
                  <c:v>0.22002999999999975</c:v>
                </c:pt>
                <c:pt idx="111">
                  <c:v>0.22002999999999975</c:v>
                </c:pt>
                <c:pt idx="112">
                  <c:v>0.22002999999999975</c:v>
                </c:pt>
                <c:pt idx="113">
                  <c:v>0.22002999999999975</c:v>
                </c:pt>
                <c:pt idx="114">
                  <c:v>0.22002999999999975</c:v>
                </c:pt>
                <c:pt idx="115">
                  <c:v>0.22002999999999975</c:v>
                </c:pt>
                <c:pt idx="116">
                  <c:v>0.22002999999999975</c:v>
                </c:pt>
                <c:pt idx="117">
                  <c:v>0.22002999999999975</c:v>
                </c:pt>
                <c:pt idx="118">
                  <c:v>0.22002999999999975</c:v>
                </c:pt>
                <c:pt idx="119">
                  <c:v>0.22002999999999975</c:v>
                </c:pt>
                <c:pt idx="120">
                  <c:v>0.22002999999999975</c:v>
                </c:pt>
                <c:pt idx="121">
                  <c:v>0.22002999999999975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AD-44C6-BD1C-881B8C21CF89}"/>
            </c:ext>
          </c:extLst>
        </c:ser>
        <c:ser>
          <c:idx val="4"/>
          <c:order val="4"/>
          <c:tx>
            <c:v>uE: Ir = 6,0 [A]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rev.'!$EE$6:$EE$127</c:f>
              <c:numCache>
                <c:formatCode>0.000</c:formatCode>
                <c:ptCount val="122"/>
                <c:pt idx="0">
                  <c:v>-0.32994000000000007</c:v>
                </c:pt>
                <c:pt idx="1">
                  <c:v>-0.32994000000000007</c:v>
                </c:pt>
                <c:pt idx="2">
                  <c:v>0.22005999999999976</c:v>
                </c:pt>
                <c:pt idx="3">
                  <c:v>0.22005999999999976</c:v>
                </c:pt>
                <c:pt idx="4">
                  <c:v>0.22005999999999976</c:v>
                </c:pt>
                <c:pt idx="5">
                  <c:v>0.22005999999999976</c:v>
                </c:pt>
                <c:pt idx="6">
                  <c:v>0.22005999999999976</c:v>
                </c:pt>
                <c:pt idx="7">
                  <c:v>0.22005999999999976</c:v>
                </c:pt>
                <c:pt idx="8">
                  <c:v>0.22005999999999976</c:v>
                </c:pt>
                <c:pt idx="9">
                  <c:v>0.22005999999999976</c:v>
                </c:pt>
                <c:pt idx="10">
                  <c:v>0.22005999999999976</c:v>
                </c:pt>
                <c:pt idx="11">
                  <c:v>0.22005999999999976</c:v>
                </c:pt>
                <c:pt idx="12">
                  <c:v>0.22005999999999976</c:v>
                </c:pt>
                <c:pt idx="13">
                  <c:v>0.22005999999999976</c:v>
                </c:pt>
                <c:pt idx="14">
                  <c:v>0.22005999999999976</c:v>
                </c:pt>
                <c:pt idx="15">
                  <c:v>0.22005999999999976</c:v>
                </c:pt>
                <c:pt idx="16">
                  <c:v>0.22005999999999976</c:v>
                </c:pt>
                <c:pt idx="17">
                  <c:v>0.22005999999999976</c:v>
                </c:pt>
                <c:pt idx="18">
                  <c:v>0.22005999999999976</c:v>
                </c:pt>
                <c:pt idx="19">
                  <c:v>0.22005999999999976</c:v>
                </c:pt>
                <c:pt idx="20">
                  <c:v>0.22005999999999976</c:v>
                </c:pt>
                <c:pt idx="21">
                  <c:v>0.22005999999999976</c:v>
                </c:pt>
                <c:pt idx="22">
                  <c:v>0.22005999999999976</c:v>
                </c:pt>
                <c:pt idx="23">
                  <c:v>0.22005999999999976</c:v>
                </c:pt>
                <c:pt idx="24">
                  <c:v>0.22005999999999976</c:v>
                </c:pt>
                <c:pt idx="25">
                  <c:v>0.22005999999999976</c:v>
                </c:pt>
                <c:pt idx="26">
                  <c:v>0.22005999999999976</c:v>
                </c:pt>
                <c:pt idx="27">
                  <c:v>0.22005999999999976</c:v>
                </c:pt>
                <c:pt idx="28">
                  <c:v>0.22005999999999976</c:v>
                </c:pt>
                <c:pt idx="29">
                  <c:v>0.22005999999999976</c:v>
                </c:pt>
                <c:pt idx="30">
                  <c:v>0.22005999999999976</c:v>
                </c:pt>
                <c:pt idx="31">
                  <c:v>0.22005999999999976</c:v>
                </c:pt>
                <c:pt idx="32">
                  <c:v>0.22005999999999976</c:v>
                </c:pt>
                <c:pt idx="33">
                  <c:v>0.22005999999999976</c:v>
                </c:pt>
                <c:pt idx="34">
                  <c:v>0.22005999999999976</c:v>
                </c:pt>
                <c:pt idx="35">
                  <c:v>0.22005999999999976</c:v>
                </c:pt>
                <c:pt idx="36">
                  <c:v>0.22005999999999976</c:v>
                </c:pt>
                <c:pt idx="37">
                  <c:v>0.22005999999999976</c:v>
                </c:pt>
                <c:pt idx="38">
                  <c:v>0.22005999999999976</c:v>
                </c:pt>
                <c:pt idx="39">
                  <c:v>0.22005999999999976</c:v>
                </c:pt>
                <c:pt idx="40">
                  <c:v>0.22005999999999976</c:v>
                </c:pt>
                <c:pt idx="41">
                  <c:v>0.22005999999999976</c:v>
                </c:pt>
                <c:pt idx="42">
                  <c:v>0.22005999999999976</c:v>
                </c:pt>
                <c:pt idx="43">
                  <c:v>0.22005999999999976</c:v>
                </c:pt>
                <c:pt idx="44">
                  <c:v>0.22005999999999976</c:v>
                </c:pt>
                <c:pt idx="45">
                  <c:v>0.22005999999999976</c:v>
                </c:pt>
                <c:pt idx="46">
                  <c:v>0.22005999999999976</c:v>
                </c:pt>
                <c:pt idx="47">
                  <c:v>0.22005999999999976</c:v>
                </c:pt>
                <c:pt idx="48">
                  <c:v>0.22005999999999976</c:v>
                </c:pt>
                <c:pt idx="49">
                  <c:v>0.22005999999999976</c:v>
                </c:pt>
                <c:pt idx="50">
                  <c:v>0.22005999999999976</c:v>
                </c:pt>
                <c:pt idx="51">
                  <c:v>0.22005999999999976</c:v>
                </c:pt>
                <c:pt idx="52">
                  <c:v>0.22005999999999976</c:v>
                </c:pt>
                <c:pt idx="53">
                  <c:v>0.22005999999999976</c:v>
                </c:pt>
                <c:pt idx="54">
                  <c:v>0.22005999999999976</c:v>
                </c:pt>
                <c:pt idx="55">
                  <c:v>0.22005999999999976</c:v>
                </c:pt>
                <c:pt idx="56">
                  <c:v>0.22005999999999976</c:v>
                </c:pt>
                <c:pt idx="57">
                  <c:v>0.22005999999999976</c:v>
                </c:pt>
                <c:pt idx="58">
                  <c:v>0.22005999999999976</c:v>
                </c:pt>
                <c:pt idx="59">
                  <c:v>0.22005999999999976</c:v>
                </c:pt>
                <c:pt idx="60">
                  <c:v>0.22005999999999976</c:v>
                </c:pt>
                <c:pt idx="61">
                  <c:v>0.22005999999999976</c:v>
                </c:pt>
                <c:pt idx="62">
                  <c:v>0.22005999999999976</c:v>
                </c:pt>
                <c:pt idx="63">
                  <c:v>0.22005999999999976</c:v>
                </c:pt>
                <c:pt idx="64">
                  <c:v>0.22005999999999976</c:v>
                </c:pt>
                <c:pt idx="65">
                  <c:v>0.22005999999999976</c:v>
                </c:pt>
                <c:pt idx="66">
                  <c:v>0.22005999999999976</c:v>
                </c:pt>
                <c:pt idx="67">
                  <c:v>0.22005999999999976</c:v>
                </c:pt>
                <c:pt idx="68">
                  <c:v>0.22005999999999976</c:v>
                </c:pt>
                <c:pt idx="69">
                  <c:v>0.22005999999999976</c:v>
                </c:pt>
                <c:pt idx="70">
                  <c:v>0.22005999999999976</c:v>
                </c:pt>
                <c:pt idx="71">
                  <c:v>0.22005999999999976</c:v>
                </c:pt>
                <c:pt idx="72">
                  <c:v>0.22005999999999976</c:v>
                </c:pt>
                <c:pt idx="73">
                  <c:v>0.22005999999999976</c:v>
                </c:pt>
                <c:pt idx="74">
                  <c:v>0.22005999999999976</c:v>
                </c:pt>
                <c:pt idx="75">
                  <c:v>0.22005999999999976</c:v>
                </c:pt>
                <c:pt idx="76">
                  <c:v>0.22005999999999976</c:v>
                </c:pt>
                <c:pt idx="77">
                  <c:v>0.22005999999999976</c:v>
                </c:pt>
                <c:pt idx="78">
                  <c:v>0.22005999999999976</c:v>
                </c:pt>
                <c:pt idx="79">
                  <c:v>0.22005999999999976</c:v>
                </c:pt>
                <c:pt idx="80">
                  <c:v>0.22005999999999976</c:v>
                </c:pt>
                <c:pt idx="81">
                  <c:v>0.22005999999999976</c:v>
                </c:pt>
                <c:pt idx="82">
                  <c:v>0.22005999999999976</c:v>
                </c:pt>
                <c:pt idx="83">
                  <c:v>0.22005999999999976</c:v>
                </c:pt>
                <c:pt idx="84">
                  <c:v>0.22005999999999976</c:v>
                </c:pt>
                <c:pt idx="85">
                  <c:v>0.22005999999999976</c:v>
                </c:pt>
                <c:pt idx="86">
                  <c:v>0.22005999999999976</c:v>
                </c:pt>
                <c:pt idx="87">
                  <c:v>0.22005999999999976</c:v>
                </c:pt>
                <c:pt idx="88">
                  <c:v>0.22005999999999976</c:v>
                </c:pt>
                <c:pt idx="89">
                  <c:v>0.22005999999999976</c:v>
                </c:pt>
                <c:pt idx="90">
                  <c:v>0.22005999999999976</c:v>
                </c:pt>
                <c:pt idx="91">
                  <c:v>0.22005999999999976</c:v>
                </c:pt>
                <c:pt idx="92">
                  <c:v>0.22005999999999976</c:v>
                </c:pt>
                <c:pt idx="93">
                  <c:v>0.22005999999999976</c:v>
                </c:pt>
                <c:pt idx="94">
                  <c:v>0.22005999999999976</c:v>
                </c:pt>
                <c:pt idx="95">
                  <c:v>0.22005999999999976</c:v>
                </c:pt>
                <c:pt idx="96">
                  <c:v>0.22005999999999976</c:v>
                </c:pt>
                <c:pt idx="97">
                  <c:v>0.22005999999999976</c:v>
                </c:pt>
                <c:pt idx="98">
                  <c:v>0.22005999999999976</c:v>
                </c:pt>
                <c:pt idx="99">
                  <c:v>0.22005999999999976</c:v>
                </c:pt>
                <c:pt idx="100">
                  <c:v>0.22005999999999976</c:v>
                </c:pt>
                <c:pt idx="101">
                  <c:v>0.22005999999999976</c:v>
                </c:pt>
                <c:pt idx="102">
                  <c:v>0.22005999999999976</c:v>
                </c:pt>
                <c:pt idx="103">
                  <c:v>0.22005999999999976</c:v>
                </c:pt>
                <c:pt idx="104">
                  <c:v>0.22005999999999976</c:v>
                </c:pt>
                <c:pt idx="105">
                  <c:v>0.22005999999999976</c:v>
                </c:pt>
                <c:pt idx="106">
                  <c:v>0.22005999999999976</c:v>
                </c:pt>
                <c:pt idx="107">
                  <c:v>0.22005999999999976</c:v>
                </c:pt>
                <c:pt idx="108">
                  <c:v>0.22005999999999976</c:v>
                </c:pt>
                <c:pt idx="109">
                  <c:v>0.22005999999999976</c:v>
                </c:pt>
                <c:pt idx="110">
                  <c:v>0.22005999999999976</c:v>
                </c:pt>
                <c:pt idx="111">
                  <c:v>0.22005999999999976</c:v>
                </c:pt>
                <c:pt idx="112">
                  <c:v>0.22005999999999976</c:v>
                </c:pt>
                <c:pt idx="113">
                  <c:v>0.22005999999999976</c:v>
                </c:pt>
                <c:pt idx="114">
                  <c:v>0.22005999999999976</c:v>
                </c:pt>
                <c:pt idx="115">
                  <c:v>0.22005999999999976</c:v>
                </c:pt>
                <c:pt idx="116">
                  <c:v>0.22005999999999976</c:v>
                </c:pt>
                <c:pt idx="117">
                  <c:v>0.22005999999999976</c:v>
                </c:pt>
                <c:pt idx="118">
                  <c:v>0.22005999999999976</c:v>
                </c:pt>
                <c:pt idx="119">
                  <c:v>0.22005999999999976</c:v>
                </c:pt>
                <c:pt idx="120">
                  <c:v>0.22005999999999976</c:v>
                </c:pt>
                <c:pt idx="121">
                  <c:v>0.22005999999999976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BAD-44C6-BD1C-881B8C21CF89}"/>
            </c:ext>
          </c:extLst>
        </c:ser>
        <c:ser>
          <c:idx val="5"/>
          <c:order val="5"/>
          <c:tx>
            <c:v>uE: Ir = 12,5 [A]</c:v>
          </c:tx>
          <c:spPr>
            <a:ln w="12700">
              <a:solidFill>
                <a:srgbClr val="00B0F0"/>
              </a:solidFill>
              <a:prstDash val="dash"/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rev.'!$EF$6:$EF$127</c:f>
              <c:numCache>
                <c:formatCode>0.000</c:formatCode>
                <c:ptCount val="122"/>
                <c:pt idx="0">
                  <c:v>-0.32987500000000008</c:v>
                </c:pt>
                <c:pt idx="1">
                  <c:v>-0.32987500000000008</c:v>
                </c:pt>
                <c:pt idx="2">
                  <c:v>0.22012499999999974</c:v>
                </c:pt>
                <c:pt idx="3">
                  <c:v>0.22012499999999974</c:v>
                </c:pt>
                <c:pt idx="4">
                  <c:v>0.22012499999999974</c:v>
                </c:pt>
                <c:pt idx="5">
                  <c:v>0.22012499999999974</c:v>
                </c:pt>
                <c:pt idx="6">
                  <c:v>0.22012499999999974</c:v>
                </c:pt>
                <c:pt idx="7">
                  <c:v>0.22012499999999974</c:v>
                </c:pt>
                <c:pt idx="8">
                  <c:v>0.22012499999999974</c:v>
                </c:pt>
                <c:pt idx="9">
                  <c:v>0.22012499999999974</c:v>
                </c:pt>
                <c:pt idx="10">
                  <c:v>0.22012499999999974</c:v>
                </c:pt>
                <c:pt idx="11">
                  <c:v>0.22012499999999974</c:v>
                </c:pt>
                <c:pt idx="12">
                  <c:v>0.22012499999999974</c:v>
                </c:pt>
                <c:pt idx="13">
                  <c:v>0.22012499999999974</c:v>
                </c:pt>
                <c:pt idx="14">
                  <c:v>0.22012499999999974</c:v>
                </c:pt>
                <c:pt idx="15">
                  <c:v>0.22012499999999974</c:v>
                </c:pt>
                <c:pt idx="16">
                  <c:v>0.22012499999999974</c:v>
                </c:pt>
                <c:pt idx="17">
                  <c:v>0.22012499999999974</c:v>
                </c:pt>
                <c:pt idx="18">
                  <c:v>0.22012499999999974</c:v>
                </c:pt>
                <c:pt idx="19">
                  <c:v>0.22012499999999974</c:v>
                </c:pt>
                <c:pt idx="20">
                  <c:v>0.22012499999999974</c:v>
                </c:pt>
                <c:pt idx="21">
                  <c:v>0.22012499999999974</c:v>
                </c:pt>
                <c:pt idx="22">
                  <c:v>0.22012499999999974</c:v>
                </c:pt>
                <c:pt idx="23">
                  <c:v>0.22012499999999974</c:v>
                </c:pt>
                <c:pt idx="24">
                  <c:v>0.22012499999999974</c:v>
                </c:pt>
                <c:pt idx="25">
                  <c:v>0.22012499999999974</c:v>
                </c:pt>
                <c:pt idx="26">
                  <c:v>0.22012499999999974</c:v>
                </c:pt>
                <c:pt idx="27">
                  <c:v>0.22012499999999974</c:v>
                </c:pt>
                <c:pt idx="28">
                  <c:v>0.22012499999999974</c:v>
                </c:pt>
                <c:pt idx="29">
                  <c:v>0.22012499999999974</c:v>
                </c:pt>
                <c:pt idx="30">
                  <c:v>0.22012499999999974</c:v>
                </c:pt>
                <c:pt idx="31">
                  <c:v>0.22012499999999974</c:v>
                </c:pt>
                <c:pt idx="32">
                  <c:v>0.22012499999999974</c:v>
                </c:pt>
                <c:pt idx="33">
                  <c:v>0.22012499999999974</c:v>
                </c:pt>
                <c:pt idx="34">
                  <c:v>0.22012499999999974</c:v>
                </c:pt>
                <c:pt idx="35">
                  <c:v>0.22012499999999974</c:v>
                </c:pt>
                <c:pt idx="36">
                  <c:v>0.22012499999999974</c:v>
                </c:pt>
                <c:pt idx="37">
                  <c:v>0.22012499999999974</c:v>
                </c:pt>
                <c:pt idx="38">
                  <c:v>0.22012499999999974</c:v>
                </c:pt>
                <c:pt idx="39">
                  <c:v>0.22012499999999974</c:v>
                </c:pt>
                <c:pt idx="40">
                  <c:v>0.22012499999999974</c:v>
                </c:pt>
                <c:pt idx="41">
                  <c:v>0.22012499999999974</c:v>
                </c:pt>
                <c:pt idx="42">
                  <c:v>0.22012499999999974</c:v>
                </c:pt>
                <c:pt idx="43">
                  <c:v>0.22012499999999974</c:v>
                </c:pt>
                <c:pt idx="44">
                  <c:v>0.22012499999999974</c:v>
                </c:pt>
                <c:pt idx="45">
                  <c:v>0.22012499999999974</c:v>
                </c:pt>
                <c:pt idx="46">
                  <c:v>0.22012499999999974</c:v>
                </c:pt>
                <c:pt idx="47">
                  <c:v>0.22012499999999974</c:v>
                </c:pt>
                <c:pt idx="48">
                  <c:v>0.22012499999999974</c:v>
                </c:pt>
                <c:pt idx="49">
                  <c:v>0.22012499999999974</c:v>
                </c:pt>
                <c:pt idx="50">
                  <c:v>0.22012499999999974</c:v>
                </c:pt>
                <c:pt idx="51">
                  <c:v>0.22012499999999974</c:v>
                </c:pt>
                <c:pt idx="52">
                  <c:v>0.22012499999999974</c:v>
                </c:pt>
                <c:pt idx="53">
                  <c:v>0.22012499999999974</c:v>
                </c:pt>
                <c:pt idx="54">
                  <c:v>0.22012499999999974</c:v>
                </c:pt>
                <c:pt idx="55">
                  <c:v>0.22012499999999974</c:v>
                </c:pt>
                <c:pt idx="56">
                  <c:v>0.22012499999999974</c:v>
                </c:pt>
                <c:pt idx="57">
                  <c:v>0.22012499999999974</c:v>
                </c:pt>
                <c:pt idx="58">
                  <c:v>0.22012499999999974</c:v>
                </c:pt>
                <c:pt idx="59">
                  <c:v>0.22012499999999974</c:v>
                </c:pt>
                <c:pt idx="60">
                  <c:v>0.22012499999999974</c:v>
                </c:pt>
                <c:pt idx="61">
                  <c:v>0.22012499999999974</c:v>
                </c:pt>
                <c:pt idx="62">
                  <c:v>0.22012499999999974</c:v>
                </c:pt>
                <c:pt idx="63">
                  <c:v>0.22012499999999974</c:v>
                </c:pt>
                <c:pt idx="64">
                  <c:v>0.22012499999999974</c:v>
                </c:pt>
                <c:pt idx="65">
                  <c:v>0.22012499999999974</c:v>
                </c:pt>
                <c:pt idx="66">
                  <c:v>0.22012499999999974</c:v>
                </c:pt>
                <c:pt idx="67">
                  <c:v>0.22012499999999974</c:v>
                </c:pt>
                <c:pt idx="68">
                  <c:v>0.22012499999999974</c:v>
                </c:pt>
                <c:pt idx="69">
                  <c:v>0.22012499999999974</c:v>
                </c:pt>
                <c:pt idx="70">
                  <c:v>0.22012499999999974</c:v>
                </c:pt>
                <c:pt idx="71">
                  <c:v>0.22012499999999974</c:v>
                </c:pt>
                <c:pt idx="72">
                  <c:v>0.22012499999999974</c:v>
                </c:pt>
                <c:pt idx="73">
                  <c:v>0.22012499999999974</c:v>
                </c:pt>
                <c:pt idx="74">
                  <c:v>0.22012499999999974</c:v>
                </c:pt>
                <c:pt idx="75">
                  <c:v>0.22012499999999974</c:v>
                </c:pt>
                <c:pt idx="76">
                  <c:v>0.22012499999999974</c:v>
                </c:pt>
                <c:pt idx="77">
                  <c:v>0.22012499999999974</c:v>
                </c:pt>
                <c:pt idx="78">
                  <c:v>0.22012499999999974</c:v>
                </c:pt>
                <c:pt idx="79">
                  <c:v>0.22012499999999974</c:v>
                </c:pt>
                <c:pt idx="80">
                  <c:v>0.22012499999999974</c:v>
                </c:pt>
                <c:pt idx="81">
                  <c:v>0.22012499999999974</c:v>
                </c:pt>
                <c:pt idx="82">
                  <c:v>0.22012499999999974</c:v>
                </c:pt>
                <c:pt idx="83">
                  <c:v>0.22012499999999974</c:v>
                </c:pt>
                <c:pt idx="84">
                  <c:v>0.22012499999999974</c:v>
                </c:pt>
                <c:pt idx="85">
                  <c:v>0.22012499999999974</c:v>
                </c:pt>
                <c:pt idx="86">
                  <c:v>0.22012499999999974</c:v>
                </c:pt>
                <c:pt idx="87">
                  <c:v>0.22012499999999974</c:v>
                </c:pt>
                <c:pt idx="88">
                  <c:v>0.22012499999999974</c:v>
                </c:pt>
                <c:pt idx="89">
                  <c:v>0.22012499999999974</c:v>
                </c:pt>
                <c:pt idx="90">
                  <c:v>0.22012499999999974</c:v>
                </c:pt>
                <c:pt idx="91">
                  <c:v>0.22012499999999974</c:v>
                </c:pt>
                <c:pt idx="92">
                  <c:v>0.22012499999999974</c:v>
                </c:pt>
                <c:pt idx="93">
                  <c:v>0.22012499999999974</c:v>
                </c:pt>
                <c:pt idx="94">
                  <c:v>0.22012499999999974</c:v>
                </c:pt>
                <c:pt idx="95">
                  <c:v>0.22012499999999974</c:v>
                </c:pt>
                <c:pt idx="96">
                  <c:v>0.22012499999999974</c:v>
                </c:pt>
                <c:pt idx="97">
                  <c:v>0.22012499999999974</c:v>
                </c:pt>
                <c:pt idx="98">
                  <c:v>0.22012499999999974</c:v>
                </c:pt>
                <c:pt idx="99">
                  <c:v>0.22012499999999974</c:v>
                </c:pt>
                <c:pt idx="100">
                  <c:v>0.22012499999999974</c:v>
                </c:pt>
                <c:pt idx="101">
                  <c:v>0.22012499999999974</c:v>
                </c:pt>
                <c:pt idx="102">
                  <c:v>0.22012499999999974</c:v>
                </c:pt>
                <c:pt idx="103">
                  <c:v>0.22012499999999974</c:v>
                </c:pt>
                <c:pt idx="104">
                  <c:v>0.22012499999999974</c:v>
                </c:pt>
                <c:pt idx="105">
                  <c:v>0.22012499999999974</c:v>
                </c:pt>
                <c:pt idx="106">
                  <c:v>0.22012499999999974</c:v>
                </c:pt>
                <c:pt idx="107">
                  <c:v>0.22012499999999974</c:v>
                </c:pt>
                <c:pt idx="108">
                  <c:v>0.22012499999999974</c:v>
                </c:pt>
                <c:pt idx="109">
                  <c:v>0.22012499999999974</c:v>
                </c:pt>
                <c:pt idx="110">
                  <c:v>0.22012499999999974</c:v>
                </c:pt>
                <c:pt idx="111">
                  <c:v>0.22012499999999974</c:v>
                </c:pt>
                <c:pt idx="112">
                  <c:v>0.22012499999999974</c:v>
                </c:pt>
                <c:pt idx="113">
                  <c:v>0.22012499999999974</c:v>
                </c:pt>
                <c:pt idx="114">
                  <c:v>0.22012499999999974</c:v>
                </c:pt>
                <c:pt idx="115">
                  <c:v>0.22012499999999974</c:v>
                </c:pt>
                <c:pt idx="116">
                  <c:v>0.22012499999999974</c:v>
                </c:pt>
                <c:pt idx="117">
                  <c:v>0.22012499999999974</c:v>
                </c:pt>
                <c:pt idx="118">
                  <c:v>0.22012499999999974</c:v>
                </c:pt>
                <c:pt idx="119">
                  <c:v>0.22012499999999974</c:v>
                </c:pt>
                <c:pt idx="120">
                  <c:v>0.22012499999999974</c:v>
                </c:pt>
                <c:pt idx="121">
                  <c:v>0.22012499999999974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BAD-44C6-BD1C-881B8C21CF89}"/>
            </c:ext>
          </c:extLst>
        </c:ser>
        <c:ser>
          <c:idx val="6"/>
          <c:order val="6"/>
          <c:tx>
            <c:v>ur: Ir = 3,0 [A]</c:v>
          </c:tx>
          <c:spPr>
            <a:ln w="15875">
              <a:solidFill>
                <a:prstClr val="black"/>
              </a:solidFill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rev.'!$EG$6:$EG$127</c:f>
              <c:numCache>
                <c:formatCode>0.000</c:formatCode>
                <c:ptCount val="122"/>
                <c:pt idx="0">
                  <c:v>1.76434</c:v>
                </c:pt>
                <c:pt idx="1">
                  <c:v>1.76434</c:v>
                </c:pt>
                <c:pt idx="2">
                  <c:v>2.3144683408071751</c:v>
                </c:pt>
                <c:pt idx="3">
                  <c:v>2.314599004524887</c:v>
                </c:pt>
                <c:pt idx="4">
                  <c:v>2.3147320547945207</c:v>
                </c:pt>
                <c:pt idx="5">
                  <c:v>2.3148675576036868</c:v>
                </c:pt>
                <c:pt idx="6">
                  <c:v>2.315005581395349</c:v>
                </c:pt>
                <c:pt idx="7">
                  <c:v>2.3151461971830987</c:v>
                </c:pt>
                <c:pt idx="8">
                  <c:v>2.3152894786729856</c:v>
                </c:pt>
                <c:pt idx="9">
                  <c:v>2.3154355023923445</c:v>
                </c:pt>
                <c:pt idx="10">
                  <c:v>2.3155843478260869</c:v>
                </c:pt>
                <c:pt idx="11">
                  <c:v>2.3157360975609755</c:v>
                </c:pt>
                <c:pt idx="12">
                  <c:v>2.3158908374384235</c:v>
                </c:pt>
                <c:pt idx="13">
                  <c:v>2.316048656716418</c:v>
                </c:pt>
                <c:pt idx="14">
                  <c:v>2.3162096482412062</c:v>
                </c:pt>
                <c:pt idx="15">
                  <c:v>2.3163739086294415</c:v>
                </c:pt>
                <c:pt idx="16">
                  <c:v>2.3165415384615384</c:v>
                </c:pt>
                <c:pt idx="17">
                  <c:v>2.3167126424870466</c:v>
                </c:pt>
                <c:pt idx="18">
                  <c:v>2.316887329842932</c:v>
                </c:pt>
                <c:pt idx="19">
                  <c:v>2.3170657142857145</c:v>
                </c:pt>
                <c:pt idx="20">
                  <c:v>2.3172479144385028</c:v>
                </c:pt>
                <c:pt idx="21">
                  <c:v>2.3174340540540541</c:v>
                </c:pt>
                <c:pt idx="22">
                  <c:v>2.317624262295082</c:v>
                </c:pt>
                <c:pt idx="23">
                  <c:v>2.3178186740331492</c:v>
                </c:pt>
                <c:pt idx="24">
                  <c:v>2.3180174301675978</c:v>
                </c:pt>
                <c:pt idx="25">
                  <c:v>2.3182206779661017</c:v>
                </c:pt>
                <c:pt idx="26">
                  <c:v>2.3184285714285715</c:v>
                </c:pt>
                <c:pt idx="27">
                  <c:v>2.3186412716763005</c:v>
                </c:pt>
                <c:pt idx="28">
                  <c:v>2.3188589473684211</c:v>
                </c:pt>
                <c:pt idx="29">
                  <c:v>2.3190817751479291</c:v>
                </c:pt>
                <c:pt idx="30">
                  <c:v>2.3193099401197603</c:v>
                </c:pt>
                <c:pt idx="31">
                  <c:v>2.3195436363636364</c:v>
                </c:pt>
                <c:pt idx="32">
                  <c:v>2.3197830674846625</c:v>
                </c:pt>
                <c:pt idx="33">
                  <c:v>2.3200284472049688</c:v>
                </c:pt>
                <c:pt idx="34">
                  <c:v>2.3202799999999999</c:v>
                </c:pt>
                <c:pt idx="35">
                  <c:v>2.3205379617834394</c:v>
                </c:pt>
                <c:pt idx="36">
                  <c:v>2.3208025806451613</c:v>
                </c:pt>
                <c:pt idx="37">
                  <c:v>2.3210741176470586</c:v>
                </c:pt>
                <c:pt idx="38">
                  <c:v>2.3213528476821192</c:v>
                </c:pt>
                <c:pt idx="39">
                  <c:v>2.3216390604026844</c:v>
                </c:pt>
                <c:pt idx="40">
                  <c:v>2.3219330612244899</c:v>
                </c:pt>
                <c:pt idx="41">
                  <c:v>2.3222351724137931</c:v>
                </c:pt>
                <c:pt idx="42">
                  <c:v>2.3225457342657343</c:v>
                </c:pt>
                <c:pt idx="43">
                  <c:v>2.3228651063829786</c:v>
                </c:pt>
                <c:pt idx="44">
                  <c:v>2.3231936690647483</c:v>
                </c:pt>
                <c:pt idx="45">
                  <c:v>2.3235318248175183</c:v>
                </c:pt>
                <c:pt idx="46">
                  <c:v>2.3238799999999999</c:v>
                </c:pt>
                <c:pt idx="47">
                  <c:v>2.3242386466165414</c:v>
                </c:pt>
                <c:pt idx="48">
                  <c:v>2.3246082442748093</c:v>
                </c:pt>
                <c:pt idx="49">
                  <c:v>2.3249893023255814</c:v>
                </c:pt>
                <c:pt idx="50">
                  <c:v>2.3253823622047243</c:v>
                </c:pt>
                <c:pt idx="51">
                  <c:v>2.3257880000000002</c:v>
                </c:pt>
                <c:pt idx="52">
                  <c:v>2.3262068292682927</c:v>
                </c:pt>
                <c:pt idx="53">
                  <c:v>2.3266395041322316</c:v>
                </c:pt>
                <c:pt idx="54">
                  <c:v>2.3270867226890757</c:v>
                </c:pt>
                <c:pt idx="55">
                  <c:v>2.3275492307692307</c:v>
                </c:pt>
                <c:pt idx="56">
                  <c:v>2.3280278260869567</c:v>
                </c:pt>
                <c:pt idx="57">
                  <c:v>2.3285233628318585</c:v>
                </c:pt>
                <c:pt idx="58">
                  <c:v>2.3290367567567567</c:v>
                </c:pt>
                <c:pt idx="59">
                  <c:v>2.3295689908256882</c:v>
                </c:pt>
                <c:pt idx="60">
                  <c:v>2.3301211214953272</c:v>
                </c:pt>
                <c:pt idx="61">
                  <c:v>2.3306942857142858</c:v>
                </c:pt>
                <c:pt idx="62">
                  <c:v>2.3312897087378639</c:v>
                </c:pt>
                <c:pt idx="63">
                  <c:v>2.3319087128712872</c:v>
                </c:pt>
                <c:pt idx="64">
                  <c:v>2.3325527272727271</c:v>
                </c:pt>
                <c:pt idx="65">
                  <c:v>2.333223298969072</c:v>
                </c:pt>
                <c:pt idx="66">
                  <c:v>2.333922105263158</c:v>
                </c:pt>
                <c:pt idx="67">
                  <c:v>2.3346509677419354</c:v>
                </c:pt>
                <c:pt idx="68">
                  <c:v>2.3354118681318683</c:v>
                </c:pt>
                <c:pt idx="69">
                  <c:v>2.336206966292135</c:v>
                </c:pt>
                <c:pt idx="70">
                  <c:v>2.3370386206896554</c:v>
                </c:pt>
                <c:pt idx="71">
                  <c:v>2.3379094117647061</c:v>
                </c:pt>
                <c:pt idx="72">
                  <c:v>2.3388221686746986</c:v>
                </c:pt>
                <c:pt idx="73">
                  <c:v>2.3397800000000002</c:v>
                </c:pt>
                <c:pt idx="74">
                  <c:v>2.3407863291139241</c:v>
                </c:pt>
                <c:pt idx="75">
                  <c:v>2.3418449350649353</c:v>
                </c:pt>
                <c:pt idx="76">
                  <c:v>2.3429600000000002</c:v>
                </c:pt>
                <c:pt idx="77">
                  <c:v>2.3441361643835616</c:v>
                </c:pt>
                <c:pt idx="78">
                  <c:v>2.345378591549296</c:v>
                </c:pt>
                <c:pt idx="79">
                  <c:v>2.3466930434782607</c:v>
                </c:pt>
                <c:pt idx="80">
                  <c:v>2.3480859701492536</c:v>
                </c:pt>
                <c:pt idx="81">
                  <c:v>2.3495646153846153</c:v>
                </c:pt>
                <c:pt idx="82">
                  <c:v>2.351137142857143</c:v>
                </c:pt>
                <c:pt idx="83">
                  <c:v>2.352812786885246</c:v>
                </c:pt>
                <c:pt idx="84">
                  <c:v>2.3546020338983049</c:v>
                </c:pt>
                <c:pt idx="85">
                  <c:v>2.3565168421052634</c:v>
                </c:pt>
                <c:pt idx="86">
                  <c:v>2.3585709090909091</c:v>
                </c:pt>
                <c:pt idx="87">
                  <c:v>2.3607800000000001</c:v>
                </c:pt>
                <c:pt idx="88">
                  <c:v>2.3631623529411763</c:v>
                </c:pt>
                <c:pt idx="89">
                  <c:v>2.3657391836734694</c:v>
                </c:pt>
                <c:pt idx="90">
                  <c:v>2.3685353191489362</c:v>
                </c:pt>
                <c:pt idx="91">
                  <c:v>2.3715800000000002</c:v>
                </c:pt>
                <c:pt idx="92">
                  <c:v>2.3749079069767443</c:v>
                </c:pt>
                <c:pt idx="93">
                  <c:v>2.3785604878048781</c:v>
                </c:pt>
                <c:pt idx="94">
                  <c:v>2.3825876923076925</c:v>
                </c:pt>
                <c:pt idx="95">
                  <c:v>2.3870502702702705</c:v>
                </c:pt>
                <c:pt idx="96">
                  <c:v>2.392022857142857</c:v>
                </c:pt>
                <c:pt idx="97">
                  <c:v>2.3975981818181817</c:v>
                </c:pt>
                <c:pt idx="98">
                  <c:v>2.4038929032258065</c:v>
                </c:pt>
                <c:pt idx="99">
                  <c:v>2.4110558620689657</c:v>
                </c:pt>
                <c:pt idx="100">
                  <c:v>2.4192800000000001</c:v>
                </c:pt>
                <c:pt idx="101">
                  <c:v>2.42882</c:v>
                </c:pt>
                <c:pt idx="102">
                  <c:v>2.4400191304347825</c:v>
                </c:pt>
                <c:pt idx="103">
                  <c:v>2.4533514285714286</c:v>
                </c:pt>
                <c:pt idx="104">
                  <c:v>2.4694905263157896</c:v>
                </c:pt>
                <c:pt idx="105">
                  <c:v>2.4894270588235297</c:v>
                </c:pt>
                <c:pt idx="106">
                  <c:v>2.5146800000000002</c:v>
                </c:pt>
                <c:pt idx="107">
                  <c:v>2.5477030769230766</c:v>
                </c:pt>
                <c:pt idx="108">
                  <c:v>2.5927345454545456</c:v>
                </c:pt>
                <c:pt idx="109">
                  <c:v>2.6577800000000016</c:v>
                </c:pt>
                <c:pt idx="110">
                  <c:v>2.7599942857142876</c:v>
                </c:pt>
                <c:pt idx="111">
                  <c:v>2.9439799999999989</c:v>
                </c:pt>
                <c:pt idx="112">
                  <c:v>3.3732800000000109</c:v>
                </c:pt>
                <c:pt idx="113">
                  <c:v>5.5197799999998978</c:v>
                </c:pt>
                <c:pt idx="114">
                  <c:v>1000000.22003</c:v>
                </c:pt>
                <c:pt idx="115">
                  <c:v>1000000.22003</c:v>
                </c:pt>
                <c:pt idx="116">
                  <c:v>1000000.22003</c:v>
                </c:pt>
                <c:pt idx="117">
                  <c:v>1000000.22003</c:v>
                </c:pt>
                <c:pt idx="118">
                  <c:v>1000000.22003</c:v>
                </c:pt>
                <c:pt idx="119">
                  <c:v>1000000.22003</c:v>
                </c:pt>
                <c:pt idx="120">
                  <c:v>1000000.22003</c:v>
                </c:pt>
                <c:pt idx="121">
                  <c:v>1000000.22003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BAD-44C6-BD1C-881B8C21CF89}"/>
            </c:ext>
          </c:extLst>
        </c:ser>
        <c:ser>
          <c:idx val="7"/>
          <c:order val="7"/>
          <c:tx>
            <c:v>ir: Ir = 6,0 [A]</c:v>
          </c:tx>
          <c:spPr>
            <a:ln w="158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rev.'!$EH$6:$EH$127</c:f>
              <c:numCache>
                <c:formatCode>0.000</c:formatCode>
                <c:ptCount val="122"/>
                <c:pt idx="0">
                  <c:v>1.77868</c:v>
                </c:pt>
                <c:pt idx="1">
                  <c:v>1.77868</c:v>
                </c:pt>
                <c:pt idx="2">
                  <c:v>2.3291980090497737</c:v>
                </c:pt>
                <c:pt idx="3">
                  <c:v>2.3297351152073729</c:v>
                </c:pt>
                <c:pt idx="4">
                  <c:v>2.3302923943661971</c:v>
                </c:pt>
                <c:pt idx="5">
                  <c:v>2.3308710047846888</c:v>
                </c:pt>
                <c:pt idx="6">
                  <c:v>2.3314721951219508</c:v>
                </c:pt>
                <c:pt idx="7">
                  <c:v>2.3320973134328358</c:v>
                </c:pt>
                <c:pt idx="8">
                  <c:v>2.3327478172588831</c:v>
                </c:pt>
                <c:pt idx="9">
                  <c:v>2.3334252849740929</c:v>
                </c:pt>
                <c:pt idx="10">
                  <c:v>2.3341314285714283</c:v>
                </c:pt>
                <c:pt idx="11">
                  <c:v>2.334868108108108</c:v>
                </c:pt>
                <c:pt idx="12">
                  <c:v>2.3356373480662982</c:v>
                </c:pt>
                <c:pt idx="13">
                  <c:v>2.336441355932203</c:v>
                </c:pt>
                <c:pt idx="14">
                  <c:v>2.3372825433526008</c:v>
                </c:pt>
                <c:pt idx="15">
                  <c:v>2.3381635502958575</c:v>
                </c:pt>
                <c:pt idx="16">
                  <c:v>2.3390872727272725</c:v>
                </c:pt>
                <c:pt idx="17">
                  <c:v>2.3400568944099378</c:v>
                </c:pt>
                <c:pt idx="18">
                  <c:v>2.3410759235668785</c:v>
                </c:pt>
                <c:pt idx="19">
                  <c:v>2.3421482352941174</c:v>
                </c:pt>
                <c:pt idx="20">
                  <c:v>2.343278120805369</c:v>
                </c:pt>
                <c:pt idx="21">
                  <c:v>2.3444703448275859</c:v>
                </c:pt>
                <c:pt idx="22">
                  <c:v>2.3457302127659574</c:v>
                </c:pt>
                <c:pt idx="23">
                  <c:v>2.3470636496350363</c:v>
                </c:pt>
                <c:pt idx="24">
                  <c:v>2.3484772932330826</c:v>
                </c:pt>
                <c:pt idx="25">
                  <c:v>2.3499786046511626</c:v>
                </c:pt>
                <c:pt idx="26">
                  <c:v>2.3515759999999997</c:v>
                </c:pt>
                <c:pt idx="27">
                  <c:v>2.3532790082644626</c:v>
                </c:pt>
                <c:pt idx="28">
                  <c:v>2.3550984615384611</c:v>
                </c:pt>
                <c:pt idx="29">
                  <c:v>2.3570467256637166</c:v>
                </c:pt>
                <c:pt idx="30">
                  <c:v>2.3591379816513758</c:v>
                </c:pt>
                <c:pt idx="31">
                  <c:v>2.3613885714285714</c:v>
                </c:pt>
                <c:pt idx="32">
                  <c:v>2.3638174257425741</c:v>
                </c:pt>
                <c:pt idx="33">
                  <c:v>2.3664465979381442</c:v>
                </c:pt>
                <c:pt idx="34">
                  <c:v>2.3693019354838709</c:v>
                </c:pt>
                <c:pt idx="35">
                  <c:v>2.3724139325842692</c:v>
                </c:pt>
                <c:pt idx="36">
                  <c:v>2.3758188235294115</c:v>
                </c:pt>
                <c:pt idx="37">
                  <c:v>2.3795599999999997</c:v>
                </c:pt>
                <c:pt idx="38">
                  <c:v>2.3836898701298699</c:v>
                </c:pt>
                <c:pt idx="39">
                  <c:v>2.388272328767123</c:v>
                </c:pt>
                <c:pt idx="40">
                  <c:v>2.3933860869565216</c:v>
                </c:pt>
                <c:pt idx="41">
                  <c:v>2.3991292307692307</c:v>
                </c:pt>
                <c:pt idx="42">
                  <c:v>2.4056255737704917</c:v>
                </c:pt>
                <c:pt idx="43">
                  <c:v>2.413033684210526</c:v>
                </c:pt>
                <c:pt idx="44">
                  <c:v>2.4215599999999999</c:v>
                </c:pt>
                <c:pt idx="45">
                  <c:v>2.4314783673469385</c:v>
                </c:pt>
                <c:pt idx="46">
                  <c:v>2.4431599999999998</c:v>
                </c:pt>
                <c:pt idx="47">
                  <c:v>2.4571209756097558</c:v>
                </c:pt>
                <c:pt idx="48">
                  <c:v>2.4741005405405403</c:v>
                </c:pt>
                <c:pt idx="49">
                  <c:v>2.4951963636363637</c:v>
                </c:pt>
                <c:pt idx="50">
                  <c:v>2.5221117241379307</c:v>
                </c:pt>
                <c:pt idx="51">
                  <c:v>2.5576399999999997</c:v>
                </c:pt>
                <c:pt idx="52">
                  <c:v>2.606702857142857</c:v>
                </c:pt>
                <c:pt idx="53">
                  <c:v>2.6788541176470591</c:v>
                </c:pt>
                <c:pt idx="54">
                  <c:v>2.7954061538461534</c:v>
                </c:pt>
                <c:pt idx="55">
                  <c:v>3.0155600000000029</c:v>
                </c:pt>
                <c:pt idx="56">
                  <c:v>3.5879599999999976</c:v>
                </c:pt>
                <c:pt idx="57">
                  <c:v>8.7395599999997984</c:v>
                </c:pt>
                <c:pt idx="58">
                  <c:v>1000000.22006</c:v>
                </c:pt>
                <c:pt idx="59">
                  <c:v>1000000.22006</c:v>
                </c:pt>
                <c:pt idx="60">
                  <c:v>1000000.22006</c:v>
                </c:pt>
                <c:pt idx="61">
                  <c:v>1000000.22006</c:v>
                </c:pt>
                <c:pt idx="62">
                  <c:v>1000000.22006</c:v>
                </c:pt>
                <c:pt idx="63">
                  <c:v>1000000.22006</c:v>
                </c:pt>
                <c:pt idx="64">
                  <c:v>1000000.22006</c:v>
                </c:pt>
                <c:pt idx="65">
                  <c:v>1000000.22006</c:v>
                </c:pt>
                <c:pt idx="66">
                  <c:v>1000000.22006</c:v>
                </c:pt>
                <c:pt idx="67">
                  <c:v>1000000.22006</c:v>
                </c:pt>
                <c:pt idx="68">
                  <c:v>1000000.22006</c:v>
                </c:pt>
                <c:pt idx="69">
                  <c:v>1000000.22006</c:v>
                </c:pt>
                <c:pt idx="70">
                  <c:v>1000000.22006</c:v>
                </c:pt>
                <c:pt idx="71">
                  <c:v>1000000.22006</c:v>
                </c:pt>
                <c:pt idx="72">
                  <c:v>1000000.22006</c:v>
                </c:pt>
                <c:pt idx="73">
                  <c:v>1000000.22006</c:v>
                </c:pt>
                <c:pt idx="74">
                  <c:v>1000000.22006</c:v>
                </c:pt>
                <c:pt idx="75">
                  <c:v>1000000.22006</c:v>
                </c:pt>
                <c:pt idx="76">
                  <c:v>1000000.22006</c:v>
                </c:pt>
                <c:pt idx="77">
                  <c:v>1000000.22006</c:v>
                </c:pt>
                <c:pt idx="78">
                  <c:v>1000000.22006</c:v>
                </c:pt>
                <c:pt idx="79">
                  <c:v>1000000.22006</c:v>
                </c:pt>
                <c:pt idx="80">
                  <c:v>1000000.22006</c:v>
                </c:pt>
                <c:pt idx="81">
                  <c:v>1000000.22006</c:v>
                </c:pt>
                <c:pt idx="82">
                  <c:v>1000000.22006</c:v>
                </c:pt>
                <c:pt idx="83">
                  <c:v>1000000.22006</c:v>
                </c:pt>
                <c:pt idx="84">
                  <c:v>1000000.22006</c:v>
                </c:pt>
                <c:pt idx="85">
                  <c:v>1000000.22006</c:v>
                </c:pt>
                <c:pt idx="86">
                  <c:v>1000000.22006</c:v>
                </c:pt>
                <c:pt idx="87">
                  <c:v>1000000.22006</c:v>
                </c:pt>
                <c:pt idx="88">
                  <c:v>1000000.22006</c:v>
                </c:pt>
                <c:pt idx="89">
                  <c:v>1000000.22006</c:v>
                </c:pt>
                <c:pt idx="90">
                  <c:v>1000000.22006</c:v>
                </c:pt>
                <c:pt idx="91">
                  <c:v>1000000.22006</c:v>
                </c:pt>
                <c:pt idx="92">
                  <c:v>1000000.22006</c:v>
                </c:pt>
                <c:pt idx="93">
                  <c:v>1000000.22006</c:v>
                </c:pt>
                <c:pt idx="94">
                  <c:v>1000000.22006</c:v>
                </c:pt>
                <c:pt idx="95">
                  <c:v>1000000.22006</c:v>
                </c:pt>
                <c:pt idx="96">
                  <c:v>1000000.22006</c:v>
                </c:pt>
                <c:pt idx="97">
                  <c:v>1000000.22006</c:v>
                </c:pt>
                <c:pt idx="98">
                  <c:v>1000000.22006</c:v>
                </c:pt>
                <c:pt idx="99">
                  <c:v>1000000.22006</c:v>
                </c:pt>
                <c:pt idx="100">
                  <c:v>1000000.22006</c:v>
                </c:pt>
                <c:pt idx="101">
                  <c:v>1000000.22006</c:v>
                </c:pt>
                <c:pt idx="102">
                  <c:v>1000000.22006</c:v>
                </c:pt>
                <c:pt idx="103">
                  <c:v>1000000.22006</c:v>
                </c:pt>
                <c:pt idx="104">
                  <c:v>1000000.22006</c:v>
                </c:pt>
                <c:pt idx="105">
                  <c:v>1000000.22006</c:v>
                </c:pt>
                <c:pt idx="106">
                  <c:v>1000000.22006</c:v>
                </c:pt>
                <c:pt idx="107">
                  <c:v>1000000.22006</c:v>
                </c:pt>
                <c:pt idx="108">
                  <c:v>1000000.22006</c:v>
                </c:pt>
                <c:pt idx="109">
                  <c:v>1000000.22006</c:v>
                </c:pt>
                <c:pt idx="110">
                  <c:v>1000000.22006</c:v>
                </c:pt>
                <c:pt idx="111">
                  <c:v>1000000.22006</c:v>
                </c:pt>
                <c:pt idx="112">
                  <c:v>1000000.22006</c:v>
                </c:pt>
                <c:pt idx="113">
                  <c:v>1000000.22006</c:v>
                </c:pt>
                <c:pt idx="114">
                  <c:v>1000000.22006</c:v>
                </c:pt>
                <c:pt idx="115">
                  <c:v>1000000.22006</c:v>
                </c:pt>
                <c:pt idx="116">
                  <c:v>1000000.22006</c:v>
                </c:pt>
                <c:pt idx="117">
                  <c:v>1000000.22006</c:v>
                </c:pt>
                <c:pt idx="118">
                  <c:v>1000000.22006</c:v>
                </c:pt>
                <c:pt idx="119">
                  <c:v>1000000.22006</c:v>
                </c:pt>
                <c:pt idx="120">
                  <c:v>1000000.22006</c:v>
                </c:pt>
                <c:pt idx="121">
                  <c:v>1000000.22006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BAD-44C6-BD1C-881B8C21CF89}"/>
            </c:ext>
          </c:extLst>
        </c:ser>
        <c:ser>
          <c:idx val="8"/>
          <c:order val="8"/>
          <c:tx>
            <c:v>ur: Ir = 12,5 [A]</c:v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rev.'!$EI$6:$EI$127</c:f>
              <c:numCache>
                <c:formatCode>0.000</c:formatCode>
                <c:ptCount val="122"/>
                <c:pt idx="0">
                  <c:v>1.80975</c:v>
                </c:pt>
                <c:pt idx="1">
                  <c:v>1.80975</c:v>
                </c:pt>
                <c:pt idx="2">
                  <c:v>2.3620432692307691</c:v>
                </c:pt>
                <c:pt idx="3">
                  <c:v>2.3645200000000002</c:v>
                </c:pt>
                <c:pt idx="4">
                  <c:v>2.3672031250000001</c:v>
                </c:pt>
                <c:pt idx="5">
                  <c:v>2.3701195652173914</c:v>
                </c:pt>
                <c:pt idx="6">
                  <c:v>2.3733011363636365</c:v>
                </c:pt>
                <c:pt idx="7">
                  <c:v>2.3767857142857141</c:v>
                </c:pt>
                <c:pt idx="8">
                  <c:v>2.38061875</c:v>
                </c:pt>
                <c:pt idx="9">
                  <c:v>2.3848552631578945</c:v>
                </c:pt>
                <c:pt idx="10">
                  <c:v>2.3895624999999998</c:v>
                </c:pt>
                <c:pt idx="11">
                  <c:v>2.3948235294117648</c:v>
                </c:pt>
                <c:pt idx="12">
                  <c:v>2.4007421875000001</c:v>
                </c:pt>
                <c:pt idx="13">
                  <c:v>2.4074499999999999</c:v>
                </c:pt>
                <c:pt idx="14">
                  <c:v>2.4151160714285713</c:v>
                </c:pt>
                <c:pt idx="15">
                  <c:v>2.4239615384615383</c:v>
                </c:pt>
                <c:pt idx="16">
                  <c:v>2.4342812500000002</c:v>
                </c:pt>
                <c:pt idx="17">
                  <c:v>2.4464772727272726</c:v>
                </c:pt>
                <c:pt idx="18">
                  <c:v>2.4611125</c:v>
                </c:pt>
                <c:pt idx="19">
                  <c:v>2.4790000000000001</c:v>
                </c:pt>
                <c:pt idx="20">
                  <c:v>2.5013593749999998</c:v>
                </c:pt>
                <c:pt idx="21">
                  <c:v>2.5301071428571427</c:v>
                </c:pt>
                <c:pt idx="22">
                  <c:v>2.5684374999999999</c:v>
                </c:pt>
                <c:pt idx="23">
                  <c:v>2.6220999999999997</c:v>
                </c:pt>
                <c:pt idx="24">
                  <c:v>2.7025937500000001</c:v>
                </c:pt>
                <c:pt idx="25">
                  <c:v>2.8367500000000003</c:v>
                </c:pt>
                <c:pt idx="26">
                  <c:v>3.1050624999999998</c:v>
                </c:pt>
                <c:pt idx="27">
                  <c:v>3.9099999999999975</c:v>
                </c:pt>
                <c:pt idx="28">
                  <c:v>1000000.220125</c:v>
                </c:pt>
                <c:pt idx="29">
                  <c:v>1000000.220125</c:v>
                </c:pt>
                <c:pt idx="30">
                  <c:v>1000000.220125</c:v>
                </c:pt>
                <c:pt idx="31">
                  <c:v>1000000.220125</c:v>
                </c:pt>
                <c:pt idx="32">
                  <c:v>1000000.220125</c:v>
                </c:pt>
                <c:pt idx="33">
                  <c:v>1000000.220125</c:v>
                </c:pt>
                <c:pt idx="34">
                  <c:v>1000000.220125</c:v>
                </c:pt>
                <c:pt idx="35">
                  <c:v>1000000.220125</c:v>
                </c:pt>
                <c:pt idx="36">
                  <c:v>1000000.220125</c:v>
                </c:pt>
                <c:pt idx="37">
                  <c:v>1000000.220125</c:v>
                </c:pt>
                <c:pt idx="38">
                  <c:v>1000000.220125</c:v>
                </c:pt>
                <c:pt idx="39">
                  <c:v>1000000.220125</c:v>
                </c:pt>
                <c:pt idx="40">
                  <c:v>1000000.220125</c:v>
                </c:pt>
                <c:pt idx="41">
                  <c:v>1000000.220125</c:v>
                </c:pt>
                <c:pt idx="42">
                  <c:v>1000000.220125</c:v>
                </c:pt>
                <c:pt idx="43">
                  <c:v>1000000.220125</c:v>
                </c:pt>
                <c:pt idx="44">
                  <c:v>1000000.220125</c:v>
                </c:pt>
                <c:pt idx="45">
                  <c:v>1000000.220125</c:v>
                </c:pt>
                <c:pt idx="46">
                  <c:v>1000000.220125</c:v>
                </c:pt>
                <c:pt idx="47">
                  <c:v>1000000.220125</c:v>
                </c:pt>
                <c:pt idx="48">
                  <c:v>1000000.220125</c:v>
                </c:pt>
                <c:pt idx="49">
                  <c:v>1000000.220125</c:v>
                </c:pt>
                <c:pt idx="50">
                  <c:v>1000000.220125</c:v>
                </c:pt>
                <c:pt idx="51">
                  <c:v>1000000.220125</c:v>
                </c:pt>
                <c:pt idx="52">
                  <c:v>1000000.220125</c:v>
                </c:pt>
                <c:pt idx="53">
                  <c:v>1000000.220125</c:v>
                </c:pt>
                <c:pt idx="54">
                  <c:v>1000000.220125</c:v>
                </c:pt>
                <c:pt idx="55">
                  <c:v>1000000.220125</c:v>
                </c:pt>
                <c:pt idx="56">
                  <c:v>1000000.220125</c:v>
                </c:pt>
                <c:pt idx="57">
                  <c:v>1000000.220125</c:v>
                </c:pt>
                <c:pt idx="58">
                  <c:v>1000000.220125</c:v>
                </c:pt>
                <c:pt idx="59">
                  <c:v>1000000.220125</c:v>
                </c:pt>
                <c:pt idx="60">
                  <c:v>1000000.220125</c:v>
                </c:pt>
                <c:pt idx="61">
                  <c:v>1000000.220125</c:v>
                </c:pt>
                <c:pt idx="62">
                  <c:v>1000000.220125</c:v>
                </c:pt>
                <c:pt idx="63">
                  <c:v>1000000.220125</c:v>
                </c:pt>
                <c:pt idx="64">
                  <c:v>1000000.220125</c:v>
                </c:pt>
                <c:pt idx="65">
                  <c:v>1000000.220125</c:v>
                </c:pt>
                <c:pt idx="66">
                  <c:v>1000000.220125</c:v>
                </c:pt>
                <c:pt idx="67">
                  <c:v>1000000.220125</c:v>
                </c:pt>
                <c:pt idx="68">
                  <c:v>1000000.220125</c:v>
                </c:pt>
                <c:pt idx="69">
                  <c:v>1000000.220125</c:v>
                </c:pt>
                <c:pt idx="70">
                  <c:v>1000000.220125</c:v>
                </c:pt>
                <c:pt idx="71">
                  <c:v>1000000.220125</c:v>
                </c:pt>
                <c:pt idx="72">
                  <c:v>1000000.220125</c:v>
                </c:pt>
                <c:pt idx="73">
                  <c:v>1000000.220125</c:v>
                </c:pt>
                <c:pt idx="74">
                  <c:v>1000000.220125</c:v>
                </c:pt>
                <c:pt idx="75">
                  <c:v>1000000.220125</c:v>
                </c:pt>
                <c:pt idx="76">
                  <c:v>1000000.220125</c:v>
                </c:pt>
                <c:pt idx="77">
                  <c:v>1000000.220125</c:v>
                </c:pt>
                <c:pt idx="78">
                  <c:v>1000000.220125</c:v>
                </c:pt>
                <c:pt idx="79">
                  <c:v>1000000.220125</c:v>
                </c:pt>
                <c:pt idx="80">
                  <c:v>1000000.220125</c:v>
                </c:pt>
                <c:pt idx="81">
                  <c:v>1000000.220125</c:v>
                </c:pt>
                <c:pt idx="82">
                  <c:v>1000000.220125</c:v>
                </c:pt>
                <c:pt idx="83">
                  <c:v>1000000.220125</c:v>
                </c:pt>
                <c:pt idx="84">
                  <c:v>1000000.220125</c:v>
                </c:pt>
                <c:pt idx="85">
                  <c:v>1000000.220125</c:v>
                </c:pt>
                <c:pt idx="86">
                  <c:v>1000000.220125</c:v>
                </c:pt>
                <c:pt idx="87">
                  <c:v>1000000.220125</c:v>
                </c:pt>
                <c:pt idx="88">
                  <c:v>1000000.220125</c:v>
                </c:pt>
                <c:pt idx="89">
                  <c:v>1000000.220125</c:v>
                </c:pt>
                <c:pt idx="90">
                  <c:v>1000000.220125</c:v>
                </c:pt>
                <c:pt idx="91">
                  <c:v>1000000.220125</c:v>
                </c:pt>
                <c:pt idx="92">
                  <c:v>1000000.220125</c:v>
                </c:pt>
                <c:pt idx="93">
                  <c:v>1000000.220125</c:v>
                </c:pt>
                <c:pt idx="94">
                  <c:v>1000000.220125</c:v>
                </c:pt>
                <c:pt idx="95">
                  <c:v>1000000.220125</c:v>
                </c:pt>
                <c:pt idx="96">
                  <c:v>1000000.220125</c:v>
                </c:pt>
                <c:pt idx="97">
                  <c:v>1000000.220125</c:v>
                </c:pt>
                <c:pt idx="98">
                  <c:v>1000000.220125</c:v>
                </c:pt>
                <c:pt idx="99">
                  <c:v>1000000.220125</c:v>
                </c:pt>
                <c:pt idx="100">
                  <c:v>1000000.220125</c:v>
                </c:pt>
                <c:pt idx="101">
                  <c:v>1000000.220125</c:v>
                </c:pt>
                <c:pt idx="102">
                  <c:v>1000000.220125</c:v>
                </c:pt>
                <c:pt idx="103">
                  <c:v>1000000.220125</c:v>
                </c:pt>
                <c:pt idx="104">
                  <c:v>1000000.220125</c:v>
                </c:pt>
                <c:pt idx="105">
                  <c:v>1000000.220125</c:v>
                </c:pt>
                <c:pt idx="106">
                  <c:v>1000000.220125</c:v>
                </c:pt>
                <c:pt idx="107">
                  <c:v>1000000.220125</c:v>
                </c:pt>
                <c:pt idx="108">
                  <c:v>1000000.220125</c:v>
                </c:pt>
                <c:pt idx="109">
                  <c:v>1000000.220125</c:v>
                </c:pt>
                <c:pt idx="110">
                  <c:v>1000000.220125</c:v>
                </c:pt>
                <c:pt idx="111">
                  <c:v>1000000.220125</c:v>
                </c:pt>
                <c:pt idx="112">
                  <c:v>1000000.220125</c:v>
                </c:pt>
                <c:pt idx="113">
                  <c:v>1000000.220125</c:v>
                </c:pt>
                <c:pt idx="114">
                  <c:v>1000000.220125</c:v>
                </c:pt>
                <c:pt idx="115">
                  <c:v>1000000.220125</c:v>
                </c:pt>
                <c:pt idx="116">
                  <c:v>1000000.220125</c:v>
                </c:pt>
                <c:pt idx="117">
                  <c:v>1000000.220125</c:v>
                </c:pt>
                <c:pt idx="118">
                  <c:v>1000000.220125</c:v>
                </c:pt>
                <c:pt idx="119">
                  <c:v>1000000.220125</c:v>
                </c:pt>
                <c:pt idx="120">
                  <c:v>1000000.220125</c:v>
                </c:pt>
                <c:pt idx="121">
                  <c:v>1000000.220125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BAD-44C6-BD1C-881B8C21CF89}"/>
            </c:ext>
          </c:extLst>
        </c:ser>
        <c:ser>
          <c:idx val="9"/>
          <c:order val="9"/>
          <c:tx>
            <c:v>urmáx: = 2,30 [V/c]</c:v>
          </c:tx>
          <c:spPr>
            <a:ln w="19050">
              <a:solidFill>
                <a:srgbClr val="FFC000"/>
              </a:solidFill>
              <a:prstDash val="lgDashDot"/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rev.'!$EJ$6:$EJ$127</c:f>
              <c:numCache>
                <c:formatCode>0.000</c:formatCode>
                <c:ptCount val="122"/>
                <c:pt idx="0">
                  <c:v>2.2999999999999998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2.2999999999999998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2.2999999999999998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2.2999999999999998</c:v>
                </c:pt>
                <c:pt idx="21">
                  <c:v>2.2999999999999998</c:v>
                </c:pt>
                <c:pt idx="22">
                  <c:v>2.2999999999999998</c:v>
                </c:pt>
                <c:pt idx="23">
                  <c:v>2.2999999999999998</c:v>
                </c:pt>
                <c:pt idx="24">
                  <c:v>2.2999999999999998</c:v>
                </c:pt>
                <c:pt idx="25">
                  <c:v>2.2999999999999998</c:v>
                </c:pt>
                <c:pt idx="26">
                  <c:v>2.2999999999999998</c:v>
                </c:pt>
                <c:pt idx="27">
                  <c:v>2.2999999999999998</c:v>
                </c:pt>
                <c:pt idx="28">
                  <c:v>2.2999999999999998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2.2999999999999998</c:v>
                </c:pt>
                <c:pt idx="33">
                  <c:v>2.2999999999999998</c:v>
                </c:pt>
                <c:pt idx="34">
                  <c:v>2.2999999999999998</c:v>
                </c:pt>
                <c:pt idx="35">
                  <c:v>2.2999999999999998</c:v>
                </c:pt>
                <c:pt idx="36">
                  <c:v>2.2999999999999998</c:v>
                </c:pt>
                <c:pt idx="37">
                  <c:v>2.2999999999999998</c:v>
                </c:pt>
                <c:pt idx="38">
                  <c:v>2.2999999999999998</c:v>
                </c:pt>
                <c:pt idx="39">
                  <c:v>2.2999999999999998</c:v>
                </c:pt>
                <c:pt idx="40">
                  <c:v>2.2999999999999998</c:v>
                </c:pt>
                <c:pt idx="41">
                  <c:v>2.2999999999999998</c:v>
                </c:pt>
                <c:pt idx="42">
                  <c:v>2.2999999999999998</c:v>
                </c:pt>
                <c:pt idx="43">
                  <c:v>2.2999999999999998</c:v>
                </c:pt>
                <c:pt idx="44">
                  <c:v>2.2999999999999998</c:v>
                </c:pt>
                <c:pt idx="45">
                  <c:v>2.2999999999999998</c:v>
                </c:pt>
                <c:pt idx="46">
                  <c:v>2.2999999999999998</c:v>
                </c:pt>
                <c:pt idx="47">
                  <c:v>2.2999999999999998</c:v>
                </c:pt>
                <c:pt idx="48">
                  <c:v>2.2999999999999998</c:v>
                </c:pt>
                <c:pt idx="49">
                  <c:v>2.2999999999999998</c:v>
                </c:pt>
                <c:pt idx="50">
                  <c:v>2.2999999999999998</c:v>
                </c:pt>
                <c:pt idx="51">
                  <c:v>2.2999999999999998</c:v>
                </c:pt>
                <c:pt idx="52">
                  <c:v>2.2999999999999998</c:v>
                </c:pt>
                <c:pt idx="53">
                  <c:v>2.2999999999999998</c:v>
                </c:pt>
                <c:pt idx="54">
                  <c:v>2.2999999999999998</c:v>
                </c:pt>
                <c:pt idx="55">
                  <c:v>2.2999999999999998</c:v>
                </c:pt>
                <c:pt idx="56">
                  <c:v>2.2999999999999998</c:v>
                </c:pt>
                <c:pt idx="57">
                  <c:v>2.2999999999999998</c:v>
                </c:pt>
                <c:pt idx="58">
                  <c:v>2.2999999999999998</c:v>
                </c:pt>
                <c:pt idx="59">
                  <c:v>2.2999999999999998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2.2999999999999998</c:v>
                </c:pt>
                <c:pt idx="63">
                  <c:v>2.2999999999999998</c:v>
                </c:pt>
                <c:pt idx="64">
                  <c:v>2.2999999999999998</c:v>
                </c:pt>
                <c:pt idx="65">
                  <c:v>2.2999999999999998</c:v>
                </c:pt>
                <c:pt idx="66">
                  <c:v>2.2999999999999998</c:v>
                </c:pt>
                <c:pt idx="67">
                  <c:v>2.2999999999999998</c:v>
                </c:pt>
                <c:pt idx="68">
                  <c:v>2.2999999999999998</c:v>
                </c:pt>
                <c:pt idx="69">
                  <c:v>2.2999999999999998</c:v>
                </c:pt>
                <c:pt idx="70">
                  <c:v>2.2999999999999998</c:v>
                </c:pt>
                <c:pt idx="71">
                  <c:v>2.2999999999999998</c:v>
                </c:pt>
                <c:pt idx="72">
                  <c:v>2.2999999999999998</c:v>
                </c:pt>
                <c:pt idx="73">
                  <c:v>2.2999999999999998</c:v>
                </c:pt>
                <c:pt idx="74">
                  <c:v>2.2999999999999998</c:v>
                </c:pt>
                <c:pt idx="75">
                  <c:v>2.2999999999999998</c:v>
                </c:pt>
                <c:pt idx="76">
                  <c:v>2.2999999999999998</c:v>
                </c:pt>
                <c:pt idx="77">
                  <c:v>2.2999999999999998</c:v>
                </c:pt>
                <c:pt idx="78">
                  <c:v>2.2999999999999998</c:v>
                </c:pt>
                <c:pt idx="79">
                  <c:v>2.2999999999999998</c:v>
                </c:pt>
                <c:pt idx="80">
                  <c:v>2.2999999999999998</c:v>
                </c:pt>
                <c:pt idx="81">
                  <c:v>2.2999999999999998</c:v>
                </c:pt>
                <c:pt idx="82">
                  <c:v>2.2999999999999998</c:v>
                </c:pt>
                <c:pt idx="83">
                  <c:v>2.2999999999999998</c:v>
                </c:pt>
                <c:pt idx="84">
                  <c:v>2.2999999999999998</c:v>
                </c:pt>
                <c:pt idx="85">
                  <c:v>2.2999999999999998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2.2999999999999998</c:v>
                </c:pt>
                <c:pt idx="90">
                  <c:v>2.2999999999999998</c:v>
                </c:pt>
                <c:pt idx="91">
                  <c:v>2.2999999999999998</c:v>
                </c:pt>
                <c:pt idx="92">
                  <c:v>2.2999999999999998</c:v>
                </c:pt>
                <c:pt idx="93">
                  <c:v>2.2999999999999998</c:v>
                </c:pt>
                <c:pt idx="94">
                  <c:v>2.2999999999999998</c:v>
                </c:pt>
                <c:pt idx="95">
                  <c:v>2.2999999999999998</c:v>
                </c:pt>
                <c:pt idx="96">
                  <c:v>2.2999999999999998</c:v>
                </c:pt>
                <c:pt idx="97">
                  <c:v>2.2999999999999998</c:v>
                </c:pt>
                <c:pt idx="98">
                  <c:v>2.2999999999999998</c:v>
                </c:pt>
                <c:pt idx="99">
                  <c:v>2.2999999999999998</c:v>
                </c:pt>
                <c:pt idx="100">
                  <c:v>2.2999999999999998</c:v>
                </c:pt>
                <c:pt idx="101">
                  <c:v>2.2999999999999998</c:v>
                </c:pt>
                <c:pt idx="102">
                  <c:v>2.2999999999999998</c:v>
                </c:pt>
                <c:pt idx="103">
                  <c:v>2.2999999999999998</c:v>
                </c:pt>
                <c:pt idx="104">
                  <c:v>2.2999999999999998</c:v>
                </c:pt>
                <c:pt idx="105">
                  <c:v>2.2999999999999998</c:v>
                </c:pt>
                <c:pt idx="106">
                  <c:v>2.2999999999999998</c:v>
                </c:pt>
                <c:pt idx="107">
                  <c:v>2.2999999999999998</c:v>
                </c:pt>
                <c:pt idx="108">
                  <c:v>2.2999999999999998</c:v>
                </c:pt>
                <c:pt idx="109">
                  <c:v>2.2999999999999998</c:v>
                </c:pt>
                <c:pt idx="110">
                  <c:v>2.2999999999999998</c:v>
                </c:pt>
                <c:pt idx="111">
                  <c:v>2.2999999999999998</c:v>
                </c:pt>
                <c:pt idx="112">
                  <c:v>2.2999999999999998</c:v>
                </c:pt>
                <c:pt idx="113">
                  <c:v>2.2999999999999998</c:v>
                </c:pt>
                <c:pt idx="114">
                  <c:v>2.2999999999999998</c:v>
                </c:pt>
                <c:pt idx="115">
                  <c:v>2.2999999999999998</c:v>
                </c:pt>
                <c:pt idx="116">
                  <c:v>2.2999999999999998</c:v>
                </c:pt>
                <c:pt idx="117">
                  <c:v>2.2999999999999998</c:v>
                </c:pt>
                <c:pt idx="118">
                  <c:v>2.2999999999999998</c:v>
                </c:pt>
                <c:pt idx="119">
                  <c:v>2.2999999999999998</c:v>
                </c:pt>
                <c:pt idx="120">
                  <c:v>2.2999999999999998</c:v>
                </c:pt>
                <c:pt idx="121">
                  <c:v>2.2999999999999998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BAD-44C6-BD1C-881B8C21CF89}"/>
            </c:ext>
          </c:extLst>
        </c:ser>
        <c:ser>
          <c:idx val="10"/>
          <c:order val="10"/>
          <c:tx>
            <c:v>Ufl = 2,25 [V/c]</c:v>
          </c:tx>
          <c:spPr>
            <a:ln w="19050">
              <a:solidFill>
                <a:srgbClr val="7030A0"/>
              </a:solidFill>
              <a:prstDash val="lgDashDot"/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rev.'!$EK$6:$EK$127</c:f>
              <c:numCache>
                <c:formatCode>#,##0.000</c:formatCode>
                <c:ptCount val="122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2.25</c:v>
                </c:pt>
                <c:pt idx="48">
                  <c:v>2.25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2.25</c:v>
                </c:pt>
                <c:pt idx="60">
                  <c:v>2.25</c:v>
                </c:pt>
                <c:pt idx="61">
                  <c:v>2.25</c:v>
                </c:pt>
                <c:pt idx="62">
                  <c:v>2.25</c:v>
                </c:pt>
                <c:pt idx="63">
                  <c:v>2.25</c:v>
                </c:pt>
                <c:pt idx="64">
                  <c:v>2.25</c:v>
                </c:pt>
                <c:pt idx="65">
                  <c:v>2.25</c:v>
                </c:pt>
                <c:pt idx="66">
                  <c:v>2.25</c:v>
                </c:pt>
                <c:pt idx="67">
                  <c:v>2.25</c:v>
                </c:pt>
                <c:pt idx="68">
                  <c:v>2.25</c:v>
                </c:pt>
                <c:pt idx="69">
                  <c:v>2.25</c:v>
                </c:pt>
                <c:pt idx="70">
                  <c:v>2.25</c:v>
                </c:pt>
                <c:pt idx="71">
                  <c:v>2.25</c:v>
                </c:pt>
                <c:pt idx="72">
                  <c:v>2.25</c:v>
                </c:pt>
                <c:pt idx="73">
                  <c:v>2.25</c:v>
                </c:pt>
                <c:pt idx="74">
                  <c:v>2.25</c:v>
                </c:pt>
                <c:pt idx="75">
                  <c:v>2.25</c:v>
                </c:pt>
                <c:pt idx="76">
                  <c:v>2.25</c:v>
                </c:pt>
                <c:pt idx="77">
                  <c:v>2.25</c:v>
                </c:pt>
                <c:pt idx="78">
                  <c:v>2.25</c:v>
                </c:pt>
                <c:pt idx="79">
                  <c:v>2.25</c:v>
                </c:pt>
                <c:pt idx="80">
                  <c:v>2.25</c:v>
                </c:pt>
                <c:pt idx="81">
                  <c:v>2.25</c:v>
                </c:pt>
                <c:pt idx="82">
                  <c:v>2.25</c:v>
                </c:pt>
                <c:pt idx="83">
                  <c:v>2.25</c:v>
                </c:pt>
                <c:pt idx="84">
                  <c:v>2.25</c:v>
                </c:pt>
                <c:pt idx="85">
                  <c:v>2.25</c:v>
                </c:pt>
                <c:pt idx="86">
                  <c:v>2.25</c:v>
                </c:pt>
                <c:pt idx="87">
                  <c:v>2.25</c:v>
                </c:pt>
                <c:pt idx="88">
                  <c:v>2.25</c:v>
                </c:pt>
                <c:pt idx="89">
                  <c:v>2.25</c:v>
                </c:pt>
                <c:pt idx="90">
                  <c:v>2.25</c:v>
                </c:pt>
                <c:pt idx="91">
                  <c:v>2.25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2.25</c:v>
                </c:pt>
                <c:pt idx="102">
                  <c:v>2.25</c:v>
                </c:pt>
                <c:pt idx="103">
                  <c:v>2.25</c:v>
                </c:pt>
                <c:pt idx="104">
                  <c:v>2.25</c:v>
                </c:pt>
                <c:pt idx="105">
                  <c:v>2.25</c:v>
                </c:pt>
                <c:pt idx="106">
                  <c:v>2.25</c:v>
                </c:pt>
                <c:pt idx="107">
                  <c:v>2.25</c:v>
                </c:pt>
                <c:pt idx="108">
                  <c:v>2.25</c:v>
                </c:pt>
                <c:pt idx="109">
                  <c:v>2.25</c:v>
                </c:pt>
                <c:pt idx="110">
                  <c:v>2.25</c:v>
                </c:pt>
                <c:pt idx="111">
                  <c:v>2.25</c:v>
                </c:pt>
                <c:pt idx="112">
                  <c:v>2.25</c:v>
                </c:pt>
                <c:pt idx="113">
                  <c:v>2.25</c:v>
                </c:pt>
                <c:pt idx="114">
                  <c:v>2.25</c:v>
                </c:pt>
                <c:pt idx="115">
                  <c:v>2.25</c:v>
                </c:pt>
                <c:pt idx="116">
                  <c:v>2.25</c:v>
                </c:pt>
                <c:pt idx="117">
                  <c:v>2.25</c:v>
                </c:pt>
                <c:pt idx="118">
                  <c:v>2.25</c:v>
                </c:pt>
                <c:pt idx="119">
                  <c:v>2.25</c:v>
                </c:pt>
                <c:pt idx="120">
                  <c:v>2.25</c:v>
                </c:pt>
                <c:pt idx="121">
                  <c:v>2.25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BAD-44C6-BD1C-881B8C21CF89}"/>
            </c:ext>
          </c:extLst>
        </c:ser>
        <c:ser>
          <c:idx val="11"/>
          <c:order val="11"/>
          <c:tx>
            <c:v>UH2O = 2,83 [V/c]</c:v>
          </c:tx>
          <c:spPr>
            <a:ln w="19050">
              <a:solidFill>
                <a:srgbClr val="66FF66"/>
              </a:solidFill>
              <a:prstDash val="lgDashDot"/>
            </a:ln>
          </c:spPr>
          <c:marker>
            <c:symbol val="none"/>
          </c:marker>
          <c:xVal>
            <c:numRef>
              <c:f>'100 A 39, 3 par. rev.'!$DZ$6:$DZ$127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0.8</c:v>
                </c:pt>
                <c:pt idx="4">
                  <c:v>1.2000000000000002</c:v>
                </c:pt>
                <c:pt idx="5">
                  <c:v>1.6</c:v>
                </c:pt>
                <c:pt idx="6">
                  <c:v>2</c:v>
                </c:pt>
                <c:pt idx="7">
                  <c:v>2.4000000000000004</c:v>
                </c:pt>
                <c:pt idx="8">
                  <c:v>2.8</c:v>
                </c:pt>
                <c:pt idx="9">
                  <c:v>3.2</c:v>
                </c:pt>
                <c:pt idx="10">
                  <c:v>3.5999999999999996</c:v>
                </c:pt>
                <c:pt idx="11">
                  <c:v>4</c:v>
                </c:pt>
                <c:pt idx="12">
                  <c:v>4.3999999999999995</c:v>
                </c:pt>
                <c:pt idx="13">
                  <c:v>4.8000000000000007</c:v>
                </c:pt>
                <c:pt idx="14">
                  <c:v>5.2</c:v>
                </c:pt>
                <c:pt idx="15">
                  <c:v>5.6</c:v>
                </c:pt>
                <c:pt idx="16">
                  <c:v>6</c:v>
                </c:pt>
                <c:pt idx="17">
                  <c:v>6.4</c:v>
                </c:pt>
                <c:pt idx="18">
                  <c:v>6.8</c:v>
                </c:pt>
                <c:pt idx="19">
                  <c:v>7.1999999999999993</c:v>
                </c:pt>
                <c:pt idx="20">
                  <c:v>7.6</c:v>
                </c:pt>
                <c:pt idx="21">
                  <c:v>8</c:v>
                </c:pt>
                <c:pt idx="22">
                  <c:v>8.3999999999999986</c:v>
                </c:pt>
                <c:pt idx="23">
                  <c:v>8.7999999999999989</c:v>
                </c:pt>
                <c:pt idx="24">
                  <c:v>9.2000000000000011</c:v>
                </c:pt>
                <c:pt idx="25">
                  <c:v>9.6000000000000014</c:v>
                </c:pt>
                <c:pt idx="26">
                  <c:v>10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</c:v>
                </c:pt>
                <c:pt idx="32">
                  <c:v>12.400000000000002</c:v>
                </c:pt>
                <c:pt idx="33">
                  <c:v>12.8</c:v>
                </c:pt>
                <c:pt idx="34">
                  <c:v>13.200000000000001</c:v>
                </c:pt>
                <c:pt idx="35">
                  <c:v>13.6</c:v>
                </c:pt>
                <c:pt idx="36">
                  <c:v>14</c:v>
                </c:pt>
                <c:pt idx="37">
                  <c:v>14.399999999999999</c:v>
                </c:pt>
                <c:pt idx="38">
                  <c:v>14.8</c:v>
                </c:pt>
                <c:pt idx="39">
                  <c:v>15.2</c:v>
                </c:pt>
                <c:pt idx="40">
                  <c:v>15.600000000000001</c:v>
                </c:pt>
                <c:pt idx="41">
                  <c:v>16</c:v>
                </c:pt>
                <c:pt idx="42">
                  <c:v>16.399999999999999</c:v>
                </c:pt>
                <c:pt idx="43">
                  <c:v>16.799999999999997</c:v>
                </c:pt>
                <c:pt idx="44">
                  <c:v>17.2</c:v>
                </c:pt>
                <c:pt idx="45">
                  <c:v>17.599999999999998</c:v>
                </c:pt>
                <c:pt idx="46">
                  <c:v>18</c:v>
                </c:pt>
                <c:pt idx="47">
                  <c:v>18.400000000000002</c:v>
                </c:pt>
                <c:pt idx="48">
                  <c:v>18.8</c:v>
                </c:pt>
                <c:pt idx="49">
                  <c:v>19.200000000000003</c:v>
                </c:pt>
                <c:pt idx="50">
                  <c:v>19.600000000000001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</c:v>
                </c:pt>
                <c:pt idx="57">
                  <c:v>22.4</c:v>
                </c:pt>
                <c:pt idx="58">
                  <c:v>22.799999999999997</c:v>
                </c:pt>
                <c:pt idx="59">
                  <c:v>23.2</c:v>
                </c:pt>
                <c:pt idx="60">
                  <c:v>23.599999999999998</c:v>
                </c:pt>
                <c:pt idx="61">
                  <c:v>24</c:v>
                </c:pt>
                <c:pt idx="62">
                  <c:v>24.4</c:v>
                </c:pt>
                <c:pt idx="63">
                  <c:v>24.800000000000004</c:v>
                </c:pt>
                <c:pt idx="64">
                  <c:v>25.200000000000003</c:v>
                </c:pt>
                <c:pt idx="65">
                  <c:v>25.6</c:v>
                </c:pt>
                <c:pt idx="66">
                  <c:v>26</c:v>
                </c:pt>
                <c:pt idx="67">
                  <c:v>26.400000000000002</c:v>
                </c:pt>
                <c:pt idx="68">
                  <c:v>26.8</c:v>
                </c:pt>
                <c:pt idx="69">
                  <c:v>27.2</c:v>
                </c:pt>
                <c:pt idx="70">
                  <c:v>27.599999999999998</c:v>
                </c:pt>
                <c:pt idx="71">
                  <c:v>28</c:v>
                </c:pt>
                <c:pt idx="72">
                  <c:v>28.4</c:v>
                </c:pt>
                <c:pt idx="73">
                  <c:v>28.799999999999997</c:v>
                </c:pt>
                <c:pt idx="74">
                  <c:v>29.199999999999996</c:v>
                </c:pt>
                <c:pt idx="75">
                  <c:v>29.6</c:v>
                </c:pt>
                <c:pt idx="76">
                  <c:v>30</c:v>
                </c:pt>
                <c:pt idx="77">
                  <c:v>30.4</c:v>
                </c:pt>
                <c:pt idx="78">
                  <c:v>30.800000000000004</c:v>
                </c:pt>
                <c:pt idx="79">
                  <c:v>31.200000000000003</c:v>
                </c:pt>
                <c:pt idx="80">
                  <c:v>31.6</c:v>
                </c:pt>
                <c:pt idx="81">
                  <c:v>32</c:v>
                </c:pt>
                <c:pt idx="82">
                  <c:v>32.400000000000006</c:v>
                </c:pt>
                <c:pt idx="83">
                  <c:v>32.799999999999997</c:v>
                </c:pt>
                <c:pt idx="84">
                  <c:v>33.200000000000003</c:v>
                </c:pt>
                <c:pt idx="85">
                  <c:v>33.599999999999994</c:v>
                </c:pt>
                <c:pt idx="86">
                  <c:v>34</c:v>
                </c:pt>
                <c:pt idx="87">
                  <c:v>34.4</c:v>
                </c:pt>
                <c:pt idx="88">
                  <c:v>34.799999999999997</c:v>
                </c:pt>
                <c:pt idx="89">
                  <c:v>35.199999999999996</c:v>
                </c:pt>
                <c:pt idx="90">
                  <c:v>35.6</c:v>
                </c:pt>
                <c:pt idx="91">
                  <c:v>36</c:v>
                </c:pt>
                <c:pt idx="92">
                  <c:v>36.4</c:v>
                </c:pt>
                <c:pt idx="93">
                  <c:v>36.800000000000004</c:v>
                </c:pt>
                <c:pt idx="94">
                  <c:v>37.200000000000003</c:v>
                </c:pt>
                <c:pt idx="95">
                  <c:v>37.6</c:v>
                </c:pt>
                <c:pt idx="96">
                  <c:v>38</c:v>
                </c:pt>
                <c:pt idx="97">
                  <c:v>38.400000000000006</c:v>
                </c:pt>
                <c:pt idx="98">
                  <c:v>38.799999999999997</c:v>
                </c:pt>
                <c:pt idx="99">
                  <c:v>39.200000000000003</c:v>
                </c:pt>
                <c:pt idx="100">
                  <c:v>39.599999999999994</c:v>
                </c:pt>
                <c:pt idx="101">
                  <c:v>40</c:v>
                </c:pt>
                <c:pt idx="102">
                  <c:v>40.4</c:v>
                </c:pt>
                <c:pt idx="103">
                  <c:v>40.799999999999997</c:v>
                </c:pt>
                <c:pt idx="104">
                  <c:v>41.199999999999996</c:v>
                </c:pt>
                <c:pt idx="105">
                  <c:v>41.6</c:v>
                </c:pt>
                <c:pt idx="106">
                  <c:v>42</c:v>
                </c:pt>
                <c:pt idx="107">
                  <c:v>42.4</c:v>
                </c:pt>
                <c:pt idx="108">
                  <c:v>42.800000000000004</c:v>
                </c:pt>
                <c:pt idx="109">
                  <c:v>43.2</c:v>
                </c:pt>
                <c:pt idx="110">
                  <c:v>43.6</c:v>
                </c:pt>
                <c:pt idx="111">
                  <c:v>44</c:v>
                </c:pt>
                <c:pt idx="112">
                  <c:v>44.400000000000006</c:v>
                </c:pt>
                <c:pt idx="113">
                  <c:v>44.8</c:v>
                </c:pt>
                <c:pt idx="114">
                  <c:v>45.2</c:v>
                </c:pt>
                <c:pt idx="115">
                  <c:v>45.599999999999994</c:v>
                </c:pt>
                <c:pt idx="116">
                  <c:v>46</c:v>
                </c:pt>
                <c:pt idx="117">
                  <c:v>46.4</c:v>
                </c:pt>
                <c:pt idx="118">
                  <c:v>46.8</c:v>
                </c:pt>
                <c:pt idx="119">
                  <c:v>47.199999999999996</c:v>
                </c:pt>
                <c:pt idx="120">
                  <c:v>47.6</c:v>
                </c:pt>
                <c:pt idx="121">
                  <c:v>48</c:v>
                </c:pt>
              </c:numCache>
            </c:numRef>
          </c:xVal>
          <c:yVal>
            <c:numRef>
              <c:f>'100 A 39, 3 par. rev.'!$EL$6:$EL$127</c:f>
              <c:numCache>
                <c:formatCode>#,##0.000</c:formatCode>
                <c:ptCount val="122"/>
                <c:pt idx="0">
                  <c:v>2.83</c:v>
                </c:pt>
                <c:pt idx="1">
                  <c:v>2.83</c:v>
                </c:pt>
                <c:pt idx="2">
                  <c:v>2.83</c:v>
                </c:pt>
                <c:pt idx="3">
                  <c:v>2.83</c:v>
                </c:pt>
                <c:pt idx="4">
                  <c:v>2.83</c:v>
                </c:pt>
                <c:pt idx="5">
                  <c:v>2.83</c:v>
                </c:pt>
                <c:pt idx="6">
                  <c:v>2.83</c:v>
                </c:pt>
                <c:pt idx="7">
                  <c:v>2.83</c:v>
                </c:pt>
                <c:pt idx="8">
                  <c:v>2.83</c:v>
                </c:pt>
                <c:pt idx="9">
                  <c:v>2.83</c:v>
                </c:pt>
                <c:pt idx="10">
                  <c:v>2.83</c:v>
                </c:pt>
                <c:pt idx="11">
                  <c:v>2.83</c:v>
                </c:pt>
                <c:pt idx="12">
                  <c:v>2.83</c:v>
                </c:pt>
                <c:pt idx="13">
                  <c:v>2.83</c:v>
                </c:pt>
                <c:pt idx="14">
                  <c:v>2.83</c:v>
                </c:pt>
                <c:pt idx="15">
                  <c:v>2.83</c:v>
                </c:pt>
                <c:pt idx="16">
                  <c:v>2.83</c:v>
                </c:pt>
                <c:pt idx="17">
                  <c:v>2.83</c:v>
                </c:pt>
                <c:pt idx="18">
                  <c:v>2.83</c:v>
                </c:pt>
                <c:pt idx="19">
                  <c:v>2.83</c:v>
                </c:pt>
                <c:pt idx="20">
                  <c:v>2.83</c:v>
                </c:pt>
                <c:pt idx="21">
                  <c:v>2.83</c:v>
                </c:pt>
                <c:pt idx="22">
                  <c:v>2.83</c:v>
                </c:pt>
                <c:pt idx="23">
                  <c:v>2.83</c:v>
                </c:pt>
                <c:pt idx="24">
                  <c:v>2.83</c:v>
                </c:pt>
                <c:pt idx="25">
                  <c:v>2.83</c:v>
                </c:pt>
                <c:pt idx="26">
                  <c:v>2.83</c:v>
                </c:pt>
                <c:pt idx="27">
                  <c:v>2.83</c:v>
                </c:pt>
                <c:pt idx="28">
                  <c:v>2.83</c:v>
                </c:pt>
                <c:pt idx="29">
                  <c:v>2.83</c:v>
                </c:pt>
                <c:pt idx="30">
                  <c:v>2.83</c:v>
                </c:pt>
                <c:pt idx="31">
                  <c:v>2.83</c:v>
                </c:pt>
                <c:pt idx="32">
                  <c:v>2.83</c:v>
                </c:pt>
                <c:pt idx="33">
                  <c:v>2.83</c:v>
                </c:pt>
                <c:pt idx="34">
                  <c:v>2.83</c:v>
                </c:pt>
                <c:pt idx="35">
                  <c:v>2.83</c:v>
                </c:pt>
                <c:pt idx="36">
                  <c:v>2.83</c:v>
                </c:pt>
                <c:pt idx="37">
                  <c:v>2.83</c:v>
                </c:pt>
                <c:pt idx="38">
                  <c:v>2.83</c:v>
                </c:pt>
                <c:pt idx="39">
                  <c:v>2.83</c:v>
                </c:pt>
                <c:pt idx="40">
                  <c:v>2.83</c:v>
                </c:pt>
                <c:pt idx="41">
                  <c:v>2.83</c:v>
                </c:pt>
                <c:pt idx="42">
                  <c:v>2.83</c:v>
                </c:pt>
                <c:pt idx="43">
                  <c:v>2.83</c:v>
                </c:pt>
                <c:pt idx="44">
                  <c:v>2.83</c:v>
                </c:pt>
                <c:pt idx="45">
                  <c:v>2.83</c:v>
                </c:pt>
                <c:pt idx="46">
                  <c:v>2.83</c:v>
                </c:pt>
                <c:pt idx="47">
                  <c:v>2.83</c:v>
                </c:pt>
                <c:pt idx="48">
                  <c:v>2.83</c:v>
                </c:pt>
                <c:pt idx="49">
                  <c:v>2.83</c:v>
                </c:pt>
                <c:pt idx="50">
                  <c:v>2.83</c:v>
                </c:pt>
                <c:pt idx="51">
                  <c:v>2.83</c:v>
                </c:pt>
                <c:pt idx="52">
                  <c:v>2.83</c:v>
                </c:pt>
                <c:pt idx="53">
                  <c:v>2.83</c:v>
                </c:pt>
                <c:pt idx="54">
                  <c:v>2.83</c:v>
                </c:pt>
                <c:pt idx="55">
                  <c:v>2.83</c:v>
                </c:pt>
                <c:pt idx="56">
                  <c:v>2.83</c:v>
                </c:pt>
                <c:pt idx="57">
                  <c:v>2.83</c:v>
                </c:pt>
                <c:pt idx="58">
                  <c:v>2.83</c:v>
                </c:pt>
                <c:pt idx="59">
                  <c:v>2.83</c:v>
                </c:pt>
                <c:pt idx="60">
                  <c:v>2.83</c:v>
                </c:pt>
                <c:pt idx="61">
                  <c:v>2.83</c:v>
                </c:pt>
                <c:pt idx="62">
                  <c:v>2.83</c:v>
                </c:pt>
                <c:pt idx="63">
                  <c:v>2.83</c:v>
                </c:pt>
                <c:pt idx="64">
                  <c:v>2.83</c:v>
                </c:pt>
                <c:pt idx="65">
                  <c:v>2.83</c:v>
                </c:pt>
                <c:pt idx="66">
                  <c:v>2.83</c:v>
                </c:pt>
                <c:pt idx="67">
                  <c:v>2.83</c:v>
                </c:pt>
                <c:pt idx="68">
                  <c:v>2.83</c:v>
                </c:pt>
                <c:pt idx="69">
                  <c:v>2.83</c:v>
                </c:pt>
                <c:pt idx="70">
                  <c:v>2.83</c:v>
                </c:pt>
                <c:pt idx="71">
                  <c:v>2.83</c:v>
                </c:pt>
                <c:pt idx="72">
                  <c:v>2.83</c:v>
                </c:pt>
                <c:pt idx="73">
                  <c:v>2.83</c:v>
                </c:pt>
                <c:pt idx="74">
                  <c:v>2.83</c:v>
                </c:pt>
                <c:pt idx="75">
                  <c:v>2.83</c:v>
                </c:pt>
                <c:pt idx="76">
                  <c:v>2.83</c:v>
                </c:pt>
                <c:pt idx="77">
                  <c:v>2.83</c:v>
                </c:pt>
                <c:pt idx="78">
                  <c:v>2.83</c:v>
                </c:pt>
                <c:pt idx="79">
                  <c:v>2.83</c:v>
                </c:pt>
                <c:pt idx="80">
                  <c:v>2.83</c:v>
                </c:pt>
                <c:pt idx="81">
                  <c:v>2.83</c:v>
                </c:pt>
                <c:pt idx="82">
                  <c:v>2.83</c:v>
                </c:pt>
                <c:pt idx="83">
                  <c:v>2.83</c:v>
                </c:pt>
                <c:pt idx="84">
                  <c:v>2.83</c:v>
                </c:pt>
                <c:pt idx="85">
                  <c:v>2.83</c:v>
                </c:pt>
                <c:pt idx="86">
                  <c:v>2.83</c:v>
                </c:pt>
                <c:pt idx="87">
                  <c:v>2.83</c:v>
                </c:pt>
                <c:pt idx="88">
                  <c:v>2.83</c:v>
                </c:pt>
                <c:pt idx="89">
                  <c:v>2.83</c:v>
                </c:pt>
                <c:pt idx="90">
                  <c:v>2.83</c:v>
                </c:pt>
                <c:pt idx="91">
                  <c:v>2.83</c:v>
                </c:pt>
                <c:pt idx="92">
                  <c:v>2.83</c:v>
                </c:pt>
                <c:pt idx="93">
                  <c:v>2.83</c:v>
                </c:pt>
                <c:pt idx="94">
                  <c:v>2.83</c:v>
                </c:pt>
                <c:pt idx="95">
                  <c:v>2.83</c:v>
                </c:pt>
                <c:pt idx="96">
                  <c:v>2.83</c:v>
                </c:pt>
                <c:pt idx="97">
                  <c:v>2.83</c:v>
                </c:pt>
                <c:pt idx="98">
                  <c:v>2.83</c:v>
                </c:pt>
                <c:pt idx="99">
                  <c:v>2.83</c:v>
                </c:pt>
                <c:pt idx="100">
                  <c:v>2.83</c:v>
                </c:pt>
                <c:pt idx="101">
                  <c:v>2.83</c:v>
                </c:pt>
                <c:pt idx="102">
                  <c:v>2.83</c:v>
                </c:pt>
                <c:pt idx="103">
                  <c:v>2.83</c:v>
                </c:pt>
                <c:pt idx="104">
                  <c:v>2.83</c:v>
                </c:pt>
                <c:pt idx="105">
                  <c:v>2.83</c:v>
                </c:pt>
                <c:pt idx="106">
                  <c:v>2.83</c:v>
                </c:pt>
                <c:pt idx="107">
                  <c:v>2.83</c:v>
                </c:pt>
                <c:pt idx="108">
                  <c:v>2.83</c:v>
                </c:pt>
                <c:pt idx="109">
                  <c:v>2.83</c:v>
                </c:pt>
                <c:pt idx="110">
                  <c:v>2.83</c:v>
                </c:pt>
                <c:pt idx="111">
                  <c:v>2.83</c:v>
                </c:pt>
                <c:pt idx="112">
                  <c:v>2.83</c:v>
                </c:pt>
                <c:pt idx="113">
                  <c:v>2.83</c:v>
                </c:pt>
                <c:pt idx="114">
                  <c:v>2.83</c:v>
                </c:pt>
                <c:pt idx="115">
                  <c:v>2.83</c:v>
                </c:pt>
                <c:pt idx="116">
                  <c:v>2.83</c:v>
                </c:pt>
                <c:pt idx="117">
                  <c:v>2.83</c:v>
                </c:pt>
                <c:pt idx="118">
                  <c:v>2.83</c:v>
                </c:pt>
                <c:pt idx="119">
                  <c:v>2.83</c:v>
                </c:pt>
                <c:pt idx="120">
                  <c:v>2.83</c:v>
                </c:pt>
                <c:pt idx="121">
                  <c:v>2.83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BAD-44C6-BD1C-881B8C21C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07168"/>
        <c:axId val="113217536"/>
      </c:scatterChart>
      <c:valAx>
        <c:axId val="113207168"/>
        <c:scaling>
          <c:orientation val="minMax"/>
          <c:max val="48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/>
                  <a:t>Tiempo  de  recarga t [h]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3217536"/>
        <c:crossesAt val="-5"/>
        <c:crossBetween val="midCat"/>
        <c:majorUnit val="3"/>
        <c:minorUnit val="1"/>
      </c:valAx>
      <c:valAx>
        <c:axId val="113217536"/>
        <c:scaling>
          <c:orientation val="minMax"/>
          <c:max val="3"/>
          <c:min val="-0.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Tensión de  recarga u</a:t>
                </a:r>
                <a:r>
                  <a:rPr lang="en-US" sz="1100" baseline="-25000"/>
                  <a:t>r</a:t>
                </a:r>
                <a:r>
                  <a:rPr lang="en-US" sz="1100"/>
                  <a:t> [V/c]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13207168"/>
        <c:crosses val="autoZero"/>
        <c:crossBetween val="midCat"/>
        <c:majorUnit val="0.25"/>
        <c:minorUnit val="1.0000000000000005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45869716121011189"/>
          <c:y val="0.43572277329183423"/>
          <c:w val="0.50930428926647331"/>
          <c:h val="0.27352705007649225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Capacidad útil en función de la corriente de descarga</a:t>
            </a:r>
          </a:p>
          <a:p>
            <a:pPr>
              <a:defRPr sz="1400"/>
            </a:pPr>
            <a:r>
              <a:rPr lang="en-US" sz="1400"/>
              <a:t>placa</a:t>
            </a:r>
            <a:r>
              <a:rPr lang="en-US" sz="1400" baseline="0"/>
              <a:t> positiva acumulador Pb-ác Absolyte serie 100 A</a:t>
            </a:r>
            <a:endParaRPr lang="en-US" sz="1400"/>
          </a:p>
        </c:rich>
      </c:tx>
      <c:layout>
        <c:manualLayout>
          <c:xMode val="edge"/>
          <c:yMode val="edge"/>
          <c:x val="0.15818579234972679"/>
          <c:y val="1.67084377610693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203219711542565"/>
          <c:y val="0.14449325413270786"/>
          <c:w val="0.85488013998250223"/>
          <c:h val="0.7532772981690542"/>
        </c:manualLayout>
      </c:layout>
      <c:scatterChart>
        <c:scatterStyle val="smoothMarker"/>
        <c:varyColors val="0"/>
        <c:ser>
          <c:idx val="0"/>
          <c:order val="0"/>
          <c:tx>
            <c:v>Qe; UFin = 1,90 [V/c]</c:v>
          </c:tx>
          <c:spPr>
            <a:ln w="15875">
              <a:solidFill>
                <a:prstClr val="black"/>
              </a:solidFill>
              <a:prstDash val="dashDot"/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rev.'!$EO$6:$EO$127</c:f>
              <c:numCache>
                <c:formatCode>0.000</c:formatCode>
                <c:ptCount val="122"/>
                <c:pt idx="0">
                  <c:v>135</c:v>
                </c:pt>
                <c:pt idx="1">
                  <c:v>135</c:v>
                </c:pt>
                <c:pt idx="2">
                  <c:v>134.21828030324016</c:v>
                </c:pt>
                <c:pt idx="3">
                  <c:v>133.43657954583506</c:v>
                </c:pt>
                <c:pt idx="4">
                  <c:v>132.65489772709648</c:v>
                </c:pt>
                <c:pt idx="5">
                  <c:v>131.87323484633615</c:v>
                </c:pt>
                <c:pt idx="6">
                  <c:v>131.09159090286587</c:v>
                </c:pt>
                <c:pt idx="7">
                  <c:v>130.30996589599738</c:v>
                </c:pt>
                <c:pt idx="8">
                  <c:v>129.52835982504263</c:v>
                </c:pt>
                <c:pt idx="9">
                  <c:v>128.74677268931345</c:v>
                </c:pt>
                <c:pt idx="10">
                  <c:v>127.96520448812178</c:v>
                </c:pt>
                <c:pt idx="11">
                  <c:v>127.18365522077957</c:v>
                </c:pt>
                <c:pt idx="12">
                  <c:v>126.40212488659884</c:v>
                </c:pt>
                <c:pt idx="13">
                  <c:v>125.62061348489155</c:v>
                </c:pt>
                <c:pt idx="14">
                  <c:v>124.83912101496979</c:v>
                </c:pt>
                <c:pt idx="15">
                  <c:v>124.05764747614566</c:v>
                </c:pt>
                <c:pt idx="16">
                  <c:v>123.27619286773124</c:v>
                </c:pt>
                <c:pt idx="17">
                  <c:v>122.49475718903868</c:v>
                </c:pt>
                <c:pt idx="18">
                  <c:v>121.7133404393802</c:v>
                </c:pt>
                <c:pt idx="19">
                  <c:v>120.93194261806802</c:v>
                </c:pt>
                <c:pt idx="20">
                  <c:v>120.15056372441437</c:v>
                </c:pt>
                <c:pt idx="21">
                  <c:v>119.36920375773154</c:v>
                </c:pt>
                <c:pt idx="22">
                  <c:v>118.58786271733187</c:v>
                </c:pt>
                <c:pt idx="23">
                  <c:v>117.80654060252769</c:v>
                </c:pt>
                <c:pt idx="24">
                  <c:v>117.02523741263141</c:v>
                </c:pt>
                <c:pt idx="25">
                  <c:v>116.24395314695545</c:v>
                </c:pt>
                <c:pt idx="26">
                  <c:v>115.46268780481223</c:v>
                </c:pt>
                <c:pt idx="27">
                  <c:v>114.68144138551425</c:v>
                </c:pt>
                <c:pt idx="28">
                  <c:v>113.90021388837403</c:v>
                </c:pt>
                <c:pt idx="29">
                  <c:v>113.11900531270412</c:v>
                </c:pt>
                <c:pt idx="30">
                  <c:v>112.33781565781715</c:v>
                </c:pt>
                <c:pt idx="31">
                  <c:v>111.55664492302567</c:v>
                </c:pt>
                <c:pt idx="32">
                  <c:v>110.77549310764238</c:v>
                </c:pt>
                <c:pt idx="33">
                  <c:v>109.99436021097995</c:v>
                </c:pt>
                <c:pt idx="34">
                  <c:v>109.21324623235112</c:v>
                </c:pt>
                <c:pt idx="35">
                  <c:v>108.43215117106861</c:v>
                </c:pt>
                <c:pt idx="36">
                  <c:v>107.65107502644521</c:v>
                </c:pt>
                <c:pt idx="37">
                  <c:v>106.87001779779378</c:v>
                </c:pt>
                <c:pt idx="38">
                  <c:v>106.0889794844271</c:v>
                </c:pt>
                <c:pt idx="39">
                  <c:v>105.30796008565812</c:v>
                </c:pt>
                <c:pt idx="40">
                  <c:v>104.52695960079974</c:v>
                </c:pt>
                <c:pt idx="41">
                  <c:v>103.7459780291649</c:v>
                </c:pt>
                <c:pt idx="42">
                  <c:v>102.96501537006661</c:v>
                </c:pt>
                <c:pt idx="43">
                  <c:v>102.18407162281788</c:v>
                </c:pt>
                <c:pt idx="44">
                  <c:v>101.40314678673174</c:v>
                </c:pt>
                <c:pt idx="45">
                  <c:v>100.62224086112128</c:v>
                </c:pt>
                <c:pt idx="46">
                  <c:v>99.841353845299651</c:v>
                </c:pt>
                <c:pt idx="47">
                  <c:v>99.06048573857997</c:v>
                </c:pt>
                <c:pt idx="48">
                  <c:v>98.279636540275433</c:v>
                </c:pt>
                <c:pt idx="49">
                  <c:v>97.498806249699285</c:v>
                </c:pt>
                <c:pt idx="50">
                  <c:v>96.717994866164744</c:v>
                </c:pt>
                <c:pt idx="51">
                  <c:v>95.937202388985085</c:v>
                </c:pt>
                <c:pt idx="52">
                  <c:v>95.156428817473653</c:v>
                </c:pt>
                <c:pt idx="53">
                  <c:v>94.375674150943837</c:v>
                </c:pt>
                <c:pt idx="54">
                  <c:v>93.594938388708968</c:v>
                </c:pt>
                <c:pt idx="55">
                  <c:v>92.814221530082449</c:v>
                </c:pt>
                <c:pt idx="56">
                  <c:v>92.033523574377767</c:v>
                </c:pt>
                <c:pt idx="57">
                  <c:v>91.252844520908383</c:v>
                </c:pt>
                <c:pt idx="58">
                  <c:v>90.47218436898784</c:v>
                </c:pt>
                <c:pt idx="59">
                  <c:v>89.691543117929669</c:v>
                </c:pt>
                <c:pt idx="60">
                  <c:v>88.910920767047472</c:v>
                </c:pt>
                <c:pt idx="61">
                  <c:v>88.13031731565485</c:v>
                </c:pt>
                <c:pt idx="62">
                  <c:v>87.349732763065504</c:v>
                </c:pt>
                <c:pt idx="63">
                  <c:v>86.569167108593021</c:v>
                </c:pt>
                <c:pt idx="64">
                  <c:v>85.788620351551188</c:v>
                </c:pt>
                <c:pt idx="65">
                  <c:v>85.008092491253748</c:v>
                </c:pt>
                <c:pt idx="66">
                  <c:v>84.22758352701446</c:v>
                </c:pt>
                <c:pt idx="67">
                  <c:v>83.447093458147151</c:v>
                </c:pt>
                <c:pt idx="68">
                  <c:v>82.666622283965694</c:v>
                </c:pt>
                <c:pt idx="69">
                  <c:v>81.886170003783974</c:v>
                </c:pt>
                <c:pt idx="70">
                  <c:v>81.105736616915863</c:v>
                </c:pt>
                <c:pt idx="71">
                  <c:v>80.325322122675345</c:v>
                </c:pt>
                <c:pt idx="72">
                  <c:v>79.544926520376379</c:v>
                </c:pt>
                <c:pt idx="73">
                  <c:v>78.764549809333033</c:v>
                </c:pt>
                <c:pt idx="74">
                  <c:v>77.984191988859294</c:v>
                </c:pt>
                <c:pt idx="75">
                  <c:v>77.203853058269246</c:v>
                </c:pt>
                <c:pt idx="76">
                  <c:v>76.423533016877073</c:v>
                </c:pt>
                <c:pt idx="77">
                  <c:v>75.643231863996874</c:v>
                </c:pt>
                <c:pt idx="78">
                  <c:v>74.862949598942819</c:v>
                </c:pt>
                <c:pt idx="79">
                  <c:v>74.082686221029149</c:v>
                </c:pt>
                <c:pt idx="80">
                  <c:v>73.302441729570134</c:v>
                </c:pt>
                <c:pt idx="81">
                  <c:v>72.522216123880014</c:v>
                </c:pt>
                <c:pt idx="82">
                  <c:v>71.742009403273101</c:v>
                </c:pt>
                <c:pt idx="83">
                  <c:v>70.961821567063765</c:v>
                </c:pt>
                <c:pt idx="84">
                  <c:v>70.181652614566389</c:v>
                </c:pt>
                <c:pt idx="85">
                  <c:v>69.401502545095369</c:v>
                </c:pt>
                <c:pt idx="86">
                  <c:v>68.621371357965174</c:v>
                </c:pt>
                <c:pt idx="87">
                  <c:v>67.841259052490258</c:v>
                </c:pt>
                <c:pt idx="88">
                  <c:v>67.06116562798519</c:v>
                </c:pt>
                <c:pt idx="89">
                  <c:v>66.281091083764466</c:v>
                </c:pt>
                <c:pt idx="90">
                  <c:v>65.501035419142681</c:v>
                </c:pt>
                <c:pt idx="91">
                  <c:v>64.720998633434448</c:v>
                </c:pt>
                <c:pt idx="92">
                  <c:v>63.940980725954411</c:v>
                </c:pt>
                <c:pt idx="93">
                  <c:v>63.160981696017238</c:v>
                </c:pt>
                <c:pt idx="94">
                  <c:v>62.381001542937682</c:v>
                </c:pt>
                <c:pt idx="95">
                  <c:v>61.601040266030459</c:v>
                </c:pt>
                <c:pt idx="96">
                  <c:v>60.821097864610337</c:v>
                </c:pt>
                <c:pt idx="97">
                  <c:v>60.041174337992167</c:v>
                </c:pt>
                <c:pt idx="98">
                  <c:v>59.261269685490781</c:v>
                </c:pt>
                <c:pt idx="99">
                  <c:v>58.481383906421058</c:v>
                </c:pt>
                <c:pt idx="100">
                  <c:v>57.70151700009788</c:v>
                </c:pt>
                <c:pt idx="101">
                  <c:v>56.921668965836211</c:v>
                </c:pt>
                <c:pt idx="102">
                  <c:v>56.141839802951054</c:v>
                </c:pt>
                <c:pt idx="103">
                  <c:v>55.362029510757374</c:v>
                </c:pt>
                <c:pt idx="104">
                  <c:v>54.582238088570271</c:v>
                </c:pt>
                <c:pt idx="105">
                  <c:v>53.802465535704762</c:v>
                </c:pt>
                <c:pt idx="106">
                  <c:v>53.022711851476018</c:v>
                </c:pt>
                <c:pt idx="107">
                  <c:v>52.242977035199154</c:v>
                </c:pt>
                <c:pt idx="108">
                  <c:v>51.463261086189355</c:v>
                </c:pt>
                <c:pt idx="109">
                  <c:v>50.683564003761816</c:v>
                </c:pt>
                <c:pt idx="110">
                  <c:v>49.9038857872318</c:v>
                </c:pt>
                <c:pt idx="111">
                  <c:v>49.124226435914572</c:v>
                </c:pt>
                <c:pt idx="112">
                  <c:v>48.344585949125417</c:v>
                </c:pt>
                <c:pt idx="113">
                  <c:v>47.564964326179734</c:v>
                </c:pt>
                <c:pt idx="114">
                  <c:v>46.785361566392872</c:v>
                </c:pt>
                <c:pt idx="115">
                  <c:v>46.005777669080224</c:v>
                </c:pt>
                <c:pt idx="116">
                  <c:v>45.22621263355726</c:v>
                </c:pt>
                <c:pt idx="117">
                  <c:v>44.446666459139443</c:v>
                </c:pt>
                <c:pt idx="118">
                  <c:v>43.667139145142279</c:v>
                </c:pt>
                <c:pt idx="119">
                  <c:v>42.887630690881316</c:v>
                </c:pt>
                <c:pt idx="120">
                  <c:v>42.108141095672117</c:v>
                </c:pt>
                <c:pt idx="121">
                  <c:v>41.328670358830294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B9-4303-8797-71A586E96CFC}"/>
            </c:ext>
          </c:extLst>
        </c:ser>
        <c:ser>
          <c:idx val="1"/>
          <c:order val="1"/>
          <c:tx>
            <c:v>Qe; UFin = 1,84 [V/c]</c:v>
          </c:tx>
          <c:spPr>
            <a:ln w="15875">
              <a:solidFill>
                <a:srgbClr val="00B050"/>
              </a:solidFill>
              <a:prstDash val="dashDot"/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rev.'!$EP$6:$EP$127</c:f>
              <c:numCache>
                <c:formatCode>0.000</c:formatCode>
                <c:ptCount val="122"/>
                <c:pt idx="0">
                  <c:v>135</c:v>
                </c:pt>
                <c:pt idx="1">
                  <c:v>135</c:v>
                </c:pt>
                <c:pt idx="2">
                  <c:v>134.41370845183874</c:v>
                </c:pt>
                <c:pt idx="3">
                  <c:v>133.82742755716129</c:v>
                </c:pt>
                <c:pt idx="4">
                  <c:v>133.24115731567736</c:v>
                </c:pt>
                <c:pt idx="5">
                  <c:v>132.65489772709648</c:v>
                </c:pt>
                <c:pt idx="6">
                  <c:v>132.06864879112842</c:v>
                </c:pt>
                <c:pt idx="7">
                  <c:v>131.48241050748274</c:v>
                </c:pt>
                <c:pt idx="8">
                  <c:v>130.89618287586919</c:v>
                </c:pt>
                <c:pt idx="9">
                  <c:v>130.30996589599738</c:v>
                </c:pt>
                <c:pt idx="10">
                  <c:v>129.72375956757702</c:v>
                </c:pt>
                <c:pt idx="11">
                  <c:v>129.13756389031786</c:v>
                </c:pt>
                <c:pt idx="12">
                  <c:v>128.5513788639295</c:v>
                </c:pt>
                <c:pt idx="13">
                  <c:v>127.96520448812177</c:v>
                </c:pt>
                <c:pt idx="14">
                  <c:v>127.37904076260438</c:v>
                </c:pt>
                <c:pt idx="15">
                  <c:v>126.79288768708702</c:v>
                </c:pt>
                <c:pt idx="16">
                  <c:v>126.20674526127951</c:v>
                </c:pt>
                <c:pt idx="17">
                  <c:v>125.62061348489155</c:v>
                </c:pt>
                <c:pt idx="18">
                  <c:v>125.03449235763297</c:v>
                </c:pt>
                <c:pt idx="19">
                  <c:v>124.44838187921349</c:v>
                </c:pt>
                <c:pt idx="20">
                  <c:v>123.86228204934298</c:v>
                </c:pt>
                <c:pt idx="21">
                  <c:v>123.27619286773123</c:v>
                </c:pt>
                <c:pt idx="22">
                  <c:v>122.69011433408799</c:v>
                </c:pt>
                <c:pt idx="23">
                  <c:v>122.10404644812317</c:v>
                </c:pt>
                <c:pt idx="24">
                  <c:v>121.51798920954653</c:v>
                </c:pt>
                <c:pt idx="25">
                  <c:v>120.93194261806801</c:v>
                </c:pt>
                <c:pt idx="26">
                  <c:v>120.34590667339739</c:v>
                </c:pt>
                <c:pt idx="27">
                  <c:v>119.75988137524457</c:v>
                </c:pt>
                <c:pt idx="28">
                  <c:v>119.17386672331943</c:v>
                </c:pt>
                <c:pt idx="29">
                  <c:v>118.58786271733186</c:v>
                </c:pt>
                <c:pt idx="30">
                  <c:v>118.00186935699178</c:v>
                </c:pt>
                <c:pt idx="31">
                  <c:v>117.41588664200903</c:v>
                </c:pt>
                <c:pt idx="32">
                  <c:v>116.8299145720936</c:v>
                </c:pt>
                <c:pt idx="33">
                  <c:v>116.24395314695543</c:v>
                </c:pt>
                <c:pt idx="34">
                  <c:v>115.6580023663044</c:v>
                </c:pt>
                <c:pt idx="35">
                  <c:v>115.07206222985053</c:v>
                </c:pt>
                <c:pt idx="36">
                  <c:v>114.48613273730372</c:v>
                </c:pt>
                <c:pt idx="37">
                  <c:v>113.90021388837401</c:v>
                </c:pt>
                <c:pt idx="38">
                  <c:v>113.31430568277132</c:v>
                </c:pt>
                <c:pt idx="39">
                  <c:v>112.72840812020571</c:v>
                </c:pt>
                <c:pt idx="40">
                  <c:v>112.14252120038715</c:v>
                </c:pt>
                <c:pt idx="41">
                  <c:v>111.55664492302564</c:v>
                </c:pt>
                <c:pt idx="42">
                  <c:v>110.97077928783126</c:v>
                </c:pt>
                <c:pt idx="43">
                  <c:v>110.38492429451399</c:v>
                </c:pt>
                <c:pt idx="44">
                  <c:v>109.79907994278393</c:v>
                </c:pt>
                <c:pt idx="45">
                  <c:v>109.21324623235111</c:v>
                </c:pt>
                <c:pt idx="46">
                  <c:v>108.62742316292558</c:v>
                </c:pt>
                <c:pt idx="47">
                  <c:v>108.04161073421744</c:v>
                </c:pt>
                <c:pt idx="48">
                  <c:v>107.45580894593679</c:v>
                </c:pt>
                <c:pt idx="49">
                  <c:v>106.87001779779375</c:v>
                </c:pt>
                <c:pt idx="50">
                  <c:v>106.28423728949835</c:v>
                </c:pt>
                <c:pt idx="51">
                  <c:v>105.69846742076084</c:v>
                </c:pt>
                <c:pt idx="52">
                  <c:v>105.11270819129125</c:v>
                </c:pt>
                <c:pt idx="53">
                  <c:v>104.5269596007997</c:v>
                </c:pt>
                <c:pt idx="54">
                  <c:v>103.94122164899645</c:v>
                </c:pt>
                <c:pt idx="55">
                  <c:v>103.35549433559159</c:v>
                </c:pt>
                <c:pt idx="56">
                  <c:v>102.76977766029533</c:v>
                </c:pt>
                <c:pt idx="57">
                  <c:v>102.18407162281784</c:v>
                </c:pt>
                <c:pt idx="58">
                  <c:v>101.59837622286931</c:v>
                </c:pt>
                <c:pt idx="59">
                  <c:v>101.01269146015996</c:v>
                </c:pt>
                <c:pt idx="60">
                  <c:v>100.42701733439996</c:v>
                </c:pt>
                <c:pt idx="61">
                  <c:v>99.841353845299608</c:v>
                </c:pt>
                <c:pt idx="62">
                  <c:v>99.255700992569103</c:v>
                </c:pt>
                <c:pt idx="63">
                  <c:v>98.67005877591869</c:v>
                </c:pt>
                <c:pt idx="64">
                  <c:v>98.084427195058666</c:v>
                </c:pt>
                <c:pt idx="65">
                  <c:v>97.498806249699228</c:v>
                </c:pt>
                <c:pt idx="66">
                  <c:v>96.913195939550747</c:v>
                </c:pt>
                <c:pt idx="67">
                  <c:v>96.327596264323418</c:v>
                </c:pt>
                <c:pt idx="68">
                  <c:v>95.742007223727626</c:v>
                </c:pt>
                <c:pt idx="69">
                  <c:v>95.156428817473625</c:v>
                </c:pt>
                <c:pt idx="70">
                  <c:v>94.570861045271783</c:v>
                </c:pt>
                <c:pt idx="71">
                  <c:v>93.985303906832414</c:v>
                </c:pt>
                <c:pt idx="72">
                  <c:v>93.399757401865827</c:v>
                </c:pt>
                <c:pt idx="73">
                  <c:v>92.814221530082406</c:v>
                </c:pt>
                <c:pt idx="74">
                  <c:v>92.228696291192506</c:v>
                </c:pt>
                <c:pt idx="75">
                  <c:v>91.643181684906523</c:v>
                </c:pt>
                <c:pt idx="76">
                  <c:v>91.057677710934826</c:v>
                </c:pt>
                <c:pt idx="77">
                  <c:v>90.472184368987783</c:v>
                </c:pt>
                <c:pt idx="78">
                  <c:v>89.886701658775863</c:v>
                </c:pt>
                <c:pt idx="79">
                  <c:v>89.301229580009419</c:v>
                </c:pt>
                <c:pt idx="80">
                  <c:v>88.715768132398964</c:v>
                </c:pt>
                <c:pt idx="81">
                  <c:v>88.130317315654807</c:v>
                </c:pt>
                <c:pt idx="82">
                  <c:v>87.544877129487503</c:v>
                </c:pt>
                <c:pt idx="83">
                  <c:v>86.959447573607491</c:v>
                </c:pt>
                <c:pt idx="84">
                  <c:v>86.374028647725197</c:v>
                </c:pt>
                <c:pt idx="85">
                  <c:v>85.788620351551145</c:v>
                </c:pt>
                <c:pt idx="86">
                  <c:v>85.20322268479579</c:v>
                </c:pt>
                <c:pt idx="87">
                  <c:v>84.617835647169656</c:v>
                </c:pt>
                <c:pt idx="88">
                  <c:v>84.032459238383282</c:v>
                </c:pt>
                <c:pt idx="89">
                  <c:v>83.447093458147108</c:v>
                </c:pt>
                <c:pt idx="90">
                  <c:v>82.861738306171745</c:v>
                </c:pt>
                <c:pt idx="91">
                  <c:v>82.276393782167716</c:v>
                </c:pt>
                <c:pt idx="92">
                  <c:v>81.691059885845533</c:v>
                </c:pt>
                <c:pt idx="93">
                  <c:v>81.105736616915806</c:v>
                </c:pt>
                <c:pt idx="94">
                  <c:v>80.520423975089102</c:v>
                </c:pt>
                <c:pt idx="95">
                  <c:v>79.935121960076003</c:v>
                </c:pt>
                <c:pt idx="96">
                  <c:v>79.349830571587063</c:v>
                </c:pt>
                <c:pt idx="97">
                  <c:v>78.764549809332962</c:v>
                </c:pt>
                <c:pt idx="98">
                  <c:v>78.179279673024269</c:v>
                </c:pt>
                <c:pt idx="99">
                  <c:v>77.594020162371635</c:v>
                </c:pt>
                <c:pt idx="100">
                  <c:v>77.008771277085657</c:v>
                </c:pt>
                <c:pt idx="101">
                  <c:v>76.42353301687703</c:v>
                </c:pt>
                <c:pt idx="102">
                  <c:v>75.838305381456394</c:v>
                </c:pt>
                <c:pt idx="103">
                  <c:v>75.253088370534385</c:v>
                </c:pt>
                <c:pt idx="104">
                  <c:v>74.667881983821744</c:v>
                </c:pt>
                <c:pt idx="105">
                  <c:v>74.082686221029093</c:v>
                </c:pt>
                <c:pt idx="106">
                  <c:v>73.497501081867199</c:v>
                </c:pt>
                <c:pt idx="107">
                  <c:v>72.912326566046744</c:v>
                </c:pt>
                <c:pt idx="108">
                  <c:v>72.327162673278437</c:v>
                </c:pt>
                <c:pt idx="109">
                  <c:v>71.742009403273045</c:v>
                </c:pt>
                <c:pt idx="110">
                  <c:v>71.156866755741248</c:v>
                </c:pt>
                <c:pt idx="111">
                  <c:v>70.571734730393871</c:v>
                </c:pt>
                <c:pt idx="112">
                  <c:v>69.986613326941622</c:v>
                </c:pt>
                <c:pt idx="113">
                  <c:v>69.401502545095312</c:v>
                </c:pt>
                <c:pt idx="114">
                  <c:v>68.81640238456572</c:v>
                </c:pt>
                <c:pt idx="115">
                  <c:v>68.231312845063599</c:v>
                </c:pt>
                <c:pt idx="116">
                  <c:v>67.646233926299828</c:v>
                </c:pt>
                <c:pt idx="117">
                  <c:v>67.061165627985119</c:v>
                </c:pt>
                <c:pt idx="118">
                  <c:v>66.476107949830407</c:v>
                </c:pt>
                <c:pt idx="119">
                  <c:v>65.891060891546488</c:v>
                </c:pt>
                <c:pt idx="120">
                  <c:v>65.306024452844184</c:v>
                </c:pt>
                <c:pt idx="121">
                  <c:v>64.720998633434377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B9-4303-8797-71A586E96CFC}"/>
            </c:ext>
          </c:extLst>
        </c:ser>
        <c:ser>
          <c:idx val="2"/>
          <c:order val="2"/>
          <c:tx>
            <c:v>Qe; UFin = 1,75 [V/c]</c:v>
          </c:tx>
          <c:spPr>
            <a:ln w="15875">
              <a:solidFill>
                <a:srgbClr val="00B0F0"/>
              </a:solidFill>
              <a:prstDash val="dashDot"/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rev.'!$EQ$6:$EQ$127</c:f>
              <c:numCache>
                <c:formatCode>0.000</c:formatCode>
                <c:ptCount val="122"/>
                <c:pt idx="0">
                  <c:v>135</c:v>
                </c:pt>
                <c:pt idx="1">
                  <c:v>135</c:v>
                </c:pt>
                <c:pt idx="2">
                  <c:v>134.57360509023573</c:v>
                </c:pt>
                <c:pt idx="3">
                  <c:v>134.14721581541389</c:v>
                </c:pt>
                <c:pt idx="4">
                  <c:v>133.7208321754228</c:v>
                </c:pt>
                <c:pt idx="5">
                  <c:v>133.29445417015071</c:v>
                </c:pt>
                <c:pt idx="6">
                  <c:v>132.86808179948599</c:v>
                </c:pt>
                <c:pt idx="7">
                  <c:v>132.44171506331696</c:v>
                </c:pt>
                <c:pt idx="8">
                  <c:v>132.01535396153182</c:v>
                </c:pt>
                <c:pt idx="9">
                  <c:v>131.58899849401899</c:v>
                </c:pt>
                <c:pt idx="10">
                  <c:v>131.16264866066675</c:v>
                </c:pt>
                <c:pt idx="11">
                  <c:v>130.73630446136346</c:v>
                </c:pt>
                <c:pt idx="12">
                  <c:v>130.30996589599738</c:v>
                </c:pt>
                <c:pt idx="13">
                  <c:v>129.88363296445684</c:v>
                </c:pt>
                <c:pt idx="14">
                  <c:v>129.45730566663025</c:v>
                </c:pt>
                <c:pt idx="15">
                  <c:v>129.03098400240583</c:v>
                </c:pt>
                <c:pt idx="16">
                  <c:v>128.604667971672</c:v>
                </c:pt>
                <c:pt idx="17">
                  <c:v>128.17835757431706</c:v>
                </c:pt>
                <c:pt idx="18">
                  <c:v>127.75205281022934</c:v>
                </c:pt>
                <c:pt idx="19">
                  <c:v>127.32575367929724</c:v>
                </c:pt>
                <c:pt idx="20">
                  <c:v>126.89946018140903</c:v>
                </c:pt>
                <c:pt idx="21">
                  <c:v>126.47317231645312</c:v>
                </c:pt>
                <c:pt idx="22">
                  <c:v>126.04689008431787</c:v>
                </c:pt>
                <c:pt idx="23">
                  <c:v>125.62061348489155</c:v>
                </c:pt>
                <c:pt idx="24">
                  <c:v>125.1943425180626</c:v>
                </c:pt>
                <c:pt idx="25">
                  <c:v>124.76807718371933</c:v>
                </c:pt>
                <c:pt idx="26">
                  <c:v>124.34181748175018</c:v>
                </c:pt>
                <c:pt idx="27">
                  <c:v>123.91556341204345</c:v>
                </c:pt>
                <c:pt idx="28">
                  <c:v>123.48931497448748</c:v>
                </c:pt>
                <c:pt idx="29">
                  <c:v>123.06307216897075</c:v>
                </c:pt>
                <c:pt idx="30">
                  <c:v>122.63683499538159</c:v>
                </c:pt>
                <c:pt idx="31">
                  <c:v>122.21060345360831</c:v>
                </c:pt>
                <c:pt idx="32">
                  <c:v>121.78437754353938</c:v>
                </c:pt>
                <c:pt idx="33">
                  <c:v>121.35815726506313</c:v>
                </c:pt>
                <c:pt idx="34">
                  <c:v>120.93194261806802</c:v>
                </c:pt>
                <c:pt idx="35">
                  <c:v>120.50573360244236</c:v>
                </c:pt>
                <c:pt idx="36">
                  <c:v>120.07953021807457</c:v>
                </c:pt>
                <c:pt idx="37">
                  <c:v>119.65333246485308</c:v>
                </c:pt>
                <c:pt idx="38">
                  <c:v>119.22714034266622</c:v>
                </c:pt>
                <c:pt idx="39">
                  <c:v>118.80095385140247</c:v>
                </c:pt>
                <c:pt idx="40">
                  <c:v>118.37477299095019</c:v>
                </c:pt>
                <c:pt idx="41">
                  <c:v>117.9485977611978</c:v>
                </c:pt>
                <c:pt idx="42">
                  <c:v>117.52242816203372</c:v>
                </c:pt>
                <c:pt idx="43">
                  <c:v>117.09626419334634</c:v>
                </c:pt>
                <c:pt idx="44">
                  <c:v>116.6701058550241</c:v>
                </c:pt>
                <c:pt idx="45">
                  <c:v>116.24395314695545</c:v>
                </c:pt>
                <c:pt idx="46">
                  <c:v>115.81780606902872</c:v>
                </c:pt>
                <c:pt idx="47">
                  <c:v>115.39166462113242</c:v>
                </c:pt>
                <c:pt idx="48">
                  <c:v>114.96552880315492</c:v>
                </c:pt>
                <c:pt idx="49">
                  <c:v>114.53939861498473</c:v>
                </c:pt>
                <c:pt idx="50">
                  <c:v>114.11327405651025</c:v>
                </c:pt>
                <c:pt idx="51">
                  <c:v>113.68715512761986</c:v>
                </c:pt>
                <c:pt idx="52">
                  <c:v>113.2610418282021</c:v>
                </c:pt>
                <c:pt idx="53">
                  <c:v>112.83493415814533</c:v>
                </c:pt>
                <c:pt idx="54">
                  <c:v>112.40883211733804</c:v>
                </c:pt>
                <c:pt idx="55">
                  <c:v>111.98273570566866</c:v>
                </c:pt>
                <c:pt idx="56">
                  <c:v>111.55664492302566</c:v>
                </c:pt>
                <c:pt idx="57">
                  <c:v>111.13055976929751</c:v>
                </c:pt>
                <c:pt idx="58">
                  <c:v>110.70448024437259</c:v>
                </c:pt>
                <c:pt idx="59">
                  <c:v>110.27840634813948</c:v>
                </c:pt>
                <c:pt idx="60">
                  <c:v>109.85233808048658</c:v>
                </c:pt>
                <c:pt idx="61">
                  <c:v>109.42627544130231</c:v>
                </c:pt>
                <c:pt idx="62">
                  <c:v>109.00021843047523</c:v>
                </c:pt>
                <c:pt idx="63">
                  <c:v>108.57416704789375</c:v>
                </c:pt>
                <c:pt idx="64">
                  <c:v>108.14812129344641</c:v>
                </c:pt>
                <c:pt idx="65">
                  <c:v>107.72208116702164</c:v>
                </c:pt>
                <c:pt idx="66">
                  <c:v>107.29604666850791</c:v>
                </c:pt>
                <c:pt idx="67">
                  <c:v>106.87001779779375</c:v>
                </c:pt>
                <c:pt idx="68">
                  <c:v>106.44399455476761</c:v>
                </c:pt>
                <c:pt idx="69">
                  <c:v>106.01797693931802</c:v>
                </c:pt>
                <c:pt idx="70">
                  <c:v>105.59196495133344</c:v>
                </c:pt>
                <c:pt idx="71">
                  <c:v>105.16595859070236</c:v>
                </c:pt>
                <c:pt idx="72">
                  <c:v>104.73995785731334</c:v>
                </c:pt>
                <c:pt idx="73">
                  <c:v>104.31396275105479</c:v>
                </c:pt>
                <c:pt idx="74">
                  <c:v>103.88797327181533</c:v>
                </c:pt>
                <c:pt idx="75">
                  <c:v>103.46198941948337</c:v>
                </c:pt>
                <c:pt idx="76">
                  <c:v>103.03601119394745</c:v>
                </c:pt>
                <c:pt idx="77">
                  <c:v>102.61003859509611</c:v>
                </c:pt>
                <c:pt idx="78">
                  <c:v>102.18407162281784</c:v>
                </c:pt>
                <c:pt idx="79">
                  <c:v>101.75811027700117</c:v>
                </c:pt>
                <c:pt idx="80">
                  <c:v>101.33215455753465</c:v>
                </c:pt>
                <c:pt idx="81">
                  <c:v>100.90620446430677</c:v>
                </c:pt>
                <c:pt idx="82">
                  <c:v>100.48025999720605</c:v>
                </c:pt>
                <c:pt idx="83">
                  <c:v>100.05432115612108</c:v>
                </c:pt>
                <c:pt idx="84">
                  <c:v>99.628387940940314</c:v>
                </c:pt>
                <c:pt idx="85">
                  <c:v>99.202460351552361</c:v>
                </c:pt>
                <c:pt idx="86">
                  <c:v>98.776538387845704</c:v>
                </c:pt>
                <c:pt idx="87">
                  <c:v>98.35062204970896</c:v>
                </c:pt>
                <c:pt idx="88">
                  <c:v>97.924711337030644</c:v>
                </c:pt>
                <c:pt idx="89">
                  <c:v>97.498806249699257</c:v>
                </c:pt>
                <c:pt idx="90">
                  <c:v>97.072906787603415</c:v>
                </c:pt>
                <c:pt idx="91">
                  <c:v>96.647012950631634</c:v>
                </c:pt>
                <c:pt idx="92">
                  <c:v>96.221124738672501</c:v>
                </c:pt>
                <c:pt idx="93">
                  <c:v>95.795242151614573</c:v>
                </c:pt>
                <c:pt idx="94">
                  <c:v>95.369365189346397</c:v>
                </c:pt>
                <c:pt idx="95">
                  <c:v>94.943493851756571</c:v>
                </c:pt>
                <c:pt idx="96">
                  <c:v>94.517628138733613</c:v>
                </c:pt>
                <c:pt idx="97">
                  <c:v>94.091768050166152</c:v>
                </c:pt>
                <c:pt idx="98">
                  <c:v>93.665913585942761</c:v>
                </c:pt>
                <c:pt idx="99">
                  <c:v>93.240064745951969</c:v>
                </c:pt>
                <c:pt idx="100">
                  <c:v>92.814221530082406</c:v>
                </c:pt>
                <c:pt idx="101">
                  <c:v>92.388383938222631</c:v>
                </c:pt>
                <c:pt idx="102">
                  <c:v>91.962551970261273</c:v>
                </c:pt>
                <c:pt idx="103">
                  <c:v>91.536725626086877</c:v>
                </c:pt>
                <c:pt idx="104">
                  <c:v>91.110904905588043</c:v>
                </c:pt>
                <c:pt idx="105">
                  <c:v>90.685089808653387</c:v>
                </c:pt>
                <c:pt idx="106">
                  <c:v>90.259280335171496</c:v>
                </c:pt>
                <c:pt idx="107">
                  <c:v>89.833476485030985</c:v>
                </c:pt>
                <c:pt idx="108">
                  <c:v>89.407678258120455</c:v>
                </c:pt>
                <c:pt idx="109">
                  <c:v>88.981885654328494</c:v>
                </c:pt>
                <c:pt idx="110">
                  <c:v>88.556098673543772</c:v>
                </c:pt>
                <c:pt idx="111">
                  <c:v>88.130317315654835</c:v>
                </c:pt>
                <c:pt idx="112">
                  <c:v>87.704541580550327</c:v>
                </c:pt>
                <c:pt idx="113">
                  <c:v>87.27877146811889</c:v>
                </c:pt>
                <c:pt idx="114">
                  <c:v>86.853006978249113</c:v>
                </c:pt>
                <c:pt idx="115">
                  <c:v>86.427248110829652</c:v>
                </c:pt>
                <c:pt idx="116">
                  <c:v>86.001494865749109</c:v>
                </c:pt>
                <c:pt idx="117">
                  <c:v>85.575747242896156</c:v>
                </c:pt>
                <c:pt idx="118">
                  <c:v>85.150005242159395</c:v>
                </c:pt>
                <c:pt idx="119">
                  <c:v>84.724268863427454</c:v>
                </c:pt>
                <c:pt idx="120">
                  <c:v>84.298538106589007</c:v>
                </c:pt>
                <c:pt idx="121">
                  <c:v>83.872812971532682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B9-4303-8797-71A586E96CFC}"/>
            </c:ext>
          </c:extLst>
        </c:ser>
        <c:ser>
          <c:idx val="3"/>
          <c:order val="3"/>
          <c:tx>
            <c:v>Qu; UFin = 1,90 [V/c]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rev.'!$ER$6:$ER$127</c:f>
              <c:numCache>
                <c:formatCode>0.000</c:formatCode>
                <c:ptCount val="122"/>
                <c:pt idx="0">
                  <c:v>157</c:v>
                </c:pt>
                <c:pt idx="1">
                  <c:v>157</c:v>
                </c:pt>
                <c:pt idx="2">
                  <c:v>148.48312602859045</c:v>
                </c:pt>
                <c:pt idx="3">
                  <c:v>140.96553869971243</c:v>
                </c:pt>
                <c:pt idx="4">
                  <c:v>134.31814738214115</c:v>
                </c:pt>
                <c:pt idx="5">
                  <c:v>128.42853804776757</c:v>
                </c:pt>
                <c:pt idx="6">
                  <c:v>123.19881890074822</c:v>
                </c:pt>
                <c:pt idx="7">
                  <c:v>118.5437443195537</c:v>
                </c:pt>
                <c:pt idx="8">
                  <c:v>114.38908115800052</c:v>
                </c:pt>
                <c:pt idx="9">
                  <c:v>110.67018609606293</c:v>
                </c:pt>
                <c:pt idx="10">
                  <c:v>107.3307667759517</c:v>
                </c:pt>
                <c:pt idx="11">
                  <c:v>104.32180298111612</c:v>
                </c:pt>
                <c:pt idx="12">
                  <c:v>101.60060718298756</c:v>
                </c:pt>
                <c:pt idx="13">
                  <c:v>99.130006451210321</c:v>
                </c:pt>
                <c:pt idx="14">
                  <c:v>96.877630048989545</c:v>
                </c:pt>
                <c:pt idx="15">
                  <c:v>94.815289060599639</c:v>
                </c:pt>
                <c:pt idx="16">
                  <c:v>92.918436161857329</c:v>
                </c:pt>
                <c:pt idx="17">
                  <c:v>91.165695180271669</c:v>
                </c:pt>
                <c:pt idx="18">
                  <c:v>89.53845142907555</c:v>
                </c:pt>
                <c:pt idx="19">
                  <c:v>88.020494964050386</c:v>
                </c:pt>
                <c:pt idx="20">
                  <c:v>86.597709926301036</c:v>
                </c:pt>
                <c:pt idx="21">
                  <c:v>85.25780401735642</c:v>
                </c:pt>
                <c:pt idx="22">
                  <c:v>83.990072922092295</c:v>
                </c:pt>
                <c:pt idx="23">
                  <c:v>82.785195164733352</c:v>
                </c:pt>
                <c:pt idx="24">
                  <c:v>81.635053466430548</c:v>
                </c:pt>
                <c:pt idx="25">
                  <c:v>80.53257918080115</c:v>
                </c:pt>
                <c:pt idx="26">
                  <c:v>79.471616826099847</c:v>
                </c:pt>
                <c:pt idx="27">
                  <c:v>78.446806117832793</c:v>
                </c:pt>
                <c:pt idx="28">
                  <c:v>77.453479241015827</c:v>
                </c:pt>
                <c:pt idx="29">
                  <c:v>76.487571393339877</c:v>
                </c:pt>
                <c:pt idx="30">
                  <c:v>75.545542884838341</c:v>
                </c:pt>
                <c:pt idx="31">
                  <c:v>74.624311301127022</c:v>
                </c:pt>
                <c:pt idx="32">
                  <c:v>73.721192430151802</c:v>
                </c:pt>
                <c:pt idx="33">
                  <c:v>72.833848820328029</c:v>
                </c:pt>
                <c:pt idx="34">
                  <c:v>71.9602449842086</c:v>
                </c:pt>
                <c:pt idx="35">
                  <c:v>71.098608389176718</c:v>
                </c:pt>
                <c:pt idx="36">
                  <c:v>70.247395487564987</c:v>
                </c:pt>
                <c:pt idx="37">
                  <c:v>69.405262135181601</c:v>
                </c:pt>
                <c:pt idx="38">
                  <c:v>68.571037831325754</c:v>
                </c:pt>
                <c:pt idx="39">
                  <c:v>67.743703286613197</c:v>
                </c:pt>
                <c:pt idx="40">
                  <c:v>66.922370888706936</c:v>
                </c:pt>
                <c:pt idx="41">
                  <c:v>66.106267691587348</c:v>
                </c:pt>
                <c:pt idx="42">
                  <c:v>65.294720602357344</c:v>
                </c:pt>
                <c:pt idx="43">
                  <c:v>64.487143481693494</c:v>
                </c:pt>
                <c:pt idx="44">
                  <c:v>63.683025910728361</c:v>
                </c:pt>
                <c:pt idx="45">
                  <c:v>62.881923409085935</c:v>
                </c:pt>
                <c:pt idx="46">
                  <c:v>62.083448916602137</c:v>
                </c:pt>
                <c:pt idx="47">
                  <c:v>61.287265375481503</c:v>
                </c:pt>
                <c:pt idx="48">
                  <c:v>60.49307927072951</c:v>
                </c:pt>
                <c:pt idx="49">
                  <c:v>59.70063500506577</c:v>
                </c:pt>
                <c:pt idx="50">
                  <c:v>58.909710000515254</c:v>
                </c:pt>
                <c:pt idx="51">
                  <c:v>58.120110432801695</c:v>
                </c:pt>
                <c:pt idx="52">
                  <c:v>57.33166751679439</c:v>
                </c:pt>
                <c:pt idx="53">
                  <c:v>56.544234271820315</c:v>
                </c:pt>
                <c:pt idx="54">
                  <c:v>55.757682704850083</c:v>
                </c:pt>
                <c:pt idx="55">
                  <c:v>54.971901357574943</c:v>
                </c:pt>
                <c:pt idx="56">
                  <c:v>54.186793170365071</c:v>
                </c:pt>
                <c:pt idx="57">
                  <c:v>53.40227362217275</c:v>
                </c:pt>
                <c:pt idx="58">
                  <c:v>52.618269110732861</c:v>
                </c:pt>
                <c:pt idx="59">
                  <c:v>51.834715542017328</c:v>
                </c:pt>
                <c:pt idx="60">
                  <c:v>51.051557101911357</c:v>
                </c:pt>
                <c:pt idx="61">
                  <c:v>50.268745186570904</c:v>
                </c:pt>
                <c:pt idx="62">
                  <c:v>49.48623747096223</c:v>
                </c:pt>
                <c:pt idx="63">
                  <c:v>48.703997097732156</c:v>
                </c:pt>
                <c:pt idx="64">
                  <c:v>47.921991970864767</c:v>
                </c:pt>
                <c:pt idx="65">
                  <c:v>47.140194140586701</c:v>
                </c:pt>
                <c:pt idx="66">
                  <c:v>46.35857926773398</c:v>
                </c:pt>
                <c:pt idx="67">
                  <c:v>45.577126157314545</c:v>
                </c:pt>
                <c:pt idx="68">
                  <c:v>44.795816352327762</c:v>
                </c:pt>
                <c:pt idx="69">
                  <c:v>44.014633780056251</c:v>
                </c:pt>
                <c:pt idx="70">
                  <c:v>43.233564444051744</c:v>
                </c:pt>
                <c:pt idx="71">
                  <c:v>42.452596155911863</c:v>
                </c:pt>
                <c:pt idx="72">
                  <c:v>41.671718301707159</c:v>
                </c:pt>
                <c:pt idx="73">
                  <c:v>40.890921638582618</c:v>
                </c:pt>
                <c:pt idx="74">
                  <c:v>40.110198117634937</c:v>
                </c:pt>
                <c:pt idx="75">
                  <c:v>39.329540729671677</c:v>
                </c:pt>
                <c:pt idx="76">
                  <c:v>38.548943370896097</c:v>
                </c:pt>
                <c:pt idx="77">
                  <c:v>37.768400725943124</c:v>
                </c:pt>
                <c:pt idx="78">
                  <c:v>36.987908166025846</c:v>
                </c:pt>
                <c:pt idx="79">
                  <c:v>36.207461660239765</c:v>
                </c:pt>
                <c:pt idx="80">
                  <c:v>35.4270576983251</c:v>
                </c:pt>
                <c:pt idx="81">
                  <c:v>34.646693223407212</c:v>
                </c:pt>
                <c:pt idx="82">
                  <c:v>33.866365573426016</c:v>
                </c:pt>
                <c:pt idx="83">
                  <c:v>33.086072430131715</c:v>
                </c:pt>
                <c:pt idx="84">
                  <c:v>32.305811774669628</c:v>
                </c:pt>
                <c:pt idx="85">
                  <c:v>31.525581848902711</c:v>
                </c:pt>
                <c:pt idx="86">
                  <c:v>30.74538112173078</c:v>
                </c:pt>
                <c:pt idx="87">
                  <c:v>29.965208259760573</c:v>
                </c:pt>
                <c:pt idx="88">
                  <c:v>29.185062101765133</c:v>
                </c:pt>
                <c:pt idx="89">
                  <c:v>28.40494163644226</c:v>
                </c:pt>
                <c:pt idx="90">
                  <c:v>27.62484598304659</c:v>
                </c:pt>
                <c:pt idx="91">
                  <c:v>26.84477437452351</c:v>
                </c:pt>
                <c:pt idx="92">
                  <c:v>26.064726142822053</c:v>
                </c:pt>
                <c:pt idx="93">
                  <c:v>25.284700706105063</c:v>
                </c:pt>
                <c:pt idx="94">
                  <c:v>24.504697557611678</c:v>
                </c:pt>
                <c:pt idx="95">
                  <c:v>23.724716255958505</c:v>
                </c:pt>
                <c:pt idx="96">
                  <c:v>22.944756416693885</c:v>
                </c:pt>
                <c:pt idx="97">
                  <c:v>22.164817704943232</c:v>
                </c:pt>
                <c:pt idx="98">
                  <c:v>21.384899829004226</c:v>
                </c:pt>
                <c:pt idx="99">
                  <c:v>20.605002534769739</c:v>
                </c:pt>
                <c:pt idx="100">
                  <c:v>19.825125600871033</c:v>
                </c:pt>
                <c:pt idx="101">
                  <c:v>19.045268834448514</c:v>
                </c:pt>
                <c:pt idx="102">
                  <c:v>18.265432067468744</c:v>
                </c:pt>
                <c:pt idx="103">
                  <c:v>17.485615153517173</c:v>
                </c:pt>
                <c:pt idx="104">
                  <c:v>16.705817965005515</c:v>
                </c:pt>
                <c:pt idx="105">
                  <c:v>15.926040390739431</c:v>
                </c:pt>
                <c:pt idx="106">
                  <c:v>15.146282333800904</c:v>
                </c:pt>
                <c:pt idx="107">
                  <c:v>14.366543709703798</c:v>
                </c:pt>
                <c:pt idx="108">
                  <c:v>13.586824444787901</c:v>
                </c:pt>
                <c:pt idx="109">
                  <c:v>12.807124474820348</c:v>
                </c:pt>
                <c:pt idx="110">
                  <c:v>12.027443743777859</c:v>
                </c:pt>
                <c:pt idx="111">
                  <c:v>11.247782202786034</c:v>
                </c:pt>
                <c:pt idx="112">
                  <c:v>10.468139809195904</c:v>
                </c:pt>
                <c:pt idx="113">
                  <c:v>9.6885165257797752</c:v>
                </c:pt>
                <c:pt idx="114">
                  <c:v>8.9089123200307228</c:v>
                </c:pt>
                <c:pt idx="115">
                  <c:v>8.1293271635528512</c:v>
                </c:pt>
                <c:pt idx="116">
                  <c:v>7.349761031530214</c:v>
                </c:pt>
                <c:pt idx="117">
                  <c:v>6.5702139022642854</c:v>
                </c:pt>
                <c:pt idx="118">
                  <c:v>5.7906857567712819</c:v>
                </c:pt>
                <c:pt idx="119">
                  <c:v>5.0111765784314741</c:v>
                </c:pt>
                <c:pt idx="120">
                  <c:v>4.2316863526837167</c:v>
                </c:pt>
                <c:pt idx="121">
                  <c:v>3.4522150667596065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B9-4303-8797-71A586E96CFC}"/>
            </c:ext>
          </c:extLst>
        </c:ser>
        <c:ser>
          <c:idx val="4"/>
          <c:order val="4"/>
          <c:tx>
            <c:v>Qu; UFin = 1,84 [V/c]</c:v>
          </c:tx>
          <c:spPr>
            <a:ln w="158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rev.'!$ES$6:$ES$127</c:f>
              <c:numCache>
                <c:formatCode>0.000</c:formatCode>
                <c:ptCount val="122"/>
                <c:pt idx="0">
                  <c:v>157</c:v>
                </c:pt>
                <c:pt idx="1">
                  <c:v>157</c:v>
                </c:pt>
                <c:pt idx="2">
                  <c:v>154.06983421279287</c:v>
                </c:pt>
                <c:pt idx="3">
                  <c:v>151.24668005174451</c:v>
                </c:pt>
                <c:pt idx="4">
                  <c:v>148.52565278001921</c:v>
                </c:pt>
                <c:pt idx="5">
                  <c:v>145.9020906554934</c:v>
                </c:pt>
                <c:pt idx="6">
                  <c:v>143.37154475075116</c:v>
                </c:pt>
                <c:pt idx="7">
                  <c:v>140.92976923780967</c:v>
                </c:pt>
                <c:pt idx="8">
                  <c:v>138.57271211636083</c:v>
                </c:pt>
                <c:pt idx="9">
                  <c:v>136.29650636527995</c:v>
                </c:pt>
                <c:pt idx="10">
                  <c:v>134.09746149808058</c:v>
                </c:pt>
                <c:pt idx="11">
                  <c:v>131.97205550387366</c:v>
                </c:pt>
                <c:pt idx="12">
                  <c:v>129.91692715623259</c:v>
                </c:pt>
                <c:pt idx="13">
                  <c:v>127.92886867316928</c:v>
                </c:pt>
                <c:pt idx="14">
                  <c:v>126.00481871219124</c:v>
                </c:pt>
                <c:pt idx="15">
                  <c:v>124.14185568514435</c:v>
                </c:pt>
                <c:pt idx="16">
                  <c:v>122.33719137824166</c:v>
                </c:pt>
                <c:pt idx="17">
                  <c:v>120.58816486334618</c:v>
                </c:pt>
                <c:pt idx="18">
                  <c:v>118.89223668721208</c:v>
                </c:pt>
                <c:pt idx="19">
                  <c:v>117.24698332599435</c:v>
                </c:pt>
                <c:pt idx="20">
                  <c:v>115.65009189291786</c:v>
                </c:pt>
                <c:pt idx="21">
                  <c:v>114.09935508754791</c:v>
                </c:pt>
                <c:pt idx="22">
                  <c:v>112.59266637563364</c:v>
                </c:pt>
                <c:pt idx="23">
                  <c:v>111.12801538899799</c:v>
                </c:pt>
                <c:pt idx="24">
                  <c:v>109.70348353542843</c:v>
                </c:pt>
                <c:pt idx="25">
                  <c:v>108.31723980898255</c:v>
                </c:pt>
                <c:pt idx="26">
                  <c:v>106.96753679155822</c:v>
                </c:pt>
                <c:pt idx="27">
                  <c:v>105.65270683699777</c:v>
                </c:pt>
                <c:pt idx="28">
                  <c:v>104.37115842939278</c:v>
                </c:pt>
                <c:pt idx="29">
                  <c:v>103.12137270763697</c:v>
                </c:pt>
                <c:pt idx="30">
                  <c:v>101.90190014863811</c:v>
                </c:pt>
                <c:pt idx="31">
                  <c:v>100.71135740194535</c:v>
                </c:pt>
                <c:pt idx="32">
                  <c:v>99.548424268880481</c:v>
                </c:pt>
                <c:pt idx="33">
                  <c:v>98.411840819575502</c:v>
                </c:pt>
                <c:pt idx="34">
                  <c:v>97.300404641621256</c:v>
                </c:pt>
                <c:pt idx="35">
                  <c:v>96.212968214319332</c:v>
                </c:pt>
                <c:pt idx="36">
                  <c:v>95.14843640280219</c:v>
                </c:pt>
                <c:pt idx="37">
                  <c:v>94.105764066550705</c:v>
                </c:pt>
                <c:pt idx="38">
                  <c:v>93.083953777085526</c:v>
                </c:pt>
                <c:pt idx="39">
                  <c:v>92.082053639849221</c:v>
                </c:pt>
                <c:pt idx="40">
                  <c:v>91.09915521552216</c:v>
                </c:pt>
                <c:pt idx="41">
                  <c:v>90.13439153623321</c:v>
                </c:pt>
                <c:pt idx="42">
                  <c:v>89.186935212333111</c:v>
                </c:pt>
                <c:pt idx="43">
                  <c:v>88.255996625595856</c:v>
                </c:pt>
                <c:pt idx="44">
                  <c:v>87.340822204903304</c:v>
                </c:pt>
                <c:pt idx="45">
                  <c:v>86.440692780646657</c:v>
                </c:pt>
                <c:pt idx="46">
                  <c:v>85.554922014251787</c:v>
                </c:pt>
                <c:pt idx="47">
                  <c:v>84.682854899399189</c:v>
                </c:pt>
                <c:pt idx="48">
                  <c:v>83.823866331664618</c:v>
                </c:pt>
                <c:pt idx="49">
                  <c:v>82.977359743458038</c:v>
                </c:pt>
                <c:pt idx="50">
                  <c:v>82.142765801279069</c:v>
                </c:pt>
                <c:pt idx="51">
                  <c:v>81.319541162444906</c:v>
                </c:pt>
                <c:pt idx="52">
                  <c:v>80.507167288574578</c:v>
                </c:pt>
                <c:pt idx="53">
                  <c:v>79.705149313239872</c:v>
                </c:pt>
                <c:pt idx="54">
                  <c:v>78.913014961309344</c:v>
                </c:pt>
                <c:pt idx="55">
                  <c:v>78.130313517625297</c:v>
                </c:pt>
                <c:pt idx="56">
                  <c:v>77.356614842762554</c:v>
                </c:pt>
                <c:pt idx="57">
                  <c:v>76.591508433718886</c:v>
                </c:pt>
                <c:pt idx="58">
                  <c:v>75.834602527486226</c:v>
                </c:pt>
                <c:pt idx="59">
                  <c:v>75.085523245545033</c:v>
                </c:pt>
                <c:pt idx="60">
                  <c:v>74.343913777413604</c:v>
                </c:pt>
                <c:pt idx="61">
                  <c:v>73.609433601469561</c:v>
                </c:pt>
                <c:pt idx="62">
                  <c:v>72.881757741341687</c:v>
                </c:pt>
                <c:pt idx="63">
                  <c:v>72.160576056248587</c:v>
                </c:pt>
                <c:pt idx="64">
                  <c:v>71.445592563734394</c:v>
                </c:pt>
                <c:pt idx="65">
                  <c:v>70.736524793322189</c:v>
                </c:pt>
                <c:pt idx="66">
                  <c:v>70.033103169674519</c:v>
                </c:pt>
                <c:pt idx="67">
                  <c:v>69.335070423912796</c:v>
                </c:pt>
                <c:pt idx="68">
                  <c:v>68.642181031811475</c:v>
                </c:pt>
                <c:pt idx="69">
                  <c:v>67.954200677638724</c:v>
                </c:pt>
                <c:pt idx="70">
                  <c:v>67.270905742473985</c:v>
                </c:pt>
                <c:pt idx="71">
                  <c:v>66.592082815884226</c:v>
                </c:pt>
                <c:pt idx="72">
                  <c:v>65.917528229892994</c:v>
                </c:pt>
                <c:pt idx="73">
                  <c:v>65.2470476142243</c:v>
                </c:pt>
                <c:pt idx="74">
                  <c:v>64.580455471850286</c:v>
                </c:pt>
                <c:pt idx="75">
                  <c:v>63.917574773915568</c:v>
                </c:pt>
                <c:pt idx="76">
                  <c:v>63.258236573154008</c:v>
                </c:pt>
                <c:pt idx="77">
                  <c:v>62.602279634953327</c:v>
                </c:pt>
                <c:pt idx="78">
                  <c:v>61.949550085262402</c:v>
                </c:pt>
                <c:pt idx="79">
                  <c:v>61.299901074571586</c:v>
                </c:pt>
                <c:pt idx="80">
                  <c:v>60.653192457233388</c:v>
                </c:pt>
                <c:pt idx="81">
                  <c:v>60.009290485421865</c:v>
                </c:pt>
                <c:pt idx="82">
                  <c:v>59.368067517064034</c:v>
                </c:pt>
                <c:pt idx="83">
                  <c:v>58.729401737103771</c:v>
                </c:pt>
                <c:pt idx="84">
                  <c:v>58.093176891490849</c:v>
                </c:pt>
                <c:pt idx="85">
                  <c:v>57.459282033313762</c:v>
                </c:pt>
                <c:pt idx="86">
                  <c:v>56.827611280521602</c:v>
                </c:pt>
                <c:pt idx="87">
                  <c:v>56.198063584706588</c:v>
                </c:pt>
                <c:pt idx="88">
                  <c:v>55.570542510441811</c:v>
                </c:pt>
                <c:pt idx="89">
                  <c:v>54.94495602469236</c:v>
                </c:pt>
                <c:pt idx="90">
                  <c:v>54.321216295840635</c:v>
                </c:pt>
                <c:pt idx="91">
                  <c:v>53.6992395018857</c:v>
                </c:pt>
                <c:pt idx="92">
                  <c:v>53.078945647399109</c:v>
                </c:pt>
                <c:pt idx="93">
                  <c:v>52.460258388836891</c:v>
                </c:pt>
                <c:pt idx="94">
                  <c:v>51.843104867825986</c:v>
                </c:pt>
                <c:pt idx="95">
                  <c:v>51.227415552061693</c:v>
                </c:pt>
                <c:pt idx="96">
                  <c:v>50.613124083468115</c:v>
                </c:pt>
                <c:pt idx="97">
                  <c:v>50.000167133290603</c:v>
                </c:pt>
                <c:pt idx="98">
                  <c:v>49.388484263802965</c:v>
                </c:pt>
                <c:pt idx="99">
                  <c:v>48.778017796328349</c:v>
                </c:pt>
                <c:pt idx="100">
                  <c:v>48.168712685284881</c:v>
                </c:pt>
                <c:pt idx="101">
                  <c:v>47.560516397981502</c:v>
                </c:pt>
                <c:pt idx="102">
                  <c:v>46.953378799901017</c:v>
                </c:pt>
                <c:pt idx="103">
                  <c:v>46.347252045220337</c:v>
                </c:pt>
                <c:pt idx="104">
                  <c:v>45.742090472328648</c:v>
                </c:pt>
                <c:pt idx="105">
                  <c:v>45.137850504115001</c:v>
                </c:pt>
                <c:pt idx="106">
                  <c:v>44.534490552808393</c:v>
                </c:pt>
                <c:pt idx="107">
                  <c:v>43.931970929161508</c:v>
                </c:pt>
                <c:pt idx="108">
                  <c:v>43.330253755780745</c:v>
                </c:pt>
                <c:pt idx="109">
                  <c:v>42.729302884412647</c:v>
                </c:pt>
                <c:pt idx="110">
                  <c:v>42.129083817006297</c:v>
                </c:pt>
                <c:pt idx="111">
                  <c:v>41.529563630379542</c:v>
                </c:pt>
                <c:pt idx="112">
                  <c:v>40.930710904323917</c:v>
                </c:pt>
                <c:pt idx="113">
                  <c:v>40.332495652992108</c:v>
                </c:pt>
                <c:pt idx="114">
                  <c:v>39.734889259417358</c:v>
                </c:pt>
                <c:pt idx="115">
                  <c:v>39.137864413022186</c:v>
                </c:pt>
                <c:pt idx="116">
                  <c:v>38.541395049980196</c:v>
                </c:pt>
                <c:pt idx="117">
                  <c:v>37.945456296299923</c:v>
                </c:pt>
                <c:pt idx="118">
                  <c:v>37.350024413507683</c:v>
                </c:pt>
                <c:pt idx="119">
                  <c:v>36.755076746809294</c:v>
                </c:pt>
                <c:pt idx="120">
                  <c:v>36.160591675618861</c:v>
                </c:pt>
                <c:pt idx="121">
                  <c:v>35.566548566345816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B9-4303-8797-71A586E96CFC}"/>
            </c:ext>
          </c:extLst>
        </c:ser>
        <c:ser>
          <c:idx val="5"/>
          <c:order val="5"/>
          <c:tx>
            <c:v>Qu; UFin = 1,75 [V/c]</c:v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rev.'!$ET$6:$ET$127</c:f>
              <c:numCache>
                <c:formatCode>0.000</c:formatCode>
                <c:ptCount val="122"/>
                <c:pt idx="0">
                  <c:v>157</c:v>
                </c:pt>
                <c:pt idx="1">
                  <c:v>157</c:v>
                </c:pt>
                <c:pt idx="2">
                  <c:v>155.68268219566474</c:v>
                </c:pt>
                <c:pt idx="3">
                  <c:v>154.38077690826012</c:v>
                </c:pt>
                <c:pt idx="4">
                  <c:v>153.09401770382925</c:v>
                </c:pt>
                <c:pt idx="5">
                  <c:v>151.82214275590121</c:v>
                </c:pt>
                <c:pt idx="6">
                  <c:v>150.56489476581316</c:v>
                </c:pt>
                <c:pt idx="7">
                  <c:v>149.32202088441016</c:v>
                </c:pt>
                <c:pt idx="8">
                  <c:v>148.09327263509883</c:v>
                </c:pt>
                <c:pt idx="9">
                  <c:v>146.87840583823231</c:v>
                </c:pt>
                <c:pt idx="10">
                  <c:v>145.6771805368021</c:v>
                </c:pt>
                <c:pt idx="11">
                  <c:v>144.48936092341538</c:v>
                </c:pt>
                <c:pt idx="12">
                  <c:v>143.31471526853494</c:v>
                </c:pt>
                <c:pt idx="13">
                  <c:v>142.15301584996016</c:v>
                </c:pt>
                <c:pt idx="14">
                  <c:v>141.00403888352756</c:v>
                </c:pt>
                <c:pt idx="15">
                  <c:v>139.86756445500936</c:v>
                </c:pt>
                <c:pt idx="16">
                  <c:v>138.74337645319042</c:v>
                </c:pt>
                <c:pt idx="17">
                  <c:v>137.6312625041017</c:v>
                </c:pt>
                <c:pt idx="18">
                  <c:v>136.53101390639165</c:v>
                </c:pt>
                <c:pt idx="19">
                  <c:v>135.44242556781506</c:v>
                </c:pt>
                <c:pt idx="20">
                  <c:v>134.36529594281987</c:v>
                </c:pt>
                <c:pt idx="21">
                  <c:v>133.29942697121396</c:v>
                </c:pt>
                <c:pt idx="22">
                  <c:v>132.24462401789205</c:v>
                </c:pt>
                <c:pt idx="23">
                  <c:v>131.20069581360494</c:v>
                </c:pt>
                <c:pt idx="24">
                  <c:v>130.1674543967535</c:v>
                </c:pt>
                <c:pt idx="25">
                  <c:v>129.14471505618869</c:v>
                </c:pt>
                <c:pt idx="26">
                  <c:v>128.1322962750011</c:v>
                </c:pt>
                <c:pt idx="27">
                  <c:v>127.13001967528221</c:v>
                </c:pt>
                <c:pt idx="28">
                  <c:v>126.13770996384133</c:v>
                </c:pt>
                <c:pt idx="29">
                  <c:v>125.1551948788611</c:v>
                </c:pt>
                <c:pt idx="30">
                  <c:v>124.18230513747508</c:v>
                </c:pt>
                <c:pt idx="31">
                  <c:v>123.21887438425254</c:v>
                </c:pt>
                <c:pt idx="32">
                  <c:v>122.26473914057382</c:v>
                </c:pt>
                <c:pt idx="33">
                  <c:v>121.31973875488096</c:v>
                </c:pt>
                <c:pt idx="34">
                  <c:v>120.38371535378904</c:v>
                </c:pt>
                <c:pt idx="35">
                  <c:v>119.45651379404255</c:v>
                </c:pt>
                <c:pt idx="36">
                  <c:v>118.53798161530293</c:v>
                </c:pt>
                <c:pt idx="37">
                  <c:v>117.62796899375252</c:v>
                </c:pt>
                <c:pt idx="38">
                  <c:v>116.72632869650042</c:v>
                </c:pt>
                <c:pt idx="39">
                  <c:v>115.83291603677759</c:v>
                </c:pt>
                <c:pt idx="40">
                  <c:v>114.94758882990597</c:v>
                </c:pt>
                <c:pt idx="41">
                  <c:v>114.07020735002956</c:v>
                </c:pt>
                <c:pt idx="42">
                  <c:v>113.20063428759356</c:v>
                </c:pt>
                <c:pt idx="43">
                  <c:v>112.33873470755886</c:v>
                </c:pt>
                <c:pt idx="44">
                  <c:v>111.48437600833914</c:v>
                </c:pt>
                <c:pt idx="45">
                  <c:v>110.63742788144808</c:v>
                </c:pt>
                <c:pt idx="46">
                  <c:v>109.79776227184426</c:v>
                </c:pt>
                <c:pt idx="47">
                  <c:v>108.96525333896224</c:v>
                </c:pt>
                <c:pt idx="48">
                  <c:v>108.13977741841694</c:v>
                </c:pt>
                <c:pt idx="49">
                  <c:v>107.32121298437082</c:v>
                </c:pt>
                <c:pt idx="50">
                  <c:v>106.50944061255143</c:v>
                </c:pt>
                <c:pt idx="51">
                  <c:v>105.70434294390871</c:v>
                </c:pt>
                <c:pt idx="52">
                  <c:v>104.90580464890098</c:v>
                </c:pt>
                <c:pt idx="53">
                  <c:v>104.11371239239796</c:v>
                </c:pt>
                <c:pt idx="54">
                  <c:v>103.32795479919126</c:v>
                </c:pt>
                <c:pt idx="55">
                  <c:v>102.54842242010115</c:v>
                </c:pt>
                <c:pt idx="56">
                  <c:v>101.77500769866931</c:v>
                </c:pt>
                <c:pt idx="57">
                  <c:v>101.00760493842779</c:v>
                </c:pt>
                <c:pt idx="58">
                  <c:v>100.24611027073365</c:v>
                </c:pt>
                <c:pt idx="59">
                  <c:v>99.490421623160501</c:v>
                </c:pt>
                <c:pt idx="60">
                  <c:v>98.74043868843566</c:v>
                </c:pt>
                <c:pt idx="61">
                  <c:v>97.996062893915507</c:v>
                </c:pt>
                <c:pt idx="62">
                  <c:v>97.257197371588077</c:v>
                </c:pt>
                <c:pt idx="63">
                  <c:v>96.523746928594505</c:v>
                </c:pt>
                <c:pt idx="64">
                  <c:v>95.795618018260512</c:v>
                </c:pt>
                <c:pt idx="65">
                  <c:v>95.072718711628397</c:v>
                </c:pt>
                <c:pt idx="66">
                  <c:v>94.354958669481732</c:v>
                </c:pt>
                <c:pt idx="67">
                  <c:v>93.642249114853826</c:v>
                </c:pt>
                <c:pt idx="68">
                  <c:v>92.934502806011153</c:v>
                </c:pt>
                <c:pt idx="69">
                  <c:v>92.23163400990461</c:v>
                </c:pt>
                <c:pt idx="70">
                  <c:v>91.533558476079378</c:v>
                </c:pt>
                <c:pt idx="71">
                  <c:v>90.840193411036239</c:v>
                </c:pt>
                <c:pt idx="72">
                  <c:v>90.151457453036258</c:v>
                </c:pt>
                <c:pt idx="73">
                  <c:v>89.467270647340939</c:v>
                </c:pt>
                <c:pt idx="74">
                  <c:v>88.787554421880941</c:v>
                </c:pt>
                <c:pt idx="75">
                  <c:v>88.112231563345148</c:v>
                </c:pt>
                <c:pt idx="76">
                  <c:v>87.441226193683491</c:v>
                </c:pt>
                <c:pt idx="77">
                  <c:v>86.774463747016213</c:v>
                </c:pt>
                <c:pt idx="78">
                  <c:v>86.111870946941977</c:v>
                </c:pt>
                <c:pt idx="79">
                  <c:v>85.453375784238958</c:v>
                </c:pt>
                <c:pt idx="80">
                  <c:v>84.798907494951223</c:v>
                </c:pt>
                <c:pt idx="81">
                  <c:v>84.148396538853973</c:v>
                </c:pt>
                <c:pt idx="82">
                  <c:v>83.501774578291617</c:v>
                </c:pt>
                <c:pt idx="83">
                  <c:v>82.85897445738135</c:v>
                </c:pt>
                <c:pt idx="84">
                  <c:v>82.219930181576586</c:v>
                </c:pt>
                <c:pt idx="85">
                  <c:v>81.584576897583887</c:v>
                </c:pt>
                <c:pt idx="86">
                  <c:v>80.952850873626829</c:v>
                </c:pt>
                <c:pt idx="87">
                  <c:v>80.324689480051788</c:v>
                </c:pt>
                <c:pt idx="88">
                  <c:v>79.700031170268346</c:v>
                </c:pt>
                <c:pt idx="89">
                  <c:v>79.07881546201989</c:v>
                </c:pt>
                <c:pt idx="90">
                  <c:v>78.460982918978033</c:v>
                </c:pt>
                <c:pt idx="91">
                  <c:v>77.846475132654845</c:v>
                </c:pt>
                <c:pt idx="92">
                  <c:v>77.235234704628652</c:v>
                </c:pt>
                <c:pt idx="93">
                  <c:v>76.627205229076452</c:v>
                </c:pt>
                <c:pt idx="94">
                  <c:v>76.022331275608877</c:v>
                </c:pt>
                <c:pt idx="95">
                  <c:v>75.420558372401871</c:v>
                </c:pt>
                <c:pt idx="96">
                  <c:v>74.821832989619992</c:v>
                </c:pt>
                <c:pt idx="97">
                  <c:v>74.226102523126514</c:v>
                </c:pt>
                <c:pt idx="98">
                  <c:v>73.633315278475123</c:v>
                </c:pt>
                <c:pt idx="99">
                  <c:v>73.043420455178364</c:v>
                </c:pt>
                <c:pt idx="100">
                  <c:v>72.456368131248524</c:v>
                </c:pt>
                <c:pt idx="101">
                  <c:v>71.872109248005387</c:v>
                </c:pt>
                <c:pt idx="102">
                  <c:v>71.290595595146954</c:v>
                </c:pt>
                <c:pt idx="103">
                  <c:v>70.711779796078275</c:v>
                </c:pt>
                <c:pt idx="104">
                  <c:v>70.135615293494084</c:v>
                </c:pt>
                <c:pt idx="105">
                  <c:v>69.562056335210585</c:v>
                </c:pt>
                <c:pt idx="106">
                  <c:v>68.991057960242429</c:v>
                </c:pt>
                <c:pt idx="107">
                  <c:v>68.422575985120375</c:v>
                </c:pt>
                <c:pt idx="108">
                  <c:v>67.856566990445486</c:v>
                </c:pt>
                <c:pt idx="109">
                  <c:v>67.29298830767604</c:v>
                </c:pt>
                <c:pt idx="110">
                  <c:v>66.73179800614281</c:v>
                </c:pt>
                <c:pt idx="111">
                  <c:v>66.172954880288785</c:v>
                </c:pt>
                <c:pt idx="112">
                  <c:v>65.616418437129823</c:v>
                </c:pt>
                <c:pt idx="113">
                  <c:v>65.062148883932025</c:v>
                </c:pt>
                <c:pt idx="114">
                  <c:v>64.510107116101992</c:v>
                </c:pt>
                <c:pt idx="115">
                  <c:v>63.96025470528695</c:v>
                </c:pt>
                <c:pt idx="116">
                  <c:v>63.412553887680183</c:v>
                </c:pt>
                <c:pt idx="117">
                  <c:v>62.866967552529097</c:v>
                </c:pt>
                <c:pt idx="118">
                  <c:v>62.323459230841699</c:v>
                </c:pt>
                <c:pt idx="119">
                  <c:v>61.781993084288615</c:v>
                </c:pt>
                <c:pt idx="120">
                  <c:v>61.242533894296947</c:v>
                </c:pt>
                <c:pt idx="121">
                  <c:v>60.705047051332606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9B9-4303-8797-71A586E96CFC}"/>
            </c:ext>
          </c:extLst>
        </c:ser>
        <c:ser>
          <c:idx val="6"/>
          <c:order val="6"/>
          <c:tx>
            <c:v>C(8) = 100 [Ah]</c:v>
          </c:tx>
          <c:spPr>
            <a:ln w="19050">
              <a:solidFill>
                <a:srgbClr val="FFC000"/>
              </a:solidFill>
              <a:prstDash val="lgDashDot"/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rev.'!$EU$6:$EU$127</c:f>
              <c:numCache>
                <c:formatCode>0.000</c:formatCode>
                <c:ptCount val="12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9B9-4303-8797-71A586E96CFC}"/>
            </c:ext>
          </c:extLst>
        </c:ser>
        <c:ser>
          <c:idx val="7"/>
          <c:order val="7"/>
          <c:tx>
            <c:v>Qe = 135 [Ah]</c:v>
          </c:tx>
          <c:spPr>
            <a:ln w="19050">
              <a:solidFill>
                <a:srgbClr val="7030A0"/>
              </a:solidFill>
              <a:prstDash val="lgDashDot"/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rev.'!$EV$6:$EV$127</c:f>
              <c:numCache>
                <c:formatCode>0.000</c:formatCode>
                <c:ptCount val="122"/>
                <c:pt idx="0">
                  <c:v>135</c:v>
                </c:pt>
                <c:pt idx="1">
                  <c:v>135</c:v>
                </c:pt>
                <c:pt idx="2">
                  <c:v>135</c:v>
                </c:pt>
                <c:pt idx="3">
                  <c:v>135</c:v>
                </c:pt>
                <c:pt idx="4">
                  <c:v>135</c:v>
                </c:pt>
                <c:pt idx="5">
                  <c:v>135</c:v>
                </c:pt>
                <c:pt idx="6">
                  <c:v>135</c:v>
                </c:pt>
                <c:pt idx="7">
                  <c:v>135</c:v>
                </c:pt>
                <c:pt idx="8">
                  <c:v>135</c:v>
                </c:pt>
                <c:pt idx="9">
                  <c:v>135</c:v>
                </c:pt>
                <c:pt idx="10">
                  <c:v>135</c:v>
                </c:pt>
                <c:pt idx="11">
                  <c:v>135</c:v>
                </c:pt>
                <c:pt idx="12">
                  <c:v>135</c:v>
                </c:pt>
                <c:pt idx="13">
                  <c:v>135</c:v>
                </c:pt>
                <c:pt idx="14">
                  <c:v>135</c:v>
                </c:pt>
                <c:pt idx="15">
                  <c:v>135</c:v>
                </c:pt>
                <c:pt idx="16">
                  <c:v>135</c:v>
                </c:pt>
                <c:pt idx="17">
                  <c:v>135</c:v>
                </c:pt>
                <c:pt idx="18">
                  <c:v>135</c:v>
                </c:pt>
                <c:pt idx="19">
                  <c:v>135</c:v>
                </c:pt>
                <c:pt idx="20">
                  <c:v>135</c:v>
                </c:pt>
                <c:pt idx="21">
                  <c:v>135</c:v>
                </c:pt>
                <c:pt idx="22">
                  <c:v>135</c:v>
                </c:pt>
                <c:pt idx="23">
                  <c:v>135</c:v>
                </c:pt>
                <c:pt idx="24">
                  <c:v>135</c:v>
                </c:pt>
                <c:pt idx="25">
                  <c:v>135</c:v>
                </c:pt>
                <c:pt idx="26">
                  <c:v>135</c:v>
                </c:pt>
                <c:pt idx="27">
                  <c:v>135</c:v>
                </c:pt>
                <c:pt idx="28">
                  <c:v>135</c:v>
                </c:pt>
                <c:pt idx="29">
                  <c:v>135</c:v>
                </c:pt>
                <c:pt idx="30">
                  <c:v>135</c:v>
                </c:pt>
                <c:pt idx="31">
                  <c:v>135</c:v>
                </c:pt>
                <c:pt idx="32">
                  <c:v>135</c:v>
                </c:pt>
                <c:pt idx="33">
                  <c:v>135</c:v>
                </c:pt>
                <c:pt idx="34">
                  <c:v>135</c:v>
                </c:pt>
                <c:pt idx="35">
                  <c:v>135</c:v>
                </c:pt>
                <c:pt idx="36">
                  <c:v>135</c:v>
                </c:pt>
                <c:pt idx="37">
                  <c:v>135</c:v>
                </c:pt>
                <c:pt idx="38">
                  <c:v>135</c:v>
                </c:pt>
                <c:pt idx="39">
                  <c:v>135</c:v>
                </c:pt>
                <c:pt idx="40">
                  <c:v>135</c:v>
                </c:pt>
                <c:pt idx="41">
                  <c:v>135</c:v>
                </c:pt>
                <c:pt idx="42">
                  <c:v>135</c:v>
                </c:pt>
                <c:pt idx="43">
                  <c:v>135</c:v>
                </c:pt>
                <c:pt idx="44">
                  <c:v>135</c:v>
                </c:pt>
                <c:pt idx="45">
                  <c:v>135</c:v>
                </c:pt>
                <c:pt idx="46">
                  <c:v>135</c:v>
                </c:pt>
                <c:pt idx="47">
                  <c:v>135</c:v>
                </c:pt>
                <c:pt idx="48">
                  <c:v>135</c:v>
                </c:pt>
                <c:pt idx="49">
                  <c:v>135</c:v>
                </c:pt>
                <c:pt idx="50">
                  <c:v>135</c:v>
                </c:pt>
                <c:pt idx="51">
                  <c:v>135</c:v>
                </c:pt>
                <c:pt idx="52">
                  <c:v>135</c:v>
                </c:pt>
                <c:pt idx="53">
                  <c:v>135</c:v>
                </c:pt>
                <c:pt idx="54">
                  <c:v>135</c:v>
                </c:pt>
                <c:pt idx="55">
                  <c:v>135</c:v>
                </c:pt>
                <c:pt idx="56">
                  <c:v>135</c:v>
                </c:pt>
                <c:pt idx="57">
                  <c:v>135</c:v>
                </c:pt>
                <c:pt idx="58">
                  <c:v>135</c:v>
                </c:pt>
                <c:pt idx="59">
                  <c:v>135</c:v>
                </c:pt>
                <c:pt idx="60">
                  <c:v>135</c:v>
                </c:pt>
                <c:pt idx="61">
                  <c:v>135</c:v>
                </c:pt>
                <c:pt idx="62">
                  <c:v>135</c:v>
                </c:pt>
                <c:pt idx="63">
                  <c:v>135</c:v>
                </c:pt>
                <c:pt idx="64">
                  <c:v>135</c:v>
                </c:pt>
                <c:pt idx="65">
                  <c:v>135</c:v>
                </c:pt>
                <c:pt idx="66">
                  <c:v>135</c:v>
                </c:pt>
                <c:pt idx="67">
                  <c:v>135</c:v>
                </c:pt>
                <c:pt idx="68">
                  <c:v>135</c:v>
                </c:pt>
                <c:pt idx="69">
                  <c:v>135</c:v>
                </c:pt>
                <c:pt idx="70">
                  <c:v>135</c:v>
                </c:pt>
                <c:pt idx="71">
                  <c:v>135</c:v>
                </c:pt>
                <c:pt idx="72">
                  <c:v>135</c:v>
                </c:pt>
                <c:pt idx="73">
                  <c:v>135</c:v>
                </c:pt>
                <c:pt idx="74">
                  <c:v>135</c:v>
                </c:pt>
                <c:pt idx="75">
                  <c:v>135</c:v>
                </c:pt>
                <c:pt idx="76">
                  <c:v>135</c:v>
                </c:pt>
                <c:pt idx="77">
                  <c:v>135</c:v>
                </c:pt>
                <c:pt idx="78">
                  <c:v>135</c:v>
                </c:pt>
                <c:pt idx="79">
                  <c:v>135</c:v>
                </c:pt>
                <c:pt idx="80">
                  <c:v>135</c:v>
                </c:pt>
                <c:pt idx="81">
                  <c:v>135</c:v>
                </c:pt>
                <c:pt idx="82">
                  <c:v>135</c:v>
                </c:pt>
                <c:pt idx="83">
                  <c:v>135</c:v>
                </c:pt>
                <c:pt idx="84">
                  <c:v>135</c:v>
                </c:pt>
                <c:pt idx="85">
                  <c:v>135</c:v>
                </c:pt>
                <c:pt idx="86">
                  <c:v>135</c:v>
                </c:pt>
                <c:pt idx="87">
                  <c:v>135</c:v>
                </c:pt>
                <c:pt idx="88">
                  <c:v>135</c:v>
                </c:pt>
                <c:pt idx="89">
                  <c:v>135</c:v>
                </c:pt>
                <c:pt idx="90">
                  <c:v>135</c:v>
                </c:pt>
                <c:pt idx="91">
                  <c:v>135</c:v>
                </c:pt>
                <c:pt idx="92">
                  <c:v>135</c:v>
                </c:pt>
                <c:pt idx="93">
                  <c:v>135</c:v>
                </c:pt>
                <c:pt idx="94">
                  <c:v>135</c:v>
                </c:pt>
                <c:pt idx="95">
                  <c:v>135</c:v>
                </c:pt>
                <c:pt idx="96">
                  <c:v>135</c:v>
                </c:pt>
                <c:pt idx="97">
                  <c:v>135</c:v>
                </c:pt>
                <c:pt idx="98">
                  <c:v>135</c:v>
                </c:pt>
                <c:pt idx="99">
                  <c:v>135</c:v>
                </c:pt>
                <c:pt idx="100">
                  <c:v>135</c:v>
                </c:pt>
                <c:pt idx="101">
                  <c:v>135</c:v>
                </c:pt>
                <c:pt idx="102">
                  <c:v>135</c:v>
                </c:pt>
                <c:pt idx="103">
                  <c:v>135</c:v>
                </c:pt>
                <c:pt idx="104">
                  <c:v>135</c:v>
                </c:pt>
                <c:pt idx="105">
                  <c:v>135</c:v>
                </c:pt>
                <c:pt idx="106">
                  <c:v>135</c:v>
                </c:pt>
                <c:pt idx="107">
                  <c:v>135</c:v>
                </c:pt>
                <c:pt idx="108">
                  <c:v>135</c:v>
                </c:pt>
                <c:pt idx="109">
                  <c:v>135</c:v>
                </c:pt>
                <c:pt idx="110">
                  <c:v>135</c:v>
                </c:pt>
                <c:pt idx="111">
                  <c:v>135</c:v>
                </c:pt>
                <c:pt idx="112">
                  <c:v>135</c:v>
                </c:pt>
                <c:pt idx="113">
                  <c:v>135</c:v>
                </c:pt>
                <c:pt idx="114">
                  <c:v>135</c:v>
                </c:pt>
                <c:pt idx="115">
                  <c:v>135</c:v>
                </c:pt>
                <c:pt idx="116">
                  <c:v>135</c:v>
                </c:pt>
                <c:pt idx="117">
                  <c:v>135</c:v>
                </c:pt>
                <c:pt idx="118">
                  <c:v>135</c:v>
                </c:pt>
                <c:pt idx="119">
                  <c:v>135</c:v>
                </c:pt>
                <c:pt idx="120">
                  <c:v>135</c:v>
                </c:pt>
                <c:pt idx="121">
                  <c:v>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9B9-4303-8797-71A586E96CFC}"/>
            </c:ext>
          </c:extLst>
        </c:ser>
        <c:ser>
          <c:idx val="8"/>
          <c:order val="8"/>
          <c:tx>
            <c:v>In = 12,5 [A]</c:v>
          </c:tx>
          <c:spPr>
            <a:ln w="1905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rev.'!$EW$6:$EW$127</c:f>
              <c:numCache>
                <c:formatCode>General</c:formatCode>
                <c:ptCount val="122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9B9-4303-8797-71A586E96CFC}"/>
            </c:ext>
          </c:extLst>
        </c:ser>
        <c:ser>
          <c:idx val="9"/>
          <c:order val="9"/>
          <c:tx>
            <c:v>QE; Ufin,adm = 1,90 [V/c]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rev.'!$EX$6:$EX$127</c:f>
              <c:numCache>
                <c:formatCode>0.000</c:formatCode>
                <c:ptCount val="122"/>
                <c:pt idx="0">
                  <c:v>22</c:v>
                </c:pt>
                <c:pt idx="1">
                  <c:v>22</c:v>
                </c:pt>
                <c:pt idx="2">
                  <c:v>14.264845725350277</c:v>
                </c:pt>
                <c:pt idx="3">
                  <c:v>7.5289591538773628</c:v>
                </c:pt>
                <c:pt idx="4">
                  <c:v>1.6632496550446589</c:v>
                </c:pt>
                <c:pt idx="5">
                  <c:v>-3.4446967985685752</c:v>
                </c:pt>
                <c:pt idx="6">
                  <c:v>-7.8927720021176562</c:v>
                </c:pt>
                <c:pt idx="7">
                  <c:v>-11.766221576443677</c:v>
                </c:pt>
                <c:pt idx="8">
                  <c:v>-15.139278667042106</c:v>
                </c:pt>
                <c:pt idx="9">
                  <c:v>-18.076586593250518</c:v>
                </c:pt>
                <c:pt idx="10">
                  <c:v>-20.634437712170083</c:v>
                </c:pt>
                <c:pt idx="11">
                  <c:v>-22.861852239663456</c:v>
                </c:pt>
                <c:pt idx="12">
                  <c:v>-24.801517703611282</c:v>
                </c:pt>
                <c:pt idx="13">
                  <c:v>-26.490607033681229</c:v>
                </c:pt>
                <c:pt idx="14">
                  <c:v>-27.961490965980254</c:v>
                </c:pt>
                <c:pt idx="15">
                  <c:v>-29.242358415546015</c:v>
                </c:pt>
                <c:pt idx="16">
                  <c:v>-30.357756705873918</c:v>
                </c:pt>
                <c:pt idx="17">
                  <c:v>-31.329062008767011</c:v>
                </c:pt>
                <c:pt idx="18">
                  <c:v>-32.174889010304653</c:v>
                </c:pt>
                <c:pt idx="19">
                  <c:v>-32.911447654017628</c:v>
                </c:pt>
                <c:pt idx="20">
                  <c:v>-33.55285379811334</c:v>
                </c:pt>
                <c:pt idx="21">
                  <c:v>-34.111399740375127</c:v>
                </c:pt>
                <c:pt idx="22">
                  <c:v>-34.597789795239578</c:v>
                </c:pt>
                <c:pt idx="23">
                  <c:v>-35.021345437794345</c:v>
                </c:pt>
                <c:pt idx="24">
                  <c:v>-35.390183946200871</c:v>
                </c:pt>
                <c:pt idx="25">
                  <c:v>-35.711373966154305</c:v>
                </c:pt>
                <c:pt idx="26">
                  <c:v>-35.991070978712386</c:v>
                </c:pt>
                <c:pt idx="27">
                  <c:v>-36.234635267681455</c:v>
                </c:pt>
                <c:pt idx="28">
                  <c:v>-36.446734647358191</c:v>
                </c:pt>
                <c:pt idx="29">
                  <c:v>-36.631433919364241</c:v>
                </c:pt>
                <c:pt idx="30">
                  <c:v>-36.792272772978805</c:v>
                </c:pt>
                <c:pt idx="31">
                  <c:v>-36.932333621898643</c:v>
                </c:pt>
                <c:pt idx="32">
                  <c:v>-37.054300677490566</c:v>
                </c:pt>
                <c:pt idx="33">
                  <c:v>-37.160511390651919</c:v>
                </c:pt>
                <c:pt idx="34">
                  <c:v>-37.253001248142525</c:v>
                </c:pt>
                <c:pt idx="35">
                  <c:v>-37.3335427818919</c:v>
                </c:pt>
                <c:pt idx="36">
                  <c:v>-37.403679538880226</c:v>
                </c:pt>
                <c:pt idx="37">
                  <c:v>-37.464755662612184</c:v>
                </c:pt>
                <c:pt idx="38">
                  <c:v>-37.517941653101353</c:v>
                </c:pt>
                <c:pt idx="39">
                  <c:v>-37.564256799044927</c:v>
                </c:pt>
                <c:pt idx="40">
                  <c:v>-37.604588712092806</c:v>
                </c:pt>
                <c:pt idx="41">
                  <c:v>-37.639710337577554</c:v>
                </c:pt>
                <c:pt idx="42">
                  <c:v>-37.670294767709265</c:v>
                </c:pt>
                <c:pt idx="43">
                  <c:v>-37.696928141124395</c:v>
                </c:pt>
                <c:pt idx="44">
                  <c:v>-37.720120876003378</c:v>
                </c:pt>
                <c:pt idx="45">
                  <c:v>-37.740317452035349</c:v>
                </c:pt>
                <c:pt idx="46">
                  <c:v>-37.757904928697513</c:v>
                </c:pt>
                <c:pt idx="47">
                  <c:v>-37.773220363098467</c:v>
                </c:pt>
                <c:pt idx="48">
                  <c:v>-37.786557269545924</c:v>
                </c:pt>
                <c:pt idx="49">
                  <c:v>-37.798171244633515</c:v>
                </c:pt>
                <c:pt idx="50">
                  <c:v>-37.80828486564949</c:v>
                </c:pt>
                <c:pt idx="51">
                  <c:v>-37.81709195618339</c:v>
                </c:pt>
                <c:pt idx="52">
                  <c:v>-37.824761300679263</c:v>
                </c:pt>
                <c:pt idx="53">
                  <c:v>-37.831439879123522</c:v>
                </c:pt>
                <c:pt idx="54">
                  <c:v>-37.837255683858885</c:v>
                </c:pt>
                <c:pt idx="55">
                  <c:v>-37.842320172507506</c:v>
                </c:pt>
                <c:pt idx="56">
                  <c:v>-37.846730404012696</c:v>
                </c:pt>
                <c:pt idx="57">
                  <c:v>-37.850570898735633</c:v>
                </c:pt>
                <c:pt idx="58">
                  <c:v>-37.853915258254979</c:v>
                </c:pt>
                <c:pt idx="59">
                  <c:v>-37.856827575912341</c:v>
                </c:pt>
                <c:pt idx="60">
                  <c:v>-37.859363665136115</c:v>
                </c:pt>
                <c:pt idx="61">
                  <c:v>-37.861572129083946</c:v>
                </c:pt>
                <c:pt idx="62">
                  <c:v>-37.863495292103273</c:v>
                </c:pt>
                <c:pt idx="63">
                  <c:v>-37.865170010860865</c:v>
                </c:pt>
                <c:pt idx="64">
                  <c:v>-37.866628380686421</c:v>
                </c:pt>
                <c:pt idx="65">
                  <c:v>-37.867898350667048</c:v>
                </c:pt>
                <c:pt idx="66">
                  <c:v>-37.86900425928048</c:v>
                </c:pt>
                <c:pt idx="67">
                  <c:v>-37.869967300832606</c:v>
                </c:pt>
                <c:pt idx="68">
                  <c:v>-37.870805931637932</c:v>
                </c:pt>
                <c:pt idx="69">
                  <c:v>-37.871536223727723</c:v>
                </c:pt>
                <c:pt idx="70">
                  <c:v>-37.872172172864119</c:v>
                </c:pt>
                <c:pt idx="71">
                  <c:v>-37.872725966763483</c:v>
                </c:pt>
                <c:pt idx="72">
                  <c:v>-37.87320821866922</c:v>
                </c:pt>
                <c:pt idx="73">
                  <c:v>-37.873628170750415</c:v>
                </c:pt>
                <c:pt idx="74">
                  <c:v>-37.873993871224357</c:v>
                </c:pt>
                <c:pt idx="75">
                  <c:v>-37.874312328597568</c:v>
                </c:pt>
                <c:pt idx="76">
                  <c:v>-37.874589645980976</c:v>
                </c:pt>
                <c:pt idx="77">
                  <c:v>-37.87483113805375</c:v>
                </c:pt>
                <c:pt idx="78">
                  <c:v>-37.875041432916973</c:v>
                </c:pt>
                <c:pt idx="79">
                  <c:v>-37.875224560789384</c:v>
                </c:pt>
                <c:pt idx="80">
                  <c:v>-37.875384031245034</c:v>
                </c:pt>
                <c:pt idx="81">
                  <c:v>-37.875522900472802</c:v>
                </c:pt>
                <c:pt idx="82">
                  <c:v>-37.875643829847085</c:v>
                </c:pt>
                <c:pt idx="83">
                  <c:v>-37.87574913693205</c:v>
                </c:pt>
                <c:pt idx="84">
                  <c:v>-37.87584083989676</c:v>
                </c:pt>
                <c:pt idx="85">
                  <c:v>-37.875920696192658</c:v>
                </c:pt>
                <c:pt idx="86">
                  <c:v>-37.875990236234394</c:v>
                </c:pt>
                <c:pt idx="87">
                  <c:v>-37.876050792729686</c:v>
                </c:pt>
                <c:pt idx="88">
                  <c:v>-37.876103526220056</c:v>
                </c:pt>
                <c:pt idx="89">
                  <c:v>-37.876149447322206</c:v>
                </c:pt>
                <c:pt idx="90">
                  <c:v>-37.876189436096091</c:v>
                </c:pt>
                <c:pt idx="91">
                  <c:v>-37.876224258910938</c:v>
                </c:pt>
                <c:pt idx="92">
                  <c:v>-37.876254583132358</c:v>
                </c:pt>
                <c:pt idx="93">
                  <c:v>-37.876280989912175</c:v>
                </c:pt>
                <c:pt idx="94">
                  <c:v>-37.876303985326004</c:v>
                </c:pt>
                <c:pt idx="95">
                  <c:v>-37.876324010071954</c:v>
                </c:pt>
                <c:pt idx="96">
                  <c:v>-37.876341447916452</c:v>
                </c:pt>
                <c:pt idx="97">
                  <c:v>-37.876356633048935</c:v>
                </c:pt>
                <c:pt idx="98">
                  <c:v>-37.876369856486555</c:v>
                </c:pt>
                <c:pt idx="99">
                  <c:v>-37.87638137165132</c:v>
                </c:pt>
                <c:pt idx="100">
                  <c:v>-37.876391399226847</c:v>
                </c:pt>
                <c:pt idx="101">
                  <c:v>-37.876400131387697</c:v>
                </c:pt>
                <c:pt idx="102">
                  <c:v>-37.87640773548231</c:v>
                </c:pt>
                <c:pt idx="103">
                  <c:v>-37.876414357240201</c:v>
                </c:pt>
                <c:pt idx="104">
                  <c:v>-37.876420123564756</c:v>
                </c:pt>
                <c:pt idx="105">
                  <c:v>-37.876425144965332</c:v>
                </c:pt>
                <c:pt idx="106">
                  <c:v>-37.876429517675113</c:v>
                </c:pt>
                <c:pt idx="107">
                  <c:v>-37.876433325495356</c:v>
                </c:pt>
                <c:pt idx="108">
                  <c:v>-37.876436641401455</c:v>
                </c:pt>
                <c:pt idx="109">
                  <c:v>-37.876439528941468</c:v>
                </c:pt>
                <c:pt idx="110">
                  <c:v>-37.876442043453942</c:v>
                </c:pt>
                <c:pt idx="111">
                  <c:v>-37.876444233128538</c:v>
                </c:pt>
                <c:pt idx="112">
                  <c:v>-37.876446139929513</c:v>
                </c:pt>
                <c:pt idx="113">
                  <c:v>-37.876447800399959</c:v>
                </c:pt>
                <c:pt idx="114">
                  <c:v>-37.876449246362149</c:v>
                </c:pt>
                <c:pt idx="115">
                  <c:v>-37.876450505527373</c:v>
                </c:pt>
                <c:pt idx="116">
                  <c:v>-37.876451602027046</c:v>
                </c:pt>
                <c:pt idx="117">
                  <c:v>-37.876452556875158</c:v>
                </c:pt>
                <c:pt idx="118">
                  <c:v>-37.876453388370997</c:v>
                </c:pt>
                <c:pt idx="119">
                  <c:v>-37.876454112449842</c:v>
                </c:pt>
                <c:pt idx="120">
                  <c:v>-37.8764547429884</c:v>
                </c:pt>
                <c:pt idx="121">
                  <c:v>-37.876455292070688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9B9-4303-8797-71A586E96CFC}"/>
            </c:ext>
          </c:extLst>
        </c:ser>
        <c:ser>
          <c:idx val="10"/>
          <c:order val="10"/>
          <c:tx>
            <c:v>QE; Ufin,adm. = 1,84 [V/c]</c:v>
          </c:tx>
          <c:spPr>
            <a:ln w="15875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rev.'!$EY$6:$EY$127</c:f>
              <c:numCache>
                <c:formatCode>0.000</c:formatCode>
                <c:ptCount val="122"/>
                <c:pt idx="0">
                  <c:v>22</c:v>
                </c:pt>
                <c:pt idx="1">
                  <c:v>22</c:v>
                </c:pt>
                <c:pt idx="2">
                  <c:v>19.656125760954115</c:v>
                </c:pt>
                <c:pt idx="3">
                  <c:v>17.419252494583219</c:v>
                </c:pt>
                <c:pt idx="4">
                  <c:v>15.284495464341866</c:v>
                </c:pt>
                <c:pt idx="5">
                  <c:v>13.247192928396924</c:v>
                </c:pt>
                <c:pt idx="6">
                  <c:v>11.302895959622724</c:v>
                </c:pt>
                <c:pt idx="7">
                  <c:v>9.4473587303269273</c:v>
                </c:pt>
                <c:pt idx="8">
                  <c:v>7.6765292404916536</c:v>
                </c:pt>
                <c:pt idx="9">
                  <c:v>5.9865404692825805</c:v>
                </c:pt>
                <c:pt idx="10">
                  <c:v>4.3737019305035609</c:v>
                </c:pt>
                <c:pt idx="11">
                  <c:v>2.8344916135558051</c:v>
                </c:pt>
                <c:pt idx="12">
                  <c:v>1.365548292303103</c:v>
                </c:pt>
                <c:pt idx="13">
                  <c:v>-3.6335814952497714E-2</c:v>
                </c:pt>
                <c:pt idx="14">
                  <c:v>-1.3742220504131382</c:v>
                </c:pt>
                <c:pt idx="15">
                  <c:v>-2.6510320019426672</c:v>
                </c:pt>
                <c:pt idx="16">
                  <c:v>-3.8695538830378489</c:v>
                </c:pt>
                <c:pt idx="17">
                  <c:v>-5.0324486215453774</c:v>
                </c:pt>
                <c:pt idx="18">
                  <c:v>-6.1422556704208908</c:v>
                </c:pt>
                <c:pt idx="19">
                  <c:v>-7.2013985532191391</c:v>
                </c:pt>
                <c:pt idx="20">
                  <c:v>-8.2121901564251267</c:v>
                </c:pt>
                <c:pt idx="21">
                  <c:v>-9.1768377801833232</c:v>
                </c:pt>
                <c:pt idx="22">
                  <c:v>-10.097447958454353</c:v>
                </c:pt>
                <c:pt idx="23">
                  <c:v>-10.976031059125177</c:v>
                </c:pt>
                <c:pt idx="24">
                  <c:v>-11.814505674118102</c:v>
                </c:pt>
                <c:pt idx="25">
                  <c:v>-12.61470280908545</c:v>
                </c:pt>
                <c:pt idx="26">
                  <c:v>-13.37836988183917</c:v>
                </c:pt>
                <c:pt idx="27">
                  <c:v>-14.107174538246809</c:v>
                </c:pt>
                <c:pt idx="28">
                  <c:v>-14.802708293926656</c:v>
                </c:pt>
                <c:pt idx="29">
                  <c:v>-15.466490009694894</c:v>
                </c:pt>
                <c:pt idx="30">
                  <c:v>-16.09996920835367</c:v>
                </c:pt>
                <c:pt idx="31">
                  <c:v>-16.704529240063685</c:v>
                </c:pt>
                <c:pt idx="32">
                  <c:v>-17.281490303213118</c:v>
                </c:pt>
                <c:pt idx="33">
                  <c:v>-17.832112327379932</c:v>
                </c:pt>
                <c:pt idx="34">
                  <c:v>-18.357597724683146</c:v>
                </c:pt>
                <c:pt idx="35">
                  <c:v>-18.859094015531198</c:v>
                </c:pt>
                <c:pt idx="36">
                  <c:v>-19.337696334501537</c:v>
                </c:pt>
                <c:pt idx="37">
                  <c:v>-19.794449821823299</c:v>
                </c:pt>
                <c:pt idx="38">
                  <c:v>-20.230351905685801</c:v>
                </c:pt>
                <c:pt idx="39">
                  <c:v>-20.646354480356486</c:v>
                </c:pt>
                <c:pt idx="40">
                  <c:v>-21.043365984864991</c:v>
                </c:pt>
                <c:pt idx="41">
                  <c:v>-21.422253386792427</c:v>
                </c:pt>
                <c:pt idx="42">
                  <c:v>-21.783844075498159</c:v>
                </c:pt>
                <c:pt idx="43">
                  <c:v>-22.128927668918145</c:v>
                </c:pt>
                <c:pt idx="44">
                  <c:v>-22.458257737880622</c:v>
                </c:pt>
                <c:pt idx="45">
                  <c:v>-22.772553451704461</c:v>
                </c:pt>
                <c:pt idx="46">
                  <c:v>-23.072501148673787</c:v>
                </c:pt>
                <c:pt idx="47">
                  <c:v>-23.358755834818261</c:v>
                </c:pt>
                <c:pt idx="48">
                  <c:v>-23.631942614272177</c:v>
                </c:pt>
                <c:pt idx="49">
                  <c:v>-23.892658054335719</c:v>
                </c:pt>
                <c:pt idx="50">
                  <c:v>-24.141471488219281</c:v>
                </c:pt>
                <c:pt idx="51">
                  <c:v>-24.378926258315929</c:v>
                </c:pt>
                <c:pt idx="52">
                  <c:v>-24.605540902716676</c:v>
                </c:pt>
                <c:pt idx="53">
                  <c:v>-24.821810287559835</c:v>
                </c:pt>
                <c:pt idx="54">
                  <c:v>-25.028206687687103</c:v>
                </c:pt>
                <c:pt idx="55">
                  <c:v>-25.225180817966297</c:v>
                </c:pt>
                <c:pt idx="56">
                  <c:v>-25.413162817532786</c:v>
                </c:pt>
                <c:pt idx="57">
                  <c:v>-25.592563189098954</c:v>
                </c:pt>
                <c:pt idx="58">
                  <c:v>-25.76377369538308</c:v>
                </c:pt>
                <c:pt idx="59">
                  <c:v>-25.927168214614923</c:v>
                </c:pt>
                <c:pt idx="60">
                  <c:v>-26.083103556986359</c:v>
                </c:pt>
                <c:pt idx="61">
                  <c:v>-26.231920243830047</c:v>
                </c:pt>
                <c:pt idx="62">
                  <c:v>-26.373943251227416</c:v>
                </c:pt>
                <c:pt idx="63">
                  <c:v>-26.509482719670103</c:v>
                </c:pt>
                <c:pt idx="64">
                  <c:v>-26.638834631324272</c:v>
                </c:pt>
                <c:pt idx="65">
                  <c:v>-26.762281456377046</c:v>
                </c:pt>
                <c:pt idx="66">
                  <c:v>-26.880092769876235</c:v>
                </c:pt>
                <c:pt idx="67">
                  <c:v>-26.992525840410622</c:v>
                </c:pt>
                <c:pt idx="68">
                  <c:v>-27.099826191916144</c:v>
                </c:pt>
                <c:pt idx="69">
                  <c:v>-27.202228139834901</c:v>
                </c:pt>
                <c:pt idx="70">
                  <c:v>-27.299955302797805</c:v>
                </c:pt>
                <c:pt idx="71">
                  <c:v>-27.393221090948181</c:v>
                </c:pt>
                <c:pt idx="72">
                  <c:v>-27.482229171972833</c:v>
                </c:pt>
                <c:pt idx="73">
                  <c:v>-27.567173915858099</c:v>
                </c:pt>
                <c:pt idx="74">
                  <c:v>-27.648240819342227</c:v>
                </c:pt>
                <c:pt idx="75">
                  <c:v>-27.725606910990955</c:v>
                </c:pt>
                <c:pt idx="76">
                  <c:v>-27.799441137780818</c:v>
                </c:pt>
                <c:pt idx="77">
                  <c:v>-27.869904734034456</c:v>
                </c:pt>
                <c:pt idx="78">
                  <c:v>-27.937151573513461</c:v>
                </c:pt>
                <c:pt idx="79">
                  <c:v>-28.001328505437833</c:v>
                </c:pt>
                <c:pt idx="80">
                  <c:v>-28.062575675165576</c:v>
                </c:pt>
                <c:pt idx="81">
                  <c:v>-28.121026830232942</c:v>
                </c:pt>
                <c:pt idx="82">
                  <c:v>-28.176809612423469</c:v>
                </c:pt>
                <c:pt idx="83">
                  <c:v>-28.23004583650372</c:v>
                </c:pt>
                <c:pt idx="84">
                  <c:v>-28.280851756234348</c:v>
                </c:pt>
                <c:pt idx="85">
                  <c:v>-28.329338318237383</c:v>
                </c:pt>
                <c:pt idx="86">
                  <c:v>-28.375611404274188</c:v>
                </c:pt>
                <c:pt idx="87">
                  <c:v>-28.419772062463068</c:v>
                </c:pt>
                <c:pt idx="88">
                  <c:v>-28.461916727941471</c:v>
                </c:pt>
                <c:pt idx="89">
                  <c:v>-28.502137433454749</c:v>
                </c:pt>
                <c:pt idx="90">
                  <c:v>-28.540522010331109</c:v>
                </c:pt>
                <c:pt idx="91">
                  <c:v>-28.577154280282016</c:v>
                </c:pt>
                <c:pt idx="92">
                  <c:v>-28.612114238446424</c:v>
                </c:pt>
                <c:pt idx="93">
                  <c:v>-28.645478228078915</c:v>
                </c:pt>
                <c:pt idx="94">
                  <c:v>-28.677319107263116</c:v>
                </c:pt>
                <c:pt idx="95">
                  <c:v>-28.70770640801431</c:v>
                </c:pt>
                <c:pt idx="96">
                  <c:v>-28.736706488118948</c:v>
                </c:pt>
                <c:pt idx="97">
                  <c:v>-28.764382676042359</c:v>
                </c:pt>
                <c:pt idx="98">
                  <c:v>-28.790795409221303</c:v>
                </c:pt>
                <c:pt idx="99">
                  <c:v>-28.816002366043286</c:v>
                </c:pt>
                <c:pt idx="100">
                  <c:v>-28.840058591800776</c:v>
                </c:pt>
                <c:pt idx="101">
                  <c:v>-28.863016618895529</c:v>
                </c:pt>
                <c:pt idx="102">
                  <c:v>-28.884926581555376</c:v>
                </c:pt>
                <c:pt idx="103">
                  <c:v>-28.905836325314048</c:v>
                </c:pt>
                <c:pt idx="104">
                  <c:v>-28.925791511493095</c:v>
                </c:pt>
                <c:pt idx="105">
                  <c:v>-28.944835716914092</c:v>
                </c:pt>
                <c:pt idx="106">
                  <c:v>-28.963010529058806</c:v>
                </c:pt>
                <c:pt idx="107">
                  <c:v>-28.980355636885236</c:v>
                </c:pt>
                <c:pt idx="108">
                  <c:v>-28.996908917497692</c:v>
                </c:pt>
                <c:pt idx="109">
                  <c:v>-29.012706518860398</c:v>
                </c:pt>
                <c:pt idx="110">
                  <c:v>-29.027782938734951</c:v>
                </c:pt>
                <c:pt idx="111">
                  <c:v>-29.042171100014329</c:v>
                </c:pt>
                <c:pt idx="112">
                  <c:v>-29.055902422617706</c:v>
                </c:pt>
                <c:pt idx="113">
                  <c:v>-29.069006892103204</c:v>
                </c:pt>
                <c:pt idx="114">
                  <c:v>-29.081513125148362</c:v>
                </c:pt>
                <c:pt idx="115">
                  <c:v>-29.093448432041413</c:v>
                </c:pt>
                <c:pt idx="116">
                  <c:v>-29.104838876319633</c:v>
                </c:pt>
                <c:pt idx="117">
                  <c:v>-29.115709331685196</c:v>
                </c:pt>
                <c:pt idx="118">
                  <c:v>-29.126083536322724</c:v>
                </c:pt>
                <c:pt idx="119">
                  <c:v>-29.135984144737193</c:v>
                </c:pt>
                <c:pt idx="120">
                  <c:v>-29.145432777225324</c:v>
                </c:pt>
                <c:pt idx="121">
                  <c:v>-29.154450067088561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9B9-4303-8797-71A586E96CFC}"/>
            </c:ext>
          </c:extLst>
        </c:ser>
        <c:ser>
          <c:idx val="11"/>
          <c:order val="11"/>
          <c:tx>
            <c:v>QE; Ufin,adm. = 1,75 [V/c]</c:v>
          </c:tx>
          <c:spPr>
            <a:ln w="15875">
              <a:solidFill>
                <a:srgbClr val="00B0F0"/>
              </a:solidFill>
              <a:prstDash val="dash"/>
            </a:ln>
          </c:spPr>
          <c:marker>
            <c:symbol val="none"/>
          </c:marker>
          <c:xVal>
            <c:numRef>
              <c:f>'100 A 39, 3 par. rev.'!$EN$6:$EN$127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0.21805555555555556</c:v>
                </c:pt>
                <c:pt idx="3">
                  <c:v>0.43611111111111112</c:v>
                </c:pt>
                <c:pt idx="4">
                  <c:v>0.65416666666666679</c:v>
                </c:pt>
                <c:pt idx="5">
                  <c:v>0.87222222222222223</c:v>
                </c:pt>
                <c:pt idx="6">
                  <c:v>1.0902777777777777</c:v>
                </c:pt>
                <c:pt idx="7">
                  <c:v>1.3083333333333336</c:v>
                </c:pt>
                <c:pt idx="8">
                  <c:v>1.526388888888889</c:v>
                </c:pt>
                <c:pt idx="9">
                  <c:v>1.7444444444444445</c:v>
                </c:pt>
                <c:pt idx="10">
                  <c:v>1.9624999999999999</c:v>
                </c:pt>
                <c:pt idx="11">
                  <c:v>2.1805555555555554</c:v>
                </c:pt>
                <c:pt idx="12">
                  <c:v>2.3986111111111112</c:v>
                </c:pt>
                <c:pt idx="13">
                  <c:v>2.6166666666666671</c:v>
                </c:pt>
                <c:pt idx="14">
                  <c:v>2.8347222222222226</c:v>
                </c:pt>
                <c:pt idx="15">
                  <c:v>3.052777777777778</c:v>
                </c:pt>
                <c:pt idx="16">
                  <c:v>3.2708333333333335</c:v>
                </c:pt>
                <c:pt idx="17">
                  <c:v>3.4888888888888889</c:v>
                </c:pt>
                <c:pt idx="18">
                  <c:v>3.7069444444444444</c:v>
                </c:pt>
                <c:pt idx="19">
                  <c:v>3.9249999999999998</c:v>
                </c:pt>
                <c:pt idx="20">
                  <c:v>4.1430555555555557</c:v>
                </c:pt>
                <c:pt idx="21">
                  <c:v>4.3611111111111107</c:v>
                </c:pt>
                <c:pt idx="22">
                  <c:v>4.5791666666666666</c:v>
                </c:pt>
                <c:pt idx="23">
                  <c:v>4.7972222222222225</c:v>
                </c:pt>
                <c:pt idx="24">
                  <c:v>5.0152777777777784</c:v>
                </c:pt>
                <c:pt idx="25">
                  <c:v>5.2333333333333343</c:v>
                </c:pt>
                <c:pt idx="26">
                  <c:v>5.4513888888888893</c:v>
                </c:pt>
                <c:pt idx="27">
                  <c:v>5.6694444444444452</c:v>
                </c:pt>
                <c:pt idx="28">
                  <c:v>5.8875000000000002</c:v>
                </c:pt>
                <c:pt idx="29">
                  <c:v>6.1055555555555561</c:v>
                </c:pt>
                <c:pt idx="30">
                  <c:v>6.3236111111111111</c:v>
                </c:pt>
                <c:pt idx="31">
                  <c:v>6.541666666666667</c:v>
                </c:pt>
                <c:pt idx="32">
                  <c:v>6.7597222222222229</c:v>
                </c:pt>
                <c:pt idx="33">
                  <c:v>6.9777777777777779</c:v>
                </c:pt>
                <c:pt idx="34">
                  <c:v>7.1958333333333346</c:v>
                </c:pt>
                <c:pt idx="35">
                  <c:v>7.4138888888888888</c:v>
                </c:pt>
                <c:pt idx="36">
                  <c:v>7.6319444444444455</c:v>
                </c:pt>
                <c:pt idx="37">
                  <c:v>7.85</c:v>
                </c:pt>
                <c:pt idx="38">
                  <c:v>8.0680555555555564</c:v>
                </c:pt>
                <c:pt idx="39">
                  <c:v>8.2861111111111114</c:v>
                </c:pt>
                <c:pt idx="40">
                  <c:v>8.5041666666666682</c:v>
                </c:pt>
                <c:pt idx="41">
                  <c:v>8.7222222222222214</c:v>
                </c:pt>
                <c:pt idx="42">
                  <c:v>8.9402777777777782</c:v>
                </c:pt>
                <c:pt idx="43">
                  <c:v>9.1583333333333332</c:v>
                </c:pt>
                <c:pt idx="44">
                  <c:v>9.37638888888889</c:v>
                </c:pt>
                <c:pt idx="45">
                  <c:v>9.594444444444445</c:v>
                </c:pt>
                <c:pt idx="46">
                  <c:v>9.8125</c:v>
                </c:pt>
                <c:pt idx="47">
                  <c:v>10.030555555555557</c:v>
                </c:pt>
                <c:pt idx="48">
                  <c:v>10.248611111111112</c:v>
                </c:pt>
                <c:pt idx="49">
                  <c:v>10.466666666666669</c:v>
                </c:pt>
                <c:pt idx="50">
                  <c:v>10.684722222222222</c:v>
                </c:pt>
                <c:pt idx="51">
                  <c:v>10.902777777777779</c:v>
                </c:pt>
                <c:pt idx="52">
                  <c:v>11.120833333333334</c:v>
                </c:pt>
                <c:pt idx="53">
                  <c:v>11.33888888888889</c:v>
                </c:pt>
                <c:pt idx="54">
                  <c:v>11.556944444444445</c:v>
                </c:pt>
                <c:pt idx="55">
                  <c:v>11.775</c:v>
                </c:pt>
                <c:pt idx="56">
                  <c:v>11.993055555555555</c:v>
                </c:pt>
                <c:pt idx="57">
                  <c:v>12.211111111111112</c:v>
                </c:pt>
                <c:pt idx="58">
                  <c:v>12.429166666666667</c:v>
                </c:pt>
                <c:pt idx="59">
                  <c:v>12.647222222222222</c:v>
                </c:pt>
                <c:pt idx="60">
                  <c:v>12.865277777777777</c:v>
                </c:pt>
                <c:pt idx="61">
                  <c:v>13.083333333333334</c:v>
                </c:pt>
                <c:pt idx="62">
                  <c:v>13.301388888888889</c:v>
                </c:pt>
                <c:pt idx="63">
                  <c:v>13.519444444444446</c:v>
                </c:pt>
                <c:pt idx="64">
                  <c:v>13.737500000000001</c:v>
                </c:pt>
                <c:pt idx="65">
                  <c:v>13.955555555555556</c:v>
                </c:pt>
                <c:pt idx="66">
                  <c:v>14.173611111111111</c:v>
                </c:pt>
                <c:pt idx="67">
                  <c:v>14.391666666666669</c:v>
                </c:pt>
                <c:pt idx="68">
                  <c:v>14.609722222222222</c:v>
                </c:pt>
                <c:pt idx="69">
                  <c:v>14.827777777777778</c:v>
                </c:pt>
                <c:pt idx="70">
                  <c:v>15.045833333333333</c:v>
                </c:pt>
                <c:pt idx="71">
                  <c:v>15.263888888888891</c:v>
                </c:pt>
                <c:pt idx="72">
                  <c:v>15.481944444444446</c:v>
                </c:pt>
                <c:pt idx="73">
                  <c:v>15.7</c:v>
                </c:pt>
                <c:pt idx="74">
                  <c:v>15.918055555555554</c:v>
                </c:pt>
                <c:pt idx="75">
                  <c:v>16.136111111111113</c:v>
                </c:pt>
                <c:pt idx="76">
                  <c:v>16.354166666666668</c:v>
                </c:pt>
                <c:pt idx="77">
                  <c:v>16.572222222222223</c:v>
                </c:pt>
                <c:pt idx="78">
                  <c:v>16.790277777777781</c:v>
                </c:pt>
                <c:pt idx="79">
                  <c:v>17.008333333333336</c:v>
                </c:pt>
                <c:pt idx="80">
                  <c:v>17.226388888888888</c:v>
                </c:pt>
                <c:pt idx="81">
                  <c:v>17.444444444444443</c:v>
                </c:pt>
                <c:pt idx="82">
                  <c:v>17.662500000000001</c:v>
                </c:pt>
                <c:pt idx="83">
                  <c:v>17.880555555555556</c:v>
                </c:pt>
                <c:pt idx="84">
                  <c:v>18.098611111111111</c:v>
                </c:pt>
                <c:pt idx="85">
                  <c:v>18.316666666666666</c:v>
                </c:pt>
                <c:pt idx="86">
                  <c:v>18.534722222222225</c:v>
                </c:pt>
                <c:pt idx="87">
                  <c:v>18.75277777777778</c:v>
                </c:pt>
                <c:pt idx="88">
                  <c:v>18.970833333333335</c:v>
                </c:pt>
                <c:pt idx="89">
                  <c:v>19.18888888888889</c:v>
                </c:pt>
                <c:pt idx="90">
                  <c:v>19.406944444444445</c:v>
                </c:pt>
                <c:pt idx="91">
                  <c:v>19.625</c:v>
                </c:pt>
                <c:pt idx="92">
                  <c:v>19.843055555555555</c:v>
                </c:pt>
                <c:pt idx="93">
                  <c:v>20.061111111111114</c:v>
                </c:pt>
                <c:pt idx="94">
                  <c:v>20.279166666666669</c:v>
                </c:pt>
                <c:pt idx="95">
                  <c:v>20.497222222222224</c:v>
                </c:pt>
                <c:pt idx="96">
                  <c:v>20.715277777777779</c:v>
                </c:pt>
                <c:pt idx="97">
                  <c:v>20.933333333333337</c:v>
                </c:pt>
                <c:pt idx="98">
                  <c:v>21.151388888888889</c:v>
                </c:pt>
                <c:pt idx="99">
                  <c:v>21.369444444444444</c:v>
                </c:pt>
                <c:pt idx="100">
                  <c:v>21.587499999999999</c:v>
                </c:pt>
                <c:pt idx="101">
                  <c:v>21.805555555555557</c:v>
                </c:pt>
                <c:pt idx="102">
                  <c:v>22.023611111111112</c:v>
                </c:pt>
                <c:pt idx="103">
                  <c:v>22.241666666666667</c:v>
                </c:pt>
                <c:pt idx="104">
                  <c:v>22.459722222222222</c:v>
                </c:pt>
                <c:pt idx="105">
                  <c:v>22.677777777777781</c:v>
                </c:pt>
                <c:pt idx="106">
                  <c:v>22.895833333333336</c:v>
                </c:pt>
                <c:pt idx="107">
                  <c:v>23.113888888888891</c:v>
                </c:pt>
                <c:pt idx="108">
                  <c:v>23.331944444444446</c:v>
                </c:pt>
                <c:pt idx="109">
                  <c:v>23.55</c:v>
                </c:pt>
                <c:pt idx="110">
                  <c:v>23.768055555555556</c:v>
                </c:pt>
                <c:pt idx="111">
                  <c:v>23.986111111111111</c:v>
                </c:pt>
                <c:pt idx="112">
                  <c:v>24.204166666666669</c:v>
                </c:pt>
                <c:pt idx="113">
                  <c:v>24.422222222222224</c:v>
                </c:pt>
                <c:pt idx="114">
                  <c:v>24.640277777777779</c:v>
                </c:pt>
                <c:pt idx="115">
                  <c:v>24.858333333333334</c:v>
                </c:pt>
                <c:pt idx="116">
                  <c:v>25.076388888888889</c:v>
                </c:pt>
                <c:pt idx="117">
                  <c:v>25.294444444444444</c:v>
                </c:pt>
                <c:pt idx="118">
                  <c:v>25.512499999999999</c:v>
                </c:pt>
                <c:pt idx="119">
                  <c:v>25.730555555555554</c:v>
                </c:pt>
                <c:pt idx="120">
                  <c:v>25.948611111111113</c:v>
                </c:pt>
                <c:pt idx="121">
                  <c:v>26.166666666666668</c:v>
                </c:pt>
              </c:numCache>
            </c:numRef>
          </c:xVal>
          <c:yVal>
            <c:numRef>
              <c:f>'100 A 39, 3 par. rev.'!$EZ$6:$EZ$127</c:f>
              <c:numCache>
                <c:formatCode>0.000</c:formatCode>
                <c:ptCount val="122"/>
                <c:pt idx="0">
                  <c:v>22</c:v>
                </c:pt>
                <c:pt idx="1">
                  <c:v>22</c:v>
                </c:pt>
                <c:pt idx="2">
                  <c:v>21.109077105429012</c:v>
                </c:pt>
                <c:pt idx="3">
                  <c:v>20.233561092846241</c:v>
                </c:pt>
                <c:pt idx="4">
                  <c:v>19.373185528406456</c:v>
                </c:pt>
                <c:pt idx="5">
                  <c:v>18.527688585750486</c:v>
                </c:pt>
                <c:pt idx="6">
                  <c:v>17.696812966327172</c:v>
                </c:pt>
                <c:pt idx="7">
                  <c:v>16.880305821093199</c:v>
                </c:pt>
                <c:pt idx="8">
                  <c:v>16.077918673567005</c:v>
                </c:pt>
                <c:pt idx="9">
                  <c:v>15.289407344213322</c:v>
                </c:pt>
                <c:pt idx="10">
                  <c:v>14.514531876135344</c:v>
                </c:pt>
                <c:pt idx="11">
                  <c:v>13.753056462051921</c:v>
                </c:pt>
                <c:pt idx="12">
                  <c:v>13.004749372537551</c:v>
                </c:pt>
                <c:pt idx="13">
                  <c:v>12.269382885503306</c:v>
                </c:pt>
                <c:pt idx="14">
                  <c:v>11.546733216897307</c:v>
                </c:pt>
                <c:pt idx="15">
                  <c:v>10.836580452603538</c:v>
                </c:pt>
                <c:pt idx="16">
                  <c:v>10.138708481518423</c:v>
                </c:pt>
                <c:pt idx="17">
                  <c:v>9.4529049297846406</c:v>
                </c:pt>
                <c:pt idx="18">
                  <c:v>8.7789610961623197</c:v>
                </c:pt>
                <c:pt idx="19">
                  <c:v>8.1166718885178213</c:v>
                </c:pt>
                <c:pt idx="20">
                  <c:v>7.4658357614108422</c:v>
                </c:pt>
                <c:pt idx="21">
                  <c:v>6.8262546547608594</c:v>
                </c:pt>
                <c:pt idx="22">
                  <c:v>6.1977339335741863</c:v>
                </c:pt>
                <c:pt idx="23">
                  <c:v>5.5800823287133881</c:v>
                </c:pt>
                <c:pt idx="24">
                  <c:v>4.9731118786909008</c:v>
                </c:pt>
                <c:pt idx="25">
                  <c:v>4.3766378724693524</c:v>
                </c:pt>
                <c:pt idx="26">
                  <c:v>3.7904787932509088</c:v>
                </c:pt>
                <c:pt idx="27">
                  <c:v>3.2144562632387554</c:v>
                </c:pt>
                <c:pt idx="28">
                  <c:v>2.6483949893538536</c:v>
                </c:pt>
                <c:pt idx="29">
                  <c:v>2.0921227098903401</c:v>
                </c:pt>
                <c:pt idx="30">
                  <c:v>1.545470142093496</c:v>
                </c:pt>
                <c:pt idx="31">
                  <c:v>1.0082709306442297</c:v>
                </c:pt>
                <c:pt idx="32">
                  <c:v>0.4803615970344417</c:v>
                </c:pt>
                <c:pt idx="33">
                  <c:v>-3.8418510182168575E-2</c:v>
                </c:pt>
                <c:pt idx="34">
                  <c:v>-0.5482272642789745</c:v>
                </c:pt>
                <c:pt idx="35">
                  <c:v>-1.0492198083998154</c:v>
                </c:pt>
                <c:pt idx="36">
                  <c:v>-1.5415486027716341</c:v>
                </c:pt>
                <c:pt idx="37">
                  <c:v>-2.0253634711005652</c:v>
                </c:pt>
                <c:pt idx="38">
                  <c:v>-2.5008116461658041</c:v>
                </c:pt>
                <c:pt idx="39">
                  <c:v>-2.9680378146248749</c:v>
                </c:pt>
                <c:pt idx="40">
                  <c:v>-3.4271841610442202</c:v>
                </c:pt>
                <c:pt idx="41">
                  <c:v>-3.8783904111682403</c:v>
                </c:pt>
                <c:pt idx="42">
                  <c:v>-4.3217938744401607</c:v>
                </c:pt>
                <c:pt idx="43">
                  <c:v>-4.757529485787483</c:v>
                </c:pt>
                <c:pt idx="44">
                  <c:v>-5.1857298466849677</c:v>
                </c:pt>
                <c:pt idx="45">
                  <c:v>-5.6065252655073756</c:v>
                </c:pt>
                <c:pt idx="46">
                  <c:v>-6.02004379718446</c:v>
                </c:pt>
                <c:pt idx="47">
                  <c:v>-6.4264112821701822</c:v>
                </c:pt>
                <c:pt idx="48">
                  <c:v>-6.825751384737984</c:v>
                </c:pt>
                <c:pt idx="49">
                  <c:v>-7.2181856306139096</c:v>
                </c:pt>
                <c:pt idx="50">
                  <c:v>-7.6038334439588198</c:v>
                </c:pt>
                <c:pt idx="51">
                  <c:v>-7.9828121837111432</c:v>
                </c:pt>
                <c:pt idx="52">
                  <c:v>-8.3552371793011062</c:v>
                </c:pt>
                <c:pt idx="53">
                  <c:v>-8.7212217657473801</c:v>
                </c:pt>
                <c:pt idx="54">
                  <c:v>-9.0808773181467792</c:v>
                </c:pt>
                <c:pt idx="55">
                  <c:v>-9.4343132855675087</c:v>
                </c:pt>
                <c:pt idx="56">
                  <c:v>-9.781637224356345</c:v>
                </c:pt>
                <c:pt idx="57">
                  <c:v>-10.122954830869716</c:v>
                </c:pt>
                <c:pt idx="58">
                  <c:v>-10.458369973638931</c:v>
                </c:pt>
                <c:pt idx="59">
                  <c:v>-10.787984724978983</c:v>
                </c:pt>
                <c:pt idx="60">
                  <c:v>-11.111899392050908</c:v>
                </c:pt>
                <c:pt idx="61">
                  <c:v>-11.430212547386809</c:v>
                </c:pt>
                <c:pt idx="62">
                  <c:v>-11.743021058887152</c:v>
                </c:pt>
                <c:pt idx="63">
                  <c:v>-12.05042011929924</c:v>
                </c:pt>
                <c:pt idx="64">
                  <c:v>-12.352503275185896</c:v>
                </c:pt>
                <c:pt idx="65">
                  <c:v>-12.649362455393252</c:v>
                </c:pt>
                <c:pt idx="66">
                  <c:v>-12.941087999026173</c:v>
                </c:pt>
                <c:pt idx="67">
                  <c:v>-13.227768682939924</c:v>
                </c:pt>
                <c:pt idx="68">
                  <c:v>-13.509491748756453</c:v>
                </c:pt>
                <c:pt idx="69">
                  <c:v>-13.786342929413408</c:v>
                </c:pt>
                <c:pt idx="70">
                  <c:v>-14.058406475254067</c:v>
                </c:pt>
                <c:pt idx="71">
                  <c:v>-14.325765179666128</c:v>
                </c:pt>
                <c:pt idx="72">
                  <c:v>-14.588500404277084</c:v>
                </c:pt>
                <c:pt idx="73">
                  <c:v>-14.846692103713856</c:v>
                </c:pt>
                <c:pt idx="74">
                  <c:v>-15.100418849934378</c:v>
                </c:pt>
                <c:pt idx="75">
                  <c:v>-15.349757856138226</c:v>
                </c:pt>
                <c:pt idx="76">
                  <c:v>-15.594785000263954</c:v>
                </c:pt>
                <c:pt idx="77">
                  <c:v>-15.835574848079901</c:v>
                </c:pt>
                <c:pt idx="78">
                  <c:v>-16.072200675875862</c:v>
                </c:pt>
                <c:pt idx="79">
                  <c:v>-16.304734492762208</c:v>
                </c:pt>
                <c:pt idx="80">
                  <c:v>-16.533247062583428</c:v>
                </c:pt>
                <c:pt idx="81">
                  <c:v>-16.757807925452795</c:v>
                </c:pt>
                <c:pt idx="82">
                  <c:v>-16.978485418914438</c:v>
                </c:pt>
                <c:pt idx="83">
                  <c:v>-17.195346698739719</c:v>
                </c:pt>
                <c:pt idx="84">
                  <c:v>-17.408457759363721</c:v>
                </c:pt>
                <c:pt idx="85">
                  <c:v>-17.617883453968474</c:v>
                </c:pt>
                <c:pt idx="86">
                  <c:v>-17.823687514218868</c:v>
                </c:pt>
                <c:pt idx="87">
                  <c:v>-18.025932569657172</c:v>
                </c:pt>
                <c:pt idx="88">
                  <c:v>-18.22468016676229</c:v>
                </c:pt>
                <c:pt idx="89">
                  <c:v>-18.41999078767936</c:v>
                </c:pt>
                <c:pt idx="90">
                  <c:v>-18.611923868625389</c:v>
                </c:pt>
                <c:pt idx="91">
                  <c:v>-18.800537817976789</c:v>
                </c:pt>
                <c:pt idx="92">
                  <c:v>-18.985890034043848</c:v>
                </c:pt>
                <c:pt idx="93">
                  <c:v>-19.168036922538128</c:v>
                </c:pt>
                <c:pt idx="94">
                  <c:v>-19.347033913737526</c:v>
                </c:pt>
                <c:pt idx="95">
                  <c:v>-19.522935479354693</c:v>
                </c:pt>
                <c:pt idx="96">
                  <c:v>-19.695795149113614</c:v>
                </c:pt>
                <c:pt idx="97">
                  <c:v>-19.865665527039631</c:v>
                </c:pt>
                <c:pt idx="98">
                  <c:v>-20.032598307467644</c:v>
                </c:pt>
                <c:pt idx="99">
                  <c:v>-20.196644290773605</c:v>
                </c:pt>
                <c:pt idx="100">
                  <c:v>-20.357853398833875</c:v>
                </c:pt>
                <c:pt idx="101">
                  <c:v>-20.516274690217244</c:v>
                </c:pt>
                <c:pt idx="102">
                  <c:v>-20.671956375114313</c:v>
                </c:pt>
                <c:pt idx="103">
                  <c:v>-20.824945830008595</c:v>
                </c:pt>
                <c:pt idx="104">
                  <c:v>-20.975289612093967</c:v>
                </c:pt>
                <c:pt idx="105">
                  <c:v>-21.123033473442803</c:v>
                </c:pt>
                <c:pt idx="106">
                  <c:v>-21.268222374929067</c:v>
                </c:pt>
                <c:pt idx="107">
                  <c:v>-21.410900499910611</c:v>
                </c:pt>
                <c:pt idx="108">
                  <c:v>-21.551111267674962</c:v>
                </c:pt>
                <c:pt idx="109">
                  <c:v>-21.688897346652446</c:v>
                </c:pt>
                <c:pt idx="110">
                  <c:v>-21.824300667400955</c:v>
                </c:pt>
                <c:pt idx="111">
                  <c:v>-21.957362435366058</c:v>
                </c:pt>
                <c:pt idx="112">
                  <c:v>-22.088123143420503</c:v>
                </c:pt>
                <c:pt idx="113">
                  <c:v>-22.216622584186872</c:v>
                </c:pt>
                <c:pt idx="114">
                  <c:v>-22.342899862147121</c:v>
                </c:pt>
                <c:pt idx="115">
                  <c:v>-22.466993405542702</c:v>
                </c:pt>
                <c:pt idx="116">
                  <c:v>-22.588940978068926</c:v>
                </c:pt>
                <c:pt idx="117">
                  <c:v>-22.708779690367059</c:v>
                </c:pt>
                <c:pt idx="118">
                  <c:v>-22.826546011317696</c:v>
                </c:pt>
                <c:pt idx="119">
                  <c:v>-22.942275779138839</c:v>
                </c:pt>
                <c:pt idx="120">
                  <c:v>-23.056004212292059</c:v>
                </c:pt>
                <c:pt idx="121">
                  <c:v>-23.167765920200075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9B9-4303-8797-71A586E96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23872"/>
        <c:axId val="113425792"/>
      </c:scatterChart>
      <c:valAx>
        <c:axId val="113423872"/>
        <c:scaling>
          <c:orientation val="minMax"/>
          <c:max val="25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Corriente  de  descarga I</a:t>
                </a:r>
                <a:r>
                  <a:rPr lang="en-US" sz="1100" baseline="-25000"/>
                  <a:t>d</a:t>
                </a:r>
                <a:r>
                  <a:rPr lang="en-US" sz="1100"/>
                  <a:t> [A]</a:t>
                </a:r>
              </a:p>
            </c:rich>
          </c:tx>
          <c:layout>
            <c:manualLayout>
              <c:xMode val="edge"/>
              <c:yMode val="edge"/>
              <c:x val="0.38410508946968125"/>
              <c:y val="0.9425907786495606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13425792"/>
        <c:crossesAt val="-30"/>
        <c:crossBetween val="midCat"/>
        <c:majorUnit val="2.5"/>
        <c:minorUnit val="1"/>
      </c:valAx>
      <c:valAx>
        <c:axId val="113425792"/>
        <c:scaling>
          <c:orientation val="minMax"/>
          <c:max val="140"/>
          <c:min val="-3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Capacidad  útil Q</a:t>
                </a:r>
                <a:r>
                  <a:rPr lang="en-US" sz="1100" baseline="-25000"/>
                  <a:t>u</a:t>
                </a:r>
                <a:r>
                  <a:rPr lang="en-US" sz="1100"/>
                  <a:t> [Ah]</a:t>
                </a:r>
              </a:p>
            </c:rich>
          </c:tx>
          <c:layout>
            <c:manualLayout>
              <c:xMode val="edge"/>
              <c:yMode val="edge"/>
              <c:x val="3.4093376764386687E-3"/>
              <c:y val="0.361153452553569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3423872"/>
        <c:crosses val="autoZero"/>
        <c:crossBetween val="midCat"/>
        <c:majorUnit val="10"/>
        <c:minorUnit val="1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10558392496019965"/>
          <c:y val="0.46343686557252634"/>
          <c:w val="0.58209629534013163"/>
          <c:h val="0.19825241121968185"/>
        </c:manualLayout>
      </c:layout>
      <c:overlay val="0"/>
      <c:spPr>
        <a:solidFill>
          <a:schemeClr val="bg1">
            <a:lumMod val="95000"/>
            <a:alpha val="92000"/>
          </a:schemeClr>
        </a:solidFill>
      </c:spPr>
      <c:txPr>
        <a:bodyPr/>
        <a:lstStyle/>
        <a:p>
          <a:pPr>
            <a:defRPr sz="900"/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 b="1" i="0" baseline="0">
                <a:effectLst/>
              </a:rPr>
              <a:t>Factor anual de recuperación de la inversión</a:t>
            </a:r>
            <a:endParaRPr lang="es-CL" sz="1400">
              <a:effectLst/>
            </a:endParaRPr>
          </a:p>
          <a:p>
            <a:pPr>
              <a:defRPr/>
            </a:pPr>
            <a:r>
              <a:rPr lang="es-ES" sz="1400" b="1" i="0" baseline="0">
                <a:effectLst/>
              </a:rPr>
              <a:t>acumulador Pb-ác.:  </a:t>
            </a:r>
            <a:r>
              <a:rPr lang="es-ES" sz="1400" b="1" i="1" baseline="0">
                <a:effectLst/>
              </a:rPr>
              <a:t>avi  =  f(q</a:t>
            </a:r>
            <a:r>
              <a:rPr lang="es-ES" sz="1400" b="1" i="1" baseline="-25000">
                <a:effectLst/>
              </a:rPr>
              <a:t>dr</a:t>
            </a:r>
            <a:r>
              <a:rPr lang="es-ES" sz="1400" b="1" i="1" baseline="0">
                <a:effectLst/>
              </a:rPr>
              <a:t>)</a:t>
            </a:r>
            <a:endParaRPr lang="es-CL" sz="1400">
              <a:effectLst/>
            </a:endParaRPr>
          </a:p>
        </c:rich>
      </c:tx>
      <c:layout>
        <c:manualLayout>
          <c:xMode val="edge"/>
          <c:yMode val="edge"/>
          <c:x val="0.21896592059850786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819918573170479"/>
          <c:y val="0.14163790247813041"/>
          <c:w val="0.83352801372269414"/>
          <c:h val="0.71698549810466627"/>
        </c:manualLayout>
      </c:layout>
      <c:scatterChart>
        <c:scatterStyle val="smoothMarker"/>
        <c:varyColors val="0"/>
        <c:ser>
          <c:idx val="0"/>
          <c:order val="0"/>
          <c:tx>
            <c:v>ia = 6 [%]</c:v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'Curva DOD Pb ác'!$M$7:$M$34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ác'!$N$7:$N$34</c:f>
              <c:numCache>
                <c:formatCode>0.000</c:formatCode>
                <c:ptCount val="28"/>
                <c:pt idx="0">
                  <c:v>1.2044743665100648</c:v>
                </c:pt>
                <c:pt idx="1">
                  <c:v>0.64252125352310285</c:v>
                </c:pt>
                <c:pt idx="2">
                  <c:v>0.48358295817847197</c:v>
                </c:pt>
                <c:pt idx="3">
                  <c:v>0.41627679285291919</c:v>
                </c:pt>
                <c:pt idx="4">
                  <c:v>0.38250307307923731</c:v>
                </c:pt>
                <c:pt idx="5">
                  <c:v>0.36457359071641293</c:v>
                </c:pt>
                <c:pt idx="6">
                  <c:v>0.35549062313806973</c:v>
                </c:pt>
                <c:pt idx="7">
                  <c:v>0.35199812312606671</c:v>
                </c:pt>
                <c:pt idx="8">
                  <c:v>0.35241413492505635</c:v>
                </c:pt>
                <c:pt idx="9">
                  <c:v>0.35581345531640751</c:v>
                </c:pt>
                <c:pt idx="10">
                  <c:v>0.36167548122874515</c:v>
                </c:pt>
                <c:pt idx="11">
                  <c:v>0.36971730667899411</c:v>
                </c:pt>
                <c:pt idx="12">
                  <c:v>0.37980943704311004</c:v>
                </c:pt>
                <c:pt idx="13">
                  <c:v>0.39193210264323503</c:v>
                </c:pt>
                <c:pt idx="14">
                  <c:v>0.40615353544380239</c:v>
                </c:pt>
                <c:pt idx="15">
                  <c:v>0.42262156844963977</c:v>
                </c:pt>
                <c:pt idx="16">
                  <c:v>0.44156465588881844</c:v>
                </c:pt>
                <c:pt idx="17">
                  <c:v>0.4633009873719226</c:v>
                </c:pt>
                <c:pt idx="18">
                  <c:v>0.48825610924487672</c:v>
                </c:pt>
                <c:pt idx="19">
                  <c:v>0.51699106444202647</c:v>
                </c:pt>
                <c:pt idx="20">
                  <c:v>0.55024503819807613</c:v>
                </c:pt>
                <c:pt idx="21">
                  <c:v>0.58899946872038245</c:v>
                </c:pt>
                <c:pt idx="22">
                  <c:v>0.63457556073974442</c:v>
                </c:pt>
                <c:pt idx="23">
                  <c:v>0.68878605739198862</c:v>
                </c:pt>
                <c:pt idx="24">
                  <c:v>0.75417898985532172</c:v>
                </c:pt>
                <c:pt idx="25">
                  <c:v>0.83444481812239091</c:v>
                </c:pt>
                <c:pt idx="26">
                  <c:v>0.93513000219542575</c:v>
                </c:pt>
                <c:pt idx="27">
                  <c:v>1.0649639201268677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E4-4764-BEEB-187D782C4308}"/>
            </c:ext>
          </c:extLst>
        </c:ser>
        <c:ser>
          <c:idx val="1"/>
          <c:order val="1"/>
          <c:tx>
            <c:v>ia = 8 [%]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'Curva DOD Pb ác'!$M$7:$M$34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ác'!$O$7:$O$34</c:f>
              <c:numCache>
                <c:formatCode>0.000</c:formatCode>
                <c:ptCount val="28"/>
                <c:pt idx="0">
                  <c:v>1.6009880504630338</c:v>
                </c:pt>
                <c:pt idx="1">
                  <c:v>0.82278787021727073</c:v>
                </c:pt>
                <c:pt idx="2">
                  <c:v>0.59155519229400522</c:v>
                </c:pt>
                <c:pt idx="3">
                  <c:v>0.49112056073543342</c:v>
                </c:pt>
                <c:pt idx="4">
                  <c:v>0.43920633852966418</c:v>
                </c:pt>
                <c:pt idx="5">
                  <c:v>0.4101027506366261</c:v>
                </c:pt>
                <c:pt idx="6">
                  <c:v>0.39355390110381322</c:v>
                </c:pt>
                <c:pt idx="7">
                  <c:v>0.38477345184115952</c:v>
                </c:pt>
                <c:pt idx="8">
                  <c:v>0.38127891467780695</c:v>
                </c:pt>
                <c:pt idx="9">
                  <c:v>0.38169047768907916</c:v>
                </c:pt>
                <c:pt idx="10">
                  <c:v>0.38521231757143465</c:v>
                </c:pt>
                <c:pt idx="11">
                  <c:v>0.39138624978118119</c:v>
                </c:pt>
                <c:pt idx="12">
                  <c:v>0.39996654792629299</c:v>
                </c:pt>
                <c:pt idx="13">
                  <c:v>0.41085386466678486</c:v>
                </c:pt>
                <c:pt idx="14">
                  <c:v>0.42406061144765461</c:v>
                </c:pt>
                <c:pt idx="15">
                  <c:v>0.439694820867092</c:v>
                </c:pt>
                <c:pt idx="16">
                  <c:v>0.4579563793740174</c:v>
                </c:pt>
                <c:pt idx="17">
                  <c:v>0.4791431233582682</c:v>
                </c:pt>
                <c:pt idx="18">
                  <c:v>0.50366656081916783</c:v>
                </c:pt>
                <c:pt idx="19">
                  <c:v>0.53207886747515309</c:v>
                </c:pt>
                <c:pt idx="20">
                  <c:v>0.56511495277269175</c:v>
                </c:pt>
                <c:pt idx="21">
                  <c:v>0.60375647849062475</c:v>
                </c:pt>
                <c:pt idx="22">
                  <c:v>0.64932979051009387</c:v>
                </c:pt>
                <c:pt idx="23">
                  <c:v>0.70365875812587919</c:v>
                </c:pt>
                <c:pt idx="24">
                  <c:v>0.76931055915348401</c:v>
                </c:pt>
                <c:pt idx="25">
                  <c:v>0.8500064756523158</c:v>
                </c:pt>
                <c:pt idx="26">
                  <c:v>0.95134207943101379</c:v>
                </c:pt>
                <c:pt idx="27">
                  <c:v>1.082126625344386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E4-4764-BEEB-187D782C4308}"/>
            </c:ext>
          </c:extLst>
        </c:ser>
        <c:ser>
          <c:idx val="2"/>
          <c:order val="2"/>
          <c:tx>
            <c:v>ia = 10 [%]</c:v>
          </c:tx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'Curva DOD Pb ác'!$M$7:$M$34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ác'!$P$7:$P$34</c:f>
              <c:numCache>
                <c:formatCode>0.000</c:formatCode>
                <c:ptCount val="28"/>
                <c:pt idx="0">
                  <c:v>2.0002119475716365</c:v>
                </c:pt>
                <c:pt idx="1">
                  <c:v>1.0119179116905817</c:v>
                </c:pt>
                <c:pt idx="2">
                  <c:v>0.70668394895710784</c:v>
                </c:pt>
                <c:pt idx="3">
                  <c:v>0.57088507342650074</c:v>
                </c:pt>
                <c:pt idx="4">
                  <c:v>0.49930247406016293</c:v>
                </c:pt>
                <c:pt idx="5">
                  <c:v>0.45804141362918077</c:v>
                </c:pt>
                <c:pt idx="6">
                  <c:v>0.43338153104674593</c:v>
                </c:pt>
                <c:pt idx="7">
                  <c:v>0.41887551950935165</c:v>
                </c:pt>
                <c:pt idx="8">
                  <c:v>0.41116353899468389</c:v>
                </c:pt>
                <c:pt idx="9">
                  <c:v>0.40836557155579806</c:v>
                </c:pt>
                <c:pt idx="10">
                  <c:v>0.40938270665576554</c:v>
                </c:pt>
                <c:pt idx="11">
                  <c:v>0.41356388356479246</c:v>
                </c:pt>
                <c:pt idx="12">
                  <c:v>0.42053567576455259</c:v>
                </c:pt>
                <c:pt idx="13">
                  <c:v>0.4301114648396569</c:v>
                </c:pt>
                <c:pt idx="14">
                  <c:v>0.44224254363059107</c:v>
                </c:pt>
                <c:pt idx="15">
                  <c:v>0.45699340817100109</c:v>
                </c:pt>
                <c:pt idx="16">
                  <c:v>0.47453268462549297</c:v>
                </c:pt>
                <c:pt idx="17">
                  <c:v>0.49513587609073179</c:v>
                </c:pt>
                <c:pt idx="18">
                  <c:v>0.51919896735310855</c:v>
                </c:pt>
                <c:pt idx="19">
                  <c:v>0.54726413111251726</c:v>
                </c:pt>
                <c:pt idx="20">
                  <c:v>0.58006111326423049</c:v>
                </c:pt>
                <c:pt idx="21">
                  <c:v>0.61857108726962595</c:v>
                </c:pt>
                <c:pt idx="22">
                  <c:v>0.66412495015481876</c:v>
                </c:pt>
                <c:pt idx="23">
                  <c:v>0.71855718580230865</c:v>
                </c:pt>
                <c:pt idx="24">
                  <c:v>0.7844536462250612</c:v>
                </c:pt>
                <c:pt idx="25">
                  <c:v>0.86556596014834664</c:v>
                </c:pt>
                <c:pt idx="26">
                  <c:v>0.96753827777896206</c:v>
                </c:pt>
                <c:pt idx="27">
                  <c:v>1.0992590523329482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E4-4764-BEEB-187D782C4308}"/>
            </c:ext>
          </c:extLst>
        </c:ser>
        <c:ser>
          <c:idx val="3"/>
          <c:order val="3"/>
          <c:tx>
            <c:v>qd = 0,40</c:v>
          </c:tx>
          <c:spPr>
            <a:ln w="19050">
              <a:solidFill>
                <a:srgbClr val="0070C0"/>
              </a:solidFill>
              <a:prstDash val="sysDot"/>
            </a:ln>
          </c:spPr>
          <c:marker>
            <c:symbol val="none"/>
          </c:marker>
          <c:xVal>
            <c:numRef>
              <c:f>'Curva DOD Pb ác'!$M$7:$M$34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ác'!$Q$7:$Q$34</c:f>
              <c:numCache>
                <c:formatCode>0</c:formatCode>
                <c:ptCount val="28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E4-4764-BEEB-187D782C4308}"/>
            </c:ext>
          </c:extLst>
        </c:ser>
        <c:ser>
          <c:idx val="4"/>
          <c:order val="4"/>
          <c:tx>
            <c:v>qd = 0,45</c:v>
          </c:tx>
          <c:spPr>
            <a:ln w="19050">
              <a:solidFill>
                <a:srgbClr val="C00000"/>
              </a:solidFill>
              <a:prstDash val="sysDot"/>
            </a:ln>
          </c:spPr>
          <c:marker>
            <c:symbol val="none"/>
          </c:marker>
          <c:xVal>
            <c:numRef>
              <c:f>'Curva DOD Pb ác'!$M$7:$M$34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ác'!$R$7:$R$34</c:f>
              <c:numCache>
                <c:formatCode>0</c:formatCode>
                <c:ptCount val="28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8E4-4764-BEEB-187D782C4308}"/>
            </c:ext>
          </c:extLst>
        </c:ser>
        <c:ser>
          <c:idx val="5"/>
          <c:order val="5"/>
          <c:tx>
            <c:v>qd = 0,50</c:v>
          </c:tx>
          <c:spPr>
            <a:ln w="19050">
              <a:solidFill>
                <a:srgbClr val="7030A0"/>
              </a:solidFill>
              <a:prstDash val="sysDot"/>
            </a:ln>
          </c:spPr>
          <c:marker>
            <c:symbol val="none"/>
          </c:marker>
          <c:xVal>
            <c:numRef>
              <c:f>'Curva DOD Pb ác'!$M$7:$M$34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ác'!$S$7:$S$34</c:f>
              <c:numCache>
                <c:formatCode>0</c:formatCode>
                <c:ptCount val="28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8E4-4764-BEEB-187D782C4308}"/>
            </c:ext>
          </c:extLst>
        </c:ser>
        <c:ser>
          <c:idx val="6"/>
          <c:order val="6"/>
          <c:tx>
            <c:v>AVI = 0,352</c:v>
          </c:tx>
          <c:spPr>
            <a:ln w="19050">
              <a:solidFill>
                <a:srgbClr val="0070C0"/>
              </a:solidFill>
              <a:prstDash val="lgDash"/>
            </a:ln>
          </c:spPr>
          <c:marker>
            <c:symbol val="none"/>
          </c:marker>
          <c:xVal>
            <c:numRef>
              <c:f>'Curva DOD Pb ác'!$M$7:$M$34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ác'!$T$7:$T$34</c:f>
              <c:numCache>
                <c:formatCode>0.000</c:formatCode>
                <c:ptCount val="28"/>
                <c:pt idx="0">
                  <c:v>0.35199812312606671</c:v>
                </c:pt>
                <c:pt idx="1">
                  <c:v>0.35199812312606671</c:v>
                </c:pt>
                <c:pt idx="2">
                  <c:v>0.35199812312606671</c:v>
                </c:pt>
                <c:pt idx="3">
                  <c:v>0.35199812312606671</c:v>
                </c:pt>
                <c:pt idx="4">
                  <c:v>0.35199812312606671</c:v>
                </c:pt>
                <c:pt idx="5">
                  <c:v>0.35199812312606671</c:v>
                </c:pt>
                <c:pt idx="6">
                  <c:v>0.35199812312606671</c:v>
                </c:pt>
                <c:pt idx="7">
                  <c:v>0.35199812312606671</c:v>
                </c:pt>
                <c:pt idx="8">
                  <c:v>0.35199812312606671</c:v>
                </c:pt>
                <c:pt idx="9">
                  <c:v>0.35199812312606671</c:v>
                </c:pt>
                <c:pt idx="10">
                  <c:v>0.35199812312606671</c:v>
                </c:pt>
                <c:pt idx="11">
                  <c:v>0.35199812312606671</c:v>
                </c:pt>
                <c:pt idx="12">
                  <c:v>0.35199812312606671</c:v>
                </c:pt>
                <c:pt idx="13">
                  <c:v>0.35199812312606671</c:v>
                </c:pt>
                <c:pt idx="14">
                  <c:v>0.35199812312606671</c:v>
                </c:pt>
                <c:pt idx="15">
                  <c:v>0.35199812312606671</c:v>
                </c:pt>
                <c:pt idx="16">
                  <c:v>0.35199812312606671</c:v>
                </c:pt>
                <c:pt idx="17">
                  <c:v>0.35199812312606671</c:v>
                </c:pt>
                <c:pt idx="18">
                  <c:v>0.35199812312606671</c:v>
                </c:pt>
                <c:pt idx="19">
                  <c:v>0.35199812312606671</c:v>
                </c:pt>
                <c:pt idx="20">
                  <c:v>0.35199812312606671</c:v>
                </c:pt>
                <c:pt idx="21">
                  <c:v>0.35199812312606671</c:v>
                </c:pt>
                <c:pt idx="22">
                  <c:v>0.35199812312606671</c:v>
                </c:pt>
                <c:pt idx="23">
                  <c:v>0.35199812312606671</c:v>
                </c:pt>
                <c:pt idx="24">
                  <c:v>0.35199812312606671</c:v>
                </c:pt>
                <c:pt idx="25">
                  <c:v>0.35199812312606671</c:v>
                </c:pt>
                <c:pt idx="26">
                  <c:v>0.35199812312606671</c:v>
                </c:pt>
                <c:pt idx="27">
                  <c:v>0.35199812312606671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8E4-4764-BEEB-187D782C4308}"/>
            </c:ext>
          </c:extLst>
        </c:ser>
        <c:ser>
          <c:idx val="7"/>
          <c:order val="7"/>
          <c:tx>
            <c:v>AVI = 0,381</c:v>
          </c:tx>
          <c:spPr>
            <a:ln w="19050">
              <a:solidFill>
                <a:srgbClr val="C00000"/>
              </a:solidFill>
              <a:prstDash val="lgDash"/>
            </a:ln>
          </c:spPr>
          <c:marker>
            <c:symbol val="none"/>
          </c:marker>
          <c:xVal>
            <c:numRef>
              <c:f>'Curva DOD Pb ác'!$M$7:$M$34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ác'!$U$7:$U$34</c:f>
              <c:numCache>
                <c:formatCode>0.000</c:formatCode>
                <c:ptCount val="28"/>
                <c:pt idx="0">
                  <c:v>0.38127891467780695</c:v>
                </c:pt>
                <c:pt idx="1">
                  <c:v>0.38127891467780695</c:v>
                </c:pt>
                <c:pt idx="2">
                  <c:v>0.38127891467780695</c:v>
                </c:pt>
                <c:pt idx="3">
                  <c:v>0.38127891467780695</c:v>
                </c:pt>
                <c:pt idx="4">
                  <c:v>0.38127891467780695</c:v>
                </c:pt>
                <c:pt idx="5">
                  <c:v>0.38127891467780695</c:v>
                </c:pt>
                <c:pt idx="6">
                  <c:v>0.38127891467780695</c:v>
                </c:pt>
                <c:pt idx="7">
                  <c:v>0.38127891467780695</c:v>
                </c:pt>
                <c:pt idx="8">
                  <c:v>0.38127891467780695</c:v>
                </c:pt>
                <c:pt idx="9">
                  <c:v>0.38127891467780695</c:v>
                </c:pt>
                <c:pt idx="10">
                  <c:v>0.38127891467780695</c:v>
                </c:pt>
                <c:pt idx="11">
                  <c:v>0.38127891467780695</c:v>
                </c:pt>
                <c:pt idx="12">
                  <c:v>0.38127891467780695</c:v>
                </c:pt>
                <c:pt idx="13">
                  <c:v>0.38127891467780695</c:v>
                </c:pt>
                <c:pt idx="14">
                  <c:v>0.38127891467780695</c:v>
                </c:pt>
                <c:pt idx="15">
                  <c:v>0.38127891467780695</c:v>
                </c:pt>
                <c:pt idx="16">
                  <c:v>0.38127891467780695</c:v>
                </c:pt>
                <c:pt idx="17">
                  <c:v>0.38127891467780695</c:v>
                </c:pt>
                <c:pt idx="18">
                  <c:v>0.38127891467780695</c:v>
                </c:pt>
                <c:pt idx="19">
                  <c:v>0.38127891467780695</c:v>
                </c:pt>
                <c:pt idx="20">
                  <c:v>0.38127891467780695</c:v>
                </c:pt>
                <c:pt idx="21">
                  <c:v>0.38127891467780695</c:v>
                </c:pt>
                <c:pt idx="22">
                  <c:v>0.38127891467780695</c:v>
                </c:pt>
                <c:pt idx="23">
                  <c:v>0.38127891467780695</c:v>
                </c:pt>
                <c:pt idx="24">
                  <c:v>0.38127891467780695</c:v>
                </c:pt>
                <c:pt idx="25">
                  <c:v>0.38127891467780695</c:v>
                </c:pt>
                <c:pt idx="26">
                  <c:v>0.38127891467780695</c:v>
                </c:pt>
                <c:pt idx="27">
                  <c:v>0.38127891467780695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8E4-4764-BEEB-187D782C4308}"/>
            </c:ext>
          </c:extLst>
        </c:ser>
        <c:ser>
          <c:idx val="8"/>
          <c:order val="8"/>
          <c:tx>
            <c:v>AVI = 0,408</c:v>
          </c:tx>
          <c:spPr>
            <a:ln w="19050">
              <a:solidFill>
                <a:srgbClr val="7030A0"/>
              </a:solidFill>
              <a:prstDash val="lgDash"/>
            </a:ln>
          </c:spPr>
          <c:marker>
            <c:symbol val="none"/>
          </c:marker>
          <c:xVal>
            <c:numRef>
              <c:f>'Curva DOD Pb ác'!$M$7:$M$34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Pb ác'!$V$7:$V$34</c:f>
              <c:numCache>
                <c:formatCode>0.000</c:formatCode>
                <c:ptCount val="28"/>
                <c:pt idx="0">
                  <c:v>0.40836557155579806</c:v>
                </c:pt>
                <c:pt idx="1">
                  <c:v>0.40836557155579806</c:v>
                </c:pt>
                <c:pt idx="2">
                  <c:v>0.40836557155579806</c:v>
                </c:pt>
                <c:pt idx="3">
                  <c:v>0.40836557155579806</c:v>
                </c:pt>
                <c:pt idx="4">
                  <c:v>0.40836557155579806</c:v>
                </c:pt>
                <c:pt idx="5">
                  <c:v>0.40836557155579806</c:v>
                </c:pt>
                <c:pt idx="6">
                  <c:v>0.40836557155579806</c:v>
                </c:pt>
                <c:pt idx="7">
                  <c:v>0.40836557155579806</c:v>
                </c:pt>
                <c:pt idx="8">
                  <c:v>0.40836557155579806</c:v>
                </c:pt>
                <c:pt idx="9">
                  <c:v>0.40836557155579806</c:v>
                </c:pt>
                <c:pt idx="10">
                  <c:v>0.40836557155579806</c:v>
                </c:pt>
                <c:pt idx="11">
                  <c:v>0.40836557155579806</c:v>
                </c:pt>
                <c:pt idx="12">
                  <c:v>0.40836557155579806</c:v>
                </c:pt>
                <c:pt idx="13">
                  <c:v>0.40836557155579806</c:v>
                </c:pt>
                <c:pt idx="14">
                  <c:v>0.40836557155579806</c:v>
                </c:pt>
                <c:pt idx="15">
                  <c:v>0.40836557155579806</c:v>
                </c:pt>
                <c:pt idx="16">
                  <c:v>0.40836557155579806</c:v>
                </c:pt>
                <c:pt idx="17">
                  <c:v>0.40836557155579806</c:v>
                </c:pt>
                <c:pt idx="18">
                  <c:v>0.40836557155579806</c:v>
                </c:pt>
                <c:pt idx="19">
                  <c:v>0.40836557155579806</c:v>
                </c:pt>
                <c:pt idx="20">
                  <c:v>0.40836557155579806</c:v>
                </c:pt>
                <c:pt idx="21">
                  <c:v>0.40836557155579806</c:v>
                </c:pt>
                <c:pt idx="22">
                  <c:v>0.40836557155579806</c:v>
                </c:pt>
                <c:pt idx="23">
                  <c:v>0.40836557155579806</c:v>
                </c:pt>
                <c:pt idx="24">
                  <c:v>0.40836557155579806</c:v>
                </c:pt>
                <c:pt idx="25">
                  <c:v>0.40836557155579806</c:v>
                </c:pt>
                <c:pt idx="26">
                  <c:v>0.40836557155579806</c:v>
                </c:pt>
                <c:pt idx="27">
                  <c:v>0.40836557155579806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8E4-4764-BEEB-187D782C4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31936"/>
        <c:axId val="118120832"/>
      </c:scatterChart>
      <c:valAx>
        <c:axId val="117831936"/>
        <c:scaling>
          <c:orientation val="minMax"/>
          <c:max val="1.4"/>
          <c:min val="0.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 b="1" i="0" baseline="0">
                    <a:effectLst/>
                  </a:rPr>
                  <a:t>Profundidad de la descarga q</a:t>
                </a:r>
                <a:r>
                  <a:rPr lang="es-ES" sz="1100" b="1" i="0" baseline="-25000">
                    <a:effectLst/>
                  </a:rPr>
                  <a:t>d</a:t>
                </a:r>
                <a:r>
                  <a:rPr lang="es-ES" sz="1100" b="1" i="0" baseline="0">
                    <a:effectLst/>
                  </a:rPr>
                  <a:t> [0/1]</a:t>
                </a:r>
                <a:endParaRPr lang="es-CL" sz="1100"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8120832"/>
        <c:crosses val="autoZero"/>
        <c:crossBetween val="midCat"/>
        <c:majorUnit val="0.1"/>
        <c:minorUnit val="1.0000000000000002E-2"/>
      </c:valAx>
      <c:valAx>
        <c:axId val="118120832"/>
        <c:scaling>
          <c:orientation val="minMax"/>
          <c:max val="0.8"/>
          <c:min val="0.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050"/>
                  <a:t>Factor de recuperacion de la inversión avi [0/1]</a:t>
                </a:r>
              </a:p>
            </c:rich>
          </c:tx>
          <c:layout>
            <c:manualLayout>
              <c:xMode val="edge"/>
              <c:yMode val="edge"/>
              <c:x val="1.8879781759563521E-2"/>
              <c:y val="0.12712548340365309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17831936"/>
        <c:crosses val="autoZero"/>
        <c:crossBetween val="midCat"/>
        <c:majorUnit val="0.1"/>
        <c:minorUnit val="1.0000000000000002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39576878087089506"/>
          <c:y val="0.694564596040668"/>
          <c:w val="0.54543856821046977"/>
          <c:h val="0.15508826178659307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paperSize="9" orientation="landscape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65267907688425E-2"/>
          <c:y val="5.1400554097404488E-2"/>
          <c:w val="0.85304317344909286"/>
          <c:h val="0.84136974257528163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</c:spPr>
          </c:marker>
          <c:xVal>
            <c:numRef>
              <c:f>'100 A 39, 3 par. rev.'!$FD$6:$FD$56</c:f>
              <c:numCache>
                <c:formatCode>#,##0.00</c:formatCode>
                <c:ptCount val="51"/>
                <c:pt idx="0">
                  <c:v>1.17</c:v>
                </c:pt>
                <c:pt idx="1">
                  <c:v>1.28</c:v>
                </c:pt>
                <c:pt idx="2">
                  <c:v>1.33</c:v>
                </c:pt>
                <c:pt idx="3">
                  <c:v>1.5763888888888888</c:v>
                </c:pt>
                <c:pt idx="4">
                  <c:v>1.7222222222222223</c:v>
                </c:pt>
                <c:pt idx="5">
                  <c:v>1.7916666666666667</c:v>
                </c:pt>
                <c:pt idx="6">
                  <c:v>2.2708333333333335</c:v>
                </c:pt>
                <c:pt idx="7">
                  <c:v>2.4895833333333335</c:v>
                </c:pt>
                <c:pt idx="8">
                  <c:v>2.5833333333333335</c:v>
                </c:pt>
                <c:pt idx="9">
                  <c:v>2.9444444444444446</c:v>
                </c:pt>
                <c:pt idx="10">
                  <c:v>3.2361111111111112</c:v>
                </c:pt>
                <c:pt idx="11">
                  <c:v>3.375</c:v>
                </c:pt>
                <c:pt idx="12">
                  <c:v>4.25</c:v>
                </c:pt>
                <c:pt idx="13">
                  <c:v>4.666666666666667</c:v>
                </c:pt>
                <c:pt idx="14">
                  <c:v>4.854166666666667</c:v>
                </c:pt>
                <c:pt idx="15">
                  <c:v>5</c:v>
                </c:pt>
                <c:pt idx="16">
                  <c:v>5.5250000000000004</c:v>
                </c:pt>
                <c:pt idx="17">
                  <c:v>5.7249999999999996</c:v>
                </c:pt>
                <c:pt idx="18">
                  <c:v>7.916666666666667</c:v>
                </c:pt>
                <c:pt idx="19">
                  <c:v>8.7916666666666661</c:v>
                </c:pt>
                <c:pt idx="20">
                  <c:v>9.0833333333333339</c:v>
                </c:pt>
                <c:pt idx="21">
                  <c:v>9.1</c:v>
                </c:pt>
                <c:pt idx="22">
                  <c:v>9.7777777777777786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10.625</c:v>
                </c:pt>
                <c:pt idx="26">
                  <c:v>11</c:v>
                </c:pt>
                <c:pt idx="27">
                  <c:v>11.444444444444445</c:v>
                </c:pt>
                <c:pt idx="28">
                  <c:v>11.714285714285714</c:v>
                </c:pt>
                <c:pt idx="29">
                  <c:v>12</c:v>
                </c:pt>
                <c:pt idx="30">
                  <c:v>12.5</c:v>
                </c:pt>
                <c:pt idx="31">
                  <c:v>13.083333333333334</c:v>
                </c:pt>
                <c:pt idx="32">
                  <c:v>13.299999999999999</c:v>
                </c:pt>
                <c:pt idx="33">
                  <c:v>13.857142857142858</c:v>
                </c:pt>
                <c:pt idx="34">
                  <c:v>14.8</c:v>
                </c:pt>
                <c:pt idx="35">
                  <c:v>14.833333333333334</c:v>
                </c:pt>
                <c:pt idx="36">
                  <c:v>15.666666666666666</c:v>
                </c:pt>
                <c:pt idx="37">
                  <c:v>17</c:v>
                </c:pt>
                <c:pt idx="38">
                  <c:v>17.25</c:v>
                </c:pt>
                <c:pt idx="39">
                  <c:v>18</c:v>
                </c:pt>
                <c:pt idx="40">
                  <c:v>19.875</c:v>
                </c:pt>
                <c:pt idx="41">
                  <c:v>20.833333333333332</c:v>
                </c:pt>
                <c:pt idx="42">
                  <c:v>21.25</c:v>
                </c:pt>
                <c:pt idx="43">
                  <c:v>24.333333333333332</c:v>
                </c:pt>
                <c:pt idx="44">
                  <c:v>26.166666666666668</c:v>
                </c:pt>
                <c:pt idx="45">
                  <c:v>27</c:v>
                </c:pt>
                <c:pt idx="46">
                  <c:v>32</c:v>
                </c:pt>
                <c:pt idx="47">
                  <c:v>35.5</c:v>
                </c:pt>
                <c:pt idx="48">
                  <c:v>38</c:v>
                </c:pt>
                <c:pt idx="49">
                  <c:v>47</c:v>
                </c:pt>
                <c:pt idx="50">
                  <c:v>52</c:v>
                </c:pt>
              </c:numCache>
            </c:numRef>
          </c:xVal>
          <c:yVal>
            <c:numRef>
              <c:f>'100 A 39, 3 par. rev.'!$FE$6:$FE$56</c:f>
              <c:numCache>
                <c:formatCode>#,##0.0</c:formatCode>
                <c:ptCount val="51"/>
                <c:pt idx="0">
                  <c:v>147.45567827817979</c:v>
                </c:pt>
                <c:pt idx="1">
                  <c:v>146.58365545867187</c:v>
                </c:pt>
                <c:pt idx="2">
                  <c:v>146.18866890721611</c:v>
                </c:pt>
                <c:pt idx="3">
                  <c:v>144.25479194281024</c:v>
                </c:pt>
                <c:pt idx="4">
                  <c:v>143.11986213953645</c:v>
                </c:pt>
                <c:pt idx="5">
                  <c:v>142.58192324014769</c:v>
                </c:pt>
                <c:pt idx="6">
                  <c:v>138.91336736495643</c:v>
                </c:pt>
                <c:pt idx="7">
                  <c:v>137.26318666435796</c:v>
                </c:pt>
                <c:pt idx="8">
                  <c:v>136.56058732743247</c:v>
                </c:pt>
                <c:pt idx="9">
                  <c:v>133.87972637783938</c:v>
                </c:pt>
                <c:pt idx="10">
                  <c:v>131.74333282127236</c:v>
                </c:pt>
                <c:pt idx="11">
                  <c:v>130.73489520320149</c:v>
                </c:pt>
                <c:pt idx="12">
                  <c:v>124.50917414895238</c:v>
                </c:pt>
                <c:pt idx="13">
                  <c:v>121.618970209745</c:v>
                </c:pt>
                <c:pt idx="14">
                  <c:v>120.33343599133245</c:v>
                </c:pt>
                <c:pt idx="15">
                  <c:v>119.33990953947661</c:v>
                </c:pt>
                <c:pt idx="16">
                  <c:v>115.80806601842406</c:v>
                </c:pt>
                <c:pt idx="17">
                  <c:v>114.48064476356441</c:v>
                </c:pt>
                <c:pt idx="18">
                  <c:v>100.53835707774567</c:v>
                </c:pt>
                <c:pt idx="19">
                  <c:v>95.25562477887604</c:v>
                </c:pt>
                <c:pt idx="20">
                  <c:v>93.527563065332032</c:v>
                </c:pt>
                <c:pt idx="21">
                  <c:v>93.429297304343464</c:v>
                </c:pt>
                <c:pt idx="22">
                  <c:v>89.476040159847088</c:v>
                </c:pt>
                <c:pt idx="23">
                  <c:v>87.054435676721269</c:v>
                </c:pt>
                <c:pt idx="24">
                  <c:v>85.352283783317574</c:v>
                </c:pt>
                <c:pt idx="25">
                  <c:v>84.647479438104682</c:v>
                </c:pt>
                <c:pt idx="26">
                  <c:v>82.548357457494745</c:v>
                </c:pt>
                <c:pt idx="27">
                  <c:v>80.089474987271188</c:v>
                </c:pt>
                <c:pt idx="28">
                  <c:v>78.611473503849112</c:v>
                </c:pt>
                <c:pt idx="29">
                  <c:v>77.058472085330408</c:v>
                </c:pt>
                <c:pt idx="30">
                  <c:v>74.369457476153983</c:v>
                </c:pt>
                <c:pt idx="31">
                  <c:v>71.276851586663469</c:v>
                </c:pt>
                <c:pt idx="32">
                  <c:v>70.139980253130091</c:v>
                </c:pt>
                <c:pt idx="33">
                  <c:v>67.244932021078625</c:v>
                </c:pt>
                <c:pt idx="34">
                  <c:v>62.43444536722464</c:v>
                </c:pt>
                <c:pt idx="35">
                  <c:v>62.266339449826525</c:v>
                </c:pt>
                <c:pt idx="36">
                  <c:v>58.105187792034826</c:v>
                </c:pt>
                <c:pt idx="37">
                  <c:v>51.603984349644968</c:v>
                </c:pt>
                <c:pt idx="38">
                  <c:v>50.405131712999356</c:v>
                </c:pt>
                <c:pt idx="39">
                  <c:v>46.844401768241838</c:v>
                </c:pt>
                <c:pt idx="40">
                  <c:v>38.160596707334541</c:v>
                </c:pt>
                <c:pt idx="41">
                  <c:v>33.831587225443897</c:v>
                </c:pt>
                <c:pt idx="42">
                  <c:v>31.970563691800727</c:v>
                </c:pt>
                <c:pt idx="43">
                  <c:v>18.553621814135902</c:v>
                </c:pt>
                <c:pt idx="44">
                  <c:v>10.833513687360735</c:v>
                </c:pt>
                <c:pt idx="45">
                  <c:v>7.3787759248440139</c:v>
                </c:pt>
                <c:pt idx="46">
                  <c:v>-12.764140133950072</c:v>
                </c:pt>
                <c:pt idx="47">
                  <c:v>-26.395131262373091</c:v>
                </c:pt>
                <c:pt idx="48">
                  <c:v>-35.95528439688092</c:v>
                </c:pt>
                <c:pt idx="49">
                  <c:v>-69.538497691383526</c:v>
                </c:pt>
                <c:pt idx="50">
                  <c:v>-87.824938344778971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84-421D-B479-CBCBBF1F8B13}"/>
            </c:ext>
          </c:extLst>
        </c:ser>
        <c:ser>
          <c:idx val="1"/>
          <c:order val="1"/>
          <c:spPr>
            <a:ln w="15875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xVal>
            <c:numRef>
              <c:f>'100 A 39, 3 par. rev.'!$FD$6:$FD$56</c:f>
              <c:numCache>
                <c:formatCode>#,##0.00</c:formatCode>
                <c:ptCount val="51"/>
                <c:pt idx="0">
                  <c:v>1.17</c:v>
                </c:pt>
                <c:pt idx="1">
                  <c:v>1.28</c:v>
                </c:pt>
                <c:pt idx="2">
                  <c:v>1.33</c:v>
                </c:pt>
                <c:pt idx="3">
                  <c:v>1.5763888888888888</c:v>
                </c:pt>
                <c:pt idx="4">
                  <c:v>1.7222222222222223</c:v>
                </c:pt>
                <c:pt idx="5">
                  <c:v>1.7916666666666667</c:v>
                </c:pt>
                <c:pt idx="6">
                  <c:v>2.2708333333333335</c:v>
                </c:pt>
                <c:pt idx="7">
                  <c:v>2.4895833333333335</c:v>
                </c:pt>
                <c:pt idx="8">
                  <c:v>2.5833333333333335</c:v>
                </c:pt>
                <c:pt idx="9">
                  <c:v>2.9444444444444446</c:v>
                </c:pt>
                <c:pt idx="10">
                  <c:v>3.2361111111111112</c:v>
                </c:pt>
                <c:pt idx="11">
                  <c:v>3.375</c:v>
                </c:pt>
                <c:pt idx="12">
                  <c:v>4.25</c:v>
                </c:pt>
                <c:pt idx="13">
                  <c:v>4.666666666666667</c:v>
                </c:pt>
                <c:pt idx="14">
                  <c:v>4.854166666666667</c:v>
                </c:pt>
                <c:pt idx="15">
                  <c:v>5</c:v>
                </c:pt>
                <c:pt idx="16">
                  <c:v>5.5250000000000004</c:v>
                </c:pt>
                <c:pt idx="17">
                  <c:v>5.7249999999999996</c:v>
                </c:pt>
                <c:pt idx="18">
                  <c:v>7.916666666666667</c:v>
                </c:pt>
                <c:pt idx="19">
                  <c:v>8.7916666666666661</c:v>
                </c:pt>
                <c:pt idx="20">
                  <c:v>9.0833333333333339</c:v>
                </c:pt>
                <c:pt idx="21">
                  <c:v>9.1</c:v>
                </c:pt>
                <c:pt idx="22">
                  <c:v>9.7777777777777786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10.625</c:v>
                </c:pt>
                <c:pt idx="26">
                  <c:v>11</c:v>
                </c:pt>
                <c:pt idx="27">
                  <c:v>11.444444444444445</c:v>
                </c:pt>
                <c:pt idx="28">
                  <c:v>11.714285714285714</c:v>
                </c:pt>
                <c:pt idx="29">
                  <c:v>12</c:v>
                </c:pt>
                <c:pt idx="30">
                  <c:v>12.5</c:v>
                </c:pt>
                <c:pt idx="31">
                  <c:v>13.083333333333334</c:v>
                </c:pt>
                <c:pt idx="32">
                  <c:v>13.299999999999999</c:v>
                </c:pt>
                <c:pt idx="33">
                  <c:v>13.857142857142858</c:v>
                </c:pt>
                <c:pt idx="34">
                  <c:v>14.8</c:v>
                </c:pt>
                <c:pt idx="35">
                  <c:v>14.833333333333334</c:v>
                </c:pt>
                <c:pt idx="36">
                  <c:v>15.666666666666666</c:v>
                </c:pt>
                <c:pt idx="37">
                  <c:v>17</c:v>
                </c:pt>
                <c:pt idx="38">
                  <c:v>17.25</c:v>
                </c:pt>
                <c:pt idx="39">
                  <c:v>18</c:v>
                </c:pt>
                <c:pt idx="40">
                  <c:v>19.875</c:v>
                </c:pt>
                <c:pt idx="41">
                  <c:v>20.833333333333332</c:v>
                </c:pt>
                <c:pt idx="42">
                  <c:v>21.25</c:v>
                </c:pt>
                <c:pt idx="43">
                  <c:v>24.333333333333332</c:v>
                </c:pt>
                <c:pt idx="44">
                  <c:v>26.166666666666668</c:v>
                </c:pt>
                <c:pt idx="45">
                  <c:v>27</c:v>
                </c:pt>
                <c:pt idx="46">
                  <c:v>32</c:v>
                </c:pt>
                <c:pt idx="47">
                  <c:v>35.5</c:v>
                </c:pt>
                <c:pt idx="48">
                  <c:v>38</c:v>
                </c:pt>
                <c:pt idx="49">
                  <c:v>47</c:v>
                </c:pt>
                <c:pt idx="50">
                  <c:v>52</c:v>
                </c:pt>
              </c:numCache>
            </c:numRef>
          </c:xVal>
          <c:yVal>
            <c:numRef>
              <c:f>'100 A 39, 3 par. rev.'!$FF$6:$FF$56</c:f>
              <c:numCache>
                <c:formatCode>#,##0.0</c:formatCode>
                <c:ptCount val="51"/>
                <c:pt idx="0">
                  <c:v>149.26666586318584</c:v>
                </c:pt>
                <c:pt idx="1">
                  <c:v>148.56129190937943</c:v>
                </c:pt>
                <c:pt idx="2">
                  <c:v>148.241856634176</c:v>
                </c:pt>
                <c:pt idx="3">
                  <c:v>146.67848966917933</c:v>
                </c:pt>
                <c:pt idx="4">
                  <c:v>145.76147275277216</c:v>
                </c:pt>
                <c:pt idx="5">
                  <c:v>145.32694416994218</c:v>
                </c:pt>
                <c:pt idx="6">
                  <c:v>142.36574403355741</c:v>
                </c:pt>
                <c:pt idx="7">
                  <c:v>141.03497242623894</c:v>
                </c:pt>
                <c:pt idx="8">
                  <c:v>140.46860240795354</c:v>
                </c:pt>
                <c:pt idx="9">
                  <c:v>138.30884021397185</c:v>
                </c:pt>
                <c:pt idx="10">
                  <c:v>136.58920169977355</c:v>
                </c:pt>
                <c:pt idx="11">
                  <c:v>135.77794798690647</c:v>
                </c:pt>
                <c:pt idx="12">
                  <c:v>130.77627148681992</c:v>
                </c:pt>
                <c:pt idx="13">
                  <c:v>128.45830736359608</c:v>
                </c:pt>
                <c:pt idx="14">
                  <c:v>127.42812843505962</c:v>
                </c:pt>
                <c:pt idx="15">
                  <c:v>126.63230616048736</c:v>
                </c:pt>
                <c:pt idx="16">
                  <c:v>123.80578481635796</c:v>
                </c:pt>
                <c:pt idx="17">
                  <c:v>122.74447776404861</c:v>
                </c:pt>
                <c:pt idx="18">
                  <c:v>111.63196433270895</c:v>
                </c:pt>
                <c:pt idx="19">
                  <c:v>107.43841703345562</c:v>
                </c:pt>
                <c:pt idx="20">
                  <c:v>106.06871544067147</c:v>
                </c:pt>
                <c:pt idx="21">
                  <c:v>105.99085860202345</c:v>
                </c:pt>
                <c:pt idx="22">
                  <c:v>102.8614249764572</c:v>
                </c:pt>
                <c:pt idx="23">
                  <c:v>100.94714010777534</c:v>
                </c:pt>
                <c:pt idx="24">
                  <c:v>99.602808303474291</c:v>
                </c:pt>
                <c:pt idx="25">
                  <c:v>99.046461817751052</c:v>
                </c:pt>
                <c:pt idx="26">
                  <c:v>97.390523171205984</c:v>
                </c:pt>
                <c:pt idx="27">
                  <c:v>95.452745522248179</c:v>
                </c:pt>
                <c:pt idx="28">
                  <c:v>94.288995510914631</c:v>
                </c:pt>
                <c:pt idx="29">
                  <c:v>93.067019786760284</c:v>
                </c:pt>
                <c:pt idx="30">
                  <c:v>90.953181453077107</c:v>
                </c:pt>
                <c:pt idx="31">
                  <c:v>88.525224376282807</c:v>
                </c:pt>
                <c:pt idx="32">
                  <c:v>87.633529185989374</c:v>
                </c:pt>
                <c:pt idx="33">
                  <c:v>85.364870359746149</c:v>
                </c:pt>
                <c:pt idx="34">
                  <c:v>81.601685203330874</c:v>
                </c:pt>
                <c:pt idx="35">
                  <c:v>81.470323599867072</c:v>
                </c:pt>
                <c:pt idx="36">
                  <c:v>78.221823531200556</c:v>
                </c:pt>
                <c:pt idx="37">
                  <c:v>73.158369588094388</c:v>
                </c:pt>
                <c:pt idx="38">
                  <c:v>72.2262039218718</c:v>
                </c:pt>
                <c:pt idx="39">
                  <c:v>69.460384867374643</c:v>
                </c:pt>
                <c:pt idx="40">
                  <c:v>62.732497326793982</c:v>
                </c:pt>
                <c:pt idx="41">
                  <c:v>59.38743162729655</c:v>
                </c:pt>
                <c:pt idx="42">
                  <c:v>57.951161342515022</c:v>
                </c:pt>
                <c:pt idx="43">
                  <c:v>47.626221288218026</c:v>
                </c:pt>
                <c:pt idx="44">
                  <c:v>41.707371062548361</c:v>
                </c:pt>
                <c:pt idx="45">
                  <c:v>39.063503830401089</c:v>
                </c:pt>
                <c:pt idx="46">
                  <c:v>23.700663264314585</c:v>
                </c:pt>
                <c:pt idx="47">
                  <c:v>13.347142343757582</c:v>
                </c:pt>
                <c:pt idx="48">
                  <c:v>6.1020440895521304</c:v>
                </c:pt>
                <c:pt idx="49">
                  <c:v>-19.271758582261228</c:v>
                </c:pt>
                <c:pt idx="50">
                  <c:v>-33.054342266511924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84-421D-B479-CBCBBF1F8B13}"/>
            </c:ext>
          </c:extLst>
        </c:ser>
        <c:ser>
          <c:idx val="2"/>
          <c:order val="2"/>
          <c:spPr>
            <a:ln w="15875"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</c:spPr>
          </c:marker>
          <c:xVal>
            <c:numRef>
              <c:f>'100 A 39, 3 par. rev.'!$FD$6:$FD$56</c:f>
              <c:numCache>
                <c:formatCode>#,##0.00</c:formatCode>
                <c:ptCount val="51"/>
                <c:pt idx="0">
                  <c:v>1.17</c:v>
                </c:pt>
                <c:pt idx="1">
                  <c:v>1.28</c:v>
                </c:pt>
                <c:pt idx="2">
                  <c:v>1.33</c:v>
                </c:pt>
                <c:pt idx="3">
                  <c:v>1.5763888888888888</c:v>
                </c:pt>
                <c:pt idx="4">
                  <c:v>1.7222222222222223</c:v>
                </c:pt>
                <c:pt idx="5">
                  <c:v>1.7916666666666667</c:v>
                </c:pt>
                <c:pt idx="6">
                  <c:v>2.2708333333333335</c:v>
                </c:pt>
                <c:pt idx="7">
                  <c:v>2.4895833333333335</c:v>
                </c:pt>
                <c:pt idx="8">
                  <c:v>2.5833333333333335</c:v>
                </c:pt>
                <c:pt idx="9">
                  <c:v>2.9444444444444446</c:v>
                </c:pt>
                <c:pt idx="10">
                  <c:v>3.2361111111111112</c:v>
                </c:pt>
                <c:pt idx="11">
                  <c:v>3.375</c:v>
                </c:pt>
                <c:pt idx="12">
                  <c:v>4.25</c:v>
                </c:pt>
                <c:pt idx="13">
                  <c:v>4.666666666666667</c:v>
                </c:pt>
                <c:pt idx="14">
                  <c:v>4.854166666666667</c:v>
                </c:pt>
                <c:pt idx="15">
                  <c:v>5</c:v>
                </c:pt>
                <c:pt idx="16">
                  <c:v>5.5250000000000004</c:v>
                </c:pt>
                <c:pt idx="17">
                  <c:v>5.7249999999999996</c:v>
                </c:pt>
                <c:pt idx="18">
                  <c:v>7.916666666666667</c:v>
                </c:pt>
                <c:pt idx="19">
                  <c:v>8.7916666666666661</c:v>
                </c:pt>
                <c:pt idx="20">
                  <c:v>9.0833333333333339</c:v>
                </c:pt>
                <c:pt idx="21">
                  <c:v>9.1</c:v>
                </c:pt>
                <c:pt idx="22">
                  <c:v>9.7777777777777786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10.625</c:v>
                </c:pt>
                <c:pt idx="26">
                  <c:v>11</c:v>
                </c:pt>
                <c:pt idx="27">
                  <c:v>11.444444444444445</c:v>
                </c:pt>
                <c:pt idx="28">
                  <c:v>11.714285714285714</c:v>
                </c:pt>
                <c:pt idx="29">
                  <c:v>12</c:v>
                </c:pt>
                <c:pt idx="30">
                  <c:v>12.5</c:v>
                </c:pt>
                <c:pt idx="31">
                  <c:v>13.083333333333334</c:v>
                </c:pt>
                <c:pt idx="32">
                  <c:v>13.299999999999999</c:v>
                </c:pt>
                <c:pt idx="33">
                  <c:v>13.857142857142858</c:v>
                </c:pt>
                <c:pt idx="34">
                  <c:v>14.8</c:v>
                </c:pt>
                <c:pt idx="35">
                  <c:v>14.833333333333334</c:v>
                </c:pt>
                <c:pt idx="36">
                  <c:v>15.666666666666666</c:v>
                </c:pt>
                <c:pt idx="37">
                  <c:v>17</c:v>
                </c:pt>
                <c:pt idx="38">
                  <c:v>17.25</c:v>
                </c:pt>
                <c:pt idx="39">
                  <c:v>18</c:v>
                </c:pt>
                <c:pt idx="40">
                  <c:v>19.875</c:v>
                </c:pt>
                <c:pt idx="41">
                  <c:v>20.833333333333332</c:v>
                </c:pt>
                <c:pt idx="42">
                  <c:v>21.25</c:v>
                </c:pt>
                <c:pt idx="43">
                  <c:v>24.333333333333332</c:v>
                </c:pt>
                <c:pt idx="44">
                  <c:v>26.166666666666668</c:v>
                </c:pt>
                <c:pt idx="45">
                  <c:v>27</c:v>
                </c:pt>
                <c:pt idx="46">
                  <c:v>32</c:v>
                </c:pt>
                <c:pt idx="47">
                  <c:v>35.5</c:v>
                </c:pt>
                <c:pt idx="48">
                  <c:v>38</c:v>
                </c:pt>
                <c:pt idx="49">
                  <c:v>47</c:v>
                </c:pt>
                <c:pt idx="50">
                  <c:v>52</c:v>
                </c:pt>
              </c:numCache>
            </c:numRef>
          </c:xVal>
          <c:yVal>
            <c:numRef>
              <c:f>'100 A 39, 3 par. rev.'!$FG$6:$FG$56</c:f>
              <c:numCache>
                <c:formatCode>#,##0.0</c:formatCode>
                <c:ptCount val="51"/>
                <c:pt idx="0">
                  <c:v>150.10884000101683</c:v>
                </c:pt>
                <c:pt idx="1">
                  <c:v>149.48271160639842</c:v>
                </c:pt>
                <c:pt idx="2">
                  <c:v>149.19930068703306</c:v>
                </c:pt>
                <c:pt idx="3">
                  <c:v>147.81348663447932</c:v>
                </c:pt>
                <c:pt idx="4">
                  <c:v>147.00158565039789</c:v>
                </c:pt>
                <c:pt idx="5">
                  <c:v>146.61711882788117</c:v>
                </c:pt>
                <c:pt idx="6">
                  <c:v>144.00145772674037</c:v>
                </c:pt>
                <c:pt idx="7">
                  <c:v>142.82849627346837</c:v>
                </c:pt>
                <c:pt idx="8">
                  <c:v>142.32977118394842</c:v>
                </c:pt>
                <c:pt idx="9">
                  <c:v>140.43063319354911</c:v>
                </c:pt>
                <c:pt idx="10">
                  <c:v>138.92157359711186</c:v>
                </c:pt>
                <c:pt idx="11">
                  <c:v>138.21061848108286</c:v>
                </c:pt>
                <c:pt idx="12">
                  <c:v>133.84115001314589</c:v>
                </c:pt>
                <c:pt idx="13">
                  <c:v>131.82442716504937</c:v>
                </c:pt>
                <c:pt idx="14">
                  <c:v>130.92984498276343</c:v>
                </c:pt>
                <c:pt idx="15">
                  <c:v>130.23950284899161</c:v>
                </c:pt>
                <c:pt idx="16">
                  <c:v>127.79282293014333</c:v>
                </c:pt>
                <c:pt idx="17">
                  <c:v>126.87626262124402</c:v>
                </c:pt>
                <c:pt idx="18">
                  <c:v>117.35142644345717</c:v>
                </c:pt>
                <c:pt idx="19">
                  <c:v>113.79243233854362</c:v>
                </c:pt>
                <c:pt idx="20">
                  <c:v>112.63432679819032</c:v>
                </c:pt>
                <c:pt idx="21">
                  <c:v>112.56856229995347</c:v>
                </c:pt>
                <c:pt idx="22">
                  <c:v>109.93098469105179</c:v>
                </c:pt>
                <c:pt idx="23">
                  <c:v>108.32319780920056</c:v>
                </c:pt>
                <c:pt idx="24">
                  <c:v>107.19668355645972</c:v>
                </c:pt>
                <c:pt idx="25">
                  <c:v>106.7311045486252</c:v>
                </c:pt>
                <c:pt idx="26">
                  <c:v>105.34750324645137</c:v>
                </c:pt>
                <c:pt idx="27">
                  <c:v>103.73256143536926</c:v>
                </c:pt>
                <c:pt idx="28">
                  <c:v>102.7648523562044</c:v>
                </c:pt>
                <c:pt idx="29">
                  <c:v>101.75047599273276</c:v>
                </c:pt>
                <c:pt idx="30">
                  <c:v>100</c:v>
                </c:pt>
                <c:pt idx="31">
                  <c:v>97.996062893915507</c:v>
                </c:pt>
                <c:pt idx="32">
                  <c:v>97.261886285607204</c:v>
                </c:pt>
                <c:pt idx="33">
                  <c:v>95.398335486232455</c:v>
                </c:pt>
                <c:pt idx="34">
                  <c:v>92.320903279597047</c:v>
                </c:pt>
                <c:pt idx="35">
                  <c:v>92.213789495372168</c:v>
                </c:pt>
                <c:pt idx="36">
                  <c:v>89.571568307908365</c:v>
                </c:pt>
                <c:pt idx="37">
                  <c:v>85.478466752256054</c:v>
                </c:pt>
                <c:pt idx="38">
                  <c:v>84.728280180346886</c:v>
                </c:pt>
                <c:pt idx="39">
                  <c:v>82.508463702023761</c:v>
                </c:pt>
                <c:pt idx="40">
                  <c:v>77.145960916406892</c:v>
                </c:pt>
                <c:pt idx="41">
                  <c:v>74.498935276659878</c:v>
                </c:pt>
                <c:pt idx="42">
                  <c:v>73.366192316869103</c:v>
                </c:pt>
                <c:pt idx="43">
                  <c:v>65.287821988536408</c:v>
                </c:pt>
                <c:pt idx="44">
                  <c:v>60.705047051332606</c:v>
                </c:pt>
                <c:pt idx="45">
                  <c:v>58.66852842821514</c:v>
                </c:pt>
                <c:pt idx="46">
                  <c:v>46.949949581973122</c:v>
                </c:pt>
                <c:pt idx="47">
                  <c:v>39.147209794507951</c:v>
                </c:pt>
                <c:pt idx="48">
                  <c:v>33.723819815533744</c:v>
                </c:pt>
                <c:pt idx="49">
                  <c:v>14.905127155548797</c:v>
                </c:pt>
                <c:pt idx="50">
                  <c:v>4.761652850200754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84-421D-B479-CBCBBF1F8B13}"/>
            </c:ext>
          </c:extLst>
        </c:ser>
        <c:ser>
          <c:idx val="3"/>
          <c:order val="3"/>
          <c:spPr>
            <a:ln w="25400"/>
          </c:spPr>
          <c:marker>
            <c:spPr>
              <a:solidFill>
                <a:schemeClr val="tx1"/>
              </a:solidFill>
            </c:spPr>
          </c:marker>
          <c:xVal>
            <c:numRef>
              <c:f>'100 A 39, 3 par. rev.'!$FD$6:$FD$56</c:f>
              <c:numCache>
                <c:formatCode>#,##0.00</c:formatCode>
                <c:ptCount val="51"/>
                <c:pt idx="0">
                  <c:v>1.17</c:v>
                </c:pt>
                <c:pt idx="1">
                  <c:v>1.28</c:v>
                </c:pt>
                <c:pt idx="2">
                  <c:v>1.33</c:v>
                </c:pt>
                <c:pt idx="3">
                  <c:v>1.5763888888888888</c:v>
                </c:pt>
                <c:pt idx="4">
                  <c:v>1.7222222222222223</c:v>
                </c:pt>
                <c:pt idx="5">
                  <c:v>1.7916666666666667</c:v>
                </c:pt>
                <c:pt idx="6">
                  <c:v>2.2708333333333335</c:v>
                </c:pt>
                <c:pt idx="7">
                  <c:v>2.4895833333333335</c:v>
                </c:pt>
                <c:pt idx="8">
                  <c:v>2.5833333333333335</c:v>
                </c:pt>
                <c:pt idx="9">
                  <c:v>2.9444444444444446</c:v>
                </c:pt>
                <c:pt idx="10">
                  <c:v>3.2361111111111112</c:v>
                </c:pt>
                <c:pt idx="11">
                  <c:v>3.375</c:v>
                </c:pt>
                <c:pt idx="12">
                  <c:v>4.25</c:v>
                </c:pt>
                <c:pt idx="13">
                  <c:v>4.666666666666667</c:v>
                </c:pt>
                <c:pt idx="14">
                  <c:v>4.854166666666667</c:v>
                </c:pt>
                <c:pt idx="15">
                  <c:v>5</c:v>
                </c:pt>
                <c:pt idx="16">
                  <c:v>5.5250000000000004</c:v>
                </c:pt>
                <c:pt idx="17">
                  <c:v>5.7249999999999996</c:v>
                </c:pt>
                <c:pt idx="18">
                  <c:v>7.916666666666667</c:v>
                </c:pt>
                <c:pt idx="19">
                  <c:v>8.7916666666666661</c:v>
                </c:pt>
                <c:pt idx="20">
                  <c:v>9.0833333333333339</c:v>
                </c:pt>
                <c:pt idx="21">
                  <c:v>9.1</c:v>
                </c:pt>
                <c:pt idx="22">
                  <c:v>9.7777777777777786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10.625</c:v>
                </c:pt>
                <c:pt idx="26">
                  <c:v>11</c:v>
                </c:pt>
                <c:pt idx="27">
                  <c:v>11.444444444444445</c:v>
                </c:pt>
                <c:pt idx="28">
                  <c:v>11.714285714285714</c:v>
                </c:pt>
                <c:pt idx="29">
                  <c:v>12</c:v>
                </c:pt>
                <c:pt idx="30">
                  <c:v>12.5</c:v>
                </c:pt>
                <c:pt idx="31">
                  <c:v>13.083333333333334</c:v>
                </c:pt>
                <c:pt idx="32">
                  <c:v>13.299999999999999</c:v>
                </c:pt>
                <c:pt idx="33">
                  <c:v>13.857142857142858</c:v>
                </c:pt>
                <c:pt idx="34">
                  <c:v>14.8</c:v>
                </c:pt>
                <c:pt idx="35">
                  <c:v>14.833333333333334</c:v>
                </c:pt>
                <c:pt idx="36">
                  <c:v>15.666666666666666</c:v>
                </c:pt>
                <c:pt idx="37">
                  <c:v>17</c:v>
                </c:pt>
                <c:pt idx="38">
                  <c:v>17.25</c:v>
                </c:pt>
                <c:pt idx="39">
                  <c:v>18</c:v>
                </c:pt>
                <c:pt idx="40">
                  <c:v>19.875</c:v>
                </c:pt>
                <c:pt idx="41">
                  <c:v>20.833333333333332</c:v>
                </c:pt>
                <c:pt idx="42">
                  <c:v>21.25</c:v>
                </c:pt>
                <c:pt idx="43">
                  <c:v>24.333333333333332</c:v>
                </c:pt>
                <c:pt idx="44">
                  <c:v>26.166666666666668</c:v>
                </c:pt>
                <c:pt idx="45">
                  <c:v>27</c:v>
                </c:pt>
                <c:pt idx="46">
                  <c:v>32</c:v>
                </c:pt>
                <c:pt idx="47">
                  <c:v>35.5</c:v>
                </c:pt>
                <c:pt idx="48">
                  <c:v>38</c:v>
                </c:pt>
                <c:pt idx="49">
                  <c:v>47</c:v>
                </c:pt>
                <c:pt idx="50">
                  <c:v>52</c:v>
                </c:pt>
              </c:numCache>
            </c:numRef>
          </c:xVal>
          <c:yVal>
            <c:numRef>
              <c:f>'100 A 39, 3 par. rev.'!$FH$6:$FH$56</c:f>
              <c:numCache>
                <c:formatCode>#,##0</c:formatCode>
                <c:ptCount val="51"/>
                <c:pt idx="0" formatCode="#,##0.0">
                  <c:v>117</c:v>
                </c:pt>
                <c:pt idx="3" formatCode="#,##0.0">
                  <c:v>113.5</c:v>
                </c:pt>
                <c:pt idx="6" formatCode="#,##0.0">
                  <c:v>109</c:v>
                </c:pt>
                <c:pt idx="9" formatCode="#,##0.0">
                  <c:v>106</c:v>
                </c:pt>
                <c:pt idx="12" formatCode="#,##0.0">
                  <c:v>102</c:v>
                </c:pt>
                <c:pt idx="15" formatCode="#,##0.0">
                  <c:v>100</c:v>
                </c:pt>
                <c:pt idx="18" formatCode="#,##0.0">
                  <c:v>95</c:v>
                </c:pt>
                <c:pt idx="21" formatCode="#,##0.0">
                  <c:v>91</c:v>
                </c:pt>
                <c:pt idx="22" formatCode="#,##0.0">
                  <c:v>88</c:v>
                </c:pt>
                <c:pt idx="25" formatCode="#,##0.0">
                  <c:v>85</c:v>
                </c:pt>
                <c:pt idx="28" formatCode="#,##0.0">
                  <c:v>82</c:v>
                </c:pt>
                <c:pt idx="31" formatCode="#,##0.0">
                  <c:v>78.5</c:v>
                </c:pt>
                <c:pt idx="34" formatCode="#,##0.0">
                  <c:v>74</c:v>
                </c:pt>
                <c:pt idx="38" formatCode="#,##0.0">
                  <c:v>69</c:v>
                </c:pt>
                <c:pt idx="41" formatCode="#,##0.0">
                  <c:v>62.5</c:v>
                </c:pt>
                <c:pt idx="45" formatCode="#,##0.0">
                  <c:v>54</c:v>
                </c:pt>
                <c:pt idx="48" formatCode="#,##0.0">
                  <c:v>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84-421D-B479-CBCBBF1F8B13}"/>
            </c:ext>
          </c:extLst>
        </c:ser>
        <c:ser>
          <c:idx val="4"/>
          <c:order val="4"/>
          <c:spPr>
            <a:ln w="25400"/>
          </c:spPr>
          <c:marker>
            <c:spPr>
              <a:solidFill>
                <a:srgbClr val="00B050"/>
              </a:solidFill>
            </c:spPr>
          </c:marker>
          <c:xVal>
            <c:numRef>
              <c:f>'100 A 39, 3 par. rev.'!$FD$6:$FD$56</c:f>
              <c:numCache>
                <c:formatCode>#,##0.00</c:formatCode>
                <c:ptCount val="51"/>
                <c:pt idx="0">
                  <c:v>1.17</c:v>
                </c:pt>
                <c:pt idx="1">
                  <c:v>1.28</c:v>
                </c:pt>
                <c:pt idx="2">
                  <c:v>1.33</c:v>
                </c:pt>
                <c:pt idx="3">
                  <c:v>1.5763888888888888</c:v>
                </c:pt>
                <c:pt idx="4">
                  <c:v>1.7222222222222223</c:v>
                </c:pt>
                <c:pt idx="5">
                  <c:v>1.7916666666666667</c:v>
                </c:pt>
                <c:pt idx="6">
                  <c:v>2.2708333333333335</c:v>
                </c:pt>
                <c:pt idx="7">
                  <c:v>2.4895833333333335</c:v>
                </c:pt>
                <c:pt idx="8">
                  <c:v>2.5833333333333335</c:v>
                </c:pt>
                <c:pt idx="9">
                  <c:v>2.9444444444444446</c:v>
                </c:pt>
                <c:pt idx="10">
                  <c:v>3.2361111111111112</c:v>
                </c:pt>
                <c:pt idx="11">
                  <c:v>3.375</c:v>
                </c:pt>
                <c:pt idx="12">
                  <c:v>4.25</c:v>
                </c:pt>
                <c:pt idx="13">
                  <c:v>4.666666666666667</c:v>
                </c:pt>
                <c:pt idx="14">
                  <c:v>4.854166666666667</c:v>
                </c:pt>
                <c:pt idx="15">
                  <c:v>5</c:v>
                </c:pt>
                <c:pt idx="16">
                  <c:v>5.5250000000000004</c:v>
                </c:pt>
                <c:pt idx="17">
                  <c:v>5.7249999999999996</c:v>
                </c:pt>
                <c:pt idx="18">
                  <c:v>7.916666666666667</c:v>
                </c:pt>
                <c:pt idx="19">
                  <c:v>8.7916666666666661</c:v>
                </c:pt>
                <c:pt idx="20">
                  <c:v>9.0833333333333339</c:v>
                </c:pt>
                <c:pt idx="21">
                  <c:v>9.1</c:v>
                </c:pt>
                <c:pt idx="22">
                  <c:v>9.7777777777777786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10.625</c:v>
                </c:pt>
                <c:pt idx="26">
                  <c:v>11</c:v>
                </c:pt>
                <c:pt idx="27">
                  <c:v>11.444444444444445</c:v>
                </c:pt>
                <c:pt idx="28">
                  <c:v>11.714285714285714</c:v>
                </c:pt>
                <c:pt idx="29">
                  <c:v>12</c:v>
                </c:pt>
                <c:pt idx="30">
                  <c:v>12.5</c:v>
                </c:pt>
                <c:pt idx="31">
                  <c:v>13.083333333333334</c:v>
                </c:pt>
                <c:pt idx="32">
                  <c:v>13.299999999999999</c:v>
                </c:pt>
                <c:pt idx="33">
                  <c:v>13.857142857142858</c:v>
                </c:pt>
                <c:pt idx="34">
                  <c:v>14.8</c:v>
                </c:pt>
                <c:pt idx="35">
                  <c:v>14.833333333333334</c:v>
                </c:pt>
                <c:pt idx="36">
                  <c:v>15.666666666666666</c:v>
                </c:pt>
                <c:pt idx="37">
                  <c:v>17</c:v>
                </c:pt>
                <c:pt idx="38">
                  <c:v>17.25</c:v>
                </c:pt>
                <c:pt idx="39">
                  <c:v>18</c:v>
                </c:pt>
                <c:pt idx="40">
                  <c:v>19.875</c:v>
                </c:pt>
                <c:pt idx="41">
                  <c:v>20.833333333333332</c:v>
                </c:pt>
                <c:pt idx="42">
                  <c:v>21.25</c:v>
                </c:pt>
                <c:pt idx="43">
                  <c:v>24.333333333333332</c:v>
                </c:pt>
                <c:pt idx="44">
                  <c:v>26.166666666666668</c:v>
                </c:pt>
                <c:pt idx="45">
                  <c:v>27</c:v>
                </c:pt>
                <c:pt idx="46">
                  <c:v>32</c:v>
                </c:pt>
                <c:pt idx="47">
                  <c:v>35.5</c:v>
                </c:pt>
                <c:pt idx="48">
                  <c:v>38</c:v>
                </c:pt>
                <c:pt idx="49">
                  <c:v>47</c:v>
                </c:pt>
                <c:pt idx="50">
                  <c:v>52</c:v>
                </c:pt>
              </c:numCache>
            </c:numRef>
          </c:xVal>
          <c:yVal>
            <c:numRef>
              <c:f>'100 A 39, 3 par. rev.'!$FI$6:$FI$56</c:f>
              <c:numCache>
                <c:formatCode>#,##0.0</c:formatCode>
                <c:ptCount val="51"/>
                <c:pt idx="1">
                  <c:v>128</c:v>
                </c:pt>
                <c:pt idx="4">
                  <c:v>124</c:v>
                </c:pt>
                <c:pt idx="7">
                  <c:v>119.5</c:v>
                </c:pt>
                <c:pt idx="10">
                  <c:v>116.5</c:v>
                </c:pt>
                <c:pt idx="13">
                  <c:v>112</c:v>
                </c:pt>
                <c:pt idx="16">
                  <c:v>110.5</c:v>
                </c:pt>
                <c:pt idx="19">
                  <c:v>105.5</c:v>
                </c:pt>
                <c:pt idx="23">
                  <c:v>102</c:v>
                </c:pt>
                <c:pt idx="26">
                  <c:v>99</c:v>
                </c:pt>
                <c:pt idx="29">
                  <c:v>96</c:v>
                </c:pt>
                <c:pt idx="32">
                  <c:v>93.1</c:v>
                </c:pt>
                <c:pt idx="35">
                  <c:v>89</c:v>
                </c:pt>
                <c:pt idx="37">
                  <c:v>85</c:v>
                </c:pt>
                <c:pt idx="40">
                  <c:v>79.5</c:v>
                </c:pt>
                <c:pt idx="43">
                  <c:v>73</c:v>
                </c:pt>
                <c:pt idx="46">
                  <c:v>64</c:v>
                </c:pt>
                <c:pt idx="49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F84-421D-B479-CBCBBF1F8B13}"/>
            </c:ext>
          </c:extLst>
        </c:ser>
        <c:ser>
          <c:idx val="5"/>
          <c:order val="5"/>
          <c:spPr>
            <a:ln w="25400"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</c:spPr>
          </c:marker>
          <c:xVal>
            <c:numRef>
              <c:f>'100 A 39, 3 par. rev.'!$FD$6:$FD$56</c:f>
              <c:numCache>
                <c:formatCode>#,##0.00</c:formatCode>
                <c:ptCount val="51"/>
                <c:pt idx="0">
                  <c:v>1.17</c:v>
                </c:pt>
                <c:pt idx="1">
                  <c:v>1.28</c:v>
                </c:pt>
                <c:pt idx="2">
                  <c:v>1.33</c:v>
                </c:pt>
                <c:pt idx="3">
                  <c:v>1.5763888888888888</c:v>
                </c:pt>
                <c:pt idx="4">
                  <c:v>1.7222222222222223</c:v>
                </c:pt>
                <c:pt idx="5">
                  <c:v>1.7916666666666667</c:v>
                </c:pt>
                <c:pt idx="6">
                  <c:v>2.2708333333333335</c:v>
                </c:pt>
                <c:pt idx="7">
                  <c:v>2.4895833333333335</c:v>
                </c:pt>
                <c:pt idx="8">
                  <c:v>2.5833333333333335</c:v>
                </c:pt>
                <c:pt idx="9">
                  <c:v>2.9444444444444446</c:v>
                </c:pt>
                <c:pt idx="10">
                  <c:v>3.2361111111111112</c:v>
                </c:pt>
                <c:pt idx="11">
                  <c:v>3.375</c:v>
                </c:pt>
                <c:pt idx="12">
                  <c:v>4.25</c:v>
                </c:pt>
                <c:pt idx="13">
                  <c:v>4.666666666666667</c:v>
                </c:pt>
                <c:pt idx="14">
                  <c:v>4.854166666666667</c:v>
                </c:pt>
                <c:pt idx="15">
                  <c:v>5</c:v>
                </c:pt>
                <c:pt idx="16">
                  <c:v>5.5250000000000004</c:v>
                </c:pt>
                <c:pt idx="17">
                  <c:v>5.7249999999999996</c:v>
                </c:pt>
                <c:pt idx="18">
                  <c:v>7.916666666666667</c:v>
                </c:pt>
                <c:pt idx="19">
                  <c:v>8.7916666666666661</c:v>
                </c:pt>
                <c:pt idx="20">
                  <c:v>9.0833333333333339</c:v>
                </c:pt>
                <c:pt idx="21">
                  <c:v>9.1</c:v>
                </c:pt>
                <c:pt idx="22">
                  <c:v>9.7777777777777786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10.625</c:v>
                </c:pt>
                <c:pt idx="26">
                  <c:v>11</c:v>
                </c:pt>
                <c:pt idx="27">
                  <c:v>11.444444444444445</c:v>
                </c:pt>
                <c:pt idx="28">
                  <c:v>11.714285714285714</c:v>
                </c:pt>
                <c:pt idx="29">
                  <c:v>12</c:v>
                </c:pt>
                <c:pt idx="30">
                  <c:v>12.5</c:v>
                </c:pt>
                <c:pt idx="31">
                  <c:v>13.083333333333334</c:v>
                </c:pt>
                <c:pt idx="32">
                  <c:v>13.299999999999999</c:v>
                </c:pt>
                <c:pt idx="33">
                  <c:v>13.857142857142858</c:v>
                </c:pt>
                <c:pt idx="34">
                  <c:v>14.8</c:v>
                </c:pt>
                <c:pt idx="35">
                  <c:v>14.833333333333334</c:v>
                </c:pt>
                <c:pt idx="36">
                  <c:v>15.666666666666666</c:v>
                </c:pt>
                <c:pt idx="37">
                  <c:v>17</c:v>
                </c:pt>
                <c:pt idx="38">
                  <c:v>17.25</c:v>
                </c:pt>
                <c:pt idx="39">
                  <c:v>18</c:v>
                </c:pt>
                <c:pt idx="40">
                  <c:v>19.875</c:v>
                </c:pt>
                <c:pt idx="41">
                  <c:v>20.833333333333332</c:v>
                </c:pt>
                <c:pt idx="42">
                  <c:v>21.25</c:v>
                </c:pt>
                <c:pt idx="43">
                  <c:v>24.333333333333332</c:v>
                </c:pt>
                <c:pt idx="44">
                  <c:v>26.166666666666668</c:v>
                </c:pt>
                <c:pt idx="45">
                  <c:v>27</c:v>
                </c:pt>
                <c:pt idx="46">
                  <c:v>32</c:v>
                </c:pt>
                <c:pt idx="47">
                  <c:v>35.5</c:v>
                </c:pt>
                <c:pt idx="48">
                  <c:v>38</c:v>
                </c:pt>
                <c:pt idx="49">
                  <c:v>47</c:v>
                </c:pt>
                <c:pt idx="50">
                  <c:v>52</c:v>
                </c:pt>
              </c:numCache>
            </c:numRef>
          </c:xVal>
          <c:yVal>
            <c:numRef>
              <c:f>'100 A 39, 3 par. rev.'!$FJ$6:$FJ$56</c:f>
              <c:numCache>
                <c:formatCode>General</c:formatCode>
                <c:ptCount val="51"/>
                <c:pt idx="2" formatCode="#,##0.0">
                  <c:v>133</c:v>
                </c:pt>
                <c:pt idx="5" formatCode="#,##0.0">
                  <c:v>129</c:v>
                </c:pt>
                <c:pt idx="8" formatCode="#,##0.0">
                  <c:v>124</c:v>
                </c:pt>
                <c:pt idx="11" formatCode="#,##0.0">
                  <c:v>121.5</c:v>
                </c:pt>
                <c:pt idx="14" formatCode="#,##0.0">
                  <c:v>116.5</c:v>
                </c:pt>
                <c:pt idx="17" formatCode="#,##0.0">
                  <c:v>114.5</c:v>
                </c:pt>
                <c:pt idx="20" formatCode="#,##0.0">
                  <c:v>109</c:v>
                </c:pt>
                <c:pt idx="24" formatCode="#,##0.0">
                  <c:v>105</c:v>
                </c:pt>
                <c:pt idx="27" formatCode="#,##0.0">
                  <c:v>103</c:v>
                </c:pt>
                <c:pt idx="30" formatCode="#,##0.0">
                  <c:v>100</c:v>
                </c:pt>
                <c:pt idx="33" formatCode="#,##0.0">
                  <c:v>97</c:v>
                </c:pt>
                <c:pt idx="36" formatCode="#,##0.0">
                  <c:v>94</c:v>
                </c:pt>
                <c:pt idx="39" formatCode="#,##0.0">
                  <c:v>90</c:v>
                </c:pt>
                <c:pt idx="42" formatCode="#,##0.0">
                  <c:v>85</c:v>
                </c:pt>
                <c:pt idx="44" formatCode="#,##0.0">
                  <c:v>78.5</c:v>
                </c:pt>
                <c:pt idx="47" formatCode="#,##0.0">
                  <c:v>71</c:v>
                </c:pt>
                <c:pt idx="50" formatCode="#,##0.0">
                  <c:v>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F84-421D-B479-CBCBBF1F8B13}"/>
            </c:ext>
          </c:extLst>
        </c:ser>
        <c:ser>
          <c:idx val="6"/>
          <c:order val="6"/>
          <c:spPr>
            <a:ln w="19050">
              <a:solidFill>
                <a:srgbClr val="00B0F0"/>
              </a:solidFill>
              <a:prstDash val="lgDashDot"/>
            </a:ln>
          </c:spPr>
          <c:xVal>
            <c:numRef>
              <c:f>'100 A 39, 3 par. rev.'!$FD$6:$FD$56</c:f>
              <c:numCache>
                <c:formatCode>#,##0.00</c:formatCode>
                <c:ptCount val="51"/>
                <c:pt idx="0">
                  <c:v>1.17</c:v>
                </c:pt>
                <c:pt idx="1">
                  <c:v>1.28</c:v>
                </c:pt>
                <c:pt idx="2">
                  <c:v>1.33</c:v>
                </c:pt>
                <c:pt idx="3">
                  <c:v>1.5763888888888888</c:v>
                </c:pt>
                <c:pt idx="4">
                  <c:v>1.7222222222222223</c:v>
                </c:pt>
                <c:pt idx="5">
                  <c:v>1.7916666666666667</c:v>
                </c:pt>
                <c:pt idx="6">
                  <c:v>2.2708333333333335</c:v>
                </c:pt>
                <c:pt idx="7">
                  <c:v>2.4895833333333335</c:v>
                </c:pt>
                <c:pt idx="8">
                  <c:v>2.5833333333333335</c:v>
                </c:pt>
                <c:pt idx="9">
                  <c:v>2.9444444444444446</c:v>
                </c:pt>
                <c:pt idx="10">
                  <c:v>3.2361111111111112</c:v>
                </c:pt>
                <c:pt idx="11">
                  <c:v>3.375</c:v>
                </c:pt>
                <c:pt idx="12">
                  <c:v>4.25</c:v>
                </c:pt>
                <c:pt idx="13">
                  <c:v>4.666666666666667</c:v>
                </c:pt>
                <c:pt idx="14">
                  <c:v>4.854166666666667</c:v>
                </c:pt>
                <c:pt idx="15">
                  <c:v>5</c:v>
                </c:pt>
                <c:pt idx="16">
                  <c:v>5.5250000000000004</c:v>
                </c:pt>
                <c:pt idx="17">
                  <c:v>5.7249999999999996</c:v>
                </c:pt>
                <c:pt idx="18">
                  <c:v>7.916666666666667</c:v>
                </c:pt>
                <c:pt idx="19">
                  <c:v>8.7916666666666661</c:v>
                </c:pt>
                <c:pt idx="20">
                  <c:v>9.0833333333333339</c:v>
                </c:pt>
                <c:pt idx="21">
                  <c:v>9.1</c:v>
                </c:pt>
                <c:pt idx="22">
                  <c:v>9.7777777777777786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10.625</c:v>
                </c:pt>
                <c:pt idx="26">
                  <c:v>11</c:v>
                </c:pt>
                <c:pt idx="27">
                  <c:v>11.444444444444445</c:v>
                </c:pt>
                <c:pt idx="28">
                  <c:v>11.714285714285714</c:v>
                </c:pt>
                <c:pt idx="29">
                  <c:v>12</c:v>
                </c:pt>
                <c:pt idx="30">
                  <c:v>12.5</c:v>
                </c:pt>
                <c:pt idx="31">
                  <c:v>13.083333333333334</c:v>
                </c:pt>
                <c:pt idx="32">
                  <c:v>13.299999999999999</c:v>
                </c:pt>
                <c:pt idx="33">
                  <c:v>13.857142857142858</c:v>
                </c:pt>
                <c:pt idx="34">
                  <c:v>14.8</c:v>
                </c:pt>
                <c:pt idx="35">
                  <c:v>14.833333333333334</c:v>
                </c:pt>
                <c:pt idx="36">
                  <c:v>15.666666666666666</c:v>
                </c:pt>
                <c:pt idx="37">
                  <c:v>17</c:v>
                </c:pt>
                <c:pt idx="38">
                  <c:v>17.25</c:v>
                </c:pt>
                <c:pt idx="39">
                  <c:v>18</c:v>
                </c:pt>
                <c:pt idx="40">
                  <c:v>19.875</c:v>
                </c:pt>
                <c:pt idx="41">
                  <c:v>20.833333333333332</c:v>
                </c:pt>
                <c:pt idx="42">
                  <c:v>21.25</c:v>
                </c:pt>
                <c:pt idx="43">
                  <c:v>24.333333333333332</c:v>
                </c:pt>
                <c:pt idx="44">
                  <c:v>26.166666666666668</c:v>
                </c:pt>
                <c:pt idx="45">
                  <c:v>27</c:v>
                </c:pt>
                <c:pt idx="46">
                  <c:v>32</c:v>
                </c:pt>
                <c:pt idx="47">
                  <c:v>35.5</c:v>
                </c:pt>
                <c:pt idx="48">
                  <c:v>38</c:v>
                </c:pt>
                <c:pt idx="49">
                  <c:v>47</c:v>
                </c:pt>
                <c:pt idx="50">
                  <c:v>52</c:v>
                </c:pt>
              </c:numCache>
            </c:numRef>
          </c:xVal>
          <c:yVal>
            <c:numRef>
              <c:f>'100 A 39, 3 par. rev.'!$FK$6:$FK$56</c:f>
              <c:numCache>
                <c:formatCode>#,##0</c:formatCode>
                <c:ptCount val="5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F84-421D-B479-CBCBBF1F8B13}"/>
            </c:ext>
          </c:extLst>
        </c:ser>
        <c:ser>
          <c:idx val="7"/>
          <c:order val="7"/>
          <c:spPr>
            <a:ln w="19050">
              <a:solidFill>
                <a:schemeClr val="tx1"/>
              </a:solidFill>
              <a:prstDash val="lgDashDot"/>
            </a:ln>
          </c:spPr>
          <c:xVal>
            <c:numRef>
              <c:f>'100 A 39, 3 par. rev.'!$FD$6:$FD$56</c:f>
              <c:numCache>
                <c:formatCode>#,##0.00</c:formatCode>
                <c:ptCount val="51"/>
                <c:pt idx="0">
                  <c:v>1.17</c:v>
                </c:pt>
                <c:pt idx="1">
                  <c:v>1.28</c:v>
                </c:pt>
                <c:pt idx="2">
                  <c:v>1.33</c:v>
                </c:pt>
                <c:pt idx="3">
                  <c:v>1.5763888888888888</c:v>
                </c:pt>
                <c:pt idx="4">
                  <c:v>1.7222222222222223</c:v>
                </c:pt>
                <c:pt idx="5">
                  <c:v>1.7916666666666667</c:v>
                </c:pt>
                <c:pt idx="6">
                  <c:v>2.2708333333333335</c:v>
                </c:pt>
                <c:pt idx="7">
                  <c:v>2.4895833333333335</c:v>
                </c:pt>
                <c:pt idx="8">
                  <c:v>2.5833333333333335</c:v>
                </c:pt>
                <c:pt idx="9">
                  <c:v>2.9444444444444446</c:v>
                </c:pt>
                <c:pt idx="10">
                  <c:v>3.2361111111111112</c:v>
                </c:pt>
                <c:pt idx="11">
                  <c:v>3.375</c:v>
                </c:pt>
                <c:pt idx="12">
                  <c:v>4.25</c:v>
                </c:pt>
                <c:pt idx="13">
                  <c:v>4.666666666666667</c:v>
                </c:pt>
                <c:pt idx="14">
                  <c:v>4.854166666666667</c:v>
                </c:pt>
                <c:pt idx="15">
                  <c:v>5</c:v>
                </c:pt>
                <c:pt idx="16">
                  <c:v>5.5250000000000004</c:v>
                </c:pt>
                <c:pt idx="17">
                  <c:v>5.7249999999999996</c:v>
                </c:pt>
                <c:pt idx="18">
                  <c:v>7.916666666666667</c:v>
                </c:pt>
                <c:pt idx="19">
                  <c:v>8.7916666666666661</c:v>
                </c:pt>
                <c:pt idx="20">
                  <c:v>9.0833333333333339</c:v>
                </c:pt>
                <c:pt idx="21">
                  <c:v>9.1</c:v>
                </c:pt>
                <c:pt idx="22">
                  <c:v>9.7777777777777786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10.625</c:v>
                </c:pt>
                <c:pt idx="26">
                  <c:v>11</c:v>
                </c:pt>
                <c:pt idx="27">
                  <c:v>11.444444444444445</c:v>
                </c:pt>
                <c:pt idx="28">
                  <c:v>11.714285714285714</c:v>
                </c:pt>
                <c:pt idx="29">
                  <c:v>12</c:v>
                </c:pt>
                <c:pt idx="30">
                  <c:v>12.5</c:v>
                </c:pt>
                <c:pt idx="31">
                  <c:v>13.083333333333334</c:v>
                </c:pt>
                <c:pt idx="32">
                  <c:v>13.299999999999999</c:v>
                </c:pt>
                <c:pt idx="33">
                  <c:v>13.857142857142858</c:v>
                </c:pt>
                <c:pt idx="34">
                  <c:v>14.8</c:v>
                </c:pt>
                <c:pt idx="35">
                  <c:v>14.833333333333334</c:v>
                </c:pt>
                <c:pt idx="36">
                  <c:v>15.666666666666666</c:v>
                </c:pt>
                <c:pt idx="37">
                  <c:v>17</c:v>
                </c:pt>
                <c:pt idx="38">
                  <c:v>17.25</c:v>
                </c:pt>
                <c:pt idx="39">
                  <c:v>18</c:v>
                </c:pt>
                <c:pt idx="40">
                  <c:v>19.875</c:v>
                </c:pt>
                <c:pt idx="41">
                  <c:v>20.833333333333332</c:v>
                </c:pt>
                <c:pt idx="42">
                  <c:v>21.25</c:v>
                </c:pt>
                <c:pt idx="43">
                  <c:v>24.333333333333332</c:v>
                </c:pt>
                <c:pt idx="44">
                  <c:v>26.166666666666668</c:v>
                </c:pt>
                <c:pt idx="45">
                  <c:v>27</c:v>
                </c:pt>
                <c:pt idx="46">
                  <c:v>32</c:v>
                </c:pt>
                <c:pt idx="47">
                  <c:v>35.5</c:v>
                </c:pt>
                <c:pt idx="48">
                  <c:v>38</c:v>
                </c:pt>
                <c:pt idx="49">
                  <c:v>47</c:v>
                </c:pt>
                <c:pt idx="50">
                  <c:v>52</c:v>
                </c:pt>
              </c:numCache>
            </c:numRef>
          </c:xVal>
          <c:yVal>
            <c:numRef>
              <c:f>'100 A 39, 3 par. rev.'!$FL$6:$FL$56</c:f>
              <c:numCache>
                <c:formatCode>#,##0</c:formatCode>
                <c:ptCount val="51"/>
                <c:pt idx="0">
                  <c:v>135</c:v>
                </c:pt>
                <c:pt idx="1">
                  <c:v>135</c:v>
                </c:pt>
                <c:pt idx="2">
                  <c:v>135</c:v>
                </c:pt>
                <c:pt idx="3">
                  <c:v>135</c:v>
                </c:pt>
                <c:pt idx="4">
                  <c:v>135</c:v>
                </c:pt>
                <c:pt idx="5">
                  <c:v>135</c:v>
                </c:pt>
                <c:pt idx="6">
                  <c:v>135</c:v>
                </c:pt>
                <c:pt idx="7">
                  <c:v>135</c:v>
                </c:pt>
                <c:pt idx="8">
                  <c:v>135</c:v>
                </c:pt>
                <c:pt idx="9">
                  <c:v>135</c:v>
                </c:pt>
                <c:pt idx="10">
                  <c:v>135</c:v>
                </c:pt>
                <c:pt idx="11">
                  <c:v>135</c:v>
                </c:pt>
                <c:pt idx="12">
                  <c:v>135</c:v>
                </c:pt>
                <c:pt idx="13">
                  <c:v>135</c:v>
                </c:pt>
                <c:pt idx="14">
                  <c:v>135</c:v>
                </c:pt>
                <c:pt idx="15">
                  <c:v>135</c:v>
                </c:pt>
                <c:pt idx="16">
                  <c:v>135</c:v>
                </c:pt>
                <c:pt idx="17">
                  <c:v>135</c:v>
                </c:pt>
                <c:pt idx="18">
                  <c:v>135</c:v>
                </c:pt>
                <c:pt idx="19">
                  <c:v>135</c:v>
                </c:pt>
                <c:pt idx="20">
                  <c:v>135</c:v>
                </c:pt>
                <c:pt idx="21">
                  <c:v>135</c:v>
                </c:pt>
                <c:pt idx="22">
                  <c:v>135</c:v>
                </c:pt>
                <c:pt idx="23">
                  <c:v>135</c:v>
                </c:pt>
                <c:pt idx="24">
                  <c:v>135</c:v>
                </c:pt>
                <c:pt idx="25">
                  <c:v>135</c:v>
                </c:pt>
                <c:pt idx="26">
                  <c:v>135</c:v>
                </c:pt>
                <c:pt idx="27">
                  <c:v>135</c:v>
                </c:pt>
                <c:pt idx="28">
                  <c:v>135</c:v>
                </c:pt>
                <c:pt idx="29">
                  <c:v>135</c:v>
                </c:pt>
                <c:pt idx="30">
                  <c:v>135</c:v>
                </c:pt>
                <c:pt idx="31">
                  <c:v>135</c:v>
                </c:pt>
                <c:pt idx="32">
                  <c:v>135</c:v>
                </c:pt>
                <c:pt idx="33">
                  <c:v>135</c:v>
                </c:pt>
                <c:pt idx="34">
                  <c:v>135</c:v>
                </c:pt>
                <c:pt idx="35">
                  <c:v>135</c:v>
                </c:pt>
                <c:pt idx="36">
                  <c:v>135</c:v>
                </c:pt>
                <c:pt idx="37">
                  <c:v>135</c:v>
                </c:pt>
                <c:pt idx="38">
                  <c:v>135</c:v>
                </c:pt>
                <c:pt idx="39">
                  <c:v>135</c:v>
                </c:pt>
                <c:pt idx="40">
                  <c:v>135</c:v>
                </c:pt>
                <c:pt idx="41">
                  <c:v>135</c:v>
                </c:pt>
                <c:pt idx="42">
                  <c:v>135</c:v>
                </c:pt>
                <c:pt idx="43">
                  <c:v>135</c:v>
                </c:pt>
                <c:pt idx="44">
                  <c:v>135</c:v>
                </c:pt>
                <c:pt idx="45">
                  <c:v>135</c:v>
                </c:pt>
                <c:pt idx="46">
                  <c:v>135</c:v>
                </c:pt>
                <c:pt idx="47">
                  <c:v>135</c:v>
                </c:pt>
                <c:pt idx="48">
                  <c:v>135</c:v>
                </c:pt>
                <c:pt idx="49">
                  <c:v>135</c:v>
                </c:pt>
                <c:pt idx="50">
                  <c:v>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F84-421D-B479-CBCBBF1F8B13}"/>
            </c:ext>
          </c:extLst>
        </c:ser>
        <c:ser>
          <c:idx val="8"/>
          <c:order val="8"/>
          <c:spPr>
            <a:ln w="19050">
              <a:solidFill>
                <a:srgbClr val="00B0F0"/>
              </a:solidFill>
              <a:prstDash val="lgDashDot"/>
            </a:ln>
          </c:spPr>
          <c:xVal>
            <c:numRef>
              <c:f>'100 A 39, 3 par. rev.'!$FD$6:$FD$56</c:f>
              <c:numCache>
                <c:formatCode>#,##0.00</c:formatCode>
                <c:ptCount val="51"/>
                <c:pt idx="0">
                  <c:v>1.17</c:v>
                </c:pt>
                <c:pt idx="1">
                  <c:v>1.28</c:v>
                </c:pt>
                <c:pt idx="2">
                  <c:v>1.33</c:v>
                </c:pt>
                <c:pt idx="3">
                  <c:v>1.5763888888888888</c:v>
                </c:pt>
                <c:pt idx="4">
                  <c:v>1.7222222222222223</c:v>
                </c:pt>
                <c:pt idx="5">
                  <c:v>1.7916666666666667</c:v>
                </c:pt>
                <c:pt idx="6">
                  <c:v>2.2708333333333335</c:v>
                </c:pt>
                <c:pt idx="7">
                  <c:v>2.4895833333333335</c:v>
                </c:pt>
                <c:pt idx="8">
                  <c:v>2.5833333333333335</c:v>
                </c:pt>
                <c:pt idx="9">
                  <c:v>2.9444444444444446</c:v>
                </c:pt>
                <c:pt idx="10">
                  <c:v>3.2361111111111112</c:v>
                </c:pt>
                <c:pt idx="11">
                  <c:v>3.375</c:v>
                </c:pt>
                <c:pt idx="12">
                  <c:v>4.25</c:v>
                </c:pt>
                <c:pt idx="13">
                  <c:v>4.666666666666667</c:v>
                </c:pt>
                <c:pt idx="14">
                  <c:v>4.854166666666667</c:v>
                </c:pt>
                <c:pt idx="15">
                  <c:v>5</c:v>
                </c:pt>
                <c:pt idx="16">
                  <c:v>5.5250000000000004</c:v>
                </c:pt>
                <c:pt idx="17">
                  <c:v>5.7249999999999996</c:v>
                </c:pt>
                <c:pt idx="18">
                  <c:v>7.916666666666667</c:v>
                </c:pt>
                <c:pt idx="19">
                  <c:v>8.7916666666666661</c:v>
                </c:pt>
                <c:pt idx="20">
                  <c:v>9.0833333333333339</c:v>
                </c:pt>
                <c:pt idx="21">
                  <c:v>9.1</c:v>
                </c:pt>
                <c:pt idx="22">
                  <c:v>9.7777777777777786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10.625</c:v>
                </c:pt>
                <c:pt idx="26">
                  <c:v>11</c:v>
                </c:pt>
                <c:pt idx="27">
                  <c:v>11.444444444444445</c:v>
                </c:pt>
                <c:pt idx="28">
                  <c:v>11.714285714285714</c:v>
                </c:pt>
                <c:pt idx="29">
                  <c:v>12</c:v>
                </c:pt>
                <c:pt idx="30">
                  <c:v>12.5</c:v>
                </c:pt>
                <c:pt idx="31">
                  <c:v>13.083333333333334</c:v>
                </c:pt>
                <c:pt idx="32">
                  <c:v>13.299999999999999</c:v>
                </c:pt>
                <c:pt idx="33">
                  <c:v>13.857142857142858</c:v>
                </c:pt>
                <c:pt idx="34">
                  <c:v>14.8</c:v>
                </c:pt>
                <c:pt idx="35">
                  <c:v>14.833333333333334</c:v>
                </c:pt>
                <c:pt idx="36">
                  <c:v>15.666666666666666</c:v>
                </c:pt>
                <c:pt idx="37">
                  <c:v>17</c:v>
                </c:pt>
                <c:pt idx="38">
                  <c:v>17.25</c:v>
                </c:pt>
                <c:pt idx="39">
                  <c:v>18</c:v>
                </c:pt>
                <c:pt idx="40">
                  <c:v>19.875</c:v>
                </c:pt>
                <c:pt idx="41">
                  <c:v>20.833333333333332</c:v>
                </c:pt>
                <c:pt idx="42">
                  <c:v>21.25</c:v>
                </c:pt>
                <c:pt idx="43">
                  <c:v>24.333333333333332</c:v>
                </c:pt>
                <c:pt idx="44">
                  <c:v>26.166666666666668</c:v>
                </c:pt>
                <c:pt idx="45">
                  <c:v>27</c:v>
                </c:pt>
                <c:pt idx="46">
                  <c:v>32</c:v>
                </c:pt>
                <c:pt idx="47">
                  <c:v>35.5</c:v>
                </c:pt>
                <c:pt idx="48">
                  <c:v>38</c:v>
                </c:pt>
                <c:pt idx="49">
                  <c:v>47</c:v>
                </c:pt>
                <c:pt idx="50">
                  <c:v>52</c:v>
                </c:pt>
              </c:numCache>
            </c:numRef>
          </c:xVal>
          <c:yVal>
            <c:numRef>
              <c:f>'100 A 39, 3 par. rev.'!$FM$6:$FM$56</c:f>
              <c:numCache>
                <c:formatCode>0.0E+00</c:formatCode>
                <c:ptCount val="51"/>
                <c:pt idx="0">
                  <c:v>-1000000000</c:v>
                </c:pt>
                <c:pt idx="1">
                  <c:v>-1000000000</c:v>
                </c:pt>
                <c:pt idx="2">
                  <c:v>-1000000000</c:v>
                </c:pt>
                <c:pt idx="3">
                  <c:v>-1000000000</c:v>
                </c:pt>
                <c:pt idx="4">
                  <c:v>-1000000000</c:v>
                </c:pt>
                <c:pt idx="5">
                  <c:v>-1000000000</c:v>
                </c:pt>
                <c:pt idx="6">
                  <c:v>-1000000000</c:v>
                </c:pt>
                <c:pt idx="7">
                  <c:v>-1000000000</c:v>
                </c:pt>
                <c:pt idx="8">
                  <c:v>-1000000000</c:v>
                </c:pt>
                <c:pt idx="9">
                  <c:v>-1000000000</c:v>
                </c:pt>
                <c:pt idx="10">
                  <c:v>-1000000000</c:v>
                </c:pt>
                <c:pt idx="11">
                  <c:v>-1000000000</c:v>
                </c:pt>
                <c:pt idx="12">
                  <c:v>-1000000000</c:v>
                </c:pt>
                <c:pt idx="13">
                  <c:v>-1000000000</c:v>
                </c:pt>
                <c:pt idx="14">
                  <c:v>-1000000000</c:v>
                </c:pt>
                <c:pt idx="15">
                  <c:v>-1000000000</c:v>
                </c:pt>
                <c:pt idx="16">
                  <c:v>-1000000000</c:v>
                </c:pt>
                <c:pt idx="17">
                  <c:v>-1000000000</c:v>
                </c:pt>
                <c:pt idx="18">
                  <c:v>-1000000000</c:v>
                </c:pt>
                <c:pt idx="19">
                  <c:v>-1000000000</c:v>
                </c:pt>
                <c:pt idx="20">
                  <c:v>-1000000000</c:v>
                </c:pt>
                <c:pt idx="21">
                  <c:v>-1000000000</c:v>
                </c:pt>
                <c:pt idx="22">
                  <c:v>-1000000000</c:v>
                </c:pt>
                <c:pt idx="23">
                  <c:v>-1000000000</c:v>
                </c:pt>
                <c:pt idx="24">
                  <c:v>-1000000000</c:v>
                </c:pt>
                <c:pt idx="25">
                  <c:v>-1000000000</c:v>
                </c:pt>
                <c:pt idx="26">
                  <c:v>-1000000000</c:v>
                </c:pt>
                <c:pt idx="27">
                  <c:v>-1000000000</c:v>
                </c:pt>
                <c:pt idx="28">
                  <c:v>-1000000000</c:v>
                </c:pt>
                <c:pt idx="29">
                  <c:v>-1000000000</c:v>
                </c:pt>
                <c:pt idx="30">
                  <c:v>1000000000</c:v>
                </c:pt>
                <c:pt idx="31">
                  <c:v>1000000000</c:v>
                </c:pt>
                <c:pt idx="32">
                  <c:v>1000000000</c:v>
                </c:pt>
                <c:pt idx="33">
                  <c:v>1000000000</c:v>
                </c:pt>
                <c:pt idx="34">
                  <c:v>1000000000</c:v>
                </c:pt>
                <c:pt idx="35">
                  <c:v>1000000000</c:v>
                </c:pt>
                <c:pt idx="36">
                  <c:v>1000000000</c:v>
                </c:pt>
                <c:pt idx="37">
                  <c:v>1000000000</c:v>
                </c:pt>
                <c:pt idx="38">
                  <c:v>1000000000</c:v>
                </c:pt>
                <c:pt idx="39">
                  <c:v>1000000000</c:v>
                </c:pt>
                <c:pt idx="40">
                  <c:v>1000000000</c:v>
                </c:pt>
                <c:pt idx="41">
                  <c:v>1000000000</c:v>
                </c:pt>
                <c:pt idx="42">
                  <c:v>1000000000</c:v>
                </c:pt>
                <c:pt idx="43">
                  <c:v>1000000000</c:v>
                </c:pt>
                <c:pt idx="44">
                  <c:v>1000000000</c:v>
                </c:pt>
                <c:pt idx="45">
                  <c:v>1000000000</c:v>
                </c:pt>
                <c:pt idx="46">
                  <c:v>1000000000</c:v>
                </c:pt>
                <c:pt idx="47">
                  <c:v>1000000000</c:v>
                </c:pt>
                <c:pt idx="48">
                  <c:v>1000000000</c:v>
                </c:pt>
                <c:pt idx="49">
                  <c:v>1000000000</c:v>
                </c:pt>
                <c:pt idx="50">
                  <c:v>1000000000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F84-421D-B479-CBCBBF1F8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47840"/>
        <c:axId val="113749376"/>
      </c:scatterChart>
      <c:valAx>
        <c:axId val="113747840"/>
        <c:scaling>
          <c:orientation val="minMax"/>
          <c:max val="25"/>
          <c:min val="0"/>
        </c:scaling>
        <c:delete val="0"/>
        <c:axPos val="b"/>
        <c:majorGridlines/>
        <c:numFmt formatCode="#,##0.0" sourceLinked="0"/>
        <c:majorTickMark val="out"/>
        <c:minorTickMark val="none"/>
        <c:tickLblPos val="nextTo"/>
        <c:crossAx val="113749376"/>
        <c:crosses val="autoZero"/>
        <c:crossBetween val="midCat"/>
        <c:majorUnit val="2.5"/>
        <c:minorUnit val="0.1"/>
      </c:valAx>
      <c:valAx>
        <c:axId val="113749376"/>
        <c:scaling>
          <c:orientation val="minMax"/>
          <c:max val="14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3747840"/>
        <c:crosses val="autoZero"/>
        <c:crossBetween val="midCat"/>
        <c:majorUnit val="10"/>
        <c:minorUnit val="0.1"/>
      </c:valAx>
    </c:plotArea>
    <c:legend>
      <c:legendPos val="r"/>
      <c:layout>
        <c:manualLayout>
          <c:xMode val="edge"/>
          <c:yMode val="edge"/>
          <c:x val="0.26513539508168515"/>
          <c:y val="0.43350167435967302"/>
          <c:w val="0.14459962767160453"/>
          <c:h val="0.262071148677130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 b="1" i="0" baseline="0">
                <a:effectLst/>
              </a:rPr>
              <a:t>Curvas de capacidad a corriente constante 0 a 12 horas </a:t>
            </a:r>
            <a:endParaRPr lang="es-CL" sz="1400">
              <a:effectLst/>
            </a:endParaRPr>
          </a:p>
          <a:p>
            <a:pPr>
              <a:defRPr/>
            </a:pPr>
            <a:r>
              <a:rPr lang="es-ES" sz="1400" b="1" i="0" baseline="0">
                <a:effectLst/>
              </a:rPr>
              <a:t>placa positiva acumulador tipo Absolyte serie 100 A</a:t>
            </a:r>
            <a:endParaRPr lang="es-CL" sz="1400">
              <a:effectLst/>
            </a:endParaRPr>
          </a:p>
        </c:rich>
      </c:tx>
      <c:layout>
        <c:manualLayout>
          <c:xMode val="edge"/>
          <c:yMode val="edge"/>
          <c:x val="0.14928436494195677"/>
          <c:y val="3.703703703703703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471208386694492"/>
          <c:y val="0.15100087489063871"/>
          <c:w val="0.86109670649341519"/>
          <c:h val="0.7329314668999708"/>
        </c:manualLayout>
      </c:layout>
      <c:scatterChart>
        <c:scatterStyle val="smoothMarker"/>
        <c:varyColors val="0"/>
        <c:ser>
          <c:idx val="0"/>
          <c:order val="0"/>
          <c:tx>
            <c:v>Id  =  1,58 [A]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rev.'!$CA$36:$CA$157</c:f>
              <c:numCache>
                <c:formatCode>#,##0.00</c:formatCode>
                <c:ptCount val="122"/>
                <c:pt idx="0">
                  <c:v>2.25</c:v>
                </c:pt>
                <c:pt idx="1">
                  <c:v>2.2446464000000002</c:v>
                </c:pt>
                <c:pt idx="2">
                  <c:v>2.2312530837856821</c:v>
                </c:pt>
                <c:pt idx="3">
                  <c:v>2.2185215715583326</c:v>
                </c:pt>
                <c:pt idx="4">
                  <c:v>2.2064189580427951</c:v>
                </c:pt>
                <c:pt idx="5">
                  <c:v>2.1949139695991691</c:v>
                </c:pt>
                <c:pt idx="6">
                  <c:v>2.1839768831753119</c:v>
                </c:pt>
                <c:pt idx="7">
                  <c:v>2.1735794492792175</c:v>
                </c:pt>
                <c:pt idx="8">
                  <c:v>2.163694818771567</c:v>
                </c:pt>
                <c:pt idx="9">
                  <c:v>2.1542974732886706</c:v>
                </c:pt>
                <c:pt idx="10">
                  <c:v>2.1453631591154085</c:v>
                </c:pt>
                <c:pt idx="11">
                  <c:v>2.136868824336728</c:v>
                </c:pt>
                <c:pt idx="12">
                  <c:v>2.128792559104757</c:v>
                </c:pt>
                <c:pt idx="13">
                  <c:v>2.1211135388666471</c:v>
                </c:pt>
                <c:pt idx="14">
                  <c:v>2.1138119704059535</c:v>
                </c:pt>
                <c:pt idx="15">
                  <c:v>2.1068690405576294</c:v>
                </c:pt>
                <c:pt idx="16">
                  <c:v>2.1002668674636449</c:v>
                </c:pt>
                <c:pt idx="17">
                  <c:v>2.0939884542428344</c:v>
                </c:pt>
                <c:pt idx="18">
                  <c:v>2.0880176449547916</c:v>
                </c:pt>
                <c:pt idx="19">
                  <c:v>2.082339082743621</c:v>
                </c:pt>
                <c:pt idx="20">
                  <c:v>2.0769381700529541</c:v>
                </c:pt>
                <c:pt idx="21">
                  <c:v>2.0718010308090258</c:v>
                </c:pt>
                <c:pt idx="22">
                  <c:v>2.066914474473684</c:v>
                </c:pt>
                <c:pt idx="23">
                  <c:v>2.0622659618740555</c:v>
                </c:pt>
                <c:pt idx="24">
                  <c:v>2.05784357272017</c:v>
                </c:pt>
                <c:pt idx="25">
                  <c:v>2.053635974726217</c:v>
                </c:pt>
                <c:pt idx="26">
                  <c:v>2.0496323942552537</c:v>
                </c:pt>
                <c:pt idx="27">
                  <c:v>2.0458225884111041</c:v>
                </c:pt>
                <c:pt idx="28">
                  <c:v>2.0421968185049346</c:v>
                </c:pt>
                <c:pt idx="29">
                  <c:v>2.0387458248275272</c:v>
                </c:pt>
                <c:pt idx="30">
                  <c:v>2.0354608026616359</c:v>
                </c:pt>
                <c:pt idx="31">
                  <c:v>2.0323333794720067</c:v>
                </c:pt>
                <c:pt idx="32">
                  <c:v>2.029355593213646</c:v>
                </c:pt>
                <c:pt idx="33">
                  <c:v>2.0265198717018258</c:v>
                </c:pt>
                <c:pt idx="34">
                  <c:v>2.0238190129899869</c:v>
                </c:pt>
                <c:pt idx="35">
                  <c:v>2.0212461667043136</c:v>
                </c:pt>
                <c:pt idx="36">
                  <c:v>2.0187948162861624</c:v>
                </c:pt>
                <c:pt idx="37">
                  <c:v>2.0164587620958461</c:v>
                </c:pt>
                <c:pt idx="38">
                  <c:v>2.0142321053334387</c:v>
                </c:pt>
                <c:pt idx="39">
                  <c:v>2.0121092327343457</c:v>
                </c:pt>
                <c:pt idx="40">
                  <c:v>2.0100848019992816</c:v>
                </c:pt>
                <c:pt idx="41">
                  <c:v>2.00815372792017</c:v>
                </c:pt>
                <c:pt idx="42">
                  <c:v>2.0063111691651554</c:v>
                </c:pt>
                <c:pt idx="43">
                  <c:v>2.0045525156875486</c:v>
                </c:pt>
                <c:pt idx="44">
                  <c:v>2.0028733767250197</c:v>
                </c:pt>
                <c:pt idx="45">
                  <c:v>2.0012695693567615</c:v>
                </c:pt>
                <c:pt idx="46">
                  <c:v>1.9997371075876387</c:v>
                </c:pt>
                <c:pt idx="47">
                  <c:v>1.9982721919295554</c:v>
                </c:pt>
                <c:pt idx="48">
                  <c:v>1.9968711994513544</c:v>
                </c:pt>
                <c:pt idx="49">
                  <c:v>1.9955306742695882</c:v>
                </c:pt>
                <c:pt idx="50">
                  <c:v>1.9942473184533893</c:v>
                </c:pt>
                <c:pt idx="51">
                  <c:v>1.9930179833174668</c:v>
                </c:pt>
                <c:pt idx="52">
                  <c:v>1.9918396610779647</c:v>
                </c:pt>
                <c:pt idx="53">
                  <c:v>1.990709476846487</c:v>
                </c:pt>
                <c:pt idx="54">
                  <c:v>1.9896246809380713</c:v>
                </c:pt>
                <c:pt idx="55">
                  <c:v>1.988582641469244</c:v>
                </c:pt>
                <c:pt idx="56">
                  <c:v>1.9875808372224997</c:v>
                </c:pt>
                <c:pt idx="57">
                  <c:v>1.9866168507536344</c:v>
                </c:pt>
                <c:pt idx="58">
                  <c:v>1.9856883617182732</c:v>
                </c:pt>
                <c:pt idx="59">
                  <c:v>1.9847931403937054</c:v>
                </c:pt>
                <c:pt idx="60">
                  <c:v>1.9839290413716835</c:v>
                </c:pt>
                <c:pt idx="61">
                  <c:v>1.9830939973972201</c:v>
                </c:pt>
                <c:pt idx="62">
                  <c:v>1.9822860133275133</c:v>
                </c:pt>
                <c:pt idx="63">
                  <c:v>1.9815031601839932</c:v>
                </c:pt>
                <c:pt idx="64">
                  <c:v>1.9807435692690041</c:v>
                </c:pt>
                <c:pt idx="65">
                  <c:v>1.9800054263168176</c:v>
                </c:pt>
                <c:pt idx="66">
                  <c:v>1.9792869656464271</c:v>
                </c:pt>
                <c:pt idx="67">
                  <c:v>1.9785864642808464</c:v>
                </c:pt>
                <c:pt idx="68">
                  <c:v>1.9779022359943337</c:v>
                </c:pt>
                <c:pt idx="69">
                  <c:v>1.977232625244989</c:v>
                </c:pt>
                <c:pt idx="70">
                  <c:v>1.9765760009453943</c:v>
                </c:pt>
                <c:pt idx="71">
                  <c:v>1.9759307500182492</c:v>
                </c:pt>
                <c:pt idx="72">
                  <c:v>1.9752952706770883</c:v>
                </c:pt>
                <c:pt idx="73">
                  <c:v>1.9746679653639325</c:v>
                </c:pt>
                <c:pt idx="74">
                  <c:v>1.9740472332658578</c:v>
                </c:pt>
                <c:pt idx="75">
                  <c:v>1.9734314623205838</c:v>
                </c:pt>
                <c:pt idx="76">
                  <c:v>1.9728190206068663</c:v>
                </c:pt>
                <c:pt idx="77">
                  <c:v>1.9722082469982216</c:v>
                </c:pt>
                <c:pt idx="78">
                  <c:v>1.9715974409375332</c:v>
                </c:pt>
                <c:pt idx="79">
                  <c:v>1.9709848511646921</c:v>
                </c:pt>
                <c:pt idx="80">
                  <c:v>1.9703686631983595</c:v>
                </c:pt>
                <c:pt idx="81">
                  <c:v>1.9697469853349681</c:v>
                </c:pt>
                <c:pt idx="82">
                  <c:v>1.9691178328813503</c:v>
                </c:pt>
                <c:pt idx="83">
                  <c:v>1.9684791102797132</c:v>
                </c:pt>
                <c:pt idx="84">
                  <c:v>1.9678285907120692</c:v>
                </c:pt>
                <c:pt idx="85">
                  <c:v>1.9671638926819637</c:v>
                </c:pt>
                <c:pt idx="86">
                  <c:v>1.9664824529593699</c:v>
                </c:pt>
                <c:pt idx="87">
                  <c:v>1.9657814951334245</c:v>
                </c:pt>
                <c:pt idx="88">
                  <c:v>1.9650579928385139</c:v>
                </c:pt>
                <c:pt idx="89">
                  <c:v>1.9643086264904703</c:v>
                </c:pt>
                <c:pt idx="90">
                  <c:v>1.9635297320755012</c:v>
                </c:pt>
                <c:pt idx="91">
                  <c:v>1.9627172401536346</c:v>
                </c:pt>
                <c:pt idx="92">
                  <c:v>1.9618666027414942</c:v>
                </c:pt>
                <c:pt idx="93">
                  <c:v>1.9609727050854591</c:v>
                </c:pt>
                <c:pt idx="94">
                  <c:v>1.960029758468784</c:v>
                </c:pt>
                <c:pt idx="95">
                  <c:v>1.9590311690344953</c:v>
                </c:pt>
                <c:pt idx="96">
                  <c:v>1.9579693760346042</c:v>
                </c:pt>
                <c:pt idx="97">
                  <c:v>1.9568356507685194</c:v>
                </c:pt>
                <c:pt idx="98">
                  <c:v>1.955619844504527</c:v>
                </c:pt>
                <c:pt idx="99">
                  <c:v>1.9543100695234736</c:v>
                </c:pt>
                <c:pt idx="100">
                  <c:v>1.9528922915326645</c:v>
                </c:pt>
                <c:pt idx="101">
                  <c:v>1.9513498032249776</c:v>
                </c:pt>
                <c:pt idx="102">
                  <c:v>1.9496625363816786</c:v>
                </c:pt>
                <c:pt idx="103">
                  <c:v>1.9478061515314404</c:v>
                </c:pt>
                <c:pt idx="104">
                  <c:v>1.9457508163556474</c:v>
                </c:pt>
                <c:pt idx="105">
                  <c:v>1.9434595410645239</c:v>
                </c:pt>
                <c:pt idx="106">
                  <c:v>1.9408858711126413</c:v>
                </c:pt>
                <c:pt idx="107">
                  <c:v>1.9379706277523048</c:v>
                </c:pt>
                <c:pt idx="108">
                  <c:v>1.9346372039997766</c:v>
                </c:pt>
                <c:pt idx="109">
                  <c:v>1.9307846093359828</c:v>
                </c:pt>
                <c:pt idx="110">
                  <c:v>1.9262768970340323</c:v>
                </c:pt>
                <c:pt idx="111">
                  <c:v>1.9209265706911041</c:v>
                </c:pt>
                <c:pt idx="112">
                  <c:v>1.9144675501888053</c:v>
                </c:pt>
                <c:pt idx="113">
                  <c:v>1.9065091349229735</c:v>
                </c:pt>
                <c:pt idx="114">
                  <c:v>1.896453312459538</c:v>
                </c:pt>
                <c:pt idx="115">
                  <c:v>1.8833361541462592</c:v>
                </c:pt>
                <c:pt idx="116">
                  <c:v>1.8654973043900032</c:v>
                </c:pt>
                <c:pt idx="117">
                  <c:v>1.8398122593104209</c:v>
                </c:pt>
                <c:pt idx="118">
                  <c:v>1.799621846030504</c:v>
                </c:pt>
                <c:pt idx="119">
                  <c:v>1.7277624423506182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9-4530-9463-5BAA5C52142A}"/>
            </c:ext>
          </c:extLst>
        </c:ser>
        <c:ser>
          <c:idx val="3"/>
          <c:order val="3"/>
          <c:tx>
            <c:v>Id  =  3,15 [A]</c:v>
          </c:tx>
          <c:spPr>
            <a:ln w="1587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rev.'!$CD$36:$CD$157</c:f>
              <c:numCache>
                <c:formatCode>#,##0.00</c:formatCode>
                <c:ptCount val="122"/>
                <c:pt idx="0">
                  <c:v>2.25</c:v>
                </c:pt>
                <c:pt idx="1">
                  <c:v>2.2349297222222222</c:v>
                </c:pt>
                <c:pt idx="2">
                  <c:v>2.1986636741828662</c:v>
                </c:pt>
                <c:pt idx="3">
                  <c:v>2.1671739796160789</c:v>
                </c:pt>
                <c:pt idx="4">
                  <c:v>2.1398192536993967</c:v>
                </c:pt>
                <c:pt idx="5">
                  <c:v>2.1160434307526086</c:v>
                </c:pt>
                <c:pt idx="6">
                  <c:v>2.0953643366835992</c:v>
                </c:pt>
                <c:pt idx="7">
                  <c:v>2.0773637817989874</c:v>
                </c:pt>
                <c:pt idx="8">
                  <c:v>2.061678970021863</c:v>
                </c:pt>
                <c:pt idx="9">
                  <c:v>2.0479950475807156</c:v>
                </c:pt>
                <c:pt idx="10">
                  <c:v>2.0360386375947828</c:v>
                </c:pt>
                <c:pt idx="11">
                  <c:v>2.0255722271548815</c:v>
                </c:pt>
                <c:pt idx="12">
                  <c:v>2.0163892908902512</c:v>
                </c:pt>
                <c:pt idx="13">
                  <c:v>2.0083100499648987</c:v>
                </c:pt>
                <c:pt idx="14">
                  <c:v>2.0011777782494442</c:v>
                </c:pt>
                <c:pt idx="15">
                  <c:v>1.9948555783023594</c:v>
                </c:pt>
                <c:pt idx="16">
                  <c:v>1.9892235589524074</c:v>
                </c:pt>
                <c:pt idx="17">
                  <c:v>1.9841763538340966</c:v>
                </c:pt>
                <c:pt idx="18">
                  <c:v>1.9796209262634674</c:v>
                </c:pt>
                <c:pt idx="19">
                  <c:v>1.9754746103563525</c:v>
                </c:pt>
                <c:pt idx="20">
                  <c:v>1.9716633411992988</c:v>
                </c:pt>
                <c:pt idx="21">
                  <c:v>1.9681200279749544</c:v>
                </c:pt>
                <c:pt idx="22">
                  <c:v>1.9647830228300089</c:v>
                </c:pt>
                <c:pt idx="23">
                  <c:v>1.9615946342940487</c:v>
                </c:pt>
                <c:pt idx="24">
                  <c:v>1.9584996261249412</c:v>
                </c:pt>
                <c:pt idx="25">
                  <c:v>1.9554436287942241</c:v>
                </c:pt>
                <c:pt idx="26">
                  <c:v>1.9523713685127078</c:v>
                </c:pt>
                <c:pt idx="27">
                  <c:v>1.9492245828550556</c:v>
                </c:pt>
                <c:pt idx="28">
                  <c:v>1.9459394343637024</c:v>
                </c:pt>
                <c:pt idx="29">
                  <c:v>1.942443139483826</c:v>
                </c:pt>
                <c:pt idx="30">
                  <c:v>1.9386493737025692</c:v>
                </c:pt>
                <c:pt idx="31">
                  <c:v>1.9344517463105726</c:v>
                </c:pt>
                <c:pt idx="32">
                  <c:v>1.9297141660535926</c:v>
                </c:pt>
                <c:pt idx="33">
                  <c:v>1.924256053067366</c:v>
                </c:pt>
                <c:pt idx="34">
                  <c:v>1.917828692078166</c:v>
                </c:pt>
                <c:pt idx="35">
                  <c:v>1.9100756661545175</c:v>
                </c:pt>
                <c:pt idx="36">
                  <c:v>1.9004630913983489</c:v>
                </c:pt>
                <c:pt idx="37">
                  <c:v>1.8881486259775915</c:v>
                </c:pt>
                <c:pt idx="38">
                  <c:v>1.8717155789447268</c:v>
                </c:pt>
                <c:pt idx="39">
                  <c:v>1.8485761521704736</c:v>
                </c:pt>
                <c:pt idx="40">
                  <c:v>1.8134373863785935</c:v>
                </c:pt>
                <c:pt idx="41">
                  <c:v>1.7535026461008161</c:v>
                </c:pt>
                <c:pt idx="42">
                  <c:v>1.6278487214534443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39-4530-9463-5BAA5C52142A}"/>
            </c:ext>
          </c:extLst>
        </c:ser>
        <c:ser>
          <c:idx val="8"/>
          <c:order val="8"/>
          <c:tx>
            <c:v>Id  =  12,5 [A]</c:v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rev.'!$CI$36:$CI$157</c:f>
              <c:numCache>
                <c:formatCode>#,##0.00</c:formatCode>
                <c:ptCount val="122"/>
                <c:pt idx="0">
                  <c:v>2.25</c:v>
                </c:pt>
                <c:pt idx="1">
                  <c:v>2.1902499999999998</c:v>
                </c:pt>
                <c:pt idx="2">
                  <c:v>2.0675967273835214</c:v>
                </c:pt>
                <c:pt idx="3">
                  <c:v>1.9940870208913164</c:v>
                </c:pt>
                <c:pt idx="4">
                  <c:v>1.9472886388460542</c:v>
                </c:pt>
                <c:pt idx="5">
                  <c:v>1.9139491267187621</c:v>
                </c:pt>
                <c:pt idx="6">
                  <c:v>1.8856115871689572</c:v>
                </c:pt>
                <c:pt idx="7">
                  <c:v>1.8556767612508713</c:v>
                </c:pt>
                <c:pt idx="8">
                  <c:v>1.8165173992788854</c:v>
                </c:pt>
                <c:pt idx="9">
                  <c:v>1.7538116662175649</c:v>
                </c:pt>
                <c:pt idx="10">
                  <c:v>1.6248063878088208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CC39-4530-9463-5BAA5C52142A}"/>
            </c:ext>
          </c:extLst>
        </c:ser>
        <c:ser>
          <c:idx val="9"/>
          <c:order val="9"/>
          <c:tx>
            <c:v>Id  =  26,17 [A]</c:v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rev.'!$CJ$36:$CJ$157</c:f>
              <c:numCache>
                <c:formatCode>#,##0.00</c:formatCode>
                <c:ptCount val="122"/>
                <c:pt idx="0">
                  <c:v>2.25</c:v>
                </c:pt>
                <c:pt idx="1">
                  <c:v>2.1249233333333333</c:v>
                </c:pt>
                <c:pt idx="2">
                  <c:v>1.9078438363309074</c:v>
                </c:pt>
                <c:pt idx="3">
                  <c:v>1.8018917196301869</c:v>
                </c:pt>
                <c:pt idx="4">
                  <c:v>1.6901576660097275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CC39-4530-9463-5BAA5C52142A}"/>
            </c:ext>
          </c:extLst>
        </c:ser>
        <c:ser>
          <c:idx val="10"/>
          <c:order val="10"/>
          <c:tx>
            <c:v>UFin  =  1,75 [V/c]</c:v>
          </c:tx>
          <c:spPr>
            <a:ln w="1905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rev.'!$CK$36:$CK$157</c:f>
              <c:numCache>
                <c:formatCode>#,##0.00</c:formatCode>
                <c:ptCount val="122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CC39-4530-9463-5BAA5C52142A}"/>
            </c:ext>
          </c:extLst>
        </c:ser>
        <c:ser>
          <c:idx val="11"/>
          <c:order val="11"/>
          <c:tx>
            <c:v>tn  =  8 [h]</c:v>
          </c:tx>
          <c:spPr>
            <a:ln w="19050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'100 A 39, 3 par. rev.'!$BZ$36:$BZ$157</c:f>
              <c:numCache>
                <c:formatCode>#,##0.00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31.000000000000004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62.000000000000007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</c:numCache>
            </c:numRef>
          </c:xVal>
          <c:yVal>
            <c:numRef>
              <c:f>'100 A 39, 3 par. rev.'!$CL$36:$CL$157</c:f>
              <c:numCache>
                <c:formatCode>0.0E+00</c:formatCode>
                <c:ptCount val="122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CC39-4530-9463-5BAA5C521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90272"/>
        <c:axId val="11359219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Id  =  1,92 [A]</c:v>
                </c:tx>
                <c:spPr>
                  <a:ln w="15875">
                    <a:solidFill>
                      <a:srgbClr val="996633"/>
                    </a:solidFill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'[1]100 A 39, 3 par. rev.'!$CB$36:$CB$157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2.2424648611111113</c:v>
                      </c:pt>
                      <c:pt idx="2">
                        <c:v>2.2237798670316815</c:v>
                      </c:pt>
                      <c:pt idx="3">
                        <c:v>2.2063786190472108</c:v>
                      </c:pt>
                      <c:pt idx="4">
                        <c:v>2.1901721257927718</c:v>
                      </c:pt>
                      <c:pt idx="5">
                        <c:v>2.1750775402889091</c:v>
                      </c:pt>
                      <c:pt idx="6">
                        <c:v>2.1610177345794881</c:v>
                      </c:pt>
                      <c:pt idx="7">
                        <c:v>2.1479209037482594</c:v>
                      </c:pt>
                      <c:pt idx="8">
                        <c:v>2.1357201972798938</c:v>
                      </c:pt>
                      <c:pt idx="9">
                        <c:v>2.124353375871638</c:v>
                      </c:pt>
                      <c:pt idx="10">
                        <c:v>2.1137624919323805</c:v>
                      </c:pt>
                      <c:pt idx="11">
                        <c:v>2.1038935921275259</c:v>
                      </c:pt>
                      <c:pt idx="12">
                        <c:v>2.0946964404411901</c:v>
                      </c:pt>
                      <c:pt idx="13">
                        <c:v>2.0861242603325278</c:v>
                      </c:pt>
                      <c:pt idx="14">
                        <c:v>2.0781334946609213</c:v>
                      </c:pt>
                      <c:pt idx="15">
                        <c:v>2.0706835821459015</c:v>
                      </c:pt>
                      <c:pt idx="16">
                        <c:v>2.0637367492123997</c:v>
                      </c:pt>
                      <c:pt idx="17">
                        <c:v>2.0572578161507789</c:v>
                      </c:pt>
                      <c:pt idx="18">
                        <c:v>2.051214016594344</c:v>
                      </c:pt>
                      <c:pt idx="19">
                        <c:v>2.0455748293851954</c:v>
                      </c:pt>
                      <c:pt idx="20">
                        <c:v>2.040311821962562</c:v>
                      </c:pt>
                      <c:pt idx="21">
                        <c:v>2.0353985044665892</c:v>
                      </c:pt>
                      <c:pt idx="22">
                        <c:v>2.0308101938051402</c:v>
                      </c:pt>
                      <c:pt idx="23">
                        <c:v>2.0265238869818263</c:v>
                      </c:pt>
                      <c:pt idx="24">
                        <c:v>2.02251814303047</c:v>
                      </c:pt>
                      <c:pt idx="25">
                        <c:v>2.0187729729446966</c:v>
                      </c:pt>
                      <c:pt idx="26">
                        <c:v>2.0152697370316028</c:v>
                      </c:pt>
                      <c:pt idx="27">
                        <c:v>2.0119910491556179</c:v>
                      </c:pt>
                      <c:pt idx="28">
                        <c:v>2.0089206873729379</c:v>
                      </c:pt>
                      <c:pt idx="29">
                        <c:v>2.0060435104884053</c:v>
                      </c:pt>
                      <c:pt idx="30">
                        <c:v>2.0033453800955607</c:v>
                      </c:pt>
                      <c:pt idx="31">
                        <c:v>2.0008130876869017</c:v>
                      </c:pt>
                      <c:pt idx="32">
                        <c:v>1.9984342864452385</c:v>
                      </c:pt>
                      <c:pt idx="33">
                        <c:v>1.9961974273484786</c:v>
                      </c:pt>
                      <c:pt idx="34">
                        <c:v>1.9940916992392403</c:v>
                      </c:pt>
                      <c:pt idx="35">
                        <c:v>1.9921069725273779</c:v>
                      </c:pt>
                      <c:pt idx="36">
                        <c:v>1.9902337462077591</c:v>
                      </c:pt>
                      <c:pt idx="37">
                        <c:v>1.9884630978874138</c:v>
                      </c:pt>
                      <c:pt idx="38">
                        <c:v>1.9867866365252915</c:v>
                      </c:pt>
                      <c:pt idx="39">
                        <c:v>1.985196457594198</c:v>
                      </c:pt>
                      <c:pt idx="40">
                        <c:v>1.9836851003777238</c:v>
                      </c:pt>
                      <c:pt idx="41">
                        <c:v>1.9822455071148088</c:v>
                      </c:pt>
                      <c:pt idx="42">
                        <c:v>1.9808709837005296</c:v>
                      </c:pt>
                      <c:pt idx="43">
                        <c:v>1.9795551616431861</c:v>
                      </c:pt>
                      <c:pt idx="44">
                        <c:v>1.9782919609639797</c:v>
                      </c:pt>
                      <c:pt idx="45">
                        <c:v>1.977075553705578</c:v>
                      </c:pt>
                      <c:pt idx="46">
                        <c:v>1.9759003276883182</c:v>
                      </c:pt>
                      <c:pt idx="47">
                        <c:v>1.9747608501160749</c:v>
                      </c:pt>
                      <c:pt idx="48">
                        <c:v>1.973651830585748</c:v>
                      </c:pt>
                      <c:pt idx="49">
                        <c:v>1.972568082992102</c:v>
                      </c:pt>
                      <c:pt idx="50">
                        <c:v>1.9715044857396875</c:v>
                      </c:pt>
                      <c:pt idx="51">
                        <c:v>1.9704559395709418</c:v>
                      </c:pt>
                      <c:pt idx="52">
                        <c:v>1.9694173221880094</c:v>
                      </c:pt>
                      <c:pt idx="53">
                        <c:v>1.9683834386768935</c:v>
                      </c:pt>
                      <c:pt idx="54">
                        <c:v>1.9673489665249555</c:v>
                      </c:pt>
                      <c:pt idx="55">
                        <c:v>1.9663083937413131</c:v>
                      </c:pt>
                      <c:pt idx="56">
                        <c:v>1.965255948223684</c:v>
                      </c:pt>
                      <c:pt idx="57">
                        <c:v>1.9641855160362109</c:v>
                      </c:pt>
                      <c:pt idx="58">
                        <c:v>1.9630905456315975</c:v>
                      </c:pt>
                      <c:pt idx="59">
                        <c:v>1.9619639342124335</c:v>
                      </c:pt>
                      <c:pt idx="60">
                        <c:v>1.9607978913032931</c:v>
                      </c:pt>
                      <c:pt idx="61">
                        <c:v>1.9595837730860595</c:v>
                      </c:pt>
                      <c:pt idx="62">
                        <c:v>1.9583118789754081</c:v>
                      </c:pt>
                      <c:pt idx="63">
                        <c:v>1.9569711990442336</c:v>
                      </c:pt>
                      <c:pt idx="64">
                        <c:v>1.9555490969004756</c:v>
                      </c:pt>
                      <c:pt idx="65">
                        <c:v>1.9540309069399682</c:v>
                      </c:pt>
                      <c:pt idx="66">
                        <c:v>1.9523994167463392</c:v>
                      </c:pt>
                      <c:pt idx="67">
                        <c:v>1.950634193517526</c:v>
                      </c:pt>
                      <c:pt idx="68">
                        <c:v>1.9487106957638101</c:v>
                      </c:pt>
                      <c:pt idx="69">
                        <c:v>1.9465990848885613</c:v>
                      </c:pt>
                      <c:pt idx="70">
                        <c:v>1.9442626102216252</c:v>
                      </c:pt>
                      <c:pt idx="71">
                        <c:v>1.9416553764139983</c:v>
                      </c:pt>
                      <c:pt idx="72">
                        <c:v>1.938719197685802</c:v>
                      </c:pt>
                      <c:pt idx="73">
                        <c:v>1.9353790700990385</c:v>
                      </c:pt>
                      <c:pt idx="74">
                        <c:v>1.9315364962842771</c:v>
                      </c:pt>
                      <c:pt idx="75">
                        <c:v>1.9270593708427</c:v>
                      </c:pt>
                      <c:pt idx="76">
                        <c:v>1.9217661632839775</c:v>
                      </c:pt>
                      <c:pt idx="77">
                        <c:v>1.9154002570100026</c:v>
                      </c:pt>
                      <c:pt idx="78">
                        <c:v>1.9075864676084227</c:v>
                      </c:pt>
                      <c:pt idx="79">
                        <c:v>1.8977534097830533</c:v>
                      </c:pt>
                      <c:pt idx="80">
                        <c:v>1.8849857030989683</c:v>
                      </c:pt>
                      <c:pt idx="81">
                        <c:v>1.8677189178022051</c:v>
                      </c:pt>
                      <c:pt idx="82">
                        <c:v>1.8430399518207468</c:v>
                      </c:pt>
                      <c:pt idx="83">
                        <c:v>1.8048337952696936</c:v>
                      </c:pt>
                      <c:pt idx="84">
                        <c:v>1.7377164312709443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CC39-4530-9463-5BAA5C52142A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Id  =  2,36 [A]</c:v>
                </c:tx>
                <c:spPr>
                  <a:ln w="15875">
                    <a:solidFill>
                      <a:schemeClr val="accent4">
                        <a:lumMod val="60000"/>
                        <a:lumOff val="40000"/>
                      </a:schemeClr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rev.'!$CC$36:$CC$157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2.2386972916666665</c:v>
                      </c:pt>
                      <c:pt idx="2">
                        <c:v>2.2110898899472984</c:v>
                      </c:pt>
                      <c:pt idx="3">
                        <c:v>2.1862680700117689</c:v>
                      </c:pt>
                      <c:pt idx="4">
                        <c:v>2.1639468143247598</c:v>
                      </c:pt>
                      <c:pt idx="5">
                        <c:v>2.1438700787238281</c:v>
                      </c:pt>
                      <c:pt idx="6">
                        <c:v>2.1258078338094393</c:v>
                      </c:pt>
                      <c:pt idx="7">
                        <c:v>2.1095534071943511</c:v>
                      </c:pt>
                      <c:pt idx="8">
                        <c:v>2.0949210958697604</c:v>
                      </c:pt>
                      <c:pt idx="9">
                        <c:v>2.0817440210657572</c:v>
                      </c:pt>
                      <c:pt idx="10">
                        <c:v>2.0698722007835682</c:v>
                      </c:pt>
                      <c:pt idx="11">
                        <c:v>2.0591708176889094</c:v>
                      </c:pt>
                      <c:pt idx="12">
                        <c:v>2.0495186623083939</c:v>
                      </c:pt>
                      <c:pt idx="13">
                        <c:v>2.0408067334899891</c:v>
                      </c:pt>
                      <c:pt idx="14">
                        <c:v>2.0329369798969434</c:v>
                      </c:pt>
                      <c:pt idx="15">
                        <c:v>2.0258211679228508</c:v>
                      </c:pt>
                      <c:pt idx="16">
                        <c:v>2.0193798628614954</c:v>
                      </c:pt>
                      <c:pt idx="17">
                        <c:v>2.0135415114547977</c:v>
                      </c:pt>
                      <c:pt idx="18">
                        <c:v>2.0082416150892488</c:v>
                      </c:pt>
                      <c:pt idx="19">
                        <c:v>2.0034219839274789</c:v>
                      </c:pt>
                      <c:pt idx="20">
                        <c:v>1.9990300631569238</c:v>
                      </c:pt>
                      <c:pt idx="21">
                        <c:v>1.9950183233196546</c:v>
                      </c:pt>
                      <c:pt idx="22">
                        <c:v>1.9913437073620763</c:v>
                      </c:pt>
                      <c:pt idx="23">
                        <c:v>1.987967127613651</c:v>
                      </c:pt>
                      <c:pt idx="24">
                        <c:v>1.984853006370692</c:v>
                      </c:pt>
                      <c:pt idx="25">
                        <c:v>1.981968854121883</c:v>
                      </c:pt>
                      <c:pt idx="26">
                        <c:v>1.9792848796997136</c:v>
                      </c:pt>
                      <c:pt idx="27">
                        <c:v>1.9767736267642513</c:v>
                      </c:pt>
                      <c:pt idx="28">
                        <c:v>1.9744096310032846</c:v>
                      </c:pt>
                      <c:pt idx="29">
                        <c:v>1.9721690922365973</c:v>
                      </c:pt>
                      <c:pt idx="30">
                        <c:v>1.9700295551991218</c:v>
                      </c:pt>
                      <c:pt idx="31">
                        <c:v>1.9679695920853371</c:v>
                      </c:pt>
                      <c:pt idx="32">
                        <c:v>1.9659684788747658</c:v>
                      </c:pt>
                      <c:pt idx="33">
                        <c:v>1.9640058558931628</c:v>
                      </c:pt>
                      <c:pt idx="34">
                        <c:v>1.9620613608012996</c:v>
                      </c:pt>
                      <c:pt idx="35">
                        <c:v>1.9601142189539804</c:v>
                      </c:pt>
                      <c:pt idx="36">
                        <c:v>1.9581427714015875</c:v>
                      </c:pt>
                      <c:pt idx="37">
                        <c:v>1.9561239140525077</c:v>
                      </c:pt>
                      <c:pt idx="38">
                        <c:v>1.9540324116507677</c:v>
                      </c:pt>
                      <c:pt idx="39">
                        <c:v>1.9518400356299312</c:v>
                      </c:pt>
                      <c:pt idx="40">
                        <c:v>1.9495144529771629</c:v>
                      </c:pt>
                      <c:pt idx="41">
                        <c:v>1.947017759698316</c:v>
                      </c:pt>
                      <c:pt idx="42">
                        <c:v>1.9443045001059904</c:v>
                      </c:pt>
                      <c:pt idx="43">
                        <c:v>1.9413189294919331</c:v>
                      </c:pt>
                      <c:pt idx="44">
                        <c:v>1.9379911405959005</c:v>
                      </c:pt>
                      <c:pt idx="45">
                        <c:v>1.934231442797846</c:v>
                      </c:pt>
                      <c:pt idx="46">
                        <c:v>1.9299219791341167</c:v>
                      </c:pt>
                      <c:pt idx="47">
                        <c:v>1.924903834710858</c:v>
                      </c:pt>
                      <c:pt idx="48">
                        <c:v>1.9189565061681866</c:v>
                      </c:pt>
                      <c:pt idx="49">
                        <c:v>1.911763848038315</c:v>
                      </c:pt>
                      <c:pt idx="50">
                        <c:v>1.9028547953580417</c:v>
                      </c:pt>
                      <c:pt idx="51">
                        <c:v>1.8914939645693467</c:v>
                      </c:pt>
                      <c:pt idx="52">
                        <c:v>1.8764645419610657</c:v>
                      </c:pt>
                      <c:pt idx="53">
                        <c:v>1.8555953980808233</c:v>
                      </c:pt>
                      <c:pt idx="54">
                        <c:v>1.8245949377549053</c:v>
                      </c:pt>
                      <c:pt idx="55">
                        <c:v>1.7736224544916865</c:v>
                      </c:pt>
                      <c:pt idx="56">
                        <c:v>1.6740283400710092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C39-4530-9463-5BAA5C52142A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Id  =  4,67 [A]</c:v>
                </c:tx>
                <c:spPr>
                  <a:ln w="15875">
                    <a:solidFill>
                      <a:srgbClr val="FFC000"/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rev.'!$CE$36:$CE$157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2.2276933333333333</c:v>
                      </c:pt>
                      <c:pt idx="2">
                        <c:v>2.1754936530344104</c:v>
                      </c:pt>
                      <c:pt idx="3">
                        <c:v>2.1330595369067247</c:v>
                      </c:pt>
                      <c:pt idx="4">
                        <c:v>2.098506296442451</c:v>
                      </c:pt>
                      <c:pt idx="5">
                        <c:v>2.0703070618672172</c:v>
                      </c:pt>
                      <c:pt idx="6">
                        <c:v>2.0472239513478327</c:v>
                      </c:pt>
                      <c:pt idx="7">
                        <c:v>2.0282522920745683</c:v>
                      </c:pt>
                      <c:pt idx="8">
                        <c:v>2.0125753679007503</c:v>
                      </c:pt>
                      <c:pt idx="9">
                        <c:v>1.9995276398955835</c:v>
                      </c:pt>
                      <c:pt idx="10">
                        <c:v>1.9885647629737597</c:v>
                      </c:pt>
                      <c:pt idx="11">
                        <c:v>1.979239019457002</c:v>
                      </c:pt>
                      <c:pt idx="12">
                        <c:v>1.9711790203298007</c:v>
                      </c:pt>
                      <c:pt idx="13">
                        <c:v>1.96407269386599</c:v>
                      </c:pt>
                      <c:pt idx="14">
                        <c:v>1.9576526906118885</c:v>
                      </c:pt>
                      <c:pt idx="15">
                        <c:v>1.9516833772314643</c:v>
                      </c:pt>
                      <c:pt idx="16">
                        <c:v>1.9459485510340202</c:v>
                      </c:pt>
                      <c:pt idx="17">
                        <c:v>1.9402388417184762</c:v>
                      </c:pt>
                      <c:pt idx="18">
                        <c:v>1.9343373938753714</c:v>
                      </c:pt>
                      <c:pt idx="19">
                        <c:v>1.9280016715872588</c:v>
                      </c:pt>
                      <c:pt idx="20">
                        <c:v>1.9209377293853771</c:v>
                      </c:pt>
                      <c:pt idx="21">
                        <c:v>1.912760231978466</c:v>
                      </c:pt>
                      <c:pt idx="22">
                        <c:v>1.902924917892457</c:v>
                      </c:pt>
                      <c:pt idx="23">
                        <c:v>1.890605012928215</c:v>
                      </c:pt>
                      <c:pt idx="24">
                        <c:v>1.8744448097456055</c:v>
                      </c:pt>
                      <c:pt idx="25">
                        <c:v>1.8520153800365717</c:v>
                      </c:pt>
                      <c:pt idx="26">
                        <c:v>1.8184411054298966</c:v>
                      </c:pt>
                      <c:pt idx="27">
                        <c:v>1.7622144802327013</c:v>
                      </c:pt>
                      <c:pt idx="28">
                        <c:v>1.6479929341170019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C39-4530-9463-5BAA5C52142A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v>Id  =  5,55 [A]</c:v>
                </c:tx>
                <c:spPr>
                  <a:ln w="15875">
                    <a:solidFill>
                      <a:srgbClr val="FFFF00"/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rev.'!$CF$36:$CF$157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2.223471</c:v>
                      </c:pt>
                      <c:pt idx="2">
                        <c:v>2.1623720649585843</c:v>
                      </c:pt>
                      <c:pt idx="3">
                        <c:v>2.1145414330857171</c:v>
                      </c:pt>
                      <c:pt idx="4">
                        <c:v>2.0769837301920728</c:v>
                      </c:pt>
                      <c:pt idx="5">
                        <c:v>2.0473654472521798</c:v>
                      </c:pt>
                      <c:pt idx="6">
                        <c:v>2.0238660099625951</c:v>
                      </c:pt>
                      <c:pt idx="7">
                        <c:v>2.0050616539565165</c:v>
                      </c:pt>
                      <c:pt idx="8">
                        <c:v>1.9898346415288106</c:v>
                      </c:pt>
                      <c:pt idx="9">
                        <c:v>1.9773019512650636</c:v>
                      </c:pt>
                      <c:pt idx="10">
                        <c:v>1.9667587734848273</c:v>
                      </c:pt>
                      <c:pt idx="11">
                        <c:v>1.9576330142072278</c:v>
                      </c:pt>
                      <c:pt idx="12">
                        <c:v>1.9494475765343544</c:v>
                      </c:pt>
                      <c:pt idx="13">
                        <c:v>1.9417874333298015</c:v>
                      </c:pt>
                      <c:pt idx="14">
                        <c:v>1.934268335268484</c:v>
                      </c:pt>
                      <c:pt idx="15">
                        <c:v>1.926503171102842</c:v>
                      </c:pt>
                      <c:pt idx="16">
                        <c:v>1.9180599416694466</c:v>
                      </c:pt>
                      <c:pt idx="17">
                        <c:v>1.908400665273069</c:v>
                      </c:pt>
                      <c:pt idx="18">
                        <c:v>1.8967798649276104</c:v>
                      </c:pt>
                      <c:pt idx="19">
                        <c:v>1.8820551613530001</c:v>
                      </c:pt>
                      <c:pt idx="20">
                        <c:v>1.8622919536346896</c:v>
                      </c:pt>
                      <c:pt idx="21">
                        <c:v>1.8338265759266441</c:v>
                      </c:pt>
                      <c:pt idx="22">
                        <c:v>1.7886453971693272</c:v>
                      </c:pt>
                      <c:pt idx="23">
                        <c:v>1.7050056813756433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C39-4530-9463-5BAA5C52142A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Id  =  8,92 [A]</c:v>
                </c:tx>
                <c:spPr>
                  <a:ln w="15875">
                    <a:solidFill>
                      <a:schemeClr val="accent2">
                        <a:lumMod val="60000"/>
                        <a:lumOff val="40000"/>
                      </a:schemeClr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rev.'!$CG$36:$CG$157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2.2073783333333332</c:v>
                      </c:pt>
                      <c:pt idx="2">
                        <c:v>2.1147541316165772</c:v>
                      </c:pt>
                      <c:pt idx="3">
                        <c:v>2.0515345215940508</c:v>
                      </c:pt>
                      <c:pt idx="4">
                        <c:v>2.0076554599718146</c:v>
                      </c:pt>
                      <c:pt idx="5">
                        <c:v>1.976328176529178</c:v>
                      </c:pt>
                      <c:pt idx="6">
                        <c:v>1.9529142041613823</c:v>
                      </c:pt>
                      <c:pt idx="7">
                        <c:v>1.9341554542812127</c:v>
                      </c:pt>
                      <c:pt idx="8">
                        <c:v>1.9176253392179274</c:v>
                      </c:pt>
                      <c:pt idx="9">
                        <c:v>1.9012951587618547</c:v>
                      </c:pt>
                      <c:pt idx="10">
                        <c:v>1.8831059912036432</c:v>
                      </c:pt>
                      <c:pt idx="11">
                        <c:v>1.8603685751497092</c:v>
                      </c:pt>
                      <c:pt idx="12">
                        <c:v>1.8285530602626496</c:v>
                      </c:pt>
                      <c:pt idx="13">
                        <c:v>1.7779842010828861</c:v>
                      </c:pt>
                      <c:pt idx="14">
                        <c:v>1.6814746288444711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C39-4530-9463-5BAA5C52142A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Id  =  10,39 [A]</c:v>
                </c:tx>
                <c:spPr>
                  <a:ln w="15875">
                    <a:solidFill>
                      <a:srgbClr val="00B050"/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rev.'!$BZ$36:$BZ$157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  <c:pt idx="31">
                        <c:v>30</c:v>
                      </c:pt>
                      <c:pt idx="32">
                        <c:v>31.000000000000004</c:v>
                      </c:pt>
                      <c:pt idx="33">
                        <c:v>32</c:v>
                      </c:pt>
                      <c:pt idx="34">
                        <c:v>33</c:v>
                      </c:pt>
                      <c:pt idx="35">
                        <c:v>34</c:v>
                      </c:pt>
                      <c:pt idx="36">
                        <c:v>35</c:v>
                      </c:pt>
                      <c:pt idx="37">
                        <c:v>36</c:v>
                      </c:pt>
                      <c:pt idx="38">
                        <c:v>37</c:v>
                      </c:pt>
                      <c:pt idx="39">
                        <c:v>38</c:v>
                      </c:pt>
                      <c:pt idx="40">
                        <c:v>39</c:v>
                      </c:pt>
                      <c:pt idx="41">
                        <c:v>40</c:v>
                      </c:pt>
                      <c:pt idx="42">
                        <c:v>41</c:v>
                      </c:pt>
                      <c:pt idx="43">
                        <c:v>42</c:v>
                      </c:pt>
                      <c:pt idx="44">
                        <c:v>43</c:v>
                      </c:pt>
                      <c:pt idx="45">
                        <c:v>44</c:v>
                      </c:pt>
                      <c:pt idx="46">
                        <c:v>45</c:v>
                      </c:pt>
                      <c:pt idx="47">
                        <c:v>46</c:v>
                      </c:pt>
                      <c:pt idx="48">
                        <c:v>47</c:v>
                      </c:pt>
                      <c:pt idx="49">
                        <c:v>48</c:v>
                      </c:pt>
                      <c:pt idx="50">
                        <c:v>49</c:v>
                      </c:pt>
                      <c:pt idx="51">
                        <c:v>50</c:v>
                      </c:pt>
                      <c:pt idx="52">
                        <c:v>51</c:v>
                      </c:pt>
                      <c:pt idx="53">
                        <c:v>52</c:v>
                      </c:pt>
                      <c:pt idx="54">
                        <c:v>53</c:v>
                      </c:pt>
                      <c:pt idx="55">
                        <c:v>54</c:v>
                      </c:pt>
                      <c:pt idx="56">
                        <c:v>55</c:v>
                      </c:pt>
                      <c:pt idx="57">
                        <c:v>56</c:v>
                      </c:pt>
                      <c:pt idx="58">
                        <c:v>57</c:v>
                      </c:pt>
                      <c:pt idx="59">
                        <c:v>58</c:v>
                      </c:pt>
                      <c:pt idx="60">
                        <c:v>59</c:v>
                      </c:pt>
                      <c:pt idx="61">
                        <c:v>60</c:v>
                      </c:pt>
                      <c:pt idx="62">
                        <c:v>61</c:v>
                      </c:pt>
                      <c:pt idx="63">
                        <c:v>62.000000000000007</c:v>
                      </c:pt>
                      <c:pt idx="64">
                        <c:v>63</c:v>
                      </c:pt>
                      <c:pt idx="65">
                        <c:v>64</c:v>
                      </c:pt>
                      <c:pt idx="66">
                        <c:v>65</c:v>
                      </c:pt>
                      <c:pt idx="67">
                        <c:v>66</c:v>
                      </c:pt>
                      <c:pt idx="68">
                        <c:v>67</c:v>
                      </c:pt>
                      <c:pt idx="69">
                        <c:v>68</c:v>
                      </c:pt>
                      <c:pt idx="70">
                        <c:v>69</c:v>
                      </c:pt>
                      <c:pt idx="71">
                        <c:v>70</c:v>
                      </c:pt>
                      <c:pt idx="72">
                        <c:v>71</c:v>
                      </c:pt>
                      <c:pt idx="73">
                        <c:v>72</c:v>
                      </c:pt>
                      <c:pt idx="74">
                        <c:v>73</c:v>
                      </c:pt>
                      <c:pt idx="75">
                        <c:v>74</c:v>
                      </c:pt>
                      <c:pt idx="76">
                        <c:v>75</c:v>
                      </c:pt>
                      <c:pt idx="77">
                        <c:v>76</c:v>
                      </c:pt>
                      <c:pt idx="78">
                        <c:v>77</c:v>
                      </c:pt>
                      <c:pt idx="79">
                        <c:v>78</c:v>
                      </c:pt>
                      <c:pt idx="80">
                        <c:v>79</c:v>
                      </c:pt>
                      <c:pt idx="81">
                        <c:v>80</c:v>
                      </c:pt>
                      <c:pt idx="82">
                        <c:v>81</c:v>
                      </c:pt>
                      <c:pt idx="83">
                        <c:v>82</c:v>
                      </c:pt>
                      <c:pt idx="84">
                        <c:v>83</c:v>
                      </c:pt>
                      <c:pt idx="85">
                        <c:v>84</c:v>
                      </c:pt>
                      <c:pt idx="86">
                        <c:v>85</c:v>
                      </c:pt>
                      <c:pt idx="87">
                        <c:v>86</c:v>
                      </c:pt>
                      <c:pt idx="88">
                        <c:v>87</c:v>
                      </c:pt>
                      <c:pt idx="89">
                        <c:v>88</c:v>
                      </c:pt>
                      <c:pt idx="90">
                        <c:v>89</c:v>
                      </c:pt>
                      <c:pt idx="91">
                        <c:v>90</c:v>
                      </c:pt>
                      <c:pt idx="92">
                        <c:v>91</c:v>
                      </c:pt>
                      <c:pt idx="93">
                        <c:v>92</c:v>
                      </c:pt>
                      <c:pt idx="94">
                        <c:v>93</c:v>
                      </c:pt>
                      <c:pt idx="95">
                        <c:v>94</c:v>
                      </c:pt>
                      <c:pt idx="96">
                        <c:v>95</c:v>
                      </c:pt>
                      <c:pt idx="97">
                        <c:v>96</c:v>
                      </c:pt>
                      <c:pt idx="98">
                        <c:v>97</c:v>
                      </c:pt>
                      <c:pt idx="99">
                        <c:v>98</c:v>
                      </c:pt>
                      <c:pt idx="100">
                        <c:v>99</c:v>
                      </c:pt>
                      <c:pt idx="101">
                        <c:v>100</c:v>
                      </c:pt>
                      <c:pt idx="102">
                        <c:v>101</c:v>
                      </c:pt>
                      <c:pt idx="103">
                        <c:v>102</c:v>
                      </c:pt>
                      <c:pt idx="104">
                        <c:v>103</c:v>
                      </c:pt>
                      <c:pt idx="105">
                        <c:v>104</c:v>
                      </c:pt>
                      <c:pt idx="106">
                        <c:v>105</c:v>
                      </c:pt>
                      <c:pt idx="107">
                        <c:v>106</c:v>
                      </c:pt>
                      <c:pt idx="108">
                        <c:v>107</c:v>
                      </c:pt>
                      <c:pt idx="109">
                        <c:v>108</c:v>
                      </c:pt>
                      <c:pt idx="110">
                        <c:v>109</c:v>
                      </c:pt>
                      <c:pt idx="111">
                        <c:v>110</c:v>
                      </c:pt>
                      <c:pt idx="112">
                        <c:v>111</c:v>
                      </c:pt>
                      <c:pt idx="113">
                        <c:v>112</c:v>
                      </c:pt>
                      <c:pt idx="114">
                        <c:v>113</c:v>
                      </c:pt>
                      <c:pt idx="115">
                        <c:v>114</c:v>
                      </c:pt>
                      <c:pt idx="116">
                        <c:v>115</c:v>
                      </c:pt>
                      <c:pt idx="117">
                        <c:v>116</c:v>
                      </c:pt>
                      <c:pt idx="118">
                        <c:v>117</c:v>
                      </c:pt>
                      <c:pt idx="119">
                        <c:v>118</c:v>
                      </c:pt>
                      <c:pt idx="120">
                        <c:v>119</c:v>
                      </c:pt>
                      <c:pt idx="121">
                        <c:v>120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'[1]100 A 39, 3 par. rev.'!$CH$36:$CH$157</c15:sqref>
                        </c15:formulaRef>
                      </c:ext>
                    </c:extLst>
                    <c:numCache>
                      <c:formatCode>General</c:formatCode>
                      <c:ptCount val="122"/>
                      <c:pt idx="0">
                        <c:v>2.25</c:v>
                      </c:pt>
                      <c:pt idx="1">
                        <c:v>2.2003358</c:v>
                      </c:pt>
                      <c:pt idx="2">
                        <c:v>2.094971470877157</c:v>
                      </c:pt>
                      <c:pt idx="3">
                        <c:v>2.0269607429090888</c:v>
                      </c:pt>
                      <c:pt idx="4">
                        <c:v>1.9817344220764981</c:v>
                      </c:pt>
                      <c:pt idx="5">
                        <c:v>1.9500220645740478</c:v>
                      </c:pt>
                      <c:pt idx="6">
                        <c:v>1.9257568621249499</c:v>
                      </c:pt>
                      <c:pt idx="7">
                        <c:v>1.9046916539988459</c:v>
                      </c:pt>
                      <c:pt idx="8">
                        <c:v>1.8833751841418045</c:v>
                      </c:pt>
                      <c:pt idx="9">
                        <c:v>1.8581453017916931</c:v>
                      </c:pt>
                      <c:pt idx="10">
                        <c:v>1.8235353724708154</c:v>
                      </c:pt>
                      <c:pt idx="11">
                        <c:v>1.7682180075647862</c:v>
                      </c:pt>
                      <c:pt idx="12">
                        <c:v>1.6593878208044344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C39-4530-9463-5BAA5C52142A}"/>
                  </c:ext>
                </c:extLst>
              </c15:ser>
            </c15:filteredScatterSeries>
          </c:ext>
        </c:extLst>
      </c:scatterChart>
      <c:valAx>
        <c:axId val="113590272"/>
        <c:scaling>
          <c:orientation val="minMax"/>
          <c:max val="12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/>
                  <a:t>Tiempo de descarga t [h]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3592192"/>
        <c:crosses val="autoZero"/>
        <c:crossBetween val="midCat"/>
        <c:majorUnit val="1"/>
        <c:minorUnit val="0.1"/>
      </c:valAx>
      <c:valAx>
        <c:axId val="113592192"/>
        <c:scaling>
          <c:orientation val="minMax"/>
          <c:max val="2.2999999999999998"/>
          <c:min val="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Tensión en bornes u</a:t>
                </a:r>
                <a:r>
                  <a:rPr lang="en-US" sz="1100" baseline="-25000"/>
                  <a:t>d</a:t>
                </a:r>
                <a:r>
                  <a:rPr lang="en-US" sz="1100"/>
                  <a:t> [V/c]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13590272"/>
        <c:crosses val="autoZero"/>
        <c:crossBetween val="midCat"/>
        <c:majorUnit val="0.1"/>
        <c:minorUnit val="1.0000000000000005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14175542883292938"/>
          <c:y val="0.66565529308836391"/>
          <c:w val="0.49007300100157153"/>
          <c:h val="0.18910148731408577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956989662285074E-2"/>
          <c:y val="2.972562791336009E-2"/>
          <c:w val="0.90821710724757199"/>
          <c:h val="0.90320165769675265"/>
        </c:manualLayout>
      </c:layout>
      <c:scatterChart>
        <c:scatterStyle val="smoothMarker"/>
        <c:varyColors val="0"/>
        <c:ser>
          <c:idx val="0"/>
          <c:order val="0"/>
          <c:marker>
            <c:symbol val="diamond"/>
            <c:size val="5"/>
          </c:marker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f(I)'!$C$36:$C$206</c:f>
              <c:numCache>
                <c:formatCode>#,##0</c:formatCode>
                <c:ptCount val="171"/>
                <c:pt idx="10">
                  <c:v>133</c:v>
                </c:pt>
                <c:pt idx="19">
                  <c:v>129</c:v>
                </c:pt>
                <c:pt idx="30">
                  <c:v>124</c:v>
                </c:pt>
                <c:pt idx="39">
                  <c:v>121.5</c:v>
                </c:pt>
                <c:pt idx="49">
                  <c:v>116.5</c:v>
                </c:pt>
                <c:pt idx="57">
                  <c:v>114.5</c:v>
                </c:pt>
                <c:pt idx="71">
                  <c:v>109</c:v>
                </c:pt>
                <c:pt idx="80">
                  <c:v>105</c:v>
                </c:pt>
                <c:pt idx="90">
                  <c:v>100</c:v>
                </c:pt>
                <c:pt idx="100">
                  <c:v>94</c:v>
                </c:pt>
                <c:pt idx="116">
                  <c:v>85</c:v>
                </c:pt>
                <c:pt idx="128">
                  <c:v>78.5</c:v>
                </c:pt>
                <c:pt idx="143">
                  <c:v>71</c:v>
                </c:pt>
                <c:pt idx="162">
                  <c:v>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1E-486F-8E37-490613A1B387}"/>
            </c:ext>
          </c:extLst>
        </c:ser>
        <c:ser>
          <c:idx val="1"/>
          <c:order val="1"/>
          <c:spPr>
            <a:ln>
              <a:solidFill>
                <a:srgbClr val="0070C0"/>
              </a:solidFill>
            </a:ln>
          </c:spPr>
          <c:marker>
            <c:symbol val="star"/>
            <c:size val="5"/>
            <c:spPr>
              <a:ln>
                <a:solidFill>
                  <a:srgbClr val="0070C0"/>
                </a:solidFill>
              </a:ln>
            </c:spPr>
          </c:marker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f(I)'!$D$36:$D$206</c:f>
              <c:numCache>
                <c:formatCode>#,##0</c:formatCode>
                <c:ptCount val="171"/>
                <c:pt idx="9">
                  <c:v>131.5</c:v>
                </c:pt>
                <c:pt idx="18">
                  <c:v>127.5</c:v>
                </c:pt>
                <c:pt idx="29">
                  <c:v>122.5</c:v>
                </c:pt>
                <c:pt idx="38">
                  <c:v>118.5</c:v>
                </c:pt>
                <c:pt idx="48">
                  <c:v>114.5</c:v>
                </c:pt>
                <c:pt idx="56">
                  <c:v>112.5</c:v>
                </c:pt>
                <c:pt idx="69">
                  <c:v>107.5</c:v>
                </c:pt>
                <c:pt idx="79">
                  <c:v>103.9</c:v>
                </c:pt>
                <c:pt idx="89">
                  <c:v>98.5</c:v>
                </c:pt>
                <c:pt idx="99">
                  <c:v>92.1</c:v>
                </c:pt>
                <c:pt idx="113">
                  <c:v>83</c:v>
                </c:pt>
                <c:pt idx="126">
                  <c:v>76.5</c:v>
                </c:pt>
                <c:pt idx="140">
                  <c:v>68</c:v>
                </c:pt>
                <c:pt idx="161">
                  <c:v>50.1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1E-486F-8E37-490613A1B387}"/>
            </c:ext>
          </c:extLst>
        </c:ser>
        <c:ser>
          <c:idx val="2"/>
          <c:order val="2"/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f(I)'!$E$36:$E$206</c:f>
              <c:numCache>
                <c:formatCode>#,##0</c:formatCode>
                <c:ptCount val="171"/>
                <c:pt idx="8">
                  <c:v>131</c:v>
                </c:pt>
                <c:pt idx="17">
                  <c:v>127</c:v>
                </c:pt>
                <c:pt idx="28">
                  <c:v>121.5</c:v>
                </c:pt>
                <c:pt idx="37">
                  <c:v>118</c:v>
                </c:pt>
                <c:pt idx="48">
                  <c:v>114.4</c:v>
                </c:pt>
                <c:pt idx="55">
                  <c:v>112</c:v>
                </c:pt>
                <c:pt idx="68">
                  <c:v>107</c:v>
                </c:pt>
                <c:pt idx="78">
                  <c:v>103</c:v>
                </c:pt>
                <c:pt idx="88">
                  <c:v>98</c:v>
                </c:pt>
                <c:pt idx="98">
                  <c:v>91.9</c:v>
                </c:pt>
                <c:pt idx="112">
                  <c:v>82.5</c:v>
                </c:pt>
                <c:pt idx="125">
                  <c:v>76</c:v>
                </c:pt>
                <c:pt idx="139">
                  <c:v>67.5</c:v>
                </c:pt>
                <c:pt idx="159">
                  <c:v>49.9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1E-486F-8E37-490613A1B387}"/>
            </c:ext>
          </c:extLst>
        </c:ser>
        <c:ser>
          <c:idx val="3"/>
          <c:order val="3"/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f(I)'!$F$36:$F$206</c:f>
              <c:numCache>
                <c:formatCode>#,##0</c:formatCode>
                <c:ptCount val="171"/>
                <c:pt idx="7">
                  <c:v>129</c:v>
                </c:pt>
                <c:pt idx="16">
                  <c:v>125</c:v>
                </c:pt>
                <c:pt idx="27">
                  <c:v>120.5</c:v>
                </c:pt>
                <c:pt idx="36">
                  <c:v>117.5</c:v>
                </c:pt>
                <c:pt idx="46">
                  <c:v>113</c:v>
                </c:pt>
                <c:pt idx="54">
                  <c:v>111</c:v>
                </c:pt>
                <c:pt idx="67">
                  <c:v>106</c:v>
                </c:pt>
                <c:pt idx="77">
                  <c:v>102.5</c:v>
                </c:pt>
                <c:pt idx="86">
                  <c:v>97</c:v>
                </c:pt>
                <c:pt idx="97">
                  <c:v>90</c:v>
                </c:pt>
                <c:pt idx="111">
                  <c:v>80.5</c:v>
                </c:pt>
                <c:pt idx="123">
                  <c:v>74</c:v>
                </c:pt>
                <c:pt idx="137">
                  <c:v>65</c:v>
                </c:pt>
                <c:pt idx="157">
                  <c:v>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1E-486F-8E37-490613A1B387}"/>
            </c:ext>
          </c:extLst>
        </c:ser>
        <c:ser>
          <c:idx val="4"/>
          <c:order val="4"/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f(I)'!$G$36:$G$206</c:f>
              <c:numCache>
                <c:formatCode>#,##0</c:formatCode>
                <c:ptCount val="171"/>
                <c:pt idx="6">
                  <c:v>128</c:v>
                </c:pt>
                <c:pt idx="15">
                  <c:v>124</c:v>
                </c:pt>
                <c:pt idx="26">
                  <c:v>119.5</c:v>
                </c:pt>
                <c:pt idx="35">
                  <c:v>116.5</c:v>
                </c:pt>
                <c:pt idx="45">
                  <c:v>112</c:v>
                </c:pt>
                <c:pt idx="53">
                  <c:v>110.5</c:v>
                </c:pt>
                <c:pt idx="66">
                  <c:v>105.5</c:v>
                </c:pt>
                <c:pt idx="76">
                  <c:v>102</c:v>
                </c:pt>
                <c:pt idx="85">
                  <c:v>96</c:v>
                </c:pt>
                <c:pt idx="96">
                  <c:v>89</c:v>
                </c:pt>
                <c:pt idx="109">
                  <c:v>79.5</c:v>
                </c:pt>
                <c:pt idx="121">
                  <c:v>73</c:v>
                </c:pt>
                <c:pt idx="136">
                  <c:v>64</c:v>
                </c:pt>
                <c:pt idx="156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91E-486F-8E37-490613A1B387}"/>
            </c:ext>
          </c:extLst>
        </c:ser>
        <c:ser>
          <c:idx val="5"/>
          <c:order val="5"/>
          <c:marker>
            <c:symbol val="star"/>
            <c:size val="7"/>
            <c:spPr>
              <a:ln>
                <a:solidFill>
                  <a:srgbClr val="7030A0"/>
                </a:solidFill>
              </a:ln>
            </c:spPr>
          </c:marker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f(I)'!$H$36:$H$206</c:f>
              <c:numCache>
                <c:formatCode>#,##0</c:formatCode>
                <c:ptCount val="171"/>
                <c:pt idx="5">
                  <c:v>125</c:v>
                </c:pt>
                <c:pt idx="14">
                  <c:v>121</c:v>
                </c:pt>
                <c:pt idx="25">
                  <c:v>116.5</c:v>
                </c:pt>
                <c:pt idx="34">
                  <c:v>113.5</c:v>
                </c:pt>
                <c:pt idx="44">
                  <c:v>109.5</c:v>
                </c:pt>
                <c:pt idx="52">
                  <c:v>108</c:v>
                </c:pt>
                <c:pt idx="65">
                  <c:v>103.5</c:v>
                </c:pt>
                <c:pt idx="74">
                  <c:v>99</c:v>
                </c:pt>
                <c:pt idx="84">
                  <c:v>94</c:v>
                </c:pt>
                <c:pt idx="95">
                  <c:v>88</c:v>
                </c:pt>
                <c:pt idx="107">
                  <c:v>77</c:v>
                </c:pt>
                <c:pt idx="119">
                  <c:v>70</c:v>
                </c:pt>
                <c:pt idx="134">
                  <c:v>61</c:v>
                </c:pt>
                <c:pt idx="153">
                  <c:v>44.5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91E-486F-8E37-490613A1B387}"/>
            </c:ext>
          </c:extLst>
        </c:ser>
        <c:ser>
          <c:idx val="6"/>
          <c:order val="6"/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f(I)'!$I$36:$I$206</c:f>
              <c:numCache>
                <c:formatCode>#,##0</c:formatCode>
                <c:ptCount val="171"/>
                <c:pt idx="4">
                  <c:v>121.5</c:v>
                </c:pt>
                <c:pt idx="13">
                  <c:v>118</c:v>
                </c:pt>
                <c:pt idx="24">
                  <c:v>113.5</c:v>
                </c:pt>
                <c:pt idx="33">
                  <c:v>110.5</c:v>
                </c:pt>
                <c:pt idx="43">
                  <c:v>106</c:v>
                </c:pt>
                <c:pt idx="51">
                  <c:v>104.5</c:v>
                </c:pt>
                <c:pt idx="63">
                  <c:v>99.5</c:v>
                </c:pt>
                <c:pt idx="73">
                  <c:v>95</c:v>
                </c:pt>
                <c:pt idx="83">
                  <c:v>90</c:v>
                </c:pt>
                <c:pt idx="93">
                  <c:v>82.4</c:v>
                </c:pt>
                <c:pt idx="105">
                  <c:v>73</c:v>
                </c:pt>
                <c:pt idx="117">
                  <c:v>66</c:v>
                </c:pt>
                <c:pt idx="131">
                  <c:v>57</c:v>
                </c:pt>
                <c:pt idx="149">
                  <c:v>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91E-486F-8E37-490613A1B387}"/>
            </c:ext>
          </c:extLst>
        </c:ser>
        <c:ser>
          <c:idx val="7"/>
          <c:order val="7"/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f(I)'!$J$36:$J$206</c:f>
              <c:numCache>
                <c:formatCode>#,##0</c:formatCode>
                <c:ptCount val="171"/>
                <c:pt idx="3">
                  <c:v>117</c:v>
                </c:pt>
                <c:pt idx="12">
                  <c:v>113.5</c:v>
                </c:pt>
                <c:pt idx="22">
                  <c:v>109</c:v>
                </c:pt>
                <c:pt idx="31">
                  <c:v>106</c:v>
                </c:pt>
                <c:pt idx="42">
                  <c:v>102</c:v>
                </c:pt>
                <c:pt idx="50">
                  <c:v>100</c:v>
                </c:pt>
                <c:pt idx="61">
                  <c:v>95</c:v>
                </c:pt>
                <c:pt idx="72">
                  <c:v>91</c:v>
                </c:pt>
                <c:pt idx="81">
                  <c:v>85</c:v>
                </c:pt>
                <c:pt idx="92">
                  <c:v>78.5</c:v>
                </c:pt>
                <c:pt idx="103">
                  <c:v>69</c:v>
                </c:pt>
                <c:pt idx="114">
                  <c:v>62.5</c:v>
                </c:pt>
                <c:pt idx="129">
                  <c:v>54</c:v>
                </c:pt>
                <c:pt idx="146">
                  <c:v>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91E-486F-8E37-490613A1B387}"/>
            </c:ext>
          </c:extLst>
        </c:ser>
        <c:ser>
          <c:idx val="8"/>
          <c:order val="8"/>
          <c:marker>
            <c:symbol val="star"/>
            <c:size val="7"/>
            <c:spPr>
              <a:ln>
                <a:solidFill>
                  <a:srgbClr val="FF0000"/>
                </a:solidFill>
              </a:ln>
            </c:spPr>
          </c:marker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f(I)'!$K$36:$K$206</c:f>
              <c:numCache>
                <c:formatCode>#,##0</c:formatCode>
                <c:ptCount val="171"/>
                <c:pt idx="2">
                  <c:v>112</c:v>
                </c:pt>
                <c:pt idx="11">
                  <c:v>107.5</c:v>
                </c:pt>
                <c:pt idx="21">
                  <c:v>103.5</c:v>
                </c:pt>
                <c:pt idx="23">
                  <c:v>100.5</c:v>
                </c:pt>
                <c:pt idx="41">
                  <c:v>97</c:v>
                </c:pt>
                <c:pt idx="47">
                  <c:v>95</c:v>
                </c:pt>
                <c:pt idx="60">
                  <c:v>90.5</c:v>
                </c:pt>
                <c:pt idx="64">
                  <c:v>85</c:v>
                </c:pt>
                <c:pt idx="75">
                  <c:v>80</c:v>
                </c:pt>
                <c:pt idx="87">
                  <c:v>73</c:v>
                </c:pt>
                <c:pt idx="101">
                  <c:v>64</c:v>
                </c:pt>
                <c:pt idx="108">
                  <c:v>58</c:v>
                </c:pt>
                <c:pt idx="122">
                  <c:v>49</c:v>
                </c:pt>
                <c:pt idx="141">
                  <c:v>34.5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91E-486F-8E37-490613A1B387}"/>
            </c:ext>
          </c:extLst>
        </c:ser>
        <c:ser>
          <c:idx val="9"/>
          <c:order val="9"/>
          <c:spPr>
            <a:ln w="1905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f(I)'!$L$36:$L$206</c:f>
              <c:numCache>
                <c:formatCode>#,##0</c:formatCode>
                <c:ptCount val="171"/>
                <c:pt idx="0">
                  <c:v>145</c:v>
                </c:pt>
                <c:pt idx="1">
                  <c:v>145</c:v>
                </c:pt>
                <c:pt idx="2">
                  <c:v>145</c:v>
                </c:pt>
                <c:pt idx="3">
                  <c:v>145</c:v>
                </c:pt>
                <c:pt idx="4">
                  <c:v>145</c:v>
                </c:pt>
                <c:pt idx="5">
                  <c:v>145</c:v>
                </c:pt>
                <c:pt idx="6">
                  <c:v>145</c:v>
                </c:pt>
                <c:pt idx="7">
                  <c:v>145</c:v>
                </c:pt>
                <c:pt idx="8">
                  <c:v>145</c:v>
                </c:pt>
                <c:pt idx="9">
                  <c:v>145</c:v>
                </c:pt>
                <c:pt idx="10">
                  <c:v>145</c:v>
                </c:pt>
                <c:pt idx="11">
                  <c:v>145</c:v>
                </c:pt>
                <c:pt idx="12">
                  <c:v>145</c:v>
                </c:pt>
                <c:pt idx="13">
                  <c:v>145</c:v>
                </c:pt>
                <c:pt idx="14">
                  <c:v>145</c:v>
                </c:pt>
                <c:pt idx="15">
                  <c:v>145</c:v>
                </c:pt>
                <c:pt idx="16">
                  <c:v>145</c:v>
                </c:pt>
                <c:pt idx="17">
                  <c:v>145</c:v>
                </c:pt>
                <c:pt idx="18">
                  <c:v>145</c:v>
                </c:pt>
                <c:pt idx="19">
                  <c:v>145</c:v>
                </c:pt>
                <c:pt idx="20">
                  <c:v>145</c:v>
                </c:pt>
                <c:pt idx="21">
                  <c:v>145</c:v>
                </c:pt>
                <c:pt idx="22">
                  <c:v>145</c:v>
                </c:pt>
                <c:pt idx="23">
                  <c:v>145</c:v>
                </c:pt>
                <c:pt idx="24">
                  <c:v>145</c:v>
                </c:pt>
                <c:pt idx="25">
                  <c:v>145</c:v>
                </c:pt>
                <c:pt idx="26">
                  <c:v>145</c:v>
                </c:pt>
                <c:pt idx="27">
                  <c:v>145</c:v>
                </c:pt>
                <c:pt idx="28">
                  <c:v>145</c:v>
                </c:pt>
                <c:pt idx="29">
                  <c:v>145</c:v>
                </c:pt>
                <c:pt idx="30">
                  <c:v>145</c:v>
                </c:pt>
                <c:pt idx="31">
                  <c:v>145</c:v>
                </c:pt>
                <c:pt idx="32">
                  <c:v>145</c:v>
                </c:pt>
                <c:pt idx="33">
                  <c:v>145</c:v>
                </c:pt>
                <c:pt idx="34">
                  <c:v>145</c:v>
                </c:pt>
                <c:pt idx="35">
                  <c:v>145</c:v>
                </c:pt>
                <c:pt idx="36">
                  <c:v>145</c:v>
                </c:pt>
                <c:pt idx="37">
                  <c:v>145</c:v>
                </c:pt>
                <c:pt idx="38">
                  <c:v>145</c:v>
                </c:pt>
                <c:pt idx="39">
                  <c:v>145</c:v>
                </c:pt>
                <c:pt idx="40">
                  <c:v>145</c:v>
                </c:pt>
                <c:pt idx="41">
                  <c:v>145</c:v>
                </c:pt>
                <c:pt idx="42">
                  <c:v>145</c:v>
                </c:pt>
                <c:pt idx="43">
                  <c:v>145</c:v>
                </c:pt>
                <c:pt idx="44">
                  <c:v>145</c:v>
                </c:pt>
                <c:pt idx="45">
                  <c:v>145</c:v>
                </c:pt>
                <c:pt idx="46">
                  <c:v>145</c:v>
                </c:pt>
                <c:pt idx="47">
                  <c:v>145</c:v>
                </c:pt>
                <c:pt idx="48">
                  <c:v>145</c:v>
                </c:pt>
                <c:pt idx="49">
                  <c:v>145</c:v>
                </c:pt>
                <c:pt idx="50">
                  <c:v>145</c:v>
                </c:pt>
                <c:pt idx="51">
                  <c:v>145</c:v>
                </c:pt>
                <c:pt idx="52">
                  <c:v>145</c:v>
                </c:pt>
                <c:pt idx="53">
                  <c:v>145</c:v>
                </c:pt>
                <c:pt idx="54">
                  <c:v>145</c:v>
                </c:pt>
                <c:pt idx="55">
                  <c:v>145</c:v>
                </c:pt>
                <c:pt idx="56">
                  <c:v>145</c:v>
                </c:pt>
                <c:pt idx="57">
                  <c:v>145</c:v>
                </c:pt>
                <c:pt idx="58">
                  <c:v>145</c:v>
                </c:pt>
                <c:pt idx="59">
                  <c:v>145</c:v>
                </c:pt>
                <c:pt idx="60">
                  <c:v>145</c:v>
                </c:pt>
                <c:pt idx="61">
                  <c:v>145</c:v>
                </c:pt>
                <c:pt idx="62">
                  <c:v>145</c:v>
                </c:pt>
                <c:pt idx="63">
                  <c:v>145</c:v>
                </c:pt>
                <c:pt idx="64">
                  <c:v>145</c:v>
                </c:pt>
                <c:pt idx="65">
                  <c:v>145</c:v>
                </c:pt>
                <c:pt idx="66">
                  <c:v>145</c:v>
                </c:pt>
                <c:pt idx="67">
                  <c:v>145</c:v>
                </c:pt>
                <c:pt idx="68">
                  <c:v>145</c:v>
                </c:pt>
                <c:pt idx="69">
                  <c:v>145</c:v>
                </c:pt>
                <c:pt idx="70">
                  <c:v>145</c:v>
                </c:pt>
                <c:pt idx="71">
                  <c:v>145</c:v>
                </c:pt>
                <c:pt idx="72">
                  <c:v>145</c:v>
                </c:pt>
                <c:pt idx="73">
                  <c:v>145</c:v>
                </c:pt>
                <c:pt idx="74">
                  <c:v>145</c:v>
                </c:pt>
                <c:pt idx="75">
                  <c:v>145</c:v>
                </c:pt>
                <c:pt idx="76">
                  <c:v>145</c:v>
                </c:pt>
                <c:pt idx="77">
                  <c:v>145</c:v>
                </c:pt>
                <c:pt idx="78">
                  <c:v>145</c:v>
                </c:pt>
                <c:pt idx="79">
                  <c:v>145</c:v>
                </c:pt>
                <c:pt idx="80">
                  <c:v>145</c:v>
                </c:pt>
                <c:pt idx="81">
                  <c:v>145</c:v>
                </c:pt>
                <c:pt idx="82">
                  <c:v>145</c:v>
                </c:pt>
                <c:pt idx="83">
                  <c:v>145</c:v>
                </c:pt>
                <c:pt idx="84">
                  <c:v>145</c:v>
                </c:pt>
                <c:pt idx="85">
                  <c:v>145</c:v>
                </c:pt>
                <c:pt idx="86">
                  <c:v>145</c:v>
                </c:pt>
                <c:pt idx="87">
                  <c:v>145</c:v>
                </c:pt>
                <c:pt idx="88">
                  <c:v>145</c:v>
                </c:pt>
                <c:pt idx="89">
                  <c:v>145</c:v>
                </c:pt>
                <c:pt idx="90">
                  <c:v>145</c:v>
                </c:pt>
                <c:pt idx="91">
                  <c:v>145</c:v>
                </c:pt>
                <c:pt idx="92">
                  <c:v>145</c:v>
                </c:pt>
                <c:pt idx="93">
                  <c:v>145</c:v>
                </c:pt>
                <c:pt idx="94">
                  <c:v>145</c:v>
                </c:pt>
                <c:pt idx="95">
                  <c:v>145</c:v>
                </c:pt>
                <c:pt idx="96">
                  <c:v>145</c:v>
                </c:pt>
                <c:pt idx="97">
                  <c:v>145</c:v>
                </c:pt>
                <c:pt idx="98">
                  <c:v>145</c:v>
                </c:pt>
                <c:pt idx="99">
                  <c:v>145</c:v>
                </c:pt>
                <c:pt idx="100">
                  <c:v>145</c:v>
                </c:pt>
                <c:pt idx="101">
                  <c:v>145</c:v>
                </c:pt>
                <c:pt idx="102">
                  <c:v>145</c:v>
                </c:pt>
                <c:pt idx="103">
                  <c:v>145</c:v>
                </c:pt>
                <c:pt idx="104">
                  <c:v>145</c:v>
                </c:pt>
                <c:pt idx="105">
                  <c:v>145</c:v>
                </c:pt>
                <c:pt idx="106">
                  <c:v>145</c:v>
                </c:pt>
                <c:pt idx="107">
                  <c:v>145</c:v>
                </c:pt>
                <c:pt idx="108">
                  <c:v>145</c:v>
                </c:pt>
                <c:pt idx="109">
                  <c:v>145</c:v>
                </c:pt>
                <c:pt idx="110">
                  <c:v>145</c:v>
                </c:pt>
                <c:pt idx="111">
                  <c:v>145</c:v>
                </c:pt>
                <c:pt idx="112">
                  <c:v>145</c:v>
                </c:pt>
                <c:pt idx="113">
                  <c:v>145</c:v>
                </c:pt>
                <c:pt idx="114">
                  <c:v>145</c:v>
                </c:pt>
                <c:pt idx="115">
                  <c:v>145</c:v>
                </c:pt>
                <c:pt idx="116">
                  <c:v>145</c:v>
                </c:pt>
                <c:pt idx="117">
                  <c:v>145</c:v>
                </c:pt>
                <c:pt idx="118">
                  <c:v>145</c:v>
                </c:pt>
                <c:pt idx="119">
                  <c:v>145</c:v>
                </c:pt>
                <c:pt idx="120">
                  <c:v>145</c:v>
                </c:pt>
                <c:pt idx="121">
                  <c:v>145</c:v>
                </c:pt>
                <c:pt idx="122">
                  <c:v>145</c:v>
                </c:pt>
                <c:pt idx="123">
                  <c:v>145</c:v>
                </c:pt>
                <c:pt idx="124">
                  <c:v>145</c:v>
                </c:pt>
                <c:pt idx="125">
                  <c:v>145</c:v>
                </c:pt>
                <c:pt idx="126">
                  <c:v>145</c:v>
                </c:pt>
                <c:pt idx="127">
                  <c:v>145</c:v>
                </c:pt>
                <c:pt idx="128">
                  <c:v>145</c:v>
                </c:pt>
                <c:pt idx="129">
                  <c:v>145</c:v>
                </c:pt>
                <c:pt idx="130">
                  <c:v>145</c:v>
                </c:pt>
                <c:pt idx="131">
                  <c:v>145</c:v>
                </c:pt>
                <c:pt idx="132">
                  <c:v>145</c:v>
                </c:pt>
                <c:pt idx="133">
                  <c:v>145</c:v>
                </c:pt>
                <c:pt idx="134">
                  <c:v>145</c:v>
                </c:pt>
                <c:pt idx="135">
                  <c:v>145</c:v>
                </c:pt>
                <c:pt idx="136">
                  <c:v>145</c:v>
                </c:pt>
                <c:pt idx="137">
                  <c:v>145</c:v>
                </c:pt>
                <c:pt idx="138">
                  <c:v>145</c:v>
                </c:pt>
                <c:pt idx="139">
                  <c:v>145</c:v>
                </c:pt>
                <c:pt idx="140">
                  <c:v>145</c:v>
                </c:pt>
                <c:pt idx="141">
                  <c:v>145</c:v>
                </c:pt>
                <c:pt idx="142">
                  <c:v>145</c:v>
                </c:pt>
                <c:pt idx="143">
                  <c:v>145</c:v>
                </c:pt>
                <c:pt idx="144">
                  <c:v>145</c:v>
                </c:pt>
                <c:pt idx="145">
                  <c:v>145</c:v>
                </c:pt>
                <c:pt idx="146">
                  <c:v>145</c:v>
                </c:pt>
                <c:pt idx="147">
                  <c:v>145</c:v>
                </c:pt>
                <c:pt idx="148">
                  <c:v>145</c:v>
                </c:pt>
                <c:pt idx="149">
                  <c:v>145</c:v>
                </c:pt>
                <c:pt idx="150">
                  <c:v>145</c:v>
                </c:pt>
                <c:pt idx="151">
                  <c:v>145</c:v>
                </c:pt>
                <c:pt idx="152">
                  <c:v>145</c:v>
                </c:pt>
                <c:pt idx="153">
                  <c:v>145</c:v>
                </c:pt>
                <c:pt idx="154">
                  <c:v>145</c:v>
                </c:pt>
                <c:pt idx="155">
                  <c:v>145</c:v>
                </c:pt>
                <c:pt idx="156">
                  <c:v>145</c:v>
                </c:pt>
                <c:pt idx="157">
                  <c:v>145</c:v>
                </c:pt>
                <c:pt idx="158">
                  <c:v>145</c:v>
                </c:pt>
                <c:pt idx="159">
                  <c:v>145</c:v>
                </c:pt>
                <c:pt idx="160">
                  <c:v>145</c:v>
                </c:pt>
                <c:pt idx="161">
                  <c:v>145</c:v>
                </c:pt>
                <c:pt idx="162">
                  <c:v>145</c:v>
                </c:pt>
                <c:pt idx="163">
                  <c:v>145</c:v>
                </c:pt>
                <c:pt idx="164">
                  <c:v>145</c:v>
                </c:pt>
                <c:pt idx="165">
                  <c:v>145</c:v>
                </c:pt>
                <c:pt idx="166">
                  <c:v>145</c:v>
                </c:pt>
                <c:pt idx="167">
                  <c:v>145</c:v>
                </c:pt>
                <c:pt idx="168">
                  <c:v>145</c:v>
                </c:pt>
                <c:pt idx="169">
                  <c:v>145</c:v>
                </c:pt>
                <c:pt idx="170">
                  <c:v>145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91E-486F-8E37-490613A1B387}"/>
            </c:ext>
          </c:extLst>
        </c:ser>
        <c:ser>
          <c:idx val="10"/>
          <c:order val="10"/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f(I)'!$M$36:$M$206</c:f>
              <c:numCache>
                <c:formatCode>0.0E+00</c:formatCode>
                <c:ptCount val="171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D91E-486F-8E37-490613A1B387}"/>
            </c:ext>
          </c:extLst>
        </c:ser>
        <c:ser>
          <c:idx val="11"/>
          <c:order val="11"/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'100 A 39; Q = f(I)'!$B$36:$B$206</c:f>
              <c:numCache>
                <c:formatCode>0.00</c:formatCode>
                <c:ptCount val="171"/>
                <c:pt idx="0">
                  <c:v>0</c:v>
                </c:pt>
                <c:pt idx="1">
                  <c:v>1</c:v>
                </c:pt>
                <c:pt idx="2" formatCode="#,##0.00">
                  <c:v>1.1200000000000001</c:v>
                </c:pt>
                <c:pt idx="3" formatCode="#,##0.00">
                  <c:v>1.17</c:v>
                </c:pt>
                <c:pt idx="4" formatCode="#,##0.00">
                  <c:v>1.2150000000000001</c:v>
                </c:pt>
                <c:pt idx="5" formatCode="#,##0.00">
                  <c:v>1.25</c:v>
                </c:pt>
                <c:pt idx="6" formatCode="#,##0.00">
                  <c:v>1.28</c:v>
                </c:pt>
                <c:pt idx="7" formatCode="#,##0.00">
                  <c:v>1.29</c:v>
                </c:pt>
                <c:pt idx="8" formatCode="#,##0.00">
                  <c:v>1.31</c:v>
                </c:pt>
                <c:pt idx="9" formatCode="#,##0.00">
                  <c:v>1.3149999999999999</c:v>
                </c:pt>
                <c:pt idx="10">
                  <c:v>1.33</c:v>
                </c:pt>
                <c:pt idx="11" formatCode="#,##0.00">
                  <c:v>1.4930555555555556</c:v>
                </c:pt>
                <c:pt idx="12" formatCode="#,##0.00">
                  <c:v>1.5763888888888888</c:v>
                </c:pt>
                <c:pt idx="13" formatCode="#,##0.00">
                  <c:v>1.6388888888888888</c:v>
                </c:pt>
                <c:pt idx="14" formatCode="#,##0.00">
                  <c:v>1.6805555555555556</c:v>
                </c:pt>
                <c:pt idx="15" formatCode="#,##0.00">
                  <c:v>1.7222222222222223</c:v>
                </c:pt>
                <c:pt idx="16" formatCode="#,##0.00">
                  <c:v>1.7361111111111112</c:v>
                </c:pt>
                <c:pt idx="17" formatCode="#,##0.00">
                  <c:v>1.7638888888888888</c:v>
                </c:pt>
                <c:pt idx="18" formatCode="#,##0.00">
                  <c:v>1.7708333333333333</c:v>
                </c:pt>
                <c:pt idx="19">
                  <c:v>1.7916666666666667</c:v>
                </c:pt>
                <c:pt idx="20">
                  <c:v>2</c:v>
                </c:pt>
                <c:pt idx="21" formatCode="#,##0.00">
                  <c:v>2.15625</c:v>
                </c:pt>
                <c:pt idx="22" formatCode="#,##0.00">
                  <c:v>2.2708333333333335</c:v>
                </c:pt>
                <c:pt idx="23" formatCode="#,##0.00">
                  <c:v>2.7916666666666665</c:v>
                </c:pt>
                <c:pt idx="24" formatCode="#,##0.00">
                  <c:v>2.3645833333333335</c:v>
                </c:pt>
                <c:pt idx="25" formatCode="#,##0.00">
                  <c:v>2.4270833333333335</c:v>
                </c:pt>
                <c:pt idx="26" formatCode="#,##0.00">
                  <c:v>2.4895833333333335</c:v>
                </c:pt>
                <c:pt idx="27" formatCode="#,##0.00">
                  <c:v>2.5104166666666665</c:v>
                </c:pt>
                <c:pt idx="28" formatCode="#,##0.00">
                  <c:v>2.53125</c:v>
                </c:pt>
                <c:pt idx="29" formatCode="#,##0.00">
                  <c:v>2.5520833333333335</c:v>
                </c:pt>
                <c:pt idx="30">
                  <c:v>2.5833333333333335</c:v>
                </c:pt>
                <c:pt idx="31" formatCode="#,##0.00">
                  <c:v>2.9444444444444446</c:v>
                </c:pt>
                <c:pt idx="32">
                  <c:v>3</c:v>
                </c:pt>
                <c:pt idx="33" formatCode="#,##0.00">
                  <c:v>3.0694444444444446</c:v>
                </c:pt>
                <c:pt idx="34" formatCode="#,##0.00">
                  <c:v>3.1527777777777777</c:v>
                </c:pt>
                <c:pt idx="35" formatCode="#,##0.00">
                  <c:v>3.2361111111111112</c:v>
                </c:pt>
                <c:pt idx="36" formatCode="#,##0.00">
                  <c:v>3.2638888888888888</c:v>
                </c:pt>
                <c:pt idx="37" formatCode="#,##0.00">
                  <c:v>3.2777777777777777</c:v>
                </c:pt>
                <c:pt idx="38" formatCode="#,##0.00">
                  <c:v>3.2916666666666665</c:v>
                </c:pt>
                <c:pt idx="39">
                  <c:v>3.375</c:v>
                </c:pt>
                <c:pt idx="40">
                  <c:v>4</c:v>
                </c:pt>
                <c:pt idx="41" formatCode="#,##0.00">
                  <c:v>4.041666666666667</c:v>
                </c:pt>
                <c:pt idx="42" formatCode="#,##0.00">
                  <c:v>4.25</c:v>
                </c:pt>
                <c:pt idx="43" formatCode="#,##0.00">
                  <c:v>4.416666666666667</c:v>
                </c:pt>
                <c:pt idx="44" formatCode="#,##0.00">
                  <c:v>4.5625</c:v>
                </c:pt>
                <c:pt idx="45" formatCode="#,##0.00">
                  <c:v>4.666666666666667</c:v>
                </c:pt>
                <c:pt idx="46" formatCode="#,##0.00">
                  <c:v>4.708333333333333</c:v>
                </c:pt>
                <c:pt idx="47" formatCode="#,##0.00">
                  <c:v>4.75</c:v>
                </c:pt>
                <c:pt idx="48" formatCode="#,##0.00">
                  <c:v>4.770833333333333</c:v>
                </c:pt>
                <c:pt idx="49">
                  <c:v>4.854166666666667</c:v>
                </c:pt>
                <c:pt idx="50">
                  <c:v>5</c:v>
                </c:pt>
                <c:pt idx="51" formatCode="#,##0.00">
                  <c:v>5.2249999999999996</c:v>
                </c:pt>
                <c:pt idx="52" formatCode="#,##0.00">
                  <c:v>5.4</c:v>
                </c:pt>
                <c:pt idx="53" formatCode="#,##0.00">
                  <c:v>5.5250000000000004</c:v>
                </c:pt>
                <c:pt idx="54" formatCode="#,##0.00">
                  <c:v>5.55</c:v>
                </c:pt>
                <c:pt idx="55" formatCode="#,##0.00">
                  <c:v>5.6</c:v>
                </c:pt>
                <c:pt idx="56" formatCode="#,##0.00">
                  <c:v>5.625</c:v>
                </c:pt>
                <c:pt idx="57">
                  <c:v>5.7249999999999996</c:v>
                </c:pt>
                <c:pt idx="58">
                  <c:v>6</c:v>
                </c:pt>
                <c:pt idx="59">
                  <c:v>7</c:v>
                </c:pt>
                <c:pt idx="60" formatCode="#,##0.00">
                  <c:v>7.541666666666667</c:v>
                </c:pt>
                <c:pt idx="61" formatCode="#,##0.00">
                  <c:v>7.916666666666667</c:v>
                </c:pt>
                <c:pt idx="62">
                  <c:v>8</c:v>
                </c:pt>
                <c:pt idx="63" formatCode="#,##0.00">
                  <c:v>8.2916666666666661</c:v>
                </c:pt>
                <c:pt idx="64" formatCode="#,##0.00">
                  <c:v>8.5</c:v>
                </c:pt>
                <c:pt idx="65" formatCode="#,##0.00">
                  <c:v>8.625</c:v>
                </c:pt>
                <c:pt idx="66" formatCode="#,##0.00">
                  <c:v>8.7916666666666661</c:v>
                </c:pt>
                <c:pt idx="67" formatCode="#,##0.00">
                  <c:v>8.8333333333333339</c:v>
                </c:pt>
                <c:pt idx="68" formatCode="#,##0.00">
                  <c:v>8.9166666666666661</c:v>
                </c:pt>
                <c:pt idx="69" formatCode="#,##0.00">
                  <c:v>8.9583333333333339</c:v>
                </c:pt>
                <c:pt idx="70">
                  <c:v>9</c:v>
                </c:pt>
                <c:pt idx="71">
                  <c:v>9.0833333333333339</c:v>
                </c:pt>
                <c:pt idx="72" formatCode="#,##0.00">
                  <c:v>9.1</c:v>
                </c:pt>
                <c:pt idx="73" formatCode="#,##0.00">
                  <c:v>9.5</c:v>
                </c:pt>
                <c:pt idx="74" formatCode="#,##0.00">
                  <c:v>9.9</c:v>
                </c:pt>
                <c:pt idx="75">
                  <c:v>10</c:v>
                </c:pt>
                <c:pt idx="76" formatCode="#,##0.00">
                  <c:v>10.199999999999999</c:v>
                </c:pt>
                <c:pt idx="77" formatCode="#,##0.00">
                  <c:v>10.25</c:v>
                </c:pt>
                <c:pt idx="78" formatCode="#,##0.00">
                  <c:v>10.3</c:v>
                </c:pt>
                <c:pt idx="79" formatCode="#,##0.00">
                  <c:v>10.39</c:v>
                </c:pt>
                <c:pt idx="80">
                  <c:v>10.5</c:v>
                </c:pt>
                <c:pt idx="81" formatCode="#,##0.00">
                  <c:v>10.625</c:v>
                </c:pt>
                <c:pt idx="82">
                  <c:v>11</c:v>
                </c:pt>
                <c:pt idx="83" formatCode="#,##0.00">
                  <c:v>11.25</c:v>
                </c:pt>
                <c:pt idx="84" formatCode="#,##0.00">
                  <c:v>11.75</c:v>
                </c:pt>
                <c:pt idx="85">
                  <c:v>12</c:v>
                </c:pt>
                <c:pt idx="86" formatCode="#,##0.00">
                  <c:v>12.125</c:v>
                </c:pt>
                <c:pt idx="87" formatCode="#,##0.00">
                  <c:v>12.166666666666666</c:v>
                </c:pt>
                <c:pt idx="88" formatCode="#,##0.00">
                  <c:v>12.25</c:v>
                </c:pt>
                <c:pt idx="89" formatCode="#,##0.00">
                  <c:v>12.3125</c:v>
                </c:pt>
                <c:pt idx="90">
                  <c:v>12.5</c:v>
                </c:pt>
                <c:pt idx="91">
                  <c:v>13</c:v>
                </c:pt>
                <c:pt idx="92" formatCode="#,##0.00">
                  <c:v>13.083333333333334</c:v>
                </c:pt>
                <c:pt idx="93" formatCode="#,##0.00">
                  <c:v>13.733333333333334</c:v>
                </c:pt>
                <c:pt idx="94">
                  <c:v>14</c:v>
                </c:pt>
                <c:pt idx="95" formatCode="#,##0.00">
                  <c:v>14.666666666666666</c:v>
                </c:pt>
                <c:pt idx="96" formatCode="#,##0.00">
                  <c:v>14.833333333333334</c:v>
                </c:pt>
                <c:pt idx="97">
                  <c:v>15</c:v>
                </c:pt>
                <c:pt idx="98" formatCode="#,##0.00">
                  <c:v>15.316666666666668</c:v>
                </c:pt>
                <c:pt idx="99" formatCode="#,##0.00">
                  <c:v>15.35</c:v>
                </c:pt>
                <c:pt idx="100">
                  <c:v>15.666666666666666</c:v>
                </c:pt>
                <c:pt idx="101">
                  <c:v>16</c:v>
                </c:pt>
                <c:pt idx="102">
                  <c:v>17</c:v>
                </c:pt>
                <c:pt idx="103" formatCode="#,##0.00">
                  <c:v>17.25</c:v>
                </c:pt>
                <c:pt idx="104">
                  <c:v>18</c:v>
                </c:pt>
                <c:pt idx="105" formatCode="#,##0.00">
                  <c:v>18.25</c:v>
                </c:pt>
                <c:pt idx="106">
                  <c:v>19</c:v>
                </c:pt>
                <c:pt idx="107" formatCode="#,##0.00">
                  <c:v>19.25</c:v>
                </c:pt>
                <c:pt idx="108" formatCode="#,##0.00">
                  <c:v>19.333333333333332</c:v>
                </c:pt>
                <c:pt idx="109" formatCode="#,##0.00">
                  <c:v>19.875</c:v>
                </c:pt>
                <c:pt idx="110">
                  <c:v>20</c:v>
                </c:pt>
                <c:pt idx="111" formatCode="#,##0.00">
                  <c:v>20.125</c:v>
                </c:pt>
                <c:pt idx="112" formatCode="#,##0.00">
                  <c:v>20.625</c:v>
                </c:pt>
                <c:pt idx="113" formatCode="#,##0.00">
                  <c:v>20.75</c:v>
                </c:pt>
                <c:pt idx="114" formatCode="#,##0.00">
                  <c:v>20.833333333333332</c:v>
                </c:pt>
                <c:pt idx="115">
                  <c:v>21</c:v>
                </c:pt>
                <c:pt idx="116">
                  <c:v>21.25</c:v>
                </c:pt>
                <c:pt idx="117">
                  <c:v>22</c:v>
                </c:pt>
                <c:pt idx="118">
                  <c:v>23</c:v>
                </c:pt>
                <c:pt idx="119" formatCode="#,##0.00">
                  <c:v>23.333333333333332</c:v>
                </c:pt>
                <c:pt idx="120">
                  <c:v>24</c:v>
                </c:pt>
                <c:pt idx="121" formatCode="#,##0.00">
                  <c:v>24.333333333333332</c:v>
                </c:pt>
                <c:pt idx="122" formatCode="#,##0.00">
                  <c:v>24.5</c:v>
                </c:pt>
                <c:pt idx="123" formatCode="#,##0.00">
                  <c:v>24.666666666666668</c:v>
                </c:pt>
                <c:pt idx="124">
                  <c:v>25</c:v>
                </c:pt>
                <c:pt idx="125" formatCode="#,##0.00">
                  <c:v>25.333333333333332</c:v>
                </c:pt>
                <c:pt idx="126" formatCode="#,##0.00">
                  <c:v>25.5</c:v>
                </c:pt>
                <c:pt idx="127">
                  <c:v>26</c:v>
                </c:pt>
                <c:pt idx="128">
                  <c:v>26.166666666666668</c:v>
                </c:pt>
                <c:pt idx="129">
                  <c:v>27</c:v>
                </c:pt>
                <c:pt idx="130">
                  <c:v>28</c:v>
                </c:pt>
                <c:pt idx="131" formatCode="#,##0.00">
                  <c:v>28.5</c:v>
                </c:pt>
                <c:pt idx="132">
                  <c:v>29</c:v>
                </c:pt>
                <c:pt idx="133">
                  <c:v>30</c:v>
                </c:pt>
                <c:pt idx="134" formatCode="#,##0.00">
                  <c:v>30.5</c:v>
                </c:pt>
                <c:pt idx="135">
                  <c:v>31</c:v>
                </c:pt>
                <c:pt idx="136">
                  <c:v>32</c:v>
                </c:pt>
                <c:pt idx="137" formatCode="#,##0.00">
                  <c:v>32.5</c:v>
                </c:pt>
                <c:pt idx="138">
                  <c:v>33</c:v>
                </c:pt>
                <c:pt idx="139" formatCode="#,##0.00">
                  <c:v>33.75</c:v>
                </c:pt>
                <c:pt idx="140">
                  <c:v>34</c:v>
                </c:pt>
                <c:pt idx="141" formatCode="#,##0.00">
                  <c:v>34.5</c:v>
                </c:pt>
                <c:pt idx="142">
                  <c:v>35</c:v>
                </c:pt>
                <c:pt idx="143">
                  <c:v>35.5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44</c:v>
                </c:pt>
                <c:pt idx="153" formatCode="#,##0.00">
                  <c:v>44.5</c:v>
                </c:pt>
                <c:pt idx="154">
                  <c:v>45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49</c:v>
                </c:pt>
                <c:pt idx="159" formatCode="#,##0.00">
                  <c:v>49.9</c:v>
                </c:pt>
                <c:pt idx="160">
                  <c:v>50</c:v>
                </c:pt>
                <c:pt idx="161">
                  <c:v>51</c:v>
                </c:pt>
                <c:pt idx="162">
                  <c:v>52</c:v>
                </c:pt>
                <c:pt idx="163">
                  <c:v>53</c:v>
                </c:pt>
                <c:pt idx="164">
                  <c:v>54</c:v>
                </c:pt>
                <c:pt idx="165">
                  <c:v>55</c:v>
                </c:pt>
                <c:pt idx="166">
                  <c:v>56</c:v>
                </c:pt>
                <c:pt idx="167">
                  <c:v>57</c:v>
                </c:pt>
                <c:pt idx="168">
                  <c:v>58</c:v>
                </c:pt>
                <c:pt idx="169">
                  <c:v>59</c:v>
                </c:pt>
                <c:pt idx="170">
                  <c:v>60</c:v>
                </c:pt>
              </c:numCache>
            </c:numRef>
          </c:xVal>
          <c:yVal>
            <c:numRef>
              <c:f>'100 A 39; Q = f(I)'!$N$36:$N$206</c:f>
              <c:numCache>
                <c:formatCode>#,##0</c:formatCode>
                <c:ptCount val="17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91E-486F-8E37-490613A1B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77792"/>
        <c:axId val="114995968"/>
      </c:scatterChart>
      <c:valAx>
        <c:axId val="114977792"/>
        <c:scaling>
          <c:orientation val="minMax"/>
          <c:max val="60"/>
          <c:min val="0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crossAx val="114995968"/>
        <c:crosses val="autoZero"/>
        <c:crossBetween val="midCat"/>
        <c:majorUnit val="5"/>
        <c:minorUnit val="1"/>
      </c:valAx>
      <c:valAx>
        <c:axId val="114995968"/>
        <c:scaling>
          <c:orientation val="minMax"/>
          <c:max val="160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14977792"/>
        <c:crosses val="autoZero"/>
        <c:crossBetween val="midCat"/>
        <c:majorUnit val="10"/>
        <c:minorUnit val="1"/>
      </c:valAx>
    </c:plotArea>
    <c:legend>
      <c:legendPos val="r"/>
      <c:layout>
        <c:manualLayout>
          <c:xMode val="edge"/>
          <c:yMode val="edge"/>
          <c:x val="0.78899633574265571"/>
          <c:y val="4.9090651127481462E-2"/>
          <c:w val="0.11274513194500378"/>
          <c:h val="0.6052859366533657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Curva de descarga acumulador electroquímico teórico</a:t>
            </a:r>
          </a:p>
          <a:p>
            <a:pPr>
              <a:defRPr sz="1400"/>
            </a:pPr>
            <a:r>
              <a:rPr lang="en-US" sz="1400"/>
              <a:t>acumulador de litio Worley Parsons SLPB 68106100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244570071650526"/>
          <c:y val="0.14417173723638183"/>
          <c:w val="0.8609197707914148"/>
          <c:h val="0.69818177954481764"/>
        </c:manualLayout>
      </c:layout>
      <c:scatterChart>
        <c:scatterStyle val="smoothMarker"/>
        <c:varyColors val="0"/>
        <c:ser>
          <c:idx val="0"/>
          <c:order val="0"/>
          <c:tx>
            <c:v>ue, Id = 1,5 [A]</c:v>
          </c:tx>
          <c:spPr>
            <a:ln w="15875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parámetros'!$X$5:$X$126</c:f>
              <c:numCache>
                <c:formatCode>0.000</c:formatCode>
                <c:ptCount val="122"/>
                <c:pt idx="0">
                  <c:v>3.8693606857010856</c:v>
                </c:pt>
                <c:pt idx="1">
                  <c:v>3.8622206857010855</c:v>
                </c:pt>
                <c:pt idx="2">
                  <c:v>3.8621606857010855</c:v>
                </c:pt>
                <c:pt idx="3">
                  <c:v>3.8620996687519331</c:v>
                </c:pt>
                <c:pt idx="4">
                  <c:v>3.8620376087780088</c:v>
                </c:pt>
                <c:pt idx="5">
                  <c:v>3.8619744788045338</c:v>
                </c:pt>
                <c:pt idx="6">
                  <c:v>3.8619102509184771</c:v>
                </c:pt>
                <c:pt idx="7">
                  <c:v>3.8618448962274012</c:v>
                </c:pt>
                <c:pt idx="8">
                  <c:v>3.8617783848161298</c:v>
                </c:pt>
                <c:pt idx="9">
                  <c:v>3.8617106857010857</c:v>
                </c:pt>
                <c:pt idx="10">
                  <c:v>3.8616417667821668</c:v>
                </c:pt>
                <c:pt idx="11">
                  <c:v>3.8615715947919949</c:v>
                </c:pt>
                <c:pt idx="12">
                  <c:v>3.8615001352423701</c:v>
                </c:pt>
                <c:pt idx="13">
                  <c:v>3.8614273523677523</c:v>
                </c:pt>
                <c:pt idx="14">
                  <c:v>3.8613532090655718</c:v>
                </c:pt>
                <c:pt idx="15">
                  <c:v>3.861277666833161</c:v>
                </c:pt>
                <c:pt idx="16">
                  <c:v>3.8612006857010854</c:v>
                </c:pt>
                <c:pt idx="17">
                  <c:v>3.861122224162624</c:v>
                </c:pt>
                <c:pt idx="18">
                  <c:v>3.8610422390991439</c:v>
                </c:pt>
                <c:pt idx="19">
                  <c:v>3.8609606857010856</c:v>
                </c:pt>
                <c:pt idx="20">
                  <c:v>3.860877517384254</c:v>
                </c:pt>
                <c:pt idx="21">
                  <c:v>3.8607926857010857</c:v>
                </c:pt>
                <c:pt idx="22">
                  <c:v>3.8607061402465401</c:v>
                </c:pt>
                <c:pt idx="23">
                  <c:v>3.8606178285582287</c:v>
                </c:pt>
                <c:pt idx="24">
                  <c:v>3.8605276960103638</c:v>
                </c:pt>
                <c:pt idx="25">
                  <c:v>3.8604356857010855</c:v>
                </c:pt>
                <c:pt idx="26">
                  <c:v>3.8603417383326644</c:v>
                </c:pt>
                <c:pt idx="27">
                  <c:v>3.8602457920840645</c:v>
                </c:pt>
                <c:pt idx="28">
                  <c:v>3.8601477824752792</c:v>
                </c:pt>
                <c:pt idx="29">
                  <c:v>3.8600476422228249</c:v>
                </c:pt>
                <c:pt idx="30">
                  <c:v>3.859945301085701</c:v>
                </c:pt>
                <c:pt idx="31">
                  <c:v>3.8598406857010854</c:v>
                </c:pt>
                <c:pt idx="32">
                  <c:v>3.8597337194089509</c:v>
                </c:pt>
                <c:pt idx="33">
                  <c:v>3.8596243220647222</c:v>
                </c:pt>
                <c:pt idx="34">
                  <c:v>3.8595124098390166</c:v>
                </c:pt>
                <c:pt idx="35">
                  <c:v>3.8593978950034113</c:v>
                </c:pt>
                <c:pt idx="36">
                  <c:v>3.8592806857010857</c:v>
                </c:pt>
                <c:pt idx="37">
                  <c:v>3.8591606857010854</c:v>
                </c:pt>
                <c:pt idx="38">
                  <c:v>3.8590377941348204</c:v>
                </c:pt>
                <c:pt idx="39">
                  <c:v>3.8589119052132808</c:v>
                </c:pt>
                <c:pt idx="40">
                  <c:v>3.8587829079233078</c:v>
                </c:pt>
                <c:pt idx="41">
                  <c:v>3.8586506857010856</c:v>
                </c:pt>
                <c:pt idx="42">
                  <c:v>3.8585151160808326</c:v>
                </c:pt>
                <c:pt idx="43">
                  <c:v>3.8583760703164702</c:v>
                </c:pt>
                <c:pt idx="44">
                  <c:v>3.8582334129738127</c:v>
                </c:pt>
                <c:pt idx="45">
                  <c:v>3.8580870014905595</c:v>
                </c:pt>
                <c:pt idx="46">
                  <c:v>3.8579366857010857</c:v>
                </c:pt>
                <c:pt idx="47">
                  <c:v>3.8577823073227071</c:v>
                </c:pt>
                <c:pt idx="48">
                  <c:v>3.8576236993997157</c:v>
                </c:pt>
                <c:pt idx="49">
                  <c:v>3.8574606857010858</c:v>
                </c:pt>
                <c:pt idx="50">
                  <c:v>3.8572930800672829</c:v>
                </c:pt>
                <c:pt idx="51">
                  <c:v>3.8571206857010858</c:v>
                </c:pt>
                <c:pt idx="52">
                  <c:v>3.8569432943967379</c:v>
                </c:pt>
                <c:pt idx="53">
                  <c:v>3.8567606857010857</c:v>
                </c:pt>
                <c:pt idx="54">
                  <c:v>3.8565726259995929</c:v>
                </c:pt>
                <c:pt idx="55">
                  <c:v>3.8563788675192674</c:v>
                </c:pt>
                <c:pt idx="56">
                  <c:v>3.8561791472395472</c:v>
                </c:pt>
                <c:pt idx="57">
                  <c:v>3.8559731857010857</c:v>
                </c:pt>
                <c:pt idx="58">
                  <c:v>3.8557606857010858</c:v>
                </c:pt>
                <c:pt idx="59">
                  <c:v>3.8555413308623758</c:v>
                </c:pt>
                <c:pt idx="60">
                  <c:v>3.8553147840617412</c:v>
                </c:pt>
                <c:pt idx="61">
                  <c:v>3.8550806857010858</c:v>
                </c:pt>
                <c:pt idx="62">
                  <c:v>3.8548386518027806</c:v>
                </c:pt>
                <c:pt idx="63">
                  <c:v>3.854588271907982</c:v>
                </c:pt>
                <c:pt idx="64">
                  <c:v>3.8543291067537173</c:v>
                </c:pt>
                <c:pt idx="65">
                  <c:v>3.8540606857010857</c:v>
                </c:pt>
                <c:pt idx="66">
                  <c:v>3.8537825038829037</c:v>
                </c:pt>
                <c:pt idx="67">
                  <c:v>3.8534940190344189</c:v>
                </c:pt>
                <c:pt idx="68">
                  <c:v>3.8531946479652364</c:v>
                </c:pt>
                <c:pt idx="69">
                  <c:v>3.8528837626241623</c:v>
                </c:pt>
                <c:pt idx="70">
                  <c:v>3.8525606857010857</c:v>
                </c:pt>
                <c:pt idx="71">
                  <c:v>3.8522246857010858</c:v>
                </c:pt>
                <c:pt idx="72">
                  <c:v>3.8518749714153713</c:v>
                </c:pt>
                <c:pt idx="73">
                  <c:v>3.8515106857010855</c:v>
                </c:pt>
                <c:pt idx="74">
                  <c:v>3.8511308984670429</c:v>
                </c:pt>
                <c:pt idx="75">
                  <c:v>3.8507345987445638</c:v>
                </c:pt>
                <c:pt idx="76">
                  <c:v>3.8503206857010857</c:v>
                </c:pt>
                <c:pt idx="77">
                  <c:v>3.8498879584283583</c:v>
                </c:pt>
                <c:pt idx="78">
                  <c:v>3.8494351043057367</c:v>
                </c:pt>
                <c:pt idx="79">
                  <c:v>3.8489606857010856</c:v>
                </c:pt>
                <c:pt idx="80">
                  <c:v>3.8484631247254759</c:v>
                </c:pt>
                <c:pt idx="81">
                  <c:v>3.8479406857010856</c:v>
                </c:pt>
                <c:pt idx="82">
                  <c:v>3.8473914549318549</c:v>
                </c:pt>
                <c:pt idx="83">
                  <c:v>3.846813317280033</c:v>
                </c:pt>
                <c:pt idx="84">
                  <c:v>3.8462039289443291</c:v>
                </c:pt>
                <c:pt idx="85">
                  <c:v>3.8455606857010856</c:v>
                </c:pt>
                <c:pt idx="86">
                  <c:v>3.8448806857010855</c:v>
                </c:pt>
                <c:pt idx="87">
                  <c:v>3.8441606857010857</c:v>
                </c:pt>
                <c:pt idx="88">
                  <c:v>3.8433970493374492</c:v>
                </c:pt>
                <c:pt idx="89">
                  <c:v>3.8425856857010858</c:v>
                </c:pt>
                <c:pt idx="90">
                  <c:v>3.8417219760236661</c:v>
                </c:pt>
                <c:pt idx="91">
                  <c:v>3.8408006857010855</c:v>
                </c:pt>
                <c:pt idx="92">
                  <c:v>3.8398158581148789</c:v>
                </c:pt>
                <c:pt idx="93">
                  <c:v>3.8387606857010854</c:v>
                </c:pt>
                <c:pt idx="94">
                  <c:v>3.8376273523677522</c:v>
                </c:pt>
                <c:pt idx="95">
                  <c:v>3.8364068395472395</c:v>
                </c:pt>
                <c:pt idx="96">
                  <c:v>3.8350886857010855</c:v>
                </c:pt>
                <c:pt idx="97">
                  <c:v>3.8336606857010858</c:v>
                </c:pt>
                <c:pt idx="98">
                  <c:v>3.832108511788042</c:v>
                </c:pt>
                <c:pt idx="99">
                  <c:v>3.830415231155631</c:v>
                </c:pt>
                <c:pt idx="100">
                  <c:v>3.8285606857010857</c:v>
                </c:pt>
                <c:pt idx="101">
                  <c:v>3.8265206857010856</c:v>
                </c:pt>
                <c:pt idx="102">
                  <c:v>3.8242659488589803</c:v>
                </c:pt>
                <c:pt idx="103">
                  <c:v>3.8217606857010855</c:v>
                </c:pt>
                <c:pt idx="104">
                  <c:v>3.8189606857010858</c:v>
                </c:pt>
                <c:pt idx="105">
                  <c:v>3.8158106857010856</c:v>
                </c:pt>
                <c:pt idx="106">
                  <c:v>3.8122406857010858</c:v>
                </c:pt>
                <c:pt idx="107">
                  <c:v>3.8081606857010857</c:v>
                </c:pt>
                <c:pt idx="108">
                  <c:v>3.8034529933933934</c:v>
                </c:pt>
                <c:pt idx="109">
                  <c:v>3.7979606857010855</c:v>
                </c:pt>
                <c:pt idx="110">
                  <c:v>3.7914697766101764</c:v>
                </c:pt>
                <c:pt idx="111">
                  <c:v>3.7836806857010856</c:v>
                </c:pt>
                <c:pt idx="112">
                  <c:v>3.7741606857010854</c:v>
                </c:pt>
                <c:pt idx="113">
                  <c:v>3.7622606857010856</c:v>
                </c:pt>
                <c:pt idx="114">
                  <c:v>3.7469606857010853</c:v>
                </c:pt>
                <c:pt idx="115">
                  <c:v>3.7265606857010862</c:v>
                </c:pt>
                <c:pt idx="116">
                  <c:v>3.6980006857010852</c:v>
                </c:pt>
                <c:pt idx="117">
                  <c:v>3.6551606857010861</c:v>
                </c:pt>
                <c:pt idx="118">
                  <c:v>3.583760685701086</c:v>
                </c:pt>
                <c:pt idx="119">
                  <c:v>3.440960685701087</c:v>
                </c:pt>
                <c:pt idx="120">
                  <c:v>3.0125606857010827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5-49D1-9CAF-93680392FFFE}"/>
            </c:ext>
          </c:extLst>
        </c:ser>
        <c:ser>
          <c:idx val="1"/>
          <c:order val="1"/>
          <c:tx>
            <c:v>ue, Id = 4,0 [A]</c:v>
          </c:tx>
          <c:spPr>
            <a:ln w="15875">
              <a:solidFill>
                <a:srgbClr val="00B050"/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parámetros'!$Y$5:$Y$126</c:f>
              <c:numCache>
                <c:formatCode>0.000</c:formatCode>
                <c:ptCount val="122"/>
                <c:pt idx="0">
                  <c:v>3.8693606857010856</c:v>
                </c:pt>
                <c:pt idx="1">
                  <c:v>3.8503206857010857</c:v>
                </c:pt>
                <c:pt idx="2">
                  <c:v>3.8501606857010855</c:v>
                </c:pt>
                <c:pt idx="3">
                  <c:v>3.849997973836679</c:v>
                </c:pt>
                <c:pt idx="4">
                  <c:v>3.8498324805728803</c:v>
                </c:pt>
                <c:pt idx="5">
                  <c:v>3.8496641339769475</c:v>
                </c:pt>
                <c:pt idx="6">
                  <c:v>3.8494928596141289</c:v>
                </c:pt>
                <c:pt idx="7">
                  <c:v>3.8493185804379277</c:v>
                </c:pt>
                <c:pt idx="8">
                  <c:v>3.8491412166745369</c:v>
                </c:pt>
                <c:pt idx="9">
                  <c:v>3.8489606857010856</c:v>
                </c:pt>
                <c:pt idx="10">
                  <c:v>3.8487769019173017</c:v>
                </c:pt>
                <c:pt idx="11">
                  <c:v>3.8485897766101766</c:v>
                </c:pt>
                <c:pt idx="12">
                  <c:v>3.8483992178111772</c:v>
                </c:pt>
                <c:pt idx="13">
                  <c:v>3.84820513014553</c:v>
                </c:pt>
                <c:pt idx="14">
                  <c:v>3.8480074146730483</c:v>
                </c:pt>
                <c:pt idx="15">
                  <c:v>3.8478059687199537</c:v>
                </c:pt>
                <c:pt idx="16">
                  <c:v>3.8476006857010856</c:v>
                </c:pt>
                <c:pt idx="17">
                  <c:v>3.8473914549318549</c:v>
                </c:pt>
                <c:pt idx="18">
                  <c:v>3.8471781614292411</c:v>
                </c:pt>
                <c:pt idx="19">
                  <c:v>3.8469606857010854</c:v>
                </c:pt>
                <c:pt idx="20">
                  <c:v>3.8467389035228678</c:v>
                </c:pt>
                <c:pt idx="21">
                  <c:v>3.8465126857010854</c:v>
                </c:pt>
                <c:pt idx="22">
                  <c:v>3.8462818978222977</c:v>
                </c:pt>
                <c:pt idx="23">
                  <c:v>3.8460463999868</c:v>
                </c:pt>
                <c:pt idx="24">
                  <c:v>3.8458060465258277</c:v>
                </c:pt>
                <c:pt idx="25">
                  <c:v>3.8455606857010856</c:v>
                </c:pt>
                <c:pt idx="26">
                  <c:v>3.8453101593852961</c:v>
                </c:pt>
                <c:pt idx="27">
                  <c:v>3.845054302722362</c:v>
                </c:pt>
                <c:pt idx="28">
                  <c:v>3.8447929437656017</c:v>
                </c:pt>
                <c:pt idx="29">
                  <c:v>3.8445259030923897</c:v>
                </c:pt>
                <c:pt idx="30">
                  <c:v>3.8442529933933933</c:v>
                </c:pt>
                <c:pt idx="31">
                  <c:v>3.8439740190344192</c:v>
                </c:pt>
                <c:pt idx="32">
                  <c:v>3.8436887755887259</c:v>
                </c:pt>
                <c:pt idx="33">
                  <c:v>3.8433970493374492</c:v>
                </c:pt>
                <c:pt idx="34">
                  <c:v>3.8430986167355683</c:v>
                </c:pt>
                <c:pt idx="35">
                  <c:v>3.8427932438406205</c:v>
                </c:pt>
                <c:pt idx="36">
                  <c:v>3.8424806857010858</c:v>
                </c:pt>
                <c:pt idx="37">
                  <c:v>3.8421606857010855</c:v>
                </c:pt>
                <c:pt idx="38">
                  <c:v>3.841832974857712</c:v>
                </c:pt>
                <c:pt idx="39">
                  <c:v>3.8414972710669391</c:v>
                </c:pt>
                <c:pt idx="40">
                  <c:v>3.8411532782936781</c:v>
                </c:pt>
                <c:pt idx="41">
                  <c:v>3.8408006857010855</c:v>
                </c:pt>
                <c:pt idx="42">
                  <c:v>3.8404391667137436</c:v>
                </c:pt>
                <c:pt idx="43">
                  <c:v>3.8400683780087781</c:v>
                </c:pt>
                <c:pt idx="44">
                  <c:v>3.8396879584283585</c:v>
                </c:pt>
                <c:pt idx="45">
                  <c:v>3.8392975278063486</c:v>
                </c:pt>
                <c:pt idx="46">
                  <c:v>3.8388966857010858</c:v>
                </c:pt>
                <c:pt idx="47">
                  <c:v>3.8384850100254098</c:v>
                </c:pt>
                <c:pt idx="48">
                  <c:v>3.8380620555640994</c:v>
                </c:pt>
                <c:pt idx="49">
                  <c:v>3.8376273523677522</c:v>
                </c:pt>
                <c:pt idx="50">
                  <c:v>3.8371804040109447</c:v>
                </c:pt>
                <c:pt idx="51">
                  <c:v>3.8367206857010858</c:v>
                </c:pt>
                <c:pt idx="52">
                  <c:v>3.8362476422228249</c:v>
                </c:pt>
                <c:pt idx="53">
                  <c:v>3.8357606857010857</c:v>
                </c:pt>
                <c:pt idx="54">
                  <c:v>3.8352591931637723</c:v>
                </c:pt>
                <c:pt idx="55">
                  <c:v>3.8347425038829037</c:v>
                </c:pt>
                <c:pt idx="56">
                  <c:v>3.8342099164703165</c:v>
                </c:pt>
                <c:pt idx="57">
                  <c:v>3.8336606857010858</c:v>
                </c:pt>
                <c:pt idx="58">
                  <c:v>3.8330940190344189</c:v>
                </c:pt>
                <c:pt idx="59">
                  <c:v>3.8325090727978597</c:v>
                </c:pt>
                <c:pt idx="60">
                  <c:v>3.8319049479961675</c:v>
                </c:pt>
                <c:pt idx="61">
                  <c:v>3.8312806857010857</c:v>
                </c:pt>
                <c:pt idx="62">
                  <c:v>3.8306352619722719</c:v>
                </c:pt>
                <c:pt idx="63">
                  <c:v>3.8299675822528099</c:v>
                </c:pt>
                <c:pt idx="64">
                  <c:v>3.8292764751747699</c:v>
                </c:pt>
                <c:pt idx="65">
                  <c:v>3.8285606857010857</c:v>
                </c:pt>
                <c:pt idx="66">
                  <c:v>3.8278188675192673</c:v>
                </c:pt>
                <c:pt idx="67">
                  <c:v>3.8270495745899744</c:v>
                </c:pt>
                <c:pt idx="68">
                  <c:v>3.8262512517388214</c:v>
                </c:pt>
                <c:pt idx="69">
                  <c:v>3.8254222241626241</c:v>
                </c:pt>
                <c:pt idx="70">
                  <c:v>3.8245606857010856</c:v>
                </c:pt>
                <c:pt idx="71">
                  <c:v>3.8236646857010856</c:v>
                </c:pt>
                <c:pt idx="72">
                  <c:v>3.8227321142725144</c:v>
                </c:pt>
                <c:pt idx="73">
                  <c:v>3.8217606857010855</c:v>
                </c:pt>
                <c:pt idx="74">
                  <c:v>3.8207479197436389</c:v>
                </c:pt>
                <c:pt idx="75">
                  <c:v>3.8196911204836943</c:v>
                </c:pt>
                <c:pt idx="76">
                  <c:v>3.8185873523677523</c:v>
                </c:pt>
                <c:pt idx="77">
                  <c:v>3.8174334129738128</c:v>
                </c:pt>
                <c:pt idx="78">
                  <c:v>3.8162258019801554</c:v>
                </c:pt>
                <c:pt idx="79">
                  <c:v>3.8149606857010858</c:v>
                </c:pt>
                <c:pt idx="80">
                  <c:v>3.813633856432793</c:v>
                </c:pt>
                <c:pt idx="81">
                  <c:v>3.8122406857010858</c:v>
                </c:pt>
                <c:pt idx="82">
                  <c:v>3.8107760703164701</c:v>
                </c:pt>
                <c:pt idx="83">
                  <c:v>3.809234369911612</c:v>
                </c:pt>
                <c:pt idx="84">
                  <c:v>3.8076093343497344</c:v>
                </c:pt>
                <c:pt idx="85">
                  <c:v>3.8058940190344188</c:v>
                </c:pt>
                <c:pt idx="86">
                  <c:v>3.8040806857010856</c:v>
                </c:pt>
                <c:pt idx="87">
                  <c:v>3.8021606857010855</c:v>
                </c:pt>
                <c:pt idx="88">
                  <c:v>3.8001243220647218</c:v>
                </c:pt>
                <c:pt idx="89">
                  <c:v>3.7979606857010855</c:v>
                </c:pt>
                <c:pt idx="90">
                  <c:v>3.7956574598946338</c:v>
                </c:pt>
                <c:pt idx="91">
                  <c:v>3.7932006857010858</c:v>
                </c:pt>
                <c:pt idx="92">
                  <c:v>3.7905744788045337</c:v>
                </c:pt>
                <c:pt idx="93">
                  <c:v>3.7877606857010857</c:v>
                </c:pt>
                <c:pt idx="94">
                  <c:v>3.7847384634788632</c:v>
                </c:pt>
                <c:pt idx="95">
                  <c:v>3.7814837626241626</c:v>
                </c:pt>
                <c:pt idx="96">
                  <c:v>3.7779686857010857</c:v>
                </c:pt>
                <c:pt idx="97">
                  <c:v>3.7741606857010854</c:v>
                </c:pt>
                <c:pt idx="98">
                  <c:v>3.770021555266303</c:v>
                </c:pt>
                <c:pt idx="99">
                  <c:v>3.76550614024654</c:v>
                </c:pt>
                <c:pt idx="100">
                  <c:v>3.7605606857010856</c:v>
                </c:pt>
                <c:pt idx="101">
                  <c:v>3.7551206857010855</c:v>
                </c:pt>
                <c:pt idx="102">
                  <c:v>3.7491080541221384</c:v>
                </c:pt>
                <c:pt idx="103">
                  <c:v>3.7424273523677525</c:v>
                </c:pt>
                <c:pt idx="104">
                  <c:v>3.7349606857010857</c:v>
                </c:pt>
                <c:pt idx="105">
                  <c:v>3.7265606857010858</c:v>
                </c:pt>
                <c:pt idx="106">
                  <c:v>3.7170406857010856</c:v>
                </c:pt>
                <c:pt idx="107">
                  <c:v>3.7061606857010858</c:v>
                </c:pt>
                <c:pt idx="108">
                  <c:v>3.6936068395472392</c:v>
                </c:pt>
                <c:pt idx="109">
                  <c:v>3.6789606857010857</c:v>
                </c:pt>
                <c:pt idx="110">
                  <c:v>3.6616515947919948</c:v>
                </c:pt>
                <c:pt idx="111">
                  <c:v>3.6408806857010858</c:v>
                </c:pt>
                <c:pt idx="112">
                  <c:v>3.6154940190344189</c:v>
                </c:pt>
                <c:pt idx="113">
                  <c:v>3.5837606857010855</c:v>
                </c:pt>
                <c:pt idx="114">
                  <c:v>3.5429606857010851</c:v>
                </c:pt>
                <c:pt idx="115">
                  <c:v>3.4885606857010867</c:v>
                </c:pt>
                <c:pt idx="116">
                  <c:v>3.4124006857010842</c:v>
                </c:pt>
                <c:pt idx="117">
                  <c:v>3.2981606857010872</c:v>
                </c:pt>
                <c:pt idx="118">
                  <c:v>3.1077606857010864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5-49D1-9CAF-93680392FFFE}"/>
            </c:ext>
          </c:extLst>
        </c:ser>
        <c:ser>
          <c:idx val="2"/>
          <c:order val="2"/>
          <c:tx>
            <c:v>ue, Id = 8,0 [A]</c:v>
          </c:tx>
          <c:spPr>
            <a:ln w="15875">
              <a:solidFill>
                <a:srgbClr val="0070C0"/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parámetros'!$Z$5:$Z$126</c:f>
              <c:numCache>
                <c:formatCode>0.000</c:formatCode>
                <c:ptCount val="122"/>
                <c:pt idx="0">
                  <c:v>3.8693606857010856</c:v>
                </c:pt>
                <c:pt idx="1">
                  <c:v>3.8312806857010857</c:v>
                </c:pt>
                <c:pt idx="2">
                  <c:v>3.8309606857010854</c:v>
                </c:pt>
                <c:pt idx="3">
                  <c:v>3.8306352619722719</c:v>
                </c:pt>
                <c:pt idx="4">
                  <c:v>3.8303042754446754</c:v>
                </c:pt>
                <c:pt idx="5">
                  <c:v>3.8299675822528099</c:v>
                </c:pt>
                <c:pt idx="6">
                  <c:v>3.8296250335271727</c:v>
                </c:pt>
                <c:pt idx="7">
                  <c:v>3.8292764751747699</c:v>
                </c:pt>
                <c:pt idx="8">
                  <c:v>3.8289217476479882</c:v>
                </c:pt>
                <c:pt idx="9">
                  <c:v>3.8285606857010857</c:v>
                </c:pt>
                <c:pt idx="10">
                  <c:v>3.8281931181335183</c:v>
                </c:pt>
                <c:pt idx="11">
                  <c:v>3.8278188675192673</c:v>
                </c:pt>
                <c:pt idx="12">
                  <c:v>3.8274377499212693</c:v>
                </c:pt>
                <c:pt idx="13">
                  <c:v>3.8270495745899744</c:v>
                </c:pt>
                <c:pt idx="14">
                  <c:v>3.826654143645011</c:v>
                </c:pt>
                <c:pt idx="15">
                  <c:v>3.8262512517388214</c:v>
                </c:pt>
                <c:pt idx="16">
                  <c:v>3.8258406857010856</c:v>
                </c:pt>
                <c:pt idx="17">
                  <c:v>3.8254222241626241</c:v>
                </c:pt>
                <c:pt idx="18">
                  <c:v>3.8249956371573961</c:v>
                </c:pt>
                <c:pt idx="19">
                  <c:v>3.8245606857010856</c:v>
                </c:pt>
                <c:pt idx="20">
                  <c:v>3.8241171213446501</c:v>
                </c:pt>
                <c:pt idx="21">
                  <c:v>3.8236646857010856</c:v>
                </c:pt>
                <c:pt idx="22">
                  <c:v>3.8232031099435098</c:v>
                </c:pt>
                <c:pt idx="23">
                  <c:v>3.8227321142725144</c:v>
                </c:pt>
                <c:pt idx="24">
                  <c:v>3.8222514073505702</c:v>
                </c:pt>
                <c:pt idx="25">
                  <c:v>3.8217606857010855</c:v>
                </c:pt>
                <c:pt idx="26">
                  <c:v>3.8212596330695066</c:v>
                </c:pt>
                <c:pt idx="27">
                  <c:v>3.8207479197436389</c:v>
                </c:pt>
                <c:pt idx="28">
                  <c:v>3.8202252018301177</c:v>
                </c:pt>
                <c:pt idx="29">
                  <c:v>3.8196911204836943</c:v>
                </c:pt>
                <c:pt idx="30">
                  <c:v>3.819145301085701</c:v>
                </c:pt>
                <c:pt idx="31">
                  <c:v>3.8185873523677523</c:v>
                </c:pt>
                <c:pt idx="32">
                  <c:v>3.8180168654763667</c:v>
                </c:pt>
                <c:pt idx="33">
                  <c:v>3.8174334129738128</c:v>
                </c:pt>
                <c:pt idx="34">
                  <c:v>3.816836547770051</c:v>
                </c:pt>
                <c:pt idx="35">
                  <c:v>3.8162258019801554</c:v>
                </c:pt>
                <c:pt idx="36">
                  <c:v>3.8156006857010856</c:v>
                </c:pt>
                <c:pt idx="37">
                  <c:v>3.8149606857010858</c:v>
                </c:pt>
                <c:pt idx="38">
                  <c:v>3.8143052640143384</c:v>
                </c:pt>
                <c:pt idx="39">
                  <c:v>3.813633856432793</c:v>
                </c:pt>
                <c:pt idx="40">
                  <c:v>3.8129458708862707</c:v>
                </c:pt>
                <c:pt idx="41">
                  <c:v>3.8122406857010858</c:v>
                </c:pt>
                <c:pt idx="42">
                  <c:v>3.8115176477264021</c:v>
                </c:pt>
                <c:pt idx="43">
                  <c:v>3.8107760703164701</c:v>
                </c:pt>
                <c:pt idx="44">
                  <c:v>3.810015231155631</c:v>
                </c:pt>
                <c:pt idx="45">
                  <c:v>3.809234369911612</c:v>
                </c:pt>
                <c:pt idx="46">
                  <c:v>3.8084326857010855</c:v>
                </c:pt>
                <c:pt idx="47">
                  <c:v>3.8076093343497344</c:v>
                </c:pt>
                <c:pt idx="48">
                  <c:v>3.8067634254271132</c:v>
                </c:pt>
                <c:pt idx="49">
                  <c:v>3.8058940190344188</c:v>
                </c:pt>
                <c:pt idx="50">
                  <c:v>3.8050001223208039</c:v>
                </c:pt>
                <c:pt idx="51">
                  <c:v>3.8040806857010856</c:v>
                </c:pt>
                <c:pt idx="52">
                  <c:v>3.8031345987445637</c:v>
                </c:pt>
                <c:pt idx="53">
                  <c:v>3.8021606857010855</c:v>
                </c:pt>
                <c:pt idx="54">
                  <c:v>3.801157700626459</c:v>
                </c:pt>
                <c:pt idx="55">
                  <c:v>3.8001243220647218</c:v>
                </c:pt>
                <c:pt idx="56">
                  <c:v>3.799059147239547</c:v>
                </c:pt>
                <c:pt idx="57">
                  <c:v>3.7979606857010855</c:v>
                </c:pt>
                <c:pt idx="58">
                  <c:v>3.7968273523677523</c:v>
                </c:pt>
                <c:pt idx="59">
                  <c:v>3.7956574598946342</c:v>
                </c:pt>
                <c:pt idx="60">
                  <c:v>3.7944492102912495</c:v>
                </c:pt>
                <c:pt idx="61">
                  <c:v>3.7932006857010858</c:v>
                </c:pt>
                <c:pt idx="62">
                  <c:v>3.7919098382434586</c:v>
                </c:pt>
                <c:pt idx="63">
                  <c:v>3.7905744788045337</c:v>
                </c:pt>
                <c:pt idx="64">
                  <c:v>3.7891922646484542</c:v>
                </c:pt>
                <c:pt idx="65">
                  <c:v>3.7877606857010857</c:v>
                </c:pt>
                <c:pt idx="66">
                  <c:v>3.7862770493374494</c:v>
                </c:pt>
                <c:pt idx="67">
                  <c:v>3.7847384634788632</c:v>
                </c:pt>
                <c:pt idx="68">
                  <c:v>3.7831418177765572</c:v>
                </c:pt>
                <c:pt idx="69">
                  <c:v>3.7814837626241626</c:v>
                </c:pt>
                <c:pt idx="70">
                  <c:v>3.7797606857010857</c:v>
                </c:pt>
                <c:pt idx="71">
                  <c:v>3.7779686857010857</c:v>
                </c:pt>
                <c:pt idx="72">
                  <c:v>3.7761035428439427</c:v>
                </c:pt>
                <c:pt idx="73">
                  <c:v>3.7741606857010854</c:v>
                </c:pt>
                <c:pt idx="74">
                  <c:v>3.7721351537861918</c:v>
                </c:pt>
                <c:pt idx="75">
                  <c:v>3.770021555266303</c:v>
                </c:pt>
                <c:pt idx="76">
                  <c:v>3.7678140190344189</c:v>
                </c:pt>
                <c:pt idx="77">
                  <c:v>3.76550614024654</c:v>
                </c:pt>
                <c:pt idx="78">
                  <c:v>3.7630909182592251</c:v>
                </c:pt>
                <c:pt idx="79">
                  <c:v>3.7605606857010856</c:v>
                </c:pt>
                <c:pt idx="80">
                  <c:v>3.7579070271645003</c:v>
                </c:pt>
                <c:pt idx="81">
                  <c:v>3.7551206857010855</c:v>
                </c:pt>
                <c:pt idx="82">
                  <c:v>3.7521914549318547</c:v>
                </c:pt>
                <c:pt idx="83">
                  <c:v>3.7491080541221384</c:v>
                </c:pt>
                <c:pt idx="84">
                  <c:v>3.7458579829983831</c:v>
                </c:pt>
                <c:pt idx="85">
                  <c:v>3.7424273523677525</c:v>
                </c:pt>
                <c:pt idx="86">
                  <c:v>3.7388006857010856</c:v>
                </c:pt>
                <c:pt idx="87">
                  <c:v>3.7349606857010857</c:v>
                </c:pt>
                <c:pt idx="88">
                  <c:v>3.7308879584283585</c:v>
                </c:pt>
                <c:pt idx="89">
                  <c:v>3.7265606857010858</c:v>
                </c:pt>
                <c:pt idx="90">
                  <c:v>3.7219542340881824</c:v>
                </c:pt>
                <c:pt idx="91">
                  <c:v>3.7170406857010856</c:v>
                </c:pt>
                <c:pt idx="92">
                  <c:v>3.7117882719079822</c:v>
                </c:pt>
                <c:pt idx="93">
                  <c:v>3.7061606857010858</c:v>
                </c:pt>
                <c:pt idx="94">
                  <c:v>3.7001162412566413</c:v>
                </c:pt>
                <c:pt idx="95">
                  <c:v>3.6936068395472397</c:v>
                </c:pt>
                <c:pt idx="96">
                  <c:v>3.6865766857010858</c:v>
                </c:pt>
                <c:pt idx="97">
                  <c:v>3.6789606857010857</c:v>
                </c:pt>
                <c:pt idx="98">
                  <c:v>3.6706824248315204</c:v>
                </c:pt>
                <c:pt idx="99">
                  <c:v>3.6616515947919948</c:v>
                </c:pt>
                <c:pt idx="100">
                  <c:v>3.6517606857010856</c:v>
                </c:pt>
                <c:pt idx="101">
                  <c:v>3.6408806857010854</c:v>
                </c:pt>
                <c:pt idx="102">
                  <c:v>3.6288554225431908</c:v>
                </c:pt>
                <c:pt idx="103">
                  <c:v>3.6154940190344189</c:v>
                </c:pt>
                <c:pt idx="104">
                  <c:v>3.6005606857010859</c:v>
                </c:pt>
                <c:pt idx="105">
                  <c:v>3.5837606857010855</c:v>
                </c:pt>
                <c:pt idx="106">
                  <c:v>3.5647206857010856</c:v>
                </c:pt>
                <c:pt idx="107">
                  <c:v>3.5429606857010856</c:v>
                </c:pt>
                <c:pt idx="108">
                  <c:v>3.5178529933933933</c:v>
                </c:pt>
                <c:pt idx="109">
                  <c:v>3.4885606857010858</c:v>
                </c:pt>
                <c:pt idx="110">
                  <c:v>3.4539425038829039</c:v>
                </c:pt>
                <c:pt idx="111">
                  <c:v>3.412400685701086</c:v>
                </c:pt>
                <c:pt idx="112">
                  <c:v>3.3616273523677522</c:v>
                </c:pt>
                <c:pt idx="113">
                  <c:v>3.2981606857010854</c:v>
                </c:pt>
                <c:pt idx="114">
                  <c:v>3.2165606857010847</c:v>
                </c:pt>
                <c:pt idx="115">
                  <c:v>3.1077606857010882</c:v>
                </c:pt>
                <c:pt idx="116">
                  <c:v>2.9554406857010824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05-49D1-9CAF-93680392FFFE}"/>
            </c:ext>
          </c:extLst>
        </c:ser>
        <c:ser>
          <c:idx val="3"/>
          <c:order val="3"/>
          <c:tx>
            <c:v>ue, Id = 16 [A]</c:v>
          </c:tx>
          <c:spPr>
            <a:ln w="15875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parámetros'!$AA$5:$AA$126</c:f>
              <c:numCache>
                <c:formatCode>0.000</c:formatCode>
                <c:ptCount val="122"/>
                <c:pt idx="0">
                  <c:v>3.8693606857010856</c:v>
                </c:pt>
                <c:pt idx="1">
                  <c:v>3.7932006857010858</c:v>
                </c:pt>
                <c:pt idx="2">
                  <c:v>3.7925606857010856</c:v>
                </c:pt>
                <c:pt idx="3">
                  <c:v>3.7919098382434586</c:v>
                </c:pt>
                <c:pt idx="4">
                  <c:v>3.7912478651882653</c:v>
                </c:pt>
                <c:pt idx="5">
                  <c:v>3.7905744788045337</c:v>
                </c:pt>
                <c:pt idx="6">
                  <c:v>3.7898893813532597</c:v>
                </c:pt>
                <c:pt idx="7">
                  <c:v>3.7891922646484542</c:v>
                </c:pt>
                <c:pt idx="8">
                  <c:v>3.7884828095948908</c:v>
                </c:pt>
                <c:pt idx="9">
                  <c:v>3.7877606857010857</c:v>
                </c:pt>
                <c:pt idx="10">
                  <c:v>3.7870255505659505</c:v>
                </c:pt>
                <c:pt idx="11">
                  <c:v>3.7862770493374494</c:v>
                </c:pt>
                <c:pt idx="12">
                  <c:v>3.7855148141414525</c:v>
                </c:pt>
                <c:pt idx="13">
                  <c:v>3.7847384634788632</c:v>
                </c:pt>
                <c:pt idx="14">
                  <c:v>3.7839476015889359</c:v>
                </c:pt>
                <c:pt idx="15">
                  <c:v>3.7831418177765572</c:v>
                </c:pt>
                <c:pt idx="16">
                  <c:v>3.7823206857010856</c:v>
                </c:pt>
                <c:pt idx="17">
                  <c:v>3.7814837626241626</c:v>
                </c:pt>
                <c:pt idx="18">
                  <c:v>3.780630588613707</c:v>
                </c:pt>
                <c:pt idx="19">
                  <c:v>3.7797606857010857</c:v>
                </c:pt>
                <c:pt idx="20">
                  <c:v>3.7788735569882141</c:v>
                </c:pt>
                <c:pt idx="21">
                  <c:v>3.7779686857010857</c:v>
                </c:pt>
                <c:pt idx="22">
                  <c:v>3.7770455341859339</c:v>
                </c:pt>
                <c:pt idx="23">
                  <c:v>3.7761035428439427</c:v>
                </c:pt>
                <c:pt idx="24">
                  <c:v>3.7751421290000549</c:v>
                </c:pt>
                <c:pt idx="25">
                  <c:v>3.7741606857010854</c:v>
                </c:pt>
                <c:pt idx="26">
                  <c:v>3.7731585804379275</c:v>
                </c:pt>
                <c:pt idx="27">
                  <c:v>3.7721351537861918</c:v>
                </c:pt>
                <c:pt idx="28">
                  <c:v>3.7710897179591503</c:v>
                </c:pt>
                <c:pt idx="29">
                  <c:v>3.770021555266303</c:v>
                </c:pt>
                <c:pt idx="30">
                  <c:v>3.7689299164703165</c:v>
                </c:pt>
                <c:pt idx="31">
                  <c:v>3.7678140190344189</c:v>
                </c:pt>
                <c:pt idx="32">
                  <c:v>3.7666730452516473</c:v>
                </c:pt>
                <c:pt idx="33">
                  <c:v>3.76550614024654</c:v>
                </c:pt>
                <c:pt idx="34">
                  <c:v>3.7643124098390168</c:v>
                </c:pt>
                <c:pt idx="35">
                  <c:v>3.7630909182592251</c:v>
                </c:pt>
                <c:pt idx="36">
                  <c:v>3.7618406857010855</c:v>
                </c:pt>
                <c:pt idx="37">
                  <c:v>3.7605606857010856</c:v>
                </c:pt>
                <c:pt idx="38">
                  <c:v>3.7592498423275917</c:v>
                </c:pt>
                <c:pt idx="39">
                  <c:v>3.7579070271645003</c:v>
                </c:pt>
                <c:pt idx="40">
                  <c:v>3.7565310560714558</c:v>
                </c:pt>
                <c:pt idx="41">
                  <c:v>3.7551206857010855</c:v>
                </c:pt>
                <c:pt idx="42">
                  <c:v>3.7536746097517186</c:v>
                </c:pt>
                <c:pt idx="43">
                  <c:v>3.7521914549318547</c:v>
                </c:pt>
                <c:pt idx="44">
                  <c:v>3.7506697766101764</c:v>
                </c:pt>
                <c:pt idx="45">
                  <c:v>3.7491080541221384</c:v>
                </c:pt>
                <c:pt idx="46">
                  <c:v>3.7475046857010854</c:v>
                </c:pt>
                <c:pt idx="47">
                  <c:v>3.7458579829983831</c:v>
                </c:pt>
                <c:pt idx="48">
                  <c:v>3.7441661651531404</c:v>
                </c:pt>
                <c:pt idx="49">
                  <c:v>3.7424273523677525</c:v>
                </c:pt>
                <c:pt idx="50">
                  <c:v>3.7406395589405221</c:v>
                </c:pt>
                <c:pt idx="51">
                  <c:v>3.7388006857010856</c:v>
                </c:pt>
                <c:pt idx="52">
                  <c:v>3.7369085117880423</c:v>
                </c:pt>
                <c:pt idx="53">
                  <c:v>3.7349606857010857</c:v>
                </c:pt>
                <c:pt idx="54">
                  <c:v>3.7329547155518319</c:v>
                </c:pt>
                <c:pt idx="55">
                  <c:v>3.7308879584283585</c:v>
                </c:pt>
                <c:pt idx="56">
                  <c:v>3.7287576087780088</c:v>
                </c:pt>
                <c:pt idx="57">
                  <c:v>3.7265606857010858</c:v>
                </c:pt>
                <c:pt idx="58">
                  <c:v>3.7242940190344189</c:v>
                </c:pt>
                <c:pt idx="59">
                  <c:v>3.7219542340881824</c:v>
                </c:pt>
                <c:pt idx="60">
                  <c:v>3.7195377348814134</c:v>
                </c:pt>
                <c:pt idx="61">
                  <c:v>3.7170406857010856</c:v>
                </c:pt>
                <c:pt idx="62">
                  <c:v>3.7144589907858312</c:v>
                </c:pt>
                <c:pt idx="63">
                  <c:v>3.7117882719079822</c:v>
                </c:pt>
                <c:pt idx="64">
                  <c:v>3.7090238435958223</c:v>
                </c:pt>
                <c:pt idx="65">
                  <c:v>3.7061606857010858</c:v>
                </c:pt>
                <c:pt idx="66">
                  <c:v>3.7031934129738131</c:v>
                </c:pt>
                <c:pt idx="67">
                  <c:v>3.7001162412566413</c:v>
                </c:pt>
                <c:pt idx="68">
                  <c:v>3.6969229498520289</c:v>
                </c:pt>
                <c:pt idx="69">
                  <c:v>3.6936068395472397</c:v>
                </c:pt>
                <c:pt idx="70">
                  <c:v>3.6901606857010858</c:v>
                </c:pt>
                <c:pt idx="71">
                  <c:v>3.6865766857010858</c:v>
                </c:pt>
                <c:pt idx="72">
                  <c:v>3.6828463999867997</c:v>
                </c:pt>
                <c:pt idx="73">
                  <c:v>3.6789606857010857</c:v>
                </c:pt>
                <c:pt idx="74">
                  <c:v>3.6749096218712984</c:v>
                </c:pt>
                <c:pt idx="75">
                  <c:v>3.6706824248315204</c:v>
                </c:pt>
                <c:pt idx="76">
                  <c:v>3.6662673523677523</c:v>
                </c:pt>
                <c:pt idx="77">
                  <c:v>3.6616515947919948</c:v>
                </c:pt>
                <c:pt idx="78">
                  <c:v>3.6568211508173647</c:v>
                </c:pt>
                <c:pt idx="79">
                  <c:v>3.6517606857010856</c:v>
                </c:pt>
                <c:pt idx="80">
                  <c:v>3.646453368627915</c:v>
                </c:pt>
                <c:pt idx="81">
                  <c:v>3.6408806857010858</c:v>
                </c:pt>
                <c:pt idx="82">
                  <c:v>3.6350222241626242</c:v>
                </c:pt>
                <c:pt idx="83">
                  <c:v>3.6288554225431908</c:v>
                </c:pt>
                <c:pt idx="84">
                  <c:v>3.6223552802956802</c:v>
                </c:pt>
                <c:pt idx="85">
                  <c:v>3.6154940190344189</c:v>
                </c:pt>
                <c:pt idx="86">
                  <c:v>3.6082406857010856</c:v>
                </c:pt>
                <c:pt idx="87">
                  <c:v>3.6005606857010855</c:v>
                </c:pt>
                <c:pt idx="88">
                  <c:v>3.592415231155631</c:v>
                </c:pt>
                <c:pt idx="89">
                  <c:v>3.5837606857010855</c:v>
                </c:pt>
                <c:pt idx="90">
                  <c:v>3.5745477824752792</c:v>
                </c:pt>
                <c:pt idx="91">
                  <c:v>3.5647206857010856</c:v>
                </c:pt>
                <c:pt idx="92">
                  <c:v>3.5542158581148788</c:v>
                </c:pt>
                <c:pt idx="93">
                  <c:v>3.5429606857010856</c:v>
                </c:pt>
                <c:pt idx="94">
                  <c:v>3.5308717968121965</c:v>
                </c:pt>
                <c:pt idx="95">
                  <c:v>3.5178529933933933</c:v>
                </c:pt>
                <c:pt idx="96">
                  <c:v>3.5037926857010859</c:v>
                </c:pt>
                <c:pt idx="97">
                  <c:v>3.4885606857010858</c:v>
                </c:pt>
                <c:pt idx="98">
                  <c:v>3.4720041639619552</c:v>
                </c:pt>
                <c:pt idx="99">
                  <c:v>3.4539425038829039</c:v>
                </c:pt>
                <c:pt idx="100">
                  <c:v>3.4341606857010856</c:v>
                </c:pt>
                <c:pt idx="101">
                  <c:v>3.4124006857010856</c:v>
                </c:pt>
                <c:pt idx="102">
                  <c:v>3.388350159385296</c:v>
                </c:pt>
                <c:pt idx="103">
                  <c:v>3.3616273523677522</c:v>
                </c:pt>
                <c:pt idx="104">
                  <c:v>3.3317606857010857</c:v>
                </c:pt>
                <c:pt idx="105">
                  <c:v>3.2981606857010854</c:v>
                </c:pt>
                <c:pt idx="106">
                  <c:v>3.2600806857010856</c:v>
                </c:pt>
                <c:pt idx="107">
                  <c:v>3.216560685701086</c:v>
                </c:pt>
                <c:pt idx="108">
                  <c:v>3.166345301085701</c:v>
                </c:pt>
                <c:pt idx="109">
                  <c:v>3.1077606857010855</c:v>
                </c:pt>
                <c:pt idx="110">
                  <c:v>3.0385243220647222</c:v>
                </c:pt>
                <c:pt idx="111">
                  <c:v>2.955440685701086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05-49D1-9CAF-93680392FFFE}"/>
            </c:ext>
          </c:extLst>
        </c:ser>
        <c:ser>
          <c:idx val="4"/>
          <c:order val="4"/>
          <c:tx>
            <c:v>Qe = 8,506 [Ah]</c:v>
          </c:tx>
          <c:spPr>
            <a:ln w="19050">
              <a:solidFill>
                <a:srgbClr val="FF7C80"/>
              </a:solidFill>
              <a:prstDash val="dash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parámetros'!$AB$5:$AB$126</c:f>
              <c:numCache>
                <c:formatCode>0.0E+00</c:formatCode>
                <c:ptCount val="122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-1000000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205-49D1-9CAF-93680392FFFE}"/>
            </c:ext>
          </c:extLst>
        </c:ser>
        <c:ser>
          <c:idx val="5"/>
          <c:order val="5"/>
          <c:tx>
            <c:v>Ue = 3,78 [V/c]</c:v>
          </c:tx>
          <c:spPr>
            <a:ln w="19050">
              <a:solidFill>
                <a:srgbClr val="66FF66"/>
              </a:solidFill>
              <a:prstDash val="lgDashDot"/>
            </a:ln>
          </c:spPr>
          <c:marker>
            <c:symbol val="none"/>
          </c:marker>
          <c:xVal>
            <c:numRef>
              <c:f>'[1]SLPB68106100 4 parámetros'!$W$5:$W$126</c:f>
              <c:numCache>
                <c:formatCode>General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'[1]SLPB68106100 4 parámetros'!$AC$5:$AC$126</c:f>
              <c:numCache>
                <c:formatCode>General</c:formatCode>
                <c:ptCount val="122"/>
                <c:pt idx="0">
                  <c:v>3.8693606857010856</c:v>
                </c:pt>
                <c:pt idx="1">
                  <c:v>3.8693606857010856</c:v>
                </c:pt>
                <c:pt idx="2">
                  <c:v>3.8693606857010856</c:v>
                </c:pt>
                <c:pt idx="3">
                  <c:v>3.8693606857010856</c:v>
                </c:pt>
                <c:pt idx="4">
                  <c:v>3.8693606857010856</c:v>
                </c:pt>
                <c:pt idx="5">
                  <c:v>3.8693606857010856</c:v>
                </c:pt>
                <c:pt idx="6">
                  <c:v>3.8693606857010856</c:v>
                </c:pt>
                <c:pt idx="7">
                  <c:v>3.8693606857010856</c:v>
                </c:pt>
                <c:pt idx="8">
                  <c:v>3.8693606857010856</c:v>
                </c:pt>
                <c:pt idx="9">
                  <c:v>3.8693606857010856</c:v>
                </c:pt>
                <c:pt idx="10">
                  <c:v>3.8693606857010856</c:v>
                </c:pt>
                <c:pt idx="11">
                  <c:v>3.8693606857010856</c:v>
                </c:pt>
                <c:pt idx="12">
                  <c:v>3.8693606857010856</c:v>
                </c:pt>
                <c:pt idx="13">
                  <c:v>3.8693606857010856</c:v>
                </c:pt>
                <c:pt idx="14">
                  <c:v>3.8693606857010856</c:v>
                </c:pt>
                <c:pt idx="15">
                  <c:v>3.8693606857010856</c:v>
                </c:pt>
                <c:pt idx="16">
                  <c:v>3.8693606857010856</c:v>
                </c:pt>
                <c:pt idx="17">
                  <c:v>3.8693606857010856</c:v>
                </c:pt>
                <c:pt idx="18">
                  <c:v>3.8693606857010856</c:v>
                </c:pt>
                <c:pt idx="19">
                  <c:v>3.8693606857010856</c:v>
                </c:pt>
                <c:pt idx="20">
                  <c:v>3.8693606857010856</c:v>
                </c:pt>
                <c:pt idx="21">
                  <c:v>3.8693606857010856</c:v>
                </c:pt>
                <c:pt idx="22">
                  <c:v>3.8693606857010856</c:v>
                </c:pt>
                <c:pt idx="23">
                  <c:v>3.8693606857010856</c:v>
                </c:pt>
                <c:pt idx="24">
                  <c:v>3.8693606857010856</c:v>
                </c:pt>
                <c:pt idx="25">
                  <c:v>3.8693606857010856</c:v>
                </c:pt>
                <c:pt idx="26">
                  <c:v>3.8693606857010856</c:v>
                </c:pt>
                <c:pt idx="27">
                  <c:v>3.8693606857010856</c:v>
                </c:pt>
                <c:pt idx="28">
                  <c:v>3.8693606857010856</c:v>
                </c:pt>
                <c:pt idx="29">
                  <c:v>3.8693606857010856</c:v>
                </c:pt>
                <c:pt idx="30">
                  <c:v>3.8693606857010856</c:v>
                </c:pt>
                <c:pt idx="31">
                  <c:v>3.8693606857010856</c:v>
                </c:pt>
                <c:pt idx="32">
                  <c:v>3.8693606857010856</c:v>
                </c:pt>
                <c:pt idx="33">
                  <c:v>3.8693606857010856</c:v>
                </c:pt>
                <c:pt idx="34">
                  <c:v>3.8693606857010856</c:v>
                </c:pt>
                <c:pt idx="35">
                  <c:v>3.8693606857010856</c:v>
                </c:pt>
                <c:pt idx="36">
                  <c:v>3.8693606857010856</c:v>
                </c:pt>
                <c:pt idx="37">
                  <c:v>3.8693606857010856</c:v>
                </c:pt>
                <c:pt idx="38">
                  <c:v>3.8693606857010856</c:v>
                </c:pt>
                <c:pt idx="39">
                  <c:v>3.8693606857010856</c:v>
                </c:pt>
                <c:pt idx="40">
                  <c:v>3.8693606857010856</c:v>
                </c:pt>
                <c:pt idx="41">
                  <c:v>3.8693606857010856</c:v>
                </c:pt>
                <c:pt idx="42">
                  <c:v>3.8693606857010856</c:v>
                </c:pt>
                <c:pt idx="43">
                  <c:v>3.8693606857010856</c:v>
                </c:pt>
                <c:pt idx="44">
                  <c:v>3.8693606857010856</c:v>
                </c:pt>
                <c:pt idx="45">
                  <c:v>3.8693606857010856</c:v>
                </c:pt>
                <c:pt idx="46">
                  <c:v>3.8693606857010856</c:v>
                </c:pt>
                <c:pt idx="47">
                  <c:v>3.8693606857010856</c:v>
                </c:pt>
                <c:pt idx="48">
                  <c:v>3.8693606857010856</c:v>
                </c:pt>
                <c:pt idx="49">
                  <c:v>3.8693606857010856</c:v>
                </c:pt>
                <c:pt idx="50">
                  <c:v>3.8693606857010856</c:v>
                </c:pt>
                <c:pt idx="51">
                  <c:v>3.8693606857010856</c:v>
                </c:pt>
                <c:pt idx="52">
                  <c:v>3.8693606857010856</c:v>
                </c:pt>
                <c:pt idx="53">
                  <c:v>3.8693606857010856</c:v>
                </c:pt>
                <c:pt idx="54">
                  <c:v>3.8693606857010856</c:v>
                </c:pt>
                <c:pt idx="55">
                  <c:v>3.8693606857010856</c:v>
                </c:pt>
                <c:pt idx="56">
                  <c:v>3.8693606857010856</c:v>
                </c:pt>
                <c:pt idx="57">
                  <c:v>3.8693606857010856</c:v>
                </c:pt>
                <c:pt idx="58">
                  <c:v>3.8693606857010856</c:v>
                </c:pt>
                <c:pt idx="59">
                  <c:v>3.8693606857010856</c:v>
                </c:pt>
                <c:pt idx="60">
                  <c:v>3.8693606857010856</c:v>
                </c:pt>
                <c:pt idx="61">
                  <c:v>3.8693606857010856</c:v>
                </c:pt>
                <c:pt idx="62">
                  <c:v>3.8693606857010856</c:v>
                </c:pt>
                <c:pt idx="63">
                  <c:v>3.8693606857010856</c:v>
                </c:pt>
                <c:pt idx="64">
                  <c:v>3.8693606857010856</c:v>
                </c:pt>
                <c:pt idx="65">
                  <c:v>3.8693606857010856</c:v>
                </c:pt>
                <c:pt idx="66">
                  <c:v>3.8693606857010856</c:v>
                </c:pt>
                <c:pt idx="67">
                  <c:v>3.8693606857010856</c:v>
                </c:pt>
                <c:pt idx="68">
                  <c:v>3.8693606857010856</c:v>
                </c:pt>
                <c:pt idx="69">
                  <c:v>3.8693606857010856</c:v>
                </c:pt>
                <c:pt idx="70">
                  <c:v>3.8693606857010856</c:v>
                </c:pt>
                <c:pt idx="71">
                  <c:v>3.8693606857010856</c:v>
                </c:pt>
                <c:pt idx="72">
                  <c:v>3.8693606857010856</c:v>
                </c:pt>
                <c:pt idx="73">
                  <c:v>3.8693606857010856</c:v>
                </c:pt>
                <c:pt idx="74">
                  <c:v>3.8693606857010856</c:v>
                </c:pt>
                <c:pt idx="75">
                  <c:v>3.8693606857010856</c:v>
                </c:pt>
                <c:pt idx="76">
                  <c:v>3.8693606857010856</c:v>
                </c:pt>
                <c:pt idx="77">
                  <c:v>3.8693606857010856</c:v>
                </c:pt>
                <c:pt idx="78">
                  <c:v>3.8693606857010856</c:v>
                </c:pt>
                <c:pt idx="79">
                  <c:v>3.8693606857010856</c:v>
                </c:pt>
                <c:pt idx="80">
                  <c:v>3.8693606857010856</c:v>
                </c:pt>
                <c:pt idx="81">
                  <c:v>3.8693606857010856</c:v>
                </c:pt>
                <c:pt idx="82">
                  <c:v>3.8693606857010856</c:v>
                </c:pt>
                <c:pt idx="83">
                  <c:v>3.8693606857010856</c:v>
                </c:pt>
                <c:pt idx="84">
                  <c:v>3.8693606857010856</c:v>
                </c:pt>
                <c:pt idx="85">
                  <c:v>3.8693606857010856</c:v>
                </c:pt>
                <c:pt idx="86">
                  <c:v>3.8693606857010856</c:v>
                </c:pt>
                <c:pt idx="87">
                  <c:v>3.8693606857010856</c:v>
                </c:pt>
                <c:pt idx="88">
                  <c:v>3.8693606857010856</c:v>
                </c:pt>
                <c:pt idx="89">
                  <c:v>3.8693606857010856</c:v>
                </c:pt>
                <c:pt idx="90">
                  <c:v>3.8693606857010856</c:v>
                </c:pt>
                <c:pt idx="91">
                  <c:v>3.8693606857010856</c:v>
                </c:pt>
                <c:pt idx="92">
                  <c:v>3.8693606857010856</c:v>
                </c:pt>
                <c:pt idx="93">
                  <c:v>3.8693606857010856</c:v>
                </c:pt>
                <c:pt idx="94">
                  <c:v>3.8693606857010856</c:v>
                </c:pt>
                <c:pt idx="95">
                  <c:v>3.8693606857010856</c:v>
                </c:pt>
                <c:pt idx="96">
                  <c:v>3.8693606857010856</c:v>
                </c:pt>
                <c:pt idx="97">
                  <c:v>3.8693606857010856</c:v>
                </c:pt>
                <c:pt idx="98">
                  <c:v>3.8693606857010856</c:v>
                </c:pt>
                <c:pt idx="99">
                  <c:v>3.8693606857010856</c:v>
                </c:pt>
                <c:pt idx="100">
                  <c:v>3.8693606857010856</c:v>
                </c:pt>
                <c:pt idx="101">
                  <c:v>3.8693606857010856</c:v>
                </c:pt>
                <c:pt idx="102">
                  <c:v>3.8693606857010856</c:v>
                </c:pt>
                <c:pt idx="103">
                  <c:v>3.8693606857010856</c:v>
                </c:pt>
                <c:pt idx="104">
                  <c:v>3.8693606857010856</c:v>
                </c:pt>
                <c:pt idx="105">
                  <c:v>3.8693606857010856</c:v>
                </c:pt>
                <c:pt idx="106">
                  <c:v>3.8693606857010856</c:v>
                </c:pt>
                <c:pt idx="107">
                  <c:v>3.8693606857010856</c:v>
                </c:pt>
                <c:pt idx="108">
                  <c:v>3.8693606857010856</c:v>
                </c:pt>
                <c:pt idx="109">
                  <c:v>3.8693606857010856</c:v>
                </c:pt>
                <c:pt idx="110">
                  <c:v>3.8693606857010856</c:v>
                </c:pt>
                <c:pt idx="111">
                  <c:v>3.8693606857010856</c:v>
                </c:pt>
                <c:pt idx="112">
                  <c:v>3.8693606857010856</c:v>
                </c:pt>
                <c:pt idx="113">
                  <c:v>3.8693606857010856</c:v>
                </c:pt>
                <c:pt idx="114">
                  <c:v>3.8693606857010856</c:v>
                </c:pt>
                <c:pt idx="115">
                  <c:v>3.8693606857010856</c:v>
                </c:pt>
                <c:pt idx="116">
                  <c:v>3.8693606857010856</c:v>
                </c:pt>
                <c:pt idx="117">
                  <c:v>3.8693606857010856</c:v>
                </c:pt>
                <c:pt idx="118">
                  <c:v>3.8693606857010856</c:v>
                </c:pt>
                <c:pt idx="119">
                  <c:v>3.8693606857010856</c:v>
                </c:pt>
                <c:pt idx="120">
                  <c:v>3.8693606857010856</c:v>
                </c:pt>
                <c:pt idx="121">
                  <c:v>3.8693606857010856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205-49D1-9CAF-93680392FFFE}"/>
            </c:ext>
          </c:extLst>
        </c:ser>
        <c:ser>
          <c:idx val="6"/>
          <c:order val="6"/>
          <c:tx>
            <c:v>ud, Id = 1,5 [A]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parámetros'!$AD$5:$AD$126</c:f>
              <c:numCache>
                <c:formatCode>0.000</c:formatCode>
                <c:ptCount val="122"/>
                <c:pt idx="0">
                  <c:v>4.2</c:v>
                </c:pt>
                <c:pt idx="1">
                  <c:v>4.1812500000000004</c:v>
                </c:pt>
                <c:pt idx="2">
                  <c:v>4.1673908299203619</c:v>
                </c:pt>
                <c:pt idx="3">
                  <c:v>4.1538946847801945</c:v>
                </c:pt>
                <c:pt idx="4">
                  <c:v>4.140751934556981</c:v>
                </c:pt>
                <c:pt idx="5">
                  <c:v>4.1279532016949316</c:v>
                </c:pt>
                <c:pt idx="6">
                  <c:v>4.1154893543817375</c:v>
                </c:pt>
                <c:pt idx="7">
                  <c:v>4.1033514999995955</c:v>
                </c:pt>
                <c:pt idx="8">
                  <c:v>4.0915309787457463</c:v>
                </c:pt>
                <c:pt idx="9">
                  <c:v>4.0800193574178367</c:v>
                </c:pt>
                <c:pt idx="10">
                  <c:v>4.0688084233595632</c:v>
                </c:pt>
                <c:pt idx="11">
                  <c:v>4.0578901785621468</c:v>
                </c:pt>
                <c:pt idx="12">
                  <c:v>4.0472568339172827</c:v>
                </c:pt>
                <c:pt idx="13">
                  <c:v>4.0369008036173222</c:v>
                </c:pt>
                <c:pt idx="14">
                  <c:v>4.0268146996985195</c:v>
                </c:pt>
                <c:pt idx="15">
                  <c:v>4.0169913267232875</c:v>
                </c:pt>
                <c:pt idx="16">
                  <c:v>4.0074236765974751</c:v>
                </c:pt>
                <c:pt idx="17">
                  <c:v>3.9981049235187633</c:v>
                </c:pt>
                <c:pt idx="18">
                  <c:v>3.9890284190523664</c:v>
                </c:pt>
                <c:pt idx="19">
                  <c:v>3.9801876873302802</c:v>
                </c:pt>
                <c:pt idx="20">
                  <c:v>3.9715764203704058</c:v>
                </c:pt>
                <c:pt idx="21">
                  <c:v>3.9631884735119294</c:v>
                </c:pt>
                <c:pt idx="22">
                  <c:v>3.9550178609634039</c:v>
                </c:pt>
                <c:pt idx="23">
                  <c:v>3.9470587514600379</c:v>
                </c:pt>
                <c:pt idx="24">
                  <c:v>3.9393054640267309</c:v>
                </c:pt>
                <c:pt idx="25">
                  <c:v>3.931752463843472</c:v>
                </c:pt>
                <c:pt idx="26">
                  <c:v>3.9243943582097134</c:v>
                </c:pt>
                <c:pt idx="27">
                  <c:v>3.9172258926044141</c:v>
                </c:pt>
                <c:pt idx="28">
                  <c:v>3.9102419468384313</c:v>
                </c:pt>
                <c:pt idx="29">
                  <c:v>3.9034375312960012</c:v>
                </c:pt>
                <c:pt idx="30">
                  <c:v>3.896807783262024</c:v>
                </c:pt>
                <c:pt idx="31">
                  <c:v>3.8903479633319158</c:v>
                </c:pt>
                <c:pt idx="32">
                  <c:v>3.8840534519007583</c:v>
                </c:pt>
                <c:pt idx="33">
                  <c:v>3.8779197457284837</c:v>
                </c:pt>
                <c:pt idx="34">
                  <c:v>3.8719424545778174</c:v>
                </c:pt>
                <c:pt idx="35">
                  <c:v>3.8661172979216576</c:v>
                </c:pt>
                <c:pt idx="36">
                  <c:v>3.8604401017165446</c:v>
                </c:pt>
                <c:pt idx="37">
                  <c:v>3.8549067952388207</c:v>
                </c:pt>
                <c:pt idx="38">
                  <c:v>3.8495134079800075</c:v>
                </c:pt>
                <c:pt idx="39">
                  <c:v>3.8442560665978549</c:v>
                </c:pt>
                <c:pt idx="40">
                  <c:v>3.839130991919419</c:v>
                </c:pt>
                <c:pt idx="41">
                  <c:v>3.8341344959924122</c:v>
                </c:pt>
                <c:pt idx="42">
                  <c:v>3.8292629791809292</c:v>
                </c:pt>
                <c:pt idx="43">
                  <c:v>3.8245129273015004</c:v>
                </c:pt>
                <c:pt idx="44">
                  <c:v>3.8198809087952403</c:v>
                </c:pt>
                <c:pt idx="45">
                  <c:v>3.8153635719316439</c:v>
                </c:pt>
                <c:pt idx="46">
                  <c:v>3.8109576420393387</c:v>
                </c:pt>
                <c:pt idx="47">
                  <c:v>3.8066599187588346</c:v>
                </c:pt>
                <c:pt idx="48">
                  <c:v>3.8024672733119647</c:v>
                </c:pt>
                <c:pt idx="49">
                  <c:v>3.798376645782366</c:v>
                </c:pt>
                <c:pt idx="50">
                  <c:v>3.7943850424009207</c:v>
                </c:pt>
                <c:pt idx="51">
                  <c:v>3.7904895328295898</c:v>
                </c:pt>
                <c:pt idx="52">
                  <c:v>3.7866872474365243</c:v>
                </c:pt>
                <c:pt idx="53">
                  <c:v>3.7829753745547134</c:v>
                </c:pt>
                <c:pt idx="54">
                  <c:v>3.7793511577157011</c:v>
                </c:pt>
                <c:pt idx="55">
                  <c:v>3.7758118928490769</c:v>
                </c:pt>
                <c:pt idx="56">
                  <c:v>3.7723549254375088</c:v>
                </c:pt>
                <c:pt idx="57">
                  <c:v>3.7689776476159929</c:v>
                </c:pt>
                <c:pt idx="58">
                  <c:v>3.7656774952027541</c:v>
                </c:pt>
                <c:pt idx="59">
                  <c:v>3.7624519446477978</c:v>
                </c:pt>
                <c:pt idx="60">
                  <c:v>3.7592985098834695</c:v>
                </c:pt>
                <c:pt idx="61">
                  <c:v>3.7562147390594691</c:v>
                </c:pt>
                <c:pt idx="62">
                  <c:v>3.7531982111425748</c:v>
                </c:pt>
                <c:pt idx="63">
                  <c:v>3.7502465323587981</c:v>
                </c:pt>
                <c:pt idx="64">
                  <c:v>3.747357332452717</c:v>
                </c:pt>
                <c:pt idx="65">
                  <c:v>3.7445282607353318</c:v>
                </c:pt>
                <c:pt idx="66">
                  <c:v>3.7417569818877756</c:v>
                </c:pt>
                <c:pt idx="67">
                  <c:v>3.739041171483553</c:v>
                </c:pt>
                <c:pt idx="68">
                  <c:v>3.7363785111865067</c:v>
                </c:pt>
                <c:pt idx="69">
                  <c:v>3.7337666835753138</c:v>
                </c:pt>
                <c:pt idx="70">
                  <c:v>3.7312033665377404</c:v>
                </c:pt>
                <c:pt idx="71">
                  <c:v>3.7286862271689802</c:v>
                </c:pt>
                <c:pt idx="72">
                  <c:v>3.7262129150978449</c:v>
                </c:pt>
                <c:pt idx="73">
                  <c:v>3.7237810551520201</c:v>
                </c:pt>
                <c:pt idx="74">
                  <c:v>3.7213882392586557</c:v>
                </c:pt>
                <c:pt idx="75">
                  <c:v>3.7190320174586828</c:v>
                </c:pt>
                <c:pt idx="76">
                  <c:v>3.7167098878917786</c:v>
                </c:pt>
                <c:pt idx="77">
                  <c:v>3.7144192855830536</c:v>
                </c:pt>
                <c:pt idx="78">
                  <c:v>3.7121575698312572</c:v>
                </c:pt>
                <c:pt idx="79">
                  <c:v>3.709922009960319</c:v>
                </c:pt>
                <c:pt idx="80">
                  <c:v>3.7077097691497256</c:v>
                </c:pt>
                <c:pt idx="81">
                  <c:v>3.7055178860024935</c:v>
                </c:pt>
                <c:pt idx="82">
                  <c:v>3.7033432534396278</c:v>
                </c:pt>
                <c:pt idx="83">
                  <c:v>3.7011825944235959</c:v>
                </c:pt>
                <c:pt idx="84">
                  <c:v>3.6990324339059075</c:v>
                </c:pt>
                <c:pt idx="85">
                  <c:v>3.6968890662596277</c:v>
                </c:pt>
                <c:pt idx="86">
                  <c:v>3.6947485172888599</c:v>
                </c:pt>
                <c:pt idx="87">
                  <c:v>3.6926064996937242</c:v>
                </c:pt>
                <c:pt idx="88">
                  <c:v>3.6904583605976575</c:v>
                </c:pt>
                <c:pt idx="89">
                  <c:v>3.6882990193957115</c:v>
                </c:pt>
                <c:pt idx="90">
                  <c:v>3.6861228937332942</c:v>
                </c:pt>
                <c:pt idx="91">
                  <c:v>3.6839238108408257</c:v>
                </c:pt>
                <c:pt idx="92">
                  <c:v>3.6816949006845157</c:v>
                </c:pt>
                <c:pt idx="93">
                  <c:v>3.6794284663822836</c:v>
                </c:pt>
                <c:pt idx="94">
                  <c:v>3.6771158259855441</c:v>
                </c:pt>
                <c:pt idx="95">
                  <c:v>3.6747471179125641</c:v>
                </c:pt>
                <c:pt idx="96">
                  <c:v>3.672311059850708</c:v>
                </c:pt>
                <c:pt idx="97">
                  <c:v>3.6697946475507979</c:v>
                </c:pt>
                <c:pt idx="98">
                  <c:v>3.6671827752146182</c:v>
                </c:pt>
                <c:pt idx="99">
                  <c:v>3.6644577525226141</c:v>
                </c:pt>
                <c:pt idx="100">
                  <c:v>3.6615986838430703</c:v>
                </c:pt>
                <c:pt idx="101">
                  <c:v>3.6585806613807903</c:v>
                </c:pt>
                <c:pt idx="102">
                  <c:v>3.655373703711013</c:v>
                </c:pt>
                <c:pt idx="103">
                  <c:v>3.6519413406759447</c:v>
                </c:pt>
                <c:pt idx="104">
                  <c:v>3.6482386990225835</c:v>
                </c:pt>
                <c:pt idx="105">
                  <c:v>3.6442098703500276</c:v>
                </c:pt>
                <c:pt idx="106">
                  <c:v>3.6397842264377065</c:v>
                </c:pt>
                <c:pt idx="107">
                  <c:v>3.6348711556384079</c:v>
                </c:pt>
                <c:pt idx="108">
                  <c:v>3.6293523701333585</c:v>
                </c:pt>
                <c:pt idx="109">
                  <c:v>3.6230703670449897</c:v>
                </c:pt>
                <c:pt idx="110">
                  <c:v>3.6158105958546427</c:v>
                </c:pt>
                <c:pt idx="111">
                  <c:v>3.6072729265305066</c:v>
                </c:pt>
                <c:pt idx="112">
                  <c:v>3.5970240966871807</c:v>
                </c:pt>
                <c:pt idx="113">
                  <c:v>3.5844144944199425</c:v>
                </c:pt>
                <c:pt idx="114">
                  <c:v>3.5684236124777704</c:v>
                </c:pt>
                <c:pt idx="115">
                  <c:v>3.5473509569916537</c:v>
                </c:pt>
                <c:pt idx="116">
                  <c:v>3.5181360471215504</c:v>
                </c:pt>
                <c:pt idx="117">
                  <c:v>3.4746584147126738</c:v>
                </c:pt>
                <c:pt idx="118">
                  <c:v>3.4026376039608257</c:v>
                </c:pt>
                <c:pt idx="119">
                  <c:v>3.2592331710865818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205-49D1-9CAF-93680392FFFE}"/>
            </c:ext>
          </c:extLst>
        </c:ser>
        <c:ser>
          <c:idx val="7"/>
          <c:order val="7"/>
          <c:tx>
            <c:v>ud, Id = 4,0 [A]</c:v>
          </c:tx>
          <c:spPr>
            <a:ln w="15875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parámetros'!$AE$5:$AE$126</c:f>
              <c:numCache>
                <c:formatCode>0.000</c:formatCode>
                <c:ptCount val="122"/>
                <c:pt idx="0">
                  <c:v>4.2</c:v>
                </c:pt>
                <c:pt idx="1">
                  <c:v>4.1500000000000004</c:v>
                </c:pt>
                <c:pt idx="2">
                  <c:v>4.1360408299203621</c:v>
                </c:pt>
                <c:pt idx="3">
                  <c:v>4.1224429898649406</c:v>
                </c:pt>
                <c:pt idx="4">
                  <c:v>4.1091968063518527</c:v>
                </c:pt>
                <c:pt idx="5">
                  <c:v>4.0962928568673451</c:v>
                </c:pt>
                <c:pt idx="6">
                  <c:v>4.0837219630773891</c:v>
                </c:pt>
                <c:pt idx="7">
                  <c:v>4.0714751842101213</c:v>
                </c:pt>
                <c:pt idx="8">
                  <c:v>4.0595438106041533</c:v>
                </c:pt>
                <c:pt idx="9">
                  <c:v>4.047919357417836</c:v>
                </c:pt>
                <c:pt idx="10">
                  <c:v>4.0365935584946975</c:v>
                </c:pt>
                <c:pt idx="11">
                  <c:v>4.0255583603803284</c:v>
                </c:pt>
                <c:pt idx="12">
                  <c:v>4.0148059164860896</c:v>
                </c:pt>
                <c:pt idx="13">
                  <c:v>4.0043285813951002</c:v>
                </c:pt>
                <c:pt idx="14">
                  <c:v>3.9941189053059958</c:v>
                </c:pt>
                <c:pt idx="15">
                  <c:v>3.9841696286100801</c:v>
                </c:pt>
                <c:pt idx="16">
                  <c:v>3.9744736765974746</c:v>
                </c:pt>
                <c:pt idx="17">
                  <c:v>3.965024154287994</c:v>
                </c:pt>
                <c:pt idx="18">
                  <c:v>3.9558143413824638</c:v>
                </c:pt>
                <c:pt idx="19">
                  <c:v>3.9468376873302802</c:v>
                </c:pt>
                <c:pt idx="20">
                  <c:v>3.9380878065090195</c:v>
                </c:pt>
                <c:pt idx="21">
                  <c:v>3.9295584735119289</c:v>
                </c:pt>
                <c:pt idx="22">
                  <c:v>3.9212436185391613</c:v>
                </c:pt>
                <c:pt idx="23">
                  <c:v>3.913137322888609</c:v>
                </c:pt>
                <c:pt idx="24">
                  <c:v>3.9052338145421945</c:v>
                </c:pt>
                <c:pt idx="25">
                  <c:v>3.8975274638434718</c:v>
                </c:pt>
                <c:pt idx="26">
                  <c:v>3.8900127792623449</c:v>
                </c:pt>
                <c:pt idx="27">
                  <c:v>3.8826844032427115</c:v>
                </c:pt>
                <c:pt idx="28">
                  <c:v>3.8755371081287535</c:v>
                </c:pt>
                <c:pt idx="29">
                  <c:v>3.8685657921655658</c:v>
                </c:pt>
                <c:pt idx="30">
                  <c:v>3.8617654755697162</c:v>
                </c:pt>
                <c:pt idx="31">
                  <c:v>3.8551312966652493</c:v>
                </c:pt>
                <c:pt idx="32">
                  <c:v>3.8486585080805331</c:v>
                </c:pt>
                <c:pt idx="33">
                  <c:v>3.8423424730012106</c:v>
                </c:pt>
                <c:pt idx="34">
                  <c:v>3.8361786614743689</c:v>
                </c:pt>
                <c:pt idx="35">
                  <c:v>3.8301626467588665</c:v>
                </c:pt>
                <c:pt idx="36">
                  <c:v>3.8242901017165445</c:v>
                </c:pt>
                <c:pt idx="37">
                  <c:v>3.8185567952388206</c:v>
                </c:pt>
                <c:pt idx="38">
                  <c:v>3.8129585887028989</c:v>
                </c:pt>
                <c:pt idx="39">
                  <c:v>3.807491432451513</c:v>
                </c:pt>
                <c:pt idx="40">
                  <c:v>3.8021513622897891</c:v>
                </c:pt>
                <c:pt idx="41">
                  <c:v>3.7969344959924118</c:v>
                </c:pt>
                <c:pt idx="42">
                  <c:v>3.79183702981384</c:v>
                </c:pt>
                <c:pt idx="43">
                  <c:v>3.7868552349938081</c:v>
                </c:pt>
                <c:pt idx="44">
                  <c:v>3.7819854542497859</c:v>
                </c:pt>
                <c:pt idx="45">
                  <c:v>3.7772240982474328</c:v>
                </c:pt>
                <c:pt idx="46">
                  <c:v>3.7725676420393386</c:v>
                </c:pt>
                <c:pt idx="47">
                  <c:v>3.768012621461537</c:v>
                </c:pt>
                <c:pt idx="48">
                  <c:v>3.7635556294763481</c:v>
                </c:pt>
                <c:pt idx="49">
                  <c:v>3.7591933124490322</c:v>
                </c:pt>
                <c:pt idx="50">
                  <c:v>3.7549223663445823</c:v>
                </c:pt>
                <c:pt idx="51">
                  <c:v>3.7507395328295896</c:v>
                </c:pt>
                <c:pt idx="52">
                  <c:v>3.7466415952626111</c:v>
                </c:pt>
                <c:pt idx="53">
                  <c:v>3.7426253745547133</c:v>
                </c:pt>
                <c:pt idx="54">
                  <c:v>3.7386877248798802</c:v>
                </c:pt>
                <c:pt idx="55">
                  <c:v>3.734825529212713</c:v>
                </c:pt>
                <c:pt idx="56">
                  <c:v>3.7310356946682779</c:v>
                </c:pt>
                <c:pt idx="57">
                  <c:v>3.7273151476159927</c:v>
                </c:pt>
                <c:pt idx="58">
                  <c:v>3.723660828536087</c:v>
                </c:pt>
                <c:pt idx="59">
                  <c:v>3.7200696865832814</c:v>
                </c:pt>
                <c:pt idx="60">
                  <c:v>3.7165386738178956</c:v>
                </c:pt>
                <c:pt idx="61">
                  <c:v>3.7130647390594689</c:v>
                </c:pt>
                <c:pt idx="62">
                  <c:v>3.7096448213120659</c:v>
                </c:pt>
                <c:pt idx="63">
                  <c:v>3.7062758427036258</c:v>
                </c:pt>
                <c:pt idx="64">
                  <c:v>3.7029547008737693</c:v>
                </c:pt>
                <c:pt idx="65">
                  <c:v>3.6996782607353316</c:v>
                </c:pt>
                <c:pt idx="66">
                  <c:v>3.696443345524139</c:v>
                </c:pt>
                <c:pt idx="67">
                  <c:v>3.6932467270391083</c:v>
                </c:pt>
                <c:pt idx="68">
                  <c:v>3.6900851149600915</c:v>
                </c:pt>
                <c:pt idx="69">
                  <c:v>3.6869551451137754</c:v>
                </c:pt>
                <c:pt idx="70">
                  <c:v>3.6838533665377402</c:v>
                </c:pt>
                <c:pt idx="71">
                  <c:v>3.6807762271689799</c:v>
                </c:pt>
                <c:pt idx="72">
                  <c:v>3.6777200579549878</c:v>
                </c:pt>
                <c:pt idx="73">
                  <c:v>3.6746810551520199</c:v>
                </c:pt>
                <c:pt idx="74">
                  <c:v>3.6716552605352515</c:v>
                </c:pt>
                <c:pt idx="75">
                  <c:v>3.6686385391978131</c:v>
                </c:pt>
                <c:pt idx="76">
                  <c:v>3.665626554558445</c:v>
                </c:pt>
                <c:pt idx="77">
                  <c:v>3.6626147401285079</c:v>
                </c:pt>
                <c:pt idx="78">
                  <c:v>3.6595982675056757</c:v>
                </c:pt>
                <c:pt idx="79">
                  <c:v>3.6565720099603189</c:v>
                </c:pt>
                <c:pt idx="80">
                  <c:v>3.6535305008570425</c:v>
                </c:pt>
                <c:pt idx="81">
                  <c:v>3.6504678860024935</c:v>
                </c:pt>
                <c:pt idx="82">
                  <c:v>3.6473778688242429</c:v>
                </c:pt>
                <c:pt idx="83">
                  <c:v>3.6442536470551747</c:v>
                </c:pt>
                <c:pt idx="84">
                  <c:v>3.6410878393113126</c:v>
                </c:pt>
                <c:pt idx="85">
                  <c:v>3.6378723995929607</c:v>
                </c:pt>
                <c:pt idx="86">
                  <c:v>3.6345985172888597</c:v>
                </c:pt>
                <c:pt idx="87">
                  <c:v>3.6312564996937238</c:v>
                </c:pt>
                <c:pt idx="88">
                  <c:v>3.62783563332493</c:v>
                </c:pt>
                <c:pt idx="89">
                  <c:v>3.6243240193957109</c:v>
                </c:pt>
                <c:pt idx="90">
                  <c:v>3.6207083776042617</c:v>
                </c:pt>
                <c:pt idx="91">
                  <c:v>3.6169738108408258</c:v>
                </c:pt>
                <c:pt idx="92">
                  <c:v>3.6131035213741702</c:v>
                </c:pt>
                <c:pt idx="93">
                  <c:v>3.6090784663822841</c:v>
                </c:pt>
                <c:pt idx="94">
                  <c:v>3.6048769370966554</c:v>
                </c:pt>
                <c:pt idx="95">
                  <c:v>3.6004740409894871</c:v>
                </c:pt>
                <c:pt idx="96">
                  <c:v>3.595841059850708</c:v>
                </c:pt>
                <c:pt idx="97">
                  <c:v>3.5909446475507973</c:v>
                </c:pt>
                <c:pt idx="98">
                  <c:v>3.585745818692879</c:v>
                </c:pt>
                <c:pt idx="99">
                  <c:v>3.5801986616135228</c:v>
                </c:pt>
                <c:pt idx="100">
                  <c:v>3.57424868384307</c:v>
                </c:pt>
                <c:pt idx="101">
                  <c:v>3.56783066138079</c:v>
                </c:pt>
                <c:pt idx="102">
                  <c:v>3.5608658089741709</c:v>
                </c:pt>
                <c:pt idx="103">
                  <c:v>3.5532580073426114</c:v>
                </c:pt>
                <c:pt idx="104">
                  <c:v>3.5448886990225832</c:v>
                </c:pt>
                <c:pt idx="105">
                  <c:v>3.5356098703500276</c:v>
                </c:pt>
                <c:pt idx="106">
                  <c:v>3.5252342264377061</c:v>
                </c:pt>
                <c:pt idx="107">
                  <c:v>3.5135211556384078</c:v>
                </c:pt>
                <c:pt idx="108">
                  <c:v>3.5001562162872042</c:v>
                </c:pt>
                <c:pt idx="109">
                  <c:v>3.4847203670449898</c:v>
                </c:pt>
                <c:pt idx="110">
                  <c:v>3.4666424140364609</c:v>
                </c:pt>
                <c:pt idx="111">
                  <c:v>3.4451229265305066</c:v>
                </c:pt>
                <c:pt idx="112">
                  <c:v>3.419007430020514</c:v>
                </c:pt>
                <c:pt idx="113">
                  <c:v>3.3865644944199422</c:v>
                </c:pt>
                <c:pt idx="114">
                  <c:v>3.34507361247777</c:v>
                </c:pt>
                <c:pt idx="115">
                  <c:v>3.290000956991654</c:v>
                </c:pt>
                <c:pt idx="116">
                  <c:v>3.2131860471215492</c:v>
                </c:pt>
                <c:pt idx="117">
                  <c:v>3.0983084147126747</c:v>
                </c:pt>
                <c:pt idx="118">
                  <c:v>2.9072876039608264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205-49D1-9CAF-93680392FFFE}"/>
            </c:ext>
          </c:extLst>
        </c:ser>
        <c:ser>
          <c:idx val="8"/>
          <c:order val="8"/>
          <c:tx>
            <c:v>ud, Id = 8,0 [A]</c:v>
          </c:tx>
          <c:spPr>
            <a:ln w="15875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parámetros'!$AF$5:$AF$126</c:f>
              <c:numCache>
                <c:formatCode>0.000</c:formatCode>
                <c:ptCount val="122"/>
                <c:pt idx="0">
                  <c:v>4.2</c:v>
                </c:pt>
                <c:pt idx="1">
                  <c:v>4.0999999999999996</c:v>
                </c:pt>
                <c:pt idx="2">
                  <c:v>4.0858808299203613</c:v>
                </c:pt>
                <c:pt idx="3">
                  <c:v>4.0721202780005328</c:v>
                </c:pt>
                <c:pt idx="4">
                  <c:v>4.0587086012236471</c:v>
                </c:pt>
                <c:pt idx="5">
                  <c:v>4.0456363051432076</c:v>
                </c:pt>
                <c:pt idx="6">
                  <c:v>4.0328941369904321</c:v>
                </c:pt>
                <c:pt idx="7">
                  <c:v>4.0204730789469636</c:v>
                </c:pt>
                <c:pt idx="8">
                  <c:v>4.0083643415776047</c:v>
                </c:pt>
                <c:pt idx="9">
                  <c:v>3.9965593574178362</c:v>
                </c:pt>
                <c:pt idx="10">
                  <c:v>3.9850497747109141</c:v>
                </c:pt>
                <c:pt idx="11">
                  <c:v>3.9738274512894187</c:v>
                </c:pt>
                <c:pt idx="12">
                  <c:v>3.9628844485961818</c:v>
                </c:pt>
                <c:pt idx="13">
                  <c:v>3.9522130258395438</c:v>
                </c:pt>
                <c:pt idx="14">
                  <c:v>3.9418056342779582</c:v>
                </c:pt>
                <c:pt idx="15">
                  <c:v>3.9316549116289474</c:v>
                </c:pt>
                <c:pt idx="16">
                  <c:v>3.9217536765974743</c:v>
                </c:pt>
                <c:pt idx="17">
                  <c:v>3.912094923518763</c:v>
                </c:pt>
                <c:pt idx="18">
                  <c:v>3.9026718171106185</c:v>
                </c:pt>
                <c:pt idx="19">
                  <c:v>3.8934776873302801</c:v>
                </c:pt>
                <c:pt idx="20">
                  <c:v>3.8845060243308014</c:v>
                </c:pt>
                <c:pt idx="21">
                  <c:v>3.8757504735119288</c:v>
                </c:pt>
                <c:pt idx="22">
                  <c:v>3.8672048306603735</c:v>
                </c:pt>
                <c:pt idx="23">
                  <c:v>3.8588630371743231</c:v>
                </c:pt>
                <c:pt idx="24">
                  <c:v>3.8507191753669368</c:v>
                </c:pt>
                <c:pt idx="25">
                  <c:v>3.8427674638434715</c:v>
                </c:pt>
                <c:pt idx="26">
                  <c:v>3.8350022529465551</c:v>
                </c:pt>
                <c:pt idx="27">
                  <c:v>3.827418020263988</c:v>
                </c:pt>
                <c:pt idx="28">
                  <c:v>3.8200093661932697</c:v>
                </c:pt>
                <c:pt idx="29">
                  <c:v>3.8127710095568701</c:v>
                </c:pt>
                <c:pt idx="30">
                  <c:v>3.8056977832620236</c:v>
                </c:pt>
                <c:pt idx="31">
                  <c:v>3.7987846299985821</c:v>
                </c:pt>
                <c:pt idx="32">
                  <c:v>3.7920265979681735</c:v>
                </c:pt>
                <c:pt idx="33">
                  <c:v>3.7854188366375738</c:v>
                </c:pt>
                <c:pt idx="34">
                  <c:v>3.7789565925088513</c:v>
                </c:pt>
                <c:pt idx="35">
                  <c:v>3.7726352048984011</c:v>
                </c:pt>
                <c:pt idx="36">
                  <c:v>3.7664501017165439</c:v>
                </c:pt>
                <c:pt idx="37">
                  <c:v>3.7603967952388206</c:v>
                </c:pt>
                <c:pt idx="38">
                  <c:v>3.754470877859525</c:v>
                </c:pt>
                <c:pt idx="39">
                  <c:v>3.7486680178173666</c:v>
                </c:pt>
                <c:pt idx="40">
                  <c:v>3.7429839548823813</c:v>
                </c:pt>
                <c:pt idx="41">
                  <c:v>3.7374144959924118</c:v>
                </c:pt>
                <c:pt idx="42">
                  <c:v>3.7319555108264981</c:v>
                </c:pt>
                <c:pt idx="43">
                  <c:v>3.7266029273014998</c:v>
                </c:pt>
                <c:pt idx="44">
                  <c:v>3.7213527269770581</c:v>
                </c:pt>
                <c:pt idx="45">
                  <c:v>3.7162009403526959</c:v>
                </c:pt>
                <c:pt idx="46">
                  <c:v>3.711143642039338</c:v>
                </c:pt>
                <c:pt idx="47">
                  <c:v>3.7061769457858618</c:v>
                </c:pt>
                <c:pt idx="48">
                  <c:v>3.7012969993393616</c:v>
                </c:pt>
                <c:pt idx="49">
                  <c:v>3.6964999791156985</c:v>
                </c:pt>
                <c:pt idx="50">
                  <c:v>3.6917820846544411</c:v>
                </c:pt>
                <c:pt idx="51">
                  <c:v>3.6871395328295891</c:v>
                </c:pt>
                <c:pt idx="52">
                  <c:v>3.6825685517843496</c:v>
                </c:pt>
                <c:pt idx="53">
                  <c:v>3.6780653745547127</c:v>
                </c:pt>
                <c:pt idx="54">
                  <c:v>3.6736262323425666</c:v>
                </c:pt>
                <c:pt idx="55">
                  <c:v>3.6692473473945308</c:v>
                </c:pt>
                <c:pt idx="56">
                  <c:v>3.664924925437508</c:v>
                </c:pt>
                <c:pt idx="57">
                  <c:v>3.6606551476159921</c:v>
                </c:pt>
                <c:pt idx="58">
                  <c:v>3.6564341618694201</c:v>
                </c:pt>
                <c:pt idx="59">
                  <c:v>3.6522580736800556</c:v>
                </c:pt>
                <c:pt idx="60">
                  <c:v>3.6481229361129772</c:v>
                </c:pt>
                <c:pt idx="61">
                  <c:v>3.6440247390594687</c:v>
                </c:pt>
                <c:pt idx="62">
                  <c:v>3.6399593975832523</c:v>
                </c:pt>
                <c:pt idx="63">
                  <c:v>3.6359227392553493</c:v>
                </c:pt>
                <c:pt idx="64">
                  <c:v>3.6319104903474533</c:v>
                </c:pt>
                <c:pt idx="65">
                  <c:v>3.6279182607353313</c:v>
                </c:pt>
                <c:pt idx="66">
                  <c:v>3.6239415273423208</c:v>
                </c:pt>
                <c:pt idx="67">
                  <c:v>3.6199756159279968</c:v>
                </c:pt>
                <c:pt idx="68">
                  <c:v>3.616015680997827</c:v>
                </c:pt>
                <c:pt idx="69">
                  <c:v>3.6120566835753136</c:v>
                </c:pt>
                <c:pt idx="70">
                  <c:v>3.6080933665377399</c:v>
                </c:pt>
                <c:pt idx="71">
                  <c:v>3.6041202271689796</c:v>
                </c:pt>
                <c:pt idx="72">
                  <c:v>3.6001314865264158</c:v>
                </c:pt>
                <c:pt idx="73">
                  <c:v>3.5961210551520195</c:v>
                </c:pt>
                <c:pt idx="74">
                  <c:v>3.592082494577804</c:v>
                </c:pt>
                <c:pt idx="75">
                  <c:v>3.5880089739804215</c:v>
                </c:pt>
                <c:pt idx="76">
                  <c:v>3.5838932212251113</c:v>
                </c:pt>
                <c:pt idx="77">
                  <c:v>3.5797274674012347</c:v>
                </c:pt>
                <c:pt idx="78">
                  <c:v>3.5755033837847452</c:v>
                </c:pt>
                <c:pt idx="79">
                  <c:v>3.5712120099603184</c:v>
                </c:pt>
                <c:pt idx="80">
                  <c:v>3.5668436715887499</c:v>
                </c:pt>
                <c:pt idx="81">
                  <c:v>3.5623878860024929</c:v>
                </c:pt>
                <c:pt idx="82">
                  <c:v>3.5578332534396271</c:v>
                </c:pt>
                <c:pt idx="83">
                  <c:v>3.5531673312657008</c:v>
                </c:pt>
                <c:pt idx="84">
                  <c:v>3.5483764879599611</c:v>
                </c:pt>
                <c:pt idx="85">
                  <c:v>3.5434457329262941</c:v>
                </c:pt>
                <c:pt idx="86">
                  <c:v>3.5383585172888594</c:v>
                </c:pt>
                <c:pt idx="87">
                  <c:v>3.5330964996937237</c:v>
                </c:pt>
                <c:pt idx="88">
                  <c:v>3.5276392696885663</c:v>
                </c:pt>
                <c:pt idx="89">
                  <c:v>3.5219640193957109</c:v>
                </c:pt>
                <c:pt idx="90">
                  <c:v>3.51604515179781</c:v>
                </c:pt>
                <c:pt idx="91">
                  <c:v>3.5098538108408253</c:v>
                </c:pt>
                <c:pt idx="92">
                  <c:v>3.5033573144776184</c:v>
                </c:pt>
                <c:pt idx="93">
                  <c:v>3.4965184663822839</c:v>
                </c:pt>
                <c:pt idx="94">
                  <c:v>3.4892947148744331</c:v>
                </c:pt>
                <c:pt idx="95">
                  <c:v>3.4816371179125638</c:v>
                </c:pt>
                <c:pt idx="96">
                  <c:v>3.4734890598507078</c:v>
                </c:pt>
                <c:pt idx="97">
                  <c:v>3.4647846475507973</c:v>
                </c:pt>
                <c:pt idx="98">
                  <c:v>3.4554466882580961</c:v>
                </c:pt>
                <c:pt idx="99">
                  <c:v>3.4453841161589773</c:v>
                </c:pt>
                <c:pt idx="100">
                  <c:v>3.4344886838430697</c:v>
                </c:pt>
                <c:pt idx="101">
                  <c:v>3.42263066138079</c:v>
                </c:pt>
                <c:pt idx="102">
                  <c:v>3.409653177395223</c:v>
                </c:pt>
                <c:pt idx="103">
                  <c:v>3.3953646740092776</c:v>
                </c:pt>
                <c:pt idx="104">
                  <c:v>3.379528699022583</c:v>
                </c:pt>
                <c:pt idx="105">
                  <c:v>3.361849870350027</c:v>
                </c:pt>
                <c:pt idx="106">
                  <c:v>3.3419542264377058</c:v>
                </c:pt>
                <c:pt idx="107">
                  <c:v>3.3193611556384073</c:v>
                </c:pt>
                <c:pt idx="108">
                  <c:v>3.2934423701333579</c:v>
                </c:pt>
                <c:pt idx="109">
                  <c:v>3.2633603670449896</c:v>
                </c:pt>
                <c:pt idx="110">
                  <c:v>3.2279733231273697</c:v>
                </c:pt>
                <c:pt idx="111">
                  <c:v>3.1856829265305064</c:v>
                </c:pt>
                <c:pt idx="112">
                  <c:v>3.134180763353847</c:v>
                </c:pt>
                <c:pt idx="113">
                  <c:v>3.0700044944199418</c:v>
                </c:pt>
                <c:pt idx="114">
                  <c:v>2.9877136124777692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205-49D1-9CAF-93680392FFFE}"/>
            </c:ext>
          </c:extLst>
        </c:ser>
        <c:ser>
          <c:idx val="9"/>
          <c:order val="9"/>
          <c:tx>
            <c:v>ud, Id = 16 [A]</c:v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parámetros'!$AG$5:$AG$126</c:f>
              <c:numCache>
                <c:formatCode>0.000</c:formatCode>
                <c:ptCount val="122"/>
                <c:pt idx="0">
                  <c:v>4.2</c:v>
                </c:pt>
                <c:pt idx="1">
                  <c:v>3.9999999999999991</c:v>
                </c:pt>
                <c:pt idx="2">
                  <c:v>3.9855608299203613</c:v>
                </c:pt>
                <c:pt idx="3">
                  <c:v>3.9714748542717193</c:v>
                </c:pt>
                <c:pt idx="4">
                  <c:v>3.9577321909672367</c:v>
                </c:pt>
                <c:pt idx="5">
                  <c:v>3.9443232016949308</c:v>
                </c:pt>
                <c:pt idx="6">
                  <c:v>3.9312384848165189</c:v>
                </c:pt>
                <c:pt idx="7">
                  <c:v>3.9184688684206472</c:v>
                </c:pt>
                <c:pt idx="8">
                  <c:v>3.9060054035245062</c:v>
                </c:pt>
                <c:pt idx="9">
                  <c:v>3.8938393574178356</c:v>
                </c:pt>
                <c:pt idx="10">
                  <c:v>3.8819622071433457</c:v>
                </c:pt>
                <c:pt idx="11">
                  <c:v>3.8703656331076002</c:v>
                </c:pt>
                <c:pt idx="12">
                  <c:v>3.8590415128163644</c:v>
                </c:pt>
                <c:pt idx="13">
                  <c:v>3.847981914728432</c:v>
                </c:pt>
                <c:pt idx="14">
                  <c:v>3.8371790922218825</c:v>
                </c:pt>
                <c:pt idx="15">
                  <c:v>3.8266254776666826</c:v>
                </c:pt>
                <c:pt idx="16">
                  <c:v>3.8163136765974741</c:v>
                </c:pt>
                <c:pt idx="17">
                  <c:v>3.8062364619803009</c:v>
                </c:pt>
                <c:pt idx="18">
                  <c:v>3.7963867685669288</c:v>
                </c:pt>
                <c:pt idx="19">
                  <c:v>3.7867576873302795</c:v>
                </c:pt>
                <c:pt idx="20">
                  <c:v>3.7773424599743652</c:v>
                </c:pt>
                <c:pt idx="21">
                  <c:v>3.7681344735119282</c:v>
                </c:pt>
                <c:pt idx="22">
                  <c:v>3.759127254902797</c:v>
                </c:pt>
                <c:pt idx="23">
                  <c:v>3.7503144657457508</c:v>
                </c:pt>
                <c:pt idx="24">
                  <c:v>3.7416898970164212</c:v>
                </c:pt>
                <c:pt idx="25">
                  <c:v>3.7332474638434707</c:v>
                </c:pt>
                <c:pt idx="26">
                  <c:v>3.7249812003149758</c:v>
                </c:pt>
                <c:pt idx="27">
                  <c:v>3.7168852543065403</c:v>
                </c:pt>
                <c:pt idx="28">
                  <c:v>3.7089538823223016</c:v>
                </c:pt>
                <c:pt idx="29">
                  <c:v>3.7011814443394786</c:v>
                </c:pt>
                <c:pt idx="30">
                  <c:v>3.6935623986466384</c:v>
                </c:pt>
                <c:pt idx="31">
                  <c:v>3.6860912966652482</c:v>
                </c:pt>
                <c:pt idx="32">
                  <c:v>3.6787627777434535</c:v>
                </c:pt>
                <c:pt idx="33">
                  <c:v>3.6715715639103008</c:v>
                </c:pt>
                <c:pt idx="34">
                  <c:v>3.6645124545778169</c:v>
                </c:pt>
                <c:pt idx="35">
                  <c:v>3.6575803211774702</c:v>
                </c:pt>
                <c:pt idx="36">
                  <c:v>3.6507701017165433</c:v>
                </c:pt>
                <c:pt idx="37">
                  <c:v>3.6440767952388198</c:v>
                </c:pt>
                <c:pt idx="38">
                  <c:v>3.6374954561727781</c:v>
                </c:pt>
                <c:pt idx="39">
                  <c:v>3.6310211885490737</c:v>
                </c:pt>
                <c:pt idx="40">
                  <c:v>3.6246491400675658</c:v>
                </c:pt>
                <c:pt idx="41">
                  <c:v>3.6183744959924109</c:v>
                </c:pt>
                <c:pt idx="42">
                  <c:v>3.6121924728518144</c:v>
                </c:pt>
                <c:pt idx="43">
                  <c:v>3.6060983119168837</c:v>
                </c:pt>
                <c:pt idx="44">
                  <c:v>3.6000872724316033</c:v>
                </c:pt>
                <c:pt idx="45">
                  <c:v>3.5941546245632217</c:v>
                </c:pt>
                <c:pt idx="46">
                  <c:v>3.5882956420393377</c:v>
                </c:pt>
                <c:pt idx="47">
                  <c:v>3.5825055944345099</c:v>
                </c:pt>
                <c:pt idx="48">
                  <c:v>3.5767797390653882</c:v>
                </c:pt>
                <c:pt idx="49">
                  <c:v>3.5711133124490315</c:v>
                </c:pt>
                <c:pt idx="50">
                  <c:v>3.5655015212741592</c:v>
                </c:pt>
                <c:pt idx="51">
                  <c:v>3.5599395328295889</c:v>
                </c:pt>
                <c:pt idx="52">
                  <c:v>3.5544224648278275</c:v>
                </c:pt>
                <c:pt idx="53">
                  <c:v>3.5489453745547128</c:v>
                </c:pt>
                <c:pt idx="54">
                  <c:v>3.5435032472679389</c:v>
                </c:pt>
                <c:pt idx="55">
                  <c:v>3.5380909837581669</c:v>
                </c:pt>
                <c:pt idx="56">
                  <c:v>3.5327033869759692</c:v>
                </c:pt>
                <c:pt idx="57">
                  <c:v>3.5273351476159918</c:v>
                </c:pt>
                <c:pt idx="58">
                  <c:v>3.5219808285360861</c:v>
                </c:pt>
                <c:pt idx="59">
                  <c:v>3.5166348478736031</c:v>
                </c:pt>
                <c:pt idx="60">
                  <c:v>3.5112914607031405</c:v>
                </c:pt>
                <c:pt idx="61">
                  <c:v>3.5059447390594678</c:v>
                </c:pt>
                <c:pt idx="62">
                  <c:v>3.5005885501256242</c:v>
                </c:pt>
                <c:pt idx="63">
                  <c:v>3.4952165323587971</c:v>
                </c:pt>
                <c:pt idx="64">
                  <c:v>3.4898220692948212</c:v>
                </c:pt>
                <c:pt idx="65">
                  <c:v>3.4843982607353308</c:v>
                </c:pt>
                <c:pt idx="66">
                  <c:v>3.4789378909786839</c:v>
                </c:pt>
                <c:pt idx="67">
                  <c:v>3.4734333937057742</c:v>
                </c:pt>
                <c:pt idx="68">
                  <c:v>3.467876813073298</c:v>
                </c:pt>
                <c:pt idx="69">
                  <c:v>3.4622597604983905</c:v>
                </c:pt>
                <c:pt idx="70">
                  <c:v>3.4565733665377398</c:v>
                </c:pt>
                <c:pt idx="71">
                  <c:v>3.4508082271689795</c:v>
                </c:pt>
                <c:pt idx="72">
                  <c:v>3.4449543436692727</c:v>
                </c:pt>
                <c:pt idx="73">
                  <c:v>3.4390010551520191</c:v>
                </c:pt>
                <c:pt idx="74">
                  <c:v>3.43293696266291</c:v>
                </c:pt>
                <c:pt idx="75">
                  <c:v>3.4267498435456383</c:v>
                </c:pt>
                <c:pt idx="76">
                  <c:v>3.420426554558444</c:v>
                </c:pt>
                <c:pt idx="77">
                  <c:v>3.4139529219466893</c:v>
                </c:pt>
                <c:pt idx="78">
                  <c:v>3.4073136163428845</c:v>
                </c:pt>
                <c:pt idx="79">
                  <c:v>3.4004920099603178</c:v>
                </c:pt>
                <c:pt idx="80">
                  <c:v>3.393470013052164</c:v>
                </c:pt>
                <c:pt idx="81">
                  <c:v>3.3862278860024926</c:v>
                </c:pt>
                <c:pt idx="82">
                  <c:v>3.378744022670396</c:v>
                </c:pt>
                <c:pt idx="83">
                  <c:v>3.3709946996867526</c:v>
                </c:pt>
                <c:pt idx="84">
                  <c:v>3.3629537852572575</c:v>
                </c:pt>
                <c:pt idx="85">
                  <c:v>3.3545923995929599</c:v>
                </c:pt>
                <c:pt idx="86">
                  <c:v>3.3458785172888592</c:v>
                </c:pt>
                <c:pt idx="87">
                  <c:v>3.3367764996937233</c:v>
                </c:pt>
                <c:pt idx="88">
                  <c:v>3.3272465424158382</c:v>
                </c:pt>
                <c:pt idx="89">
                  <c:v>3.31724401939571</c:v>
                </c:pt>
                <c:pt idx="90">
                  <c:v>3.3067187001849061</c:v>
                </c:pt>
                <c:pt idx="91">
                  <c:v>3.2956138108408246</c:v>
                </c:pt>
                <c:pt idx="92">
                  <c:v>3.2838649006845149</c:v>
                </c:pt>
                <c:pt idx="93">
                  <c:v>3.271398466382283</c:v>
                </c:pt>
                <c:pt idx="94">
                  <c:v>3.2581302704299877</c:v>
                </c:pt>
                <c:pt idx="95">
                  <c:v>3.2439632717587168</c:v>
                </c:pt>
                <c:pt idx="96">
                  <c:v>3.2287850598507073</c:v>
                </c:pt>
                <c:pt idx="97">
                  <c:v>3.2124646475507967</c:v>
                </c:pt>
                <c:pt idx="98">
                  <c:v>3.1948484273885307</c:v>
                </c:pt>
                <c:pt idx="99">
                  <c:v>3.1757550252498858</c:v>
                </c:pt>
                <c:pt idx="100">
                  <c:v>3.1549686838430691</c:v>
                </c:pt>
                <c:pt idx="101">
                  <c:v>3.1322306613807895</c:v>
                </c:pt>
                <c:pt idx="102">
                  <c:v>3.1072279142373276</c:v>
                </c:pt>
                <c:pt idx="103">
                  <c:v>3.0795780073426107</c:v>
                </c:pt>
                <c:pt idx="104">
                  <c:v>3.0488086990225827</c:v>
                </c:pt>
                <c:pt idx="105">
                  <c:v>3.0143298703500263</c:v>
                </c:pt>
                <c:pt idx="106">
                  <c:v>2.9753942264377051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205-49D1-9CAF-93680392FFFE}"/>
            </c:ext>
          </c:extLst>
        </c:ser>
        <c:ser>
          <c:idx val="10"/>
          <c:order val="10"/>
          <c:tx>
            <c:v>UFin = 3,0 [V/c]</c:v>
          </c:tx>
          <c:spPr>
            <a:ln w="1905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parámetros'!$AH$5:$AH$126</c:f>
              <c:numCache>
                <c:formatCode>0.000</c:formatCode>
                <c:ptCount val="12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D205-49D1-9CAF-93680392FFFE}"/>
            </c:ext>
          </c:extLst>
        </c:ser>
        <c:ser>
          <c:idx val="11"/>
          <c:order val="11"/>
          <c:tx>
            <c:v>Qn = 8,0 [Ah]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parámetros'!$W$5:$W$126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parámetros'!$AI$5:$AI$126</c:f>
              <c:numCache>
                <c:formatCode>0.0E+00</c:formatCode>
                <c:ptCount val="122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205-49D1-9CAF-93680392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14336"/>
        <c:axId val="116436992"/>
      </c:scatterChart>
      <c:valAx>
        <c:axId val="116414336"/>
        <c:scaling>
          <c:orientation val="minMax"/>
          <c:max val="9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Carga entregada al circuito q</a:t>
                </a:r>
                <a:r>
                  <a:rPr lang="en-US" sz="1100" baseline="-25000"/>
                  <a:t>e</a:t>
                </a:r>
                <a:r>
                  <a:rPr lang="en-US" sz="1100"/>
                  <a:t> y q</a:t>
                </a:r>
                <a:r>
                  <a:rPr lang="en-US" sz="1100" baseline="-25000"/>
                  <a:t>d</a:t>
                </a:r>
                <a:r>
                  <a:rPr lang="en-US" sz="1100"/>
                  <a:t>  [Ah]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16436992"/>
        <c:crosses val="autoZero"/>
        <c:crossBetween val="midCat"/>
        <c:majorUnit val="0.5"/>
        <c:minorUnit val="0.05"/>
      </c:valAx>
      <c:valAx>
        <c:axId val="116436992"/>
        <c:scaling>
          <c:orientation val="minMax"/>
          <c:max val="4.3"/>
          <c:min val="2.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Tensión u</a:t>
                </a:r>
                <a:r>
                  <a:rPr lang="en-US" sz="1100" baseline="-25000"/>
                  <a:t>d</a:t>
                </a:r>
                <a:r>
                  <a:rPr lang="en-US" sz="1100"/>
                  <a:t> y u</a:t>
                </a:r>
                <a:r>
                  <a:rPr lang="en-US" sz="1100" baseline="-25000"/>
                  <a:t>e</a:t>
                </a:r>
                <a:r>
                  <a:rPr lang="en-US" sz="1100"/>
                  <a:t> [V]</a:t>
                </a:r>
              </a:p>
            </c:rich>
          </c:tx>
          <c:layout>
            <c:manualLayout>
              <c:xMode val="edge"/>
              <c:yMode val="edge"/>
              <c:x val="6.8244553131299075E-3"/>
              <c:y val="0.2959308064171397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16414336"/>
        <c:crosses val="autoZero"/>
        <c:crossBetween val="midCat"/>
        <c:majorUnit val="0.1"/>
        <c:minorUnit val="1.0000000000000005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28357767844593285"/>
          <c:y val="0.1449263546145699"/>
          <c:w val="0.67742510276172241"/>
          <c:h val="0.14890588545021352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/>
              <a:t>Curva de</a:t>
            </a:r>
            <a:r>
              <a:rPr lang="es-ES" sz="1400" baseline="0"/>
              <a:t> descarga condensador electrolítico teórico</a:t>
            </a:r>
            <a:endParaRPr lang="es-ES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/>
              <a:t>acumulador de litio Worley Parsons SLPB 68106100</a:t>
            </a:r>
            <a:endParaRPr lang="es-ES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 sz="1400"/>
          </a:p>
        </c:rich>
      </c:tx>
      <c:layout>
        <c:manualLayout>
          <c:xMode val="edge"/>
          <c:yMode val="edge"/>
          <c:x val="0.17250917897186924"/>
          <c:y val="1.538999706741788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401953170117771"/>
          <c:y val="0.22514952694535567"/>
          <c:w val="0.86192139319363803"/>
          <c:h val="0.58879882779597403"/>
        </c:manualLayout>
      </c:layout>
      <c:scatterChart>
        <c:scatterStyle val="smoothMarker"/>
        <c:varyColors val="0"/>
        <c:ser>
          <c:idx val="0"/>
          <c:order val="0"/>
          <c:tx>
            <c:v>id  =  1,5  [A]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7.0882492282908827E-2</c:v>
                </c:pt>
                <c:pt idx="3">
                  <c:v>0.14176498456581774</c:v>
                </c:pt>
                <c:pt idx="4">
                  <c:v>0.21264747684872631</c:v>
                </c:pt>
                <c:pt idx="5">
                  <c:v>0.28352996913163553</c:v>
                </c:pt>
                <c:pt idx="6">
                  <c:v>0.35441246141454469</c:v>
                </c:pt>
                <c:pt idx="7">
                  <c:v>0.42529495369745263</c:v>
                </c:pt>
                <c:pt idx="8">
                  <c:v>0.49617744598036112</c:v>
                </c:pt>
                <c:pt idx="9">
                  <c:v>0.56705993826326895</c:v>
                </c:pt>
                <c:pt idx="10">
                  <c:v>0.63794243054618083</c:v>
                </c:pt>
                <c:pt idx="11">
                  <c:v>0.70882492282908804</c:v>
                </c:pt>
                <c:pt idx="12">
                  <c:v>0.7797074151119967</c:v>
                </c:pt>
                <c:pt idx="13">
                  <c:v>0.8505899073949037</c:v>
                </c:pt>
                <c:pt idx="14">
                  <c:v>0.92147239967781158</c:v>
                </c:pt>
                <c:pt idx="15">
                  <c:v>0.99235489196072058</c:v>
                </c:pt>
                <c:pt idx="16">
                  <c:v>1.0632373842436293</c:v>
                </c:pt>
                <c:pt idx="17">
                  <c:v>1.134119876526543</c:v>
                </c:pt>
                <c:pt idx="18">
                  <c:v>1.2050023688094458</c:v>
                </c:pt>
                <c:pt idx="19">
                  <c:v>1.2758848610923552</c:v>
                </c:pt>
                <c:pt idx="20">
                  <c:v>1.346767353375264</c:v>
                </c:pt>
                <c:pt idx="21">
                  <c:v>1.4176498456581688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1.6302973225069013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1.8429447993556238</c:v>
                </c:pt>
                <c:pt idx="28">
                  <c:v>1.9138272916385328</c:v>
                </c:pt>
                <c:pt idx="29">
                  <c:v>1.984709783921442</c:v>
                </c:pt>
                <c:pt idx="30">
                  <c:v>2.0555922762043499</c:v>
                </c:pt>
                <c:pt idx="31">
                  <c:v>2.1264747684872654</c:v>
                </c:pt>
                <c:pt idx="32">
                  <c:v>2.1973572607701692</c:v>
                </c:pt>
                <c:pt idx="33">
                  <c:v>2.2682397530530802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2.6226522144676188</c:v>
                </c:pt>
                <c:pt idx="39">
                  <c:v>2.6935347067505409</c:v>
                </c:pt>
                <c:pt idx="40">
                  <c:v>2.7644171990334372</c:v>
                </c:pt>
                <c:pt idx="41">
                  <c:v>2.8352996913163437</c:v>
                </c:pt>
                <c:pt idx="42">
                  <c:v>2.906182183599245</c:v>
                </c:pt>
                <c:pt idx="43">
                  <c:v>2.9770646758821622</c:v>
                </c:pt>
                <c:pt idx="44">
                  <c:v>3.0479471681650776</c:v>
                </c:pt>
                <c:pt idx="45">
                  <c:v>3.1188296604479802</c:v>
                </c:pt>
                <c:pt idx="46">
                  <c:v>3.189712152730888</c:v>
                </c:pt>
                <c:pt idx="47">
                  <c:v>3.2605946450138035</c:v>
                </c:pt>
                <c:pt idx="48">
                  <c:v>3.331477137296698</c:v>
                </c:pt>
                <c:pt idx="49">
                  <c:v>3.4023596295796059</c:v>
                </c:pt>
                <c:pt idx="50">
                  <c:v>3.4732421218625227</c:v>
                </c:pt>
                <c:pt idx="51">
                  <c:v>3.544124614145439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3.8276545832770648</c:v>
                </c:pt>
                <c:pt idx="56">
                  <c:v>3.8985370755599797</c:v>
                </c:pt>
                <c:pt idx="57">
                  <c:v>3.9694195678428832</c:v>
                </c:pt>
                <c:pt idx="58">
                  <c:v>4.0403020601257875</c:v>
                </c:pt>
                <c:pt idx="59">
                  <c:v>4.1111845524086803</c:v>
                </c:pt>
                <c:pt idx="60">
                  <c:v>4.1820670446916104</c:v>
                </c:pt>
                <c:pt idx="61">
                  <c:v>4.2529495369745165</c:v>
                </c:pt>
                <c:pt idx="62">
                  <c:v>4.3238320292574102</c:v>
                </c:pt>
                <c:pt idx="63">
                  <c:v>4.3947145215403207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4.6782444906719816</c:v>
                </c:pt>
                <c:pt idx="68">
                  <c:v>4.7491269829548939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4.9617744598036104</c:v>
                </c:pt>
                <c:pt idx="72">
                  <c:v>5.0326569520865085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5.2453044289352375</c:v>
                </c:pt>
                <c:pt idx="76">
                  <c:v>5.3161869212181445</c:v>
                </c:pt>
                <c:pt idx="77">
                  <c:v>5.3870694135010684</c:v>
                </c:pt>
                <c:pt idx="78">
                  <c:v>5.4579519057839674</c:v>
                </c:pt>
                <c:pt idx="79">
                  <c:v>5.5288343980668655</c:v>
                </c:pt>
                <c:pt idx="80">
                  <c:v>5.5997168903497805</c:v>
                </c:pt>
                <c:pt idx="81">
                  <c:v>5.6705993826327017</c:v>
                </c:pt>
                <c:pt idx="82">
                  <c:v>5.7414818749155945</c:v>
                </c:pt>
                <c:pt idx="83">
                  <c:v>5.812364367198489</c:v>
                </c:pt>
                <c:pt idx="84">
                  <c:v>5.8832468594814156</c:v>
                </c:pt>
                <c:pt idx="85">
                  <c:v>5.9541293517643314</c:v>
                </c:pt>
                <c:pt idx="86">
                  <c:v>6.025011844047218</c:v>
                </c:pt>
                <c:pt idx="87">
                  <c:v>6.0958943363301366</c:v>
                </c:pt>
                <c:pt idx="88">
                  <c:v>6.1667768286130382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6.3794243054617814</c:v>
                </c:pt>
                <c:pt idx="92">
                  <c:v>6.4503067977446991</c:v>
                </c:pt>
                <c:pt idx="93">
                  <c:v>6.5211892900275865</c:v>
                </c:pt>
                <c:pt idx="94">
                  <c:v>6.5920717823105024</c:v>
                </c:pt>
                <c:pt idx="95">
                  <c:v>6.6629542745933854</c:v>
                </c:pt>
                <c:pt idx="96">
                  <c:v>6.7338367668763155</c:v>
                </c:pt>
                <c:pt idx="97">
                  <c:v>6.8047192591592118</c:v>
                </c:pt>
                <c:pt idx="98">
                  <c:v>6.8756017514421499</c:v>
                </c:pt>
                <c:pt idx="99">
                  <c:v>6.9464842437250445</c:v>
                </c:pt>
                <c:pt idx="100">
                  <c:v>7.0173667360079408</c:v>
                </c:pt>
                <c:pt idx="101">
                  <c:v>7.0882492282908762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7.3717791974225131</c:v>
                </c:pt>
                <c:pt idx="106">
                  <c:v>7.4426616897054094</c:v>
                </c:pt>
                <c:pt idx="107">
                  <c:v>7.5135441819883138</c:v>
                </c:pt>
                <c:pt idx="108">
                  <c:v>7.5844266742712225</c:v>
                </c:pt>
                <c:pt idx="109">
                  <c:v>7.6553091665541313</c:v>
                </c:pt>
                <c:pt idx="110">
                  <c:v>7.7261916588370365</c:v>
                </c:pt>
                <c:pt idx="111">
                  <c:v>7.7970741511199364</c:v>
                </c:pt>
                <c:pt idx="112">
                  <c:v>7.8679566434028443</c:v>
                </c:pt>
                <c:pt idx="113">
                  <c:v>7.9388391356857779</c:v>
                </c:pt>
                <c:pt idx="114">
                  <c:v>8.0097216279686752</c:v>
                </c:pt>
                <c:pt idx="115">
                  <c:v>8.0806041202515679</c:v>
                </c:pt>
                <c:pt idx="116">
                  <c:v>8.1514866125345176</c:v>
                </c:pt>
                <c:pt idx="117">
                  <c:v>8.2223691048173979</c:v>
                </c:pt>
                <c:pt idx="118">
                  <c:v>8.2932515971003085</c:v>
                </c:pt>
                <c:pt idx="119">
                  <c:v>8.3641340893832545</c:v>
                </c:pt>
                <c:pt idx="120">
                  <c:v>8.435016581666126</c:v>
                </c:pt>
                <c:pt idx="121">
                  <c:v>8.5058990739490721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0-DC4B-46AF-A60A-51B466C6EA5D}"/>
            </c:ext>
          </c:extLst>
        </c:ser>
        <c:ser>
          <c:idx val="1"/>
          <c:order val="1"/>
          <c:tx>
            <c:v>id = 1,5 [A]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'SLPB68106100 4 parámetros'!$AJ$5:$AJ$126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parámetros'!$AL$5:$AL$126</c:f>
              <c:numCache>
                <c:formatCode>0.000</c:formatCode>
                <c:ptCount val="122"/>
                <c:pt idx="0">
                  <c:v>0.33063931429891458</c:v>
                </c:pt>
                <c:pt idx="1">
                  <c:v>0.31902931429891446</c:v>
                </c:pt>
                <c:pt idx="2">
                  <c:v>0.30523014421927663</c:v>
                </c:pt>
                <c:pt idx="3">
                  <c:v>0.29179501602826169</c:v>
                </c:pt>
                <c:pt idx="4">
                  <c:v>0.27871432577897226</c:v>
                </c:pt>
                <c:pt idx="5">
                  <c:v>0.26597872289039798</c:v>
                </c:pt>
                <c:pt idx="6">
                  <c:v>0.25357910346326007</c:v>
                </c:pt>
                <c:pt idx="7">
                  <c:v>0.24150660377219393</c:v>
                </c:pt>
                <c:pt idx="8">
                  <c:v>0.22975259392961656</c:v>
                </c:pt>
                <c:pt idx="9">
                  <c:v>0.21830867171675084</c:v>
                </c:pt>
                <c:pt idx="10">
                  <c:v>0.20716665657739616</c:v>
                </c:pt>
                <c:pt idx="11">
                  <c:v>0.19631858377015179</c:v>
                </c:pt>
                <c:pt idx="12">
                  <c:v>0.18575669867491293</c:v>
                </c:pt>
                <c:pt idx="13">
                  <c:v>0.17547345124956995</c:v>
                </c:pt>
                <c:pt idx="14">
                  <c:v>0.16546149063294768</c:v>
                </c:pt>
                <c:pt idx="15">
                  <c:v>0.15571365989012637</c:v>
                </c:pt>
                <c:pt idx="16">
                  <c:v>0.14622299089638935</c:v>
                </c:pt>
                <c:pt idx="17">
                  <c:v>0.13698269935613941</c:v>
                </c:pt>
                <c:pt idx="18">
                  <c:v>0.1279861799532227</c:v>
                </c:pt>
                <c:pt idx="19">
                  <c:v>0.11922700162919471</c:v>
                </c:pt>
                <c:pt idx="20">
                  <c:v>0.1106989029861519</c:v>
                </c:pt>
                <c:pt idx="21">
                  <c:v>0.1023957878108436</c:v>
                </c:pt>
                <c:pt idx="22">
                  <c:v>9.4311720716863931E-2</c:v>
                </c:pt>
                <c:pt idx="23">
                  <c:v>8.6440922901809172E-2</c:v>
                </c:pt>
                <c:pt idx="24">
                  <c:v>7.8777768016367142E-2</c:v>
                </c:pt>
                <c:pt idx="25">
                  <c:v>7.1316778142386406E-2</c:v>
                </c:pt>
                <c:pt idx="26">
                  <c:v>6.4052619877049091E-2</c:v>
                </c:pt>
                <c:pt idx="27">
                  <c:v>5.6980100520349526E-2</c:v>
                </c:pt>
                <c:pt idx="28">
                  <c:v>5.0094164363152248E-2</c:v>
                </c:pt>
                <c:pt idx="29">
                  <c:v>4.3389889073176369E-2</c:v>
                </c:pt>
                <c:pt idx="30">
                  <c:v>3.6862482176322979E-2</c:v>
                </c:pt>
                <c:pt idx="31">
                  <c:v>3.0507277630830339E-2</c:v>
                </c:pt>
                <c:pt idx="32">
                  <c:v>2.4319732491807314E-2</c:v>
                </c:pt>
                <c:pt idx="33">
                  <c:v>1.8295423663761683E-2</c:v>
                </c:pt>
                <c:pt idx="34">
                  <c:v>1.2430044738800916E-2</c:v>
                </c:pt>
                <c:pt idx="35">
                  <c:v>6.7194029182462579E-3</c:v>
                </c:pt>
                <c:pt idx="36">
                  <c:v>1.1594160154588494E-3</c:v>
                </c:pt>
                <c:pt idx="37">
                  <c:v>-4.2538904622647653E-3</c:v>
                </c:pt>
                <c:pt idx="38">
                  <c:v>-9.5243861548127817E-3</c:v>
                </c:pt>
                <c:pt idx="39">
                  <c:v>-1.4655838615425756E-2</c:v>
                </c:pt>
                <c:pt idx="40">
                  <c:v>-1.9651916003888853E-2</c:v>
                </c:pt>
                <c:pt idx="41">
                  <c:v>-2.4516189708673461E-2</c:v>
                </c:pt>
                <c:pt idx="42">
                  <c:v>-2.9252136899903407E-2</c:v>
                </c:pt>
                <c:pt idx="43">
                  <c:v>-3.3863143014969857E-2</c:v>
                </c:pt>
                <c:pt idx="44">
                  <c:v>-3.8352504178572333E-2</c:v>
                </c:pt>
                <c:pt idx="45">
                  <c:v>-4.2723429558915629E-2</c:v>
                </c:pt>
                <c:pt idx="46">
                  <c:v>-4.6979043661746898E-2</c:v>
                </c:pt>
                <c:pt idx="47">
                  <c:v>-5.1122388563872335E-2</c:v>
                </c:pt>
                <c:pt idx="48">
                  <c:v>-5.5156426087751051E-2</c:v>
                </c:pt>
                <c:pt idx="49">
                  <c:v>-5.90840399187198E-2</c:v>
                </c:pt>
                <c:pt idx="50">
                  <c:v>-6.2908037666362104E-2</c:v>
                </c:pt>
                <c:pt idx="51">
                  <c:v>-6.6631152871495916E-2</c:v>
                </c:pt>
                <c:pt idx="52">
                  <c:v>-7.0256046960213633E-2</c:v>
                </c:pt>
                <c:pt idx="53">
                  <c:v>-7.3785311146372143E-2</c:v>
                </c:pt>
                <c:pt idx="54">
                  <c:v>-7.7221468283891911E-2</c:v>
                </c:pt>
                <c:pt idx="55">
                  <c:v>-8.0566974670190569E-2</c:v>
                </c:pt>
                <c:pt idx="56">
                  <c:v>-8.3824221802038454E-2</c:v>
                </c:pt>
                <c:pt idx="57">
                  <c:v>-8.6995538085092861E-2</c:v>
                </c:pt>
                <c:pt idx="58">
                  <c:v>-9.0083190498331869E-2</c:v>
                </c:pt>
                <c:pt idx="59">
                  <c:v>-9.3089386214578254E-2</c:v>
                </c:pt>
                <c:pt idx="60">
                  <c:v>-9.6016274178271702E-2</c:v>
                </c:pt>
                <c:pt idx="61">
                  <c:v>-9.8865946641616839E-2</c:v>
                </c:pt>
                <c:pt idx="62">
                  <c:v>-0.10164044066020583</c:v>
                </c:pt>
                <c:pt idx="63">
                  <c:v>-0.10434173954918408</c:v>
                </c:pt>
                <c:pt idx="64">
                  <c:v>-0.10697177430100026</c:v>
                </c:pt>
                <c:pt idx="65">
                  <c:v>-0.10953242496575392</c:v>
                </c:pt>
                <c:pt idx="66">
                  <c:v>-0.11202552199512809</c:v>
                </c:pt>
                <c:pt idx="67">
                  <c:v>-0.11445284755086614</c:v>
                </c:pt>
                <c:pt idx="68">
                  <c:v>-0.11681613677872986</c:v>
                </c:pt>
                <c:pt idx="69">
                  <c:v>-0.11911707904884841</c:v>
                </c:pt>
                <c:pt idx="70">
                  <c:v>-0.12135731916334511</c:v>
                </c:pt>
                <c:pt idx="71">
                  <c:v>-0.12353845853210547</c:v>
                </c:pt>
                <c:pt idx="72">
                  <c:v>-0.12566205631752631</c:v>
                </c:pt>
                <c:pt idx="73">
                  <c:v>-0.12772963054906541</c:v>
                </c:pt>
                <c:pt idx="74">
                  <c:v>-0.12974265920838721</c:v>
                </c:pt>
                <c:pt idx="75">
                  <c:v>-0.13170258128588119</c:v>
                </c:pt>
                <c:pt idx="76">
                  <c:v>-0.13361079780930724</c:v>
                </c:pt>
                <c:pt idx="77">
                  <c:v>-0.13546867284530464</c:v>
                </c:pt>
                <c:pt idx="78">
                  <c:v>-0.13727753447447935</c:v>
                </c:pt>
                <c:pt idx="79">
                  <c:v>-0.13903867574076686</c:v>
                </c:pt>
                <c:pt idx="80">
                  <c:v>-0.14075335557575014</c:v>
                </c:pt>
                <c:pt idx="81">
                  <c:v>-0.14242279969859209</c:v>
                </c:pt>
                <c:pt idx="82">
                  <c:v>-0.14404820149222719</c:v>
                </c:pt>
                <c:pt idx="83">
                  <c:v>-0.14563072285643708</c:v>
                </c:pt>
                <c:pt idx="84">
                  <c:v>-0.14717149503842164</c:v>
                </c:pt>
                <c:pt idx="85">
                  <c:v>-0.14867161944145796</c:v>
                </c:pt>
                <c:pt idx="86">
                  <c:v>-0.15013216841222554</c:v>
                </c:pt>
                <c:pt idx="87">
                  <c:v>-0.15155418600736145</c:v>
                </c:pt>
                <c:pt idx="88">
                  <c:v>-0.1529386887397918</c:v>
                </c:pt>
                <c:pt idx="89">
                  <c:v>-0.15428666630537449</c:v>
                </c:pt>
                <c:pt idx="90">
                  <c:v>-0.15559908229037203</c:v>
                </c:pt>
                <c:pt idx="91">
                  <c:v>-0.15687687486025981</c:v>
                </c:pt>
                <c:pt idx="92">
                  <c:v>-0.15812095743036317</c:v>
                </c:pt>
                <c:pt idx="93">
                  <c:v>-0.15933221931880159</c:v>
                </c:pt>
                <c:pt idx="94">
                  <c:v>-0.16051152638220792</c:v>
                </c:pt>
                <c:pt idx="95">
                  <c:v>-0.16165972163467549</c:v>
                </c:pt>
                <c:pt idx="96">
                  <c:v>-0.16277762585037753</c:v>
                </c:pt>
                <c:pt idx="97">
                  <c:v>-0.16386603815028794</c:v>
                </c:pt>
                <c:pt idx="98">
                  <c:v>-0.16492573657342366</c:v>
                </c:pt>
                <c:pt idx="99">
                  <c:v>-0.16595747863301699</c:v>
                </c:pt>
                <c:pt idx="100">
                  <c:v>-0.16696200185801535</c:v>
                </c:pt>
                <c:pt idx="101">
                  <c:v>-0.16794002432029512</c:v>
                </c:pt>
                <c:pt idx="102">
                  <c:v>-0.16889224514796725</c:v>
                </c:pt>
                <c:pt idx="103">
                  <c:v>-0.16981934502514076</c:v>
                </c:pt>
                <c:pt idx="104">
                  <c:v>-0.17072198667850227</c:v>
                </c:pt>
                <c:pt idx="105">
                  <c:v>-0.1716008153510582</c:v>
                </c:pt>
                <c:pt idx="106">
                  <c:v>-0.17245645926337946</c:v>
                </c:pt>
                <c:pt idx="107">
                  <c:v>-0.17328953006267789</c:v>
                </c:pt>
                <c:pt idx="108">
                  <c:v>-0.17410062326003478</c:v>
                </c:pt>
                <c:pt idx="109">
                  <c:v>-0.17489031865609561</c:v>
                </c:pt>
                <c:pt idx="110">
                  <c:v>-0.17565918075553355</c:v>
                </c:pt>
                <c:pt idx="111">
                  <c:v>-0.17640775917057924</c:v>
                </c:pt>
                <c:pt idx="112">
                  <c:v>-0.17713658901390486</c:v>
                </c:pt>
                <c:pt idx="113">
                  <c:v>-0.17784619128114307</c:v>
                </c:pt>
                <c:pt idx="114">
                  <c:v>-0.17853707322331502</c:v>
                </c:pt>
                <c:pt idx="115">
                  <c:v>-0.1792097287094325</c:v>
                </c:pt>
                <c:pt idx="116">
                  <c:v>-0.17986463857953505</c:v>
                </c:pt>
                <c:pt idx="117">
                  <c:v>-0.18050227098841243</c:v>
                </c:pt>
                <c:pt idx="118">
                  <c:v>-0.18112308174026007</c:v>
                </c:pt>
                <c:pt idx="119">
                  <c:v>-0.18172751461450523</c:v>
                </c:pt>
                <c:pt idx="120">
                  <c:v>-0.18231600168303777</c:v>
                </c:pt>
                <c:pt idx="121">
                  <c:v>-0.18288896361907153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4B-46AF-A60A-51B466C6EA5D}"/>
            </c:ext>
          </c:extLst>
        </c:ser>
        <c:ser>
          <c:idx val="2"/>
          <c:order val="2"/>
          <c:tx>
            <c:v>id = 4,0 [A]</c:v>
          </c:tx>
          <c:spPr>
            <a:ln w="15875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'SLPB68106100 4 parámetros'!$AJ$5:$AJ$126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parámetros'!$AM$5:$AM$126</c:f>
              <c:numCache>
                <c:formatCode>0.000</c:formatCode>
                <c:ptCount val="122"/>
                <c:pt idx="0">
                  <c:v>0.33063931429891458</c:v>
                </c:pt>
                <c:pt idx="1">
                  <c:v>0.29967931429891431</c:v>
                </c:pt>
                <c:pt idx="2">
                  <c:v>0.28588014421927649</c:v>
                </c:pt>
                <c:pt idx="3">
                  <c:v>0.27244501602826154</c:v>
                </c:pt>
                <c:pt idx="4">
                  <c:v>0.25936432577897212</c:v>
                </c:pt>
                <c:pt idx="5">
                  <c:v>0.24662872289039783</c:v>
                </c:pt>
                <c:pt idx="6">
                  <c:v>0.23422910346325992</c:v>
                </c:pt>
                <c:pt idx="7">
                  <c:v>0.22215660377219376</c:v>
                </c:pt>
                <c:pt idx="8">
                  <c:v>0.21040259392961638</c:v>
                </c:pt>
                <c:pt idx="9">
                  <c:v>0.19895867171675066</c:v>
                </c:pt>
                <c:pt idx="10">
                  <c:v>0.18781665657739599</c:v>
                </c:pt>
                <c:pt idx="11">
                  <c:v>0.17696858377015162</c:v>
                </c:pt>
                <c:pt idx="12">
                  <c:v>0.16640669867491276</c:v>
                </c:pt>
                <c:pt idx="13">
                  <c:v>0.15612345124956978</c:v>
                </c:pt>
                <c:pt idx="14">
                  <c:v>0.14611149063294751</c:v>
                </c:pt>
                <c:pt idx="15">
                  <c:v>0.13636365989012619</c:v>
                </c:pt>
                <c:pt idx="16">
                  <c:v>0.12687299089638918</c:v>
                </c:pt>
                <c:pt idx="17">
                  <c:v>0.11763269935613924</c:v>
                </c:pt>
                <c:pt idx="18">
                  <c:v>0.10863617995322253</c:v>
                </c:pt>
                <c:pt idx="19">
                  <c:v>9.9877001629194551E-2</c:v>
                </c:pt>
                <c:pt idx="20">
                  <c:v>9.1348902986151739E-2</c:v>
                </c:pt>
                <c:pt idx="21">
                  <c:v>8.3045787810843444E-2</c:v>
                </c:pt>
                <c:pt idx="22">
                  <c:v>7.4961720716863772E-2</c:v>
                </c:pt>
                <c:pt idx="23">
                  <c:v>6.7090922901809014E-2</c:v>
                </c:pt>
                <c:pt idx="24">
                  <c:v>5.9427768016366983E-2</c:v>
                </c:pt>
                <c:pt idx="25">
                  <c:v>5.1966778142386247E-2</c:v>
                </c:pt>
                <c:pt idx="26">
                  <c:v>4.4702619877048932E-2</c:v>
                </c:pt>
                <c:pt idx="27">
                  <c:v>3.763010052034936E-2</c:v>
                </c:pt>
                <c:pt idx="28">
                  <c:v>3.0744164363152079E-2</c:v>
                </c:pt>
                <c:pt idx="29">
                  <c:v>2.40398890731762E-2</c:v>
                </c:pt>
                <c:pt idx="30">
                  <c:v>1.751248217632281E-2</c:v>
                </c:pt>
                <c:pt idx="31">
                  <c:v>1.115727763083017E-2</c:v>
                </c:pt>
                <c:pt idx="32">
                  <c:v>4.9697324918071446E-3</c:v>
                </c:pt>
                <c:pt idx="33">
                  <c:v>-1.0545763362384865E-3</c:v>
                </c:pt>
                <c:pt idx="34">
                  <c:v>-6.9199552611992517E-3</c:v>
                </c:pt>
                <c:pt idx="35">
                  <c:v>-1.263059708175391E-2</c:v>
                </c:pt>
                <c:pt idx="36">
                  <c:v>-1.819058398454132E-2</c:v>
                </c:pt>
                <c:pt idx="37">
                  <c:v>-2.3603890462264934E-2</c:v>
                </c:pt>
                <c:pt idx="38">
                  <c:v>-2.8874386154812949E-2</c:v>
                </c:pt>
                <c:pt idx="39">
                  <c:v>-3.4005838615425922E-2</c:v>
                </c:pt>
                <c:pt idx="40">
                  <c:v>-3.9001916003889019E-2</c:v>
                </c:pt>
                <c:pt idx="41">
                  <c:v>-4.3866189708673627E-2</c:v>
                </c:pt>
                <c:pt idx="42">
                  <c:v>-4.8602136899903572E-2</c:v>
                </c:pt>
                <c:pt idx="43">
                  <c:v>-5.321314301497003E-2</c:v>
                </c:pt>
                <c:pt idx="44">
                  <c:v>-5.7702504178572499E-2</c:v>
                </c:pt>
                <c:pt idx="45">
                  <c:v>-6.2073429558915795E-2</c:v>
                </c:pt>
                <c:pt idx="46">
                  <c:v>-6.6329043661747064E-2</c:v>
                </c:pt>
                <c:pt idx="47">
                  <c:v>-7.0472388563872501E-2</c:v>
                </c:pt>
                <c:pt idx="48">
                  <c:v>-7.4506426087751224E-2</c:v>
                </c:pt>
                <c:pt idx="49">
                  <c:v>-7.8434039918719972E-2</c:v>
                </c:pt>
                <c:pt idx="50">
                  <c:v>-8.2258037666362263E-2</c:v>
                </c:pt>
                <c:pt idx="51">
                  <c:v>-8.5981152871496089E-2</c:v>
                </c:pt>
                <c:pt idx="52">
                  <c:v>-8.9606046960213792E-2</c:v>
                </c:pt>
                <c:pt idx="53">
                  <c:v>-9.3135311146372315E-2</c:v>
                </c:pt>
                <c:pt idx="54">
                  <c:v>-9.657146828389207E-2</c:v>
                </c:pt>
                <c:pt idx="55">
                  <c:v>-9.9916974670190728E-2</c:v>
                </c:pt>
                <c:pt idx="56">
                  <c:v>-0.10317422180203861</c:v>
                </c:pt>
                <c:pt idx="57">
                  <c:v>-0.10634553808509302</c:v>
                </c:pt>
                <c:pt idx="58">
                  <c:v>-0.10943319049833203</c:v>
                </c:pt>
                <c:pt idx="59">
                  <c:v>-0.11243938621457841</c:v>
                </c:pt>
                <c:pt idx="60">
                  <c:v>-0.11536627417827186</c:v>
                </c:pt>
                <c:pt idx="61">
                  <c:v>-0.118215946641617</c:v>
                </c:pt>
                <c:pt idx="62">
                  <c:v>-0.12099044066020599</c:v>
                </c:pt>
                <c:pt idx="63">
                  <c:v>-0.12369173954918423</c:v>
                </c:pt>
                <c:pt idx="64">
                  <c:v>-0.12632177430100042</c:v>
                </c:pt>
                <c:pt idx="65">
                  <c:v>-0.12888242496575408</c:v>
                </c:pt>
                <c:pt idx="66">
                  <c:v>-0.13137552199512825</c:v>
                </c:pt>
                <c:pt idx="67">
                  <c:v>-0.1338028475508663</c:v>
                </c:pt>
                <c:pt idx="68">
                  <c:v>-0.13616613677873002</c:v>
                </c:pt>
                <c:pt idx="69">
                  <c:v>-0.13846707904884858</c:v>
                </c:pt>
                <c:pt idx="70">
                  <c:v>-0.14070731916334528</c:v>
                </c:pt>
                <c:pt idx="71">
                  <c:v>-0.14288845853210563</c:v>
                </c:pt>
                <c:pt idx="72">
                  <c:v>-0.14501205631752648</c:v>
                </c:pt>
                <c:pt idx="73">
                  <c:v>-0.14707963054906559</c:v>
                </c:pt>
                <c:pt idx="74">
                  <c:v>-0.14909265920838738</c:v>
                </c:pt>
                <c:pt idx="75">
                  <c:v>-0.15105258128588137</c:v>
                </c:pt>
                <c:pt idx="76">
                  <c:v>-0.15296079780930741</c:v>
                </c:pt>
                <c:pt idx="77">
                  <c:v>-0.15481867284530482</c:v>
                </c:pt>
                <c:pt idx="78">
                  <c:v>-0.15662753447447952</c:v>
                </c:pt>
                <c:pt idx="79">
                  <c:v>-0.15838867574076704</c:v>
                </c:pt>
                <c:pt idx="80">
                  <c:v>-0.16010335557575031</c:v>
                </c:pt>
                <c:pt idx="81">
                  <c:v>-0.16177279969859226</c:v>
                </c:pt>
                <c:pt idx="82">
                  <c:v>-0.16339820149222736</c:v>
                </c:pt>
                <c:pt idx="83">
                  <c:v>-0.16498072285643725</c:v>
                </c:pt>
                <c:pt idx="84">
                  <c:v>-0.16652149503842181</c:v>
                </c:pt>
                <c:pt idx="85">
                  <c:v>-0.16802161944145813</c:v>
                </c:pt>
                <c:pt idx="86">
                  <c:v>-0.16948216841222571</c:v>
                </c:pt>
                <c:pt idx="87">
                  <c:v>-0.17090418600736162</c:v>
                </c:pt>
                <c:pt idx="88">
                  <c:v>-0.17228868873979197</c:v>
                </c:pt>
                <c:pt idx="89">
                  <c:v>-0.17363666630537467</c:v>
                </c:pt>
                <c:pt idx="90">
                  <c:v>-0.1749490822903722</c:v>
                </c:pt>
                <c:pt idx="91">
                  <c:v>-0.17622687486025998</c:v>
                </c:pt>
                <c:pt idx="92">
                  <c:v>-0.17747095743036334</c:v>
                </c:pt>
                <c:pt idx="93">
                  <c:v>-0.17868221931880177</c:v>
                </c:pt>
                <c:pt idx="94">
                  <c:v>-0.17986152638220809</c:v>
                </c:pt>
                <c:pt idx="95">
                  <c:v>-0.18100972163467566</c:v>
                </c:pt>
                <c:pt idx="96">
                  <c:v>-0.1821276258503777</c:v>
                </c:pt>
                <c:pt idx="97">
                  <c:v>-0.18321603815028811</c:v>
                </c:pt>
                <c:pt idx="98">
                  <c:v>-0.18427573657342383</c:v>
                </c:pt>
                <c:pt idx="99">
                  <c:v>-0.18530747863301716</c:v>
                </c:pt>
                <c:pt idx="100">
                  <c:v>-0.18631200185801552</c:v>
                </c:pt>
                <c:pt idx="101">
                  <c:v>-0.18729002432029529</c:v>
                </c:pt>
                <c:pt idx="102">
                  <c:v>-0.18824224514796742</c:v>
                </c:pt>
                <c:pt idx="103">
                  <c:v>-0.18916934502514093</c:v>
                </c:pt>
                <c:pt idx="104">
                  <c:v>-0.19007198667850245</c:v>
                </c:pt>
                <c:pt idx="105">
                  <c:v>-0.19095081535105837</c:v>
                </c:pt>
                <c:pt idx="106">
                  <c:v>-0.19180645926337964</c:v>
                </c:pt>
                <c:pt idx="107">
                  <c:v>-0.19263953006267806</c:v>
                </c:pt>
                <c:pt idx="108">
                  <c:v>-0.19345062326003495</c:v>
                </c:pt>
                <c:pt idx="109">
                  <c:v>-0.19424031865609578</c:v>
                </c:pt>
                <c:pt idx="110">
                  <c:v>-0.19500918075553372</c:v>
                </c:pt>
                <c:pt idx="111">
                  <c:v>-0.19575775917057942</c:v>
                </c:pt>
                <c:pt idx="112">
                  <c:v>-0.19648658901390503</c:v>
                </c:pt>
                <c:pt idx="113">
                  <c:v>-0.19719619128114324</c:v>
                </c:pt>
                <c:pt idx="114">
                  <c:v>-0.1978870732233152</c:v>
                </c:pt>
                <c:pt idx="115">
                  <c:v>-0.19855972870943267</c:v>
                </c:pt>
                <c:pt idx="116">
                  <c:v>-0.19921463857953522</c:v>
                </c:pt>
                <c:pt idx="117">
                  <c:v>-0.1998522709884126</c:v>
                </c:pt>
                <c:pt idx="118">
                  <c:v>-0.20047308174026024</c:v>
                </c:pt>
                <c:pt idx="119">
                  <c:v>-0.2010775146145054</c:v>
                </c:pt>
                <c:pt idx="120">
                  <c:v>-0.20166600168303794</c:v>
                </c:pt>
                <c:pt idx="121">
                  <c:v>-0.2022389636190717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4B-46AF-A60A-51B466C6EA5D}"/>
            </c:ext>
          </c:extLst>
        </c:ser>
        <c:ser>
          <c:idx val="3"/>
          <c:order val="3"/>
          <c:tx>
            <c:v>id = 8,0 [A]</c:v>
          </c:tx>
          <c:spPr>
            <a:ln w="15875">
              <a:solidFill>
                <a:srgbClr val="00B0F0"/>
              </a:solidFill>
              <a:prstDash val="dash"/>
            </a:ln>
          </c:spPr>
          <c:marker>
            <c:symbol val="none"/>
          </c:marker>
          <c:xVal>
            <c:numRef>
              <c:f>'SLPB68106100 4 parámetros'!$AJ$5:$AJ$126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parámetros'!$AN$5:$AN$126</c:f>
              <c:numCache>
                <c:formatCode>0.000</c:formatCode>
                <c:ptCount val="122"/>
                <c:pt idx="0">
                  <c:v>0.33063931429891458</c:v>
                </c:pt>
                <c:pt idx="1">
                  <c:v>0.26871931429891405</c:v>
                </c:pt>
                <c:pt idx="2">
                  <c:v>0.25492014421927622</c:v>
                </c:pt>
                <c:pt idx="3">
                  <c:v>0.24148501602826128</c:v>
                </c:pt>
                <c:pt idx="4">
                  <c:v>0.22840432577897185</c:v>
                </c:pt>
                <c:pt idx="5">
                  <c:v>0.21566872289039757</c:v>
                </c:pt>
                <c:pt idx="6">
                  <c:v>0.20326910346325966</c:v>
                </c:pt>
                <c:pt idx="7">
                  <c:v>0.1911966037721935</c:v>
                </c:pt>
                <c:pt idx="8">
                  <c:v>0.17944259392961612</c:v>
                </c:pt>
                <c:pt idx="9">
                  <c:v>0.1679986717167504</c:v>
                </c:pt>
                <c:pt idx="10">
                  <c:v>0.15685665657739573</c:v>
                </c:pt>
                <c:pt idx="11">
                  <c:v>0.14600858377015136</c:v>
                </c:pt>
                <c:pt idx="12">
                  <c:v>0.13544669867491249</c:v>
                </c:pt>
                <c:pt idx="13">
                  <c:v>0.12516345124956951</c:v>
                </c:pt>
                <c:pt idx="14">
                  <c:v>0.11515149063294725</c:v>
                </c:pt>
                <c:pt idx="15">
                  <c:v>0.10540365989012593</c:v>
                </c:pt>
                <c:pt idx="16">
                  <c:v>9.5912990896388911E-2</c:v>
                </c:pt>
                <c:pt idx="17">
                  <c:v>8.6672699356138971E-2</c:v>
                </c:pt>
                <c:pt idx="18">
                  <c:v>7.7676179953222263E-2</c:v>
                </c:pt>
                <c:pt idx="19">
                  <c:v>6.8917001629194286E-2</c:v>
                </c:pt>
                <c:pt idx="20">
                  <c:v>6.0388902986151467E-2</c:v>
                </c:pt>
                <c:pt idx="21">
                  <c:v>5.2085787810843172E-2</c:v>
                </c:pt>
                <c:pt idx="22">
                  <c:v>4.40017207168635E-2</c:v>
                </c:pt>
                <c:pt idx="23">
                  <c:v>3.6130922901808742E-2</c:v>
                </c:pt>
                <c:pt idx="24">
                  <c:v>2.8467768016366711E-2</c:v>
                </c:pt>
                <c:pt idx="25">
                  <c:v>2.1006778142385975E-2</c:v>
                </c:pt>
                <c:pt idx="26">
                  <c:v>1.374261987704866E-2</c:v>
                </c:pt>
                <c:pt idx="27">
                  <c:v>6.6701005203490885E-3</c:v>
                </c:pt>
                <c:pt idx="28">
                  <c:v>-2.1583563684818979E-4</c:v>
                </c:pt>
                <c:pt idx="29">
                  <c:v>-6.920110926824069E-3</c:v>
                </c:pt>
                <c:pt idx="30">
                  <c:v>-1.3447517823677459E-2</c:v>
                </c:pt>
                <c:pt idx="31">
                  <c:v>-1.9802722369170099E-2</c:v>
                </c:pt>
                <c:pt idx="32">
                  <c:v>-2.5990267508193124E-2</c:v>
                </c:pt>
                <c:pt idx="33">
                  <c:v>-3.2014576336238755E-2</c:v>
                </c:pt>
                <c:pt idx="34">
                  <c:v>-3.787995526119952E-2</c:v>
                </c:pt>
                <c:pt idx="35">
                  <c:v>-4.3590597081754182E-2</c:v>
                </c:pt>
                <c:pt idx="36">
                  <c:v>-4.9150583984541585E-2</c:v>
                </c:pt>
                <c:pt idx="37">
                  <c:v>-5.4563890462265202E-2</c:v>
                </c:pt>
                <c:pt idx="38">
                  <c:v>-5.9834386154813221E-2</c:v>
                </c:pt>
                <c:pt idx="39">
                  <c:v>-6.4965838615426194E-2</c:v>
                </c:pt>
                <c:pt idx="40">
                  <c:v>-6.9961916003889291E-2</c:v>
                </c:pt>
                <c:pt idx="41">
                  <c:v>-7.4826189708673899E-2</c:v>
                </c:pt>
                <c:pt idx="42">
                  <c:v>-7.9562136899903838E-2</c:v>
                </c:pt>
                <c:pt idx="43">
                  <c:v>-8.4173143014970295E-2</c:v>
                </c:pt>
                <c:pt idx="44">
                  <c:v>-8.8662504178572771E-2</c:v>
                </c:pt>
                <c:pt idx="45">
                  <c:v>-9.3033429558916067E-2</c:v>
                </c:pt>
                <c:pt idx="46">
                  <c:v>-9.7289043661747343E-2</c:v>
                </c:pt>
                <c:pt idx="47">
                  <c:v>-0.10143238856387277</c:v>
                </c:pt>
                <c:pt idx="48">
                  <c:v>-0.10546642608775149</c:v>
                </c:pt>
                <c:pt idx="49">
                  <c:v>-0.10939403991872024</c:v>
                </c:pt>
                <c:pt idx="50">
                  <c:v>-0.11321803766636254</c:v>
                </c:pt>
                <c:pt idx="51">
                  <c:v>-0.11694115287149635</c:v>
                </c:pt>
                <c:pt idx="52">
                  <c:v>-0.12056604696021406</c:v>
                </c:pt>
                <c:pt idx="53">
                  <c:v>-0.12409531114637258</c:v>
                </c:pt>
                <c:pt idx="54">
                  <c:v>-0.12753146828389234</c:v>
                </c:pt>
                <c:pt idx="55">
                  <c:v>-0.13087697467019099</c:v>
                </c:pt>
                <c:pt idx="56">
                  <c:v>-0.13413422180203888</c:v>
                </c:pt>
                <c:pt idx="57">
                  <c:v>-0.1373055380850933</c:v>
                </c:pt>
                <c:pt idx="58">
                  <c:v>-0.14039319049833229</c:v>
                </c:pt>
                <c:pt idx="59">
                  <c:v>-0.14339938621457868</c:v>
                </c:pt>
                <c:pt idx="60">
                  <c:v>-0.14632627417827213</c:v>
                </c:pt>
                <c:pt idx="61">
                  <c:v>-0.14917594664161726</c:v>
                </c:pt>
                <c:pt idx="62">
                  <c:v>-0.15195044066020627</c:v>
                </c:pt>
                <c:pt idx="63">
                  <c:v>-0.15465173954918451</c:v>
                </c:pt>
                <c:pt idx="64">
                  <c:v>-0.15728177430100068</c:v>
                </c:pt>
                <c:pt idx="65">
                  <c:v>-0.15984242496575435</c:v>
                </c:pt>
                <c:pt idx="66">
                  <c:v>-0.16233552199512852</c:v>
                </c:pt>
                <c:pt idx="67">
                  <c:v>-0.16476284755086656</c:v>
                </c:pt>
                <c:pt idx="68">
                  <c:v>-0.16712613677873028</c:v>
                </c:pt>
                <c:pt idx="69">
                  <c:v>-0.16942707904884885</c:v>
                </c:pt>
                <c:pt idx="70">
                  <c:v>-0.17166731916334554</c:v>
                </c:pt>
                <c:pt idx="71">
                  <c:v>-0.1738484585321059</c:v>
                </c:pt>
                <c:pt idx="72">
                  <c:v>-0.17597205631752674</c:v>
                </c:pt>
                <c:pt idx="73">
                  <c:v>-0.17803963054906585</c:v>
                </c:pt>
                <c:pt idx="74">
                  <c:v>-0.18005265920838764</c:v>
                </c:pt>
                <c:pt idx="75">
                  <c:v>-0.18201258128588163</c:v>
                </c:pt>
                <c:pt idx="76">
                  <c:v>-0.18392079780930767</c:v>
                </c:pt>
                <c:pt idx="77">
                  <c:v>-0.18577867284530508</c:v>
                </c:pt>
                <c:pt idx="78">
                  <c:v>-0.18758753447447979</c:v>
                </c:pt>
                <c:pt idx="79">
                  <c:v>-0.1893486757407673</c:v>
                </c:pt>
                <c:pt idx="80">
                  <c:v>-0.19106335557575058</c:v>
                </c:pt>
                <c:pt idx="81">
                  <c:v>-0.19273279969859253</c:v>
                </c:pt>
                <c:pt idx="82">
                  <c:v>-0.19435820149222763</c:v>
                </c:pt>
                <c:pt idx="83">
                  <c:v>-0.19594072285643752</c:v>
                </c:pt>
                <c:pt idx="84">
                  <c:v>-0.19748149503842208</c:v>
                </c:pt>
                <c:pt idx="85">
                  <c:v>-0.1989816194414584</c:v>
                </c:pt>
                <c:pt idx="86">
                  <c:v>-0.20044216841222598</c:v>
                </c:pt>
                <c:pt idx="87">
                  <c:v>-0.20186418600736189</c:v>
                </c:pt>
                <c:pt idx="88">
                  <c:v>-0.20324868873979224</c:v>
                </c:pt>
                <c:pt idx="89">
                  <c:v>-0.20459666630537493</c:v>
                </c:pt>
                <c:pt idx="90">
                  <c:v>-0.20590908229037247</c:v>
                </c:pt>
                <c:pt idx="91">
                  <c:v>-0.20718687486026025</c:v>
                </c:pt>
                <c:pt idx="92">
                  <c:v>-0.20843095743036361</c:v>
                </c:pt>
                <c:pt idx="93">
                  <c:v>-0.20964221931880203</c:v>
                </c:pt>
                <c:pt idx="94">
                  <c:v>-0.21082152638220836</c:v>
                </c:pt>
                <c:pt idx="95">
                  <c:v>-0.21196972163467592</c:v>
                </c:pt>
                <c:pt idx="96">
                  <c:v>-0.21308762585037797</c:v>
                </c:pt>
                <c:pt idx="97">
                  <c:v>-0.21417603815028838</c:v>
                </c:pt>
                <c:pt idx="98">
                  <c:v>-0.2152357365734241</c:v>
                </c:pt>
                <c:pt idx="99">
                  <c:v>-0.21626747863301743</c:v>
                </c:pt>
                <c:pt idx="100">
                  <c:v>-0.21727200185801579</c:v>
                </c:pt>
                <c:pt idx="101">
                  <c:v>-0.21825002432029555</c:v>
                </c:pt>
                <c:pt idx="102">
                  <c:v>-0.21920224514796768</c:v>
                </c:pt>
                <c:pt idx="103">
                  <c:v>-0.2201293450251412</c:v>
                </c:pt>
                <c:pt idx="104">
                  <c:v>-0.22103198667850271</c:v>
                </c:pt>
                <c:pt idx="105">
                  <c:v>-0.22191081535105864</c:v>
                </c:pt>
                <c:pt idx="106">
                  <c:v>-0.2227664592633799</c:v>
                </c:pt>
                <c:pt idx="107">
                  <c:v>-0.22359953006267833</c:v>
                </c:pt>
                <c:pt idx="108">
                  <c:v>-0.22441062326003522</c:v>
                </c:pt>
                <c:pt idx="109">
                  <c:v>-0.22520031865609605</c:v>
                </c:pt>
                <c:pt idx="110">
                  <c:v>-0.22596918075553399</c:v>
                </c:pt>
                <c:pt idx="111">
                  <c:v>-0.22671775917057968</c:v>
                </c:pt>
                <c:pt idx="112">
                  <c:v>-0.2274465890139053</c:v>
                </c:pt>
                <c:pt idx="113">
                  <c:v>-0.22815619128114351</c:v>
                </c:pt>
                <c:pt idx="114">
                  <c:v>-0.22884707322331546</c:v>
                </c:pt>
                <c:pt idx="115">
                  <c:v>-0.22951972870943294</c:v>
                </c:pt>
                <c:pt idx="116">
                  <c:v>-0.23017463857953549</c:v>
                </c:pt>
                <c:pt idx="117">
                  <c:v>-0.23081227098841287</c:v>
                </c:pt>
                <c:pt idx="118">
                  <c:v>-0.2314330817402605</c:v>
                </c:pt>
                <c:pt idx="119">
                  <c:v>-0.23203751461450567</c:v>
                </c:pt>
                <c:pt idx="120">
                  <c:v>-0.23262600168303821</c:v>
                </c:pt>
                <c:pt idx="121">
                  <c:v>-0.23319896361907197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4B-46AF-A60A-51B466C6EA5D}"/>
            </c:ext>
          </c:extLst>
        </c:ser>
        <c:ser>
          <c:idx val="4"/>
          <c:order val="4"/>
          <c:tx>
            <c:v>id = 16 [A]</c:v>
          </c:tx>
          <c:spPr>
            <a:ln w="1587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'SLPB68106100 4 parámetros'!$AJ$5:$AJ$126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parámetros'!$AO$5:$AO$126</c:f>
              <c:numCache>
                <c:formatCode>0.000</c:formatCode>
                <c:ptCount val="122"/>
                <c:pt idx="0">
                  <c:v>0.33063931429891458</c:v>
                </c:pt>
                <c:pt idx="1">
                  <c:v>0.20679931429891352</c:v>
                </c:pt>
                <c:pt idx="2">
                  <c:v>0.19300014421927569</c:v>
                </c:pt>
                <c:pt idx="3">
                  <c:v>0.17956501602826075</c:v>
                </c:pt>
                <c:pt idx="4">
                  <c:v>0.16648432577897132</c:v>
                </c:pt>
                <c:pt idx="5">
                  <c:v>0.15374872289039704</c:v>
                </c:pt>
                <c:pt idx="6">
                  <c:v>0.14134910346325913</c:v>
                </c:pt>
                <c:pt idx="7">
                  <c:v>0.12927660377219297</c:v>
                </c:pt>
                <c:pt idx="8">
                  <c:v>0.11752259392961557</c:v>
                </c:pt>
                <c:pt idx="9">
                  <c:v>0.10607867171674985</c:v>
                </c:pt>
                <c:pt idx="10">
                  <c:v>9.4936656577395181E-2</c:v>
                </c:pt>
                <c:pt idx="11">
                  <c:v>8.4088583770150813E-2</c:v>
                </c:pt>
                <c:pt idx="12">
                  <c:v>7.3526698674911947E-2</c:v>
                </c:pt>
                <c:pt idx="13">
                  <c:v>6.3243451249568969E-2</c:v>
                </c:pt>
                <c:pt idx="14">
                  <c:v>5.3231490632946701E-2</c:v>
                </c:pt>
                <c:pt idx="15">
                  <c:v>4.3483659890125384E-2</c:v>
                </c:pt>
                <c:pt idx="16">
                  <c:v>3.3992990896388367E-2</c:v>
                </c:pt>
                <c:pt idx="17">
                  <c:v>2.4752699356138427E-2</c:v>
                </c:pt>
                <c:pt idx="18">
                  <c:v>1.5756179953221719E-2</c:v>
                </c:pt>
                <c:pt idx="19">
                  <c:v>6.9970016291937415E-3</c:v>
                </c:pt>
                <c:pt idx="20">
                  <c:v>-1.5310970138490698E-3</c:v>
                </c:pt>
                <c:pt idx="21">
                  <c:v>-9.8342121891573653E-3</c:v>
                </c:pt>
                <c:pt idx="22">
                  <c:v>-1.7918279283137037E-2</c:v>
                </c:pt>
                <c:pt idx="23">
                  <c:v>-2.5789077098191796E-2</c:v>
                </c:pt>
                <c:pt idx="24">
                  <c:v>-3.3452231983633826E-2</c:v>
                </c:pt>
                <c:pt idx="25">
                  <c:v>-4.0913221857614562E-2</c:v>
                </c:pt>
                <c:pt idx="26">
                  <c:v>-4.8177380122951877E-2</c:v>
                </c:pt>
                <c:pt idx="27">
                  <c:v>-5.5249899479651449E-2</c:v>
                </c:pt>
                <c:pt idx="28">
                  <c:v>-6.2135835636848727E-2</c:v>
                </c:pt>
                <c:pt idx="29">
                  <c:v>-6.8840110926824599E-2</c:v>
                </c:pt>
                <c:pt idx="30">
                  <c:v>-7.5367517823677996E-2</c:v>
                </c:pt>
                <c:pt idx="31">
                  <c:v>-8.1722722369170636E-2</c:v>
                </c:pt>
                <c:pt idx="32">
                  <c:v>-8.7910267508193668E-2</c:v>
                </c:pt>
                <c:pt idx="33">
                  <c:v>-9.3934576336239292E-2</c:v>
                </c:pt>
                <c:pt idx="34">
                  <c:v>-9.9799955261200057E-2</c:v>
                </c:pt>
                <c:pt idx="35">
                  <c:v>-0.10551059708175471</c:v>
                </c:pt>
                <c:pt idx="36">
                  <c:v>-0.11107058398454213</c:v>
                </c:pt>
                <c:pt idx="37">
                  <c:v>-0.11648389046226573</c:v>
                </c:pt>
                <c:pt idx="38">
                  <c:v>-0.12175438615481375</c:v>
                </c:pt>
                <c:pt idx="39">
                  <c:v>-0.12688583861542674</c:v>
                </c:pt>
                <c:pt idx="40">
                  <c:v>-0.13188191600388982</c:v>
                </c:pt>
                <c:pt idx="41">
                  <c:v>-0.13674618970867444</c:v>
                </c:pt>
                <c:pt idx="42">
                  <c:v>-0.14148213689990438</c:v>
                </c:pt>
                <c:pt idx="43">
                  <c:v>-0.14609314301497084</c:v>
                </c:pt>
                <c:pt idx="44">
                  <c:v>-0.1505825041785733</c:v>
                </c:pt>
                <c:pt idx="45">
                  <c:v>-0.15495342955891661</c:v>
                </c:pt>
                <c:pt idx="46">
                  <c:v>-0.15920904366174787</c:v>
                </c:pt>
                <c:pt idx="47">
                  <c:v>-0.1633523885638733</c:v>
                </c:pt>
                <c:pt idx="48">
                  <c:v>-0.16738642608775203</c:v>
                </c:pt>
                <c:pt idx="49">
                  <c:v>-0.17131403991872077</c:v>
                </c:pt>
                <c:pt idx="50">
                  <c:v>-0.17513803766636307</c:v>
                </c:pt>
                <c:pt idx="51">
                  <c:v>-0.1788611528714969</c:v>
                </c:pt>
                <c:pt idx="52">
                  <c:v>-0.18248604696021459</c:v>
                </c:pt>
                <c:pt idx="53">
                  <c:v>-0.18601531114637312</c:v>
                </c:pt>
                <c:pt idx="54">
                  <c:v>-0.18945146828389287</c:v>
                </c:pt>
                <c:pt idx="55">
                  <c:v>-0.19279697467019152</c:v>
                </c:pt>
                <c:pt idx="56">
                  <c:v>-0.19605422180203941</c:v>
                </c:pt>
                <c:pt idx="57">
                  <c:v>-0.19922553808509383</c:v>
                </c:pt>
                <c:pt idx="58">
                  <c:v>-0.20231319049833285</c:v>
                </c:pt>
                <c:pt idx="59">
                  <c:v>-0.20531938621457924</c:v>
                </c:pt>
                <c:pt idx="60">
                  <c:v>-0.20824627417827268</c:v>
                </c:pt>
                <c:pt idx="61">
                  <c:v>-0.21109594664161779</c:v>
                </c:pt>
                <c:pt idx="62">
                  <c:v>-0.2138704406602068</c:v>
                </c:pt>
                <c:pt idx="63">
                  <c:v>-0.21657173954918504</c:v>
                </c:pt>
                <c:pt idx="64">
                  <c:v>-0.21920177430100124</c:v>
                </c:pt>
                <c:pt idx="65">
                  <c:v>-0.22176242496575488</c:v>
                </c:pt>
                <c:pt idx="66">
                  <c:v>-0.22425552199512905</c:v>
                </c:pt>
                <c:pt idx="67">
                  <c:v>-0.22668284755086709</c:v>
                </c:pt>
                <c:pt idx="68">
                  <c:v>-0.22904613677873081</c:v>
                </c:pt>
                <c:pt idx="69">
                  <c:v>-0.23134707904884938</c:v>
                </c:pt>
                <c:pt idx="70">
                  <c:v>-0.23358731916334607</c:v>
                </c:pt>
                <c:pt idx="71">
                  <c:v>-0.23576845853210643</c:v>
                </c:pt>
                <c:pt idx="72">
                  <c:v>-0.2378920563175273</c:v>
                </c:pt>
                <c:pt idx="73">
                  <c:v>-0.23995963054906638</c:v>
                </c:pt>
                <c:pt idx="74">
                  <c:v>-0.24197265920838817</c:v>
                </c:pt>
                <c:pt idx="75">
                  <c:v>-0.24393258128588216</c:v>
                </c:pt>
                <c:pt idx="76">
                  <c:v>-0.2458407978093082</c:v>
                </c:pt>
                <c:pt idx="77">
                  <c:v>-0.24769867284530561</c:v>
                </c:pt>
                <c:pt idx="78">
                  <c:v>-0.24950753447448032</c:v>
                </c:pt>
                <c:pt idx="79">
                  <c:v>-0.25126867574076783</c:v>
                </c:pt>
                <c:pt idx="80">
                  <c:v>-0.25298335557575113</c:v>
                </c:pt>
                <c:pt idx="81">
                  <c:v>-0.25465279969859306</c:v>
                </c:pt>
                <c:pt idx="82">
                  <c:v>-0.25627820149222819</c:v>
                </c:pt>
                <c:pt idx="83">
                  <c:v>-0.25786072285643807</c:v>
                </c:pt>
                <c:pt idx="84">
                  <c:v>-0.25940149503842264</c:v>
                </c:pt>
                <c:pt idx="85">
                  <c:v>-0.26090161944145895</c:v>
                </c:pt>
                <c:pt idx="86">
                  <c:v>-0.26236216841222654</c:v>
                </c:pt>
                <c:pt idx="87">
                  <c:v>-0.26378418600736242</c:v>
                </c:pt>
                <c:pt idx="88">
                  <c:v>-0.26516868873979277</c:v>
                </c:pt>
                <c:pt idx="89">
                  <c:v>-0.26651666630537546</c:v>
                </c:pt>
                <c:pt idx="90">
                  <c:v>-0.267829082290373</c:v>
                </c:pt>
                <c:pt idx="91">
                  <c:v>-0.2691068748602608</c:v>
                </c:pt>
                <c:pt idx="92">
                  <c:v>-0.27035095743036414</c:v>
                </c:pt>
                <c:pt idx="93">
                  <c:v>-0.27156221931880259</c:v>
                </c:pt>
                <c:pt idx="94">
                  <c:v>-0.27274152638220889</c:v>
                </c:pt>
                <c:pt idx="95">
                  <c:v>-0.27388972163467645</c:v>
                </c:pt>
                <c:pt idx="96">
                  <c:v>-0.27500762585037852</c:v>
                </c:pt>
                <c:pt idx="97">
                  <c:v>-0.27609603815028894</c:v>
                </c:pt>
                <c:pt idx="98">
                  <c:v>-0.27715573657342463</c:v>
                </c:pt>
                <c:pt idx="99">
                  <c:v>-0.27818747863301796</c:v>
                </c:pt>
                <c:pt idx="100">
                  <c:v>-0.27919200185801635</c:v>
                </c:pt>
                <c:pt idx="101">
                  <c:v>-0.28017002432029608</c:v>
                </c:pt>
                <c:pt idx="102">
                  <c:v>-0.28112224514796824</c:v>
                </c:pt>
                <c:pt idx="103">
                  <c:v>-0.28204934502514173</c:v>
                </c:pt>
                <c:pt idx="104">
                  <c:v>-0.28295198667850324</c:v>
                </c:pt>
                <c:pt idx="105">
                  <c:v>-0.2838308153510592</c:v>
                </c:pt>
                <c:pt idx="106">
                  <c:v>-0.28468645926338043</c:v>
                </c:pt>
                <c:pt idx="107">
                  <c:v>-0.28551953006267888</c:v>
                </c:pt>
                <c:pt idx="108">
                  <c:v>-0.28633062326003578</c:v>
                </c:pt>
                <c:pt idx="109">
                  <c:v>-0.28712031865609661</c:v>
                </c:pt>
                <c:pt idx="110">
                  <c:v>-0.28788918075553455</c:v>
                </c:pt>
                <c:pt idx="111">
                  <c:v>-0.28863775917058021</c:v>
                </c:pt>
                <c:pt idx="112">
                  <c:v>-0.28936658901390583</c:v>
                </c:pt>
                <c:pt idx="113">
                  <c:v>-0.29007619128114404</c:v>
                </c:pt>
                <c:pt idx="114">
                  <c:v>-0.29076707322331602</c:v>
                </c:pt>
                <c:pt idx="115">
                  <c:v>-0.29143972870943347</c:v>
                </c:pt>
                <c:pt idx="116">
                  <c:v>-0.29209463857953605</c:v>
                </c:pt>
                <c:pt idx="117">
                  <c:v>-0.29273227098841342</c:v>
                </c:pt>
                <c:pt idx="118">
                  <c:v>-0.29335308174026103</c:v>
                </c:pt>
                <c:pt idx="119">
                  <c:v>-0.2939575146145062</c:v>
                </c:pt>
                <c:pt idx="120">
                  <c:v>-0.29454600168303874</c:v>
                </c:pt>
                <c:pt idx="121">
                  <c:v>-0.29511896361907253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C4B-46AF-A60A-51B466C6EA5D}"/>
            </c:ext>
          </c:extLst>
        </c:ser>
        <c:ser>
          <c:idx val="5"/>
          <c:order val="5"/>
          <c:tx>
            <c:v>ud = 0 [V/c]</c:v>
          </c:tx>
          <c:spPr>
            <a:ln w="19050">
              <a:solidFill>
                <a:schemeClr val="accent6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parámetros'!$AJ$5:$AJ$126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parámetros'!$AP$5:$AP$126</c:f>
              <c:numCache>
                <c:formatCode>General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C4B-46AF-A60A-51B466C6EA5D}"/>
            </c:ext>
          </c:extLst>
        </c:ser>
        <c:ser>
          <c:idx val="6"/>
          <c:order val="6"/>
          <c:tx>
            <c:v>Qe = 8,506 [Ah]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parámetros'!$AJ$5:$AJ$126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7.0882492282908618E-2</c:v>
                </c:pt>
                <c:pt idx="3">
                  <c:v>0.14176498456581724</c:v>
                </c:pt>
                <c:pt idx="4">
                  <c:v>0.21264747684872587</c:v>
                </c:pt>
                <c:pt idx="5">
                  <c:v>0.28352996913163447</c:v>
                </c:pt>
                <c:pt idx="6">
                  <c:v>0.35441246141454308</c:v>
                </c:pt>
                <c:pt idx="7">
                  <c:v>0.42529495369745174</c:v>
                </c:pt>
                <c:pt idx="8">
                  <c:v>0.49617744598036034</c:v>
                </c:pt>
                <c:pt idx="9">
                  <c:v>0.56705993826326895</c:v>
                </c:pt>
                <c:pt idx="10">
                  <c:v>0.63794243054617761</c:v>
                </c:pt>
                <c:pt idx="11">
                  <c:v>0.70882492282908616</c:v>
                </c:pt>
                <c:pt idx="12">
                  <c:v>0.77970741511199482</c:v>
                </c:pt>
                <c:pt idx="13">
                  <c:v>0.85058990739490348</c:v>
                </c:pt>
                <c:pt idx="14">
                  <c:v>0.92147239967781214</c:v>
                </c:pt>
                <c:pt idx="15">
                  <c:v>0.99235489196072069</c:v>
                </c:pt>
                <c:pt idx="16">
                  <c:v>1.0632373842436293</c:v>
                </c:pt>
                <c:pt idx="17">
                  <c:v>1.1341198765265379</c:v>
                </c:pt>
                <c:pt idx="18">
                  <c:v>1.2050023688094467</c:v>
                </c:pt>
                <c:pt idx="19">
                  <c:v>1.2758848610923552</c:v>
                </c:pt>
                <c:pt idx="20">
                  <c:v>1.3467673533752638</c:v>
                </c:pt>
                <c:pt idx="21">
                  <c:v>1.4176498456581723</c:v>
                </c:pt>
                <c:pt idx="22">
                  <c:v>1.4885323379410811</c:v>
                </c:pt>
                <c:pt idx="23">
                  <c:v>1.5594148302239896</c:v>
                </c:pt>
                <c:pt idx="24">
                  <c:v>1.6302973225068984</c:v>
                </c:pt>
                <c:pt idx="25">
                  <c:v>1.701179814789807</c:v>
                </c:pt>
                <c:pt idx="26">
                  <c:v>1.7720623070727157</c:v>
                </c:pt>
                <c:pt idx="27">
                  <c:v>1.8429447993556243</c:v>
                </c:pt>
                <c:pt idx="28">
                  <c:v>1.9138272916385328</c:v>
                </c:pt>
                <c:pt idx="29">
                  <c:v>1.9847097839214414</c:v>
                </c:pt>
                <c:pt idx="30">
                  <c:v>2.0555922762043499</c:v>
                </c:pt>
                <c:pt idx="31">
                  <c:v>2.1264747684872587</c:v>
                </c:pt>
                <c:pt idx="32">
                  <c:v>2.1973572607701675</c:v>
                </c:pt>
                <c:pt idx="33">
                  <c:v>2.2682397530530758</c:v>
                </c:pt>
                <c:pt idx="34">
                  <c:v>2.3391222453359846</c:v>
                </c:pt>
                <c:pt idx="35">
                  <c:v>2.4100047376188933</c:v>
                </c:pt>
                <c:pt idx="36">
                  <c:v>2.4808872299018021</c:v>
                </c:pt>
                <c:pt idx="37">
                  <c:v>2.5517697221847104</c:v>
                </c:pt>
                <c:pt idx="38">
                  <c:v>2.6226522144676192</c:v>
                </c:pt>
                <c:pt idx="39">
                  <c:v>2.6935347067505275</c:v>
                </c:pt>
                <c:pt idx="40">
                  <c:v>2.7644171990334363</c:v>
                </c:pt>
                <c:pt idx="41">
                  <c:v>2.8352996913163446</c:v>
                </c:pt>
                <c:pt idx="42">
                  <c:v>2.9061821835992534</c:v>
                </c:pt>
                <c:pt idx="43">
                  <c:v>2.9770646758821622</c:v>
                </c:pt>
                <c:pt idx="44">
                  <c:v>3.0479471681650709</c:v>
                </c:pt>
                <c:pt idx="45">
                  <c:v>3.1188296604479793</c:v>
                </c:pt>
                <c:pt idx="46">
                  <c:v>3.189712152730888</c:v>
                </c:pt>
                <c:pt idx="47">
                  <c:v>3.2605946450137968</c:v>
                </c:pt>
                <c:pt idx="48">
                  <c:v>3.3314771372967051</c:v>
                </c:pt>
                <c:pt idx="49">
                  <c:v>3.4023596295796139</c:v>
                </c:pt>
                <c:pt idx="50">
                  <c:v>3.4732421218625227</c:v>
                </c:pt>
                <c:pt idx="51">
                  <c:v>3.5441246141454315</c:v>
                </c:pt>
                <c:pt idx="52">
                  <c:v>3.6150071064283398</c:v>
                </c:pt>
                <c:pt idx="53">
                  <c:v>3.6858895987112485</c:v>
                </c:pt>
                <c:pt idx="54">
                  <c:v>3.7567720909941569</c:v>
                </c:pt>
                <c:pt idx="55">
                  <c:v>3.8276545832770656</c:v>
                </c:pt>
                <c:pt idx="56">
                  <c:v>3.898537075559974</c:v>
                </c:pt>
                <c:pt idx="57">
                  <c:v>3.9694195678428827</c:v>
                </c:pt>
                <c:pt idx="58">
                  <c:v>4.0403020601257911</c:v>
                </c:pt>
                <c:pt idx="59">
                  <c:v>4.1111845524086998</c:v>
                </c:pt>
                <c:pt idx="60">
                  <c:v>4.1820670446916086</c:v>
                </c:pt>
                <c:pt idx="61">
                  <c:v>4.2529495369745174</c:v>
                </c:pt>
                <c:pt idx="62">
                  <c:v>4.3238320292574262</c:v>
                </c:pt>
                <c:pt idx="63">
                  <c:v>4.3947145215403349</c:v>
                </c:pt>
                <c:pt idx="64">
                  <c:v>4.4655970138232437</c:v>
                </c:pt>
                <c:pt idx="65">
                  <c:v>4.5364795061061516</c:v>
                </c:pt>
                <c:pt idx="66">
                  <c:v>4.6073619983890604</c:v>
                </c:pt>
                <c:pt idx="67">
                  <c:v>4.6782444906719691</c:v>
                </c:pt>
                <c:pt idx="68">
                  <c:v>4.7491269829548779</c:v>
                </c:pt>
                <c:pt idx="69">
                  <c:v>4.8200094752377867</c:v>
                </c:pt>
                <c:pt idx="70">
                  <c:v>4.8908919675206945</c:v>
                </c:pt>
                <c:pt idx="71">
                  <c:v>4.9617744598036042</c:v>
                </c:pt>
                <c:pt idx="72">
                  <c:v>5.0326569520865121</c:v>
                </c:pt>
                <c:pt idx="73">
                  <c:v>5.1035394443694209</c:v>
                </c:pt>
                <c:pt idx="74">
                  <c:v>5.1744219366523287</c:v>
                </c:pt>
                <c:pt idx="75">
                  <c:v>5.2453044289352384</c:v>
                </c:pt>
                <c:pt idx="76">
                  <c:v>5.3161869212181472</c:v>
                </c:pt>
                <c:pt idx="77">
                  <c:v>5.3870694135010551</c:v>
                </c:pt>
                <c:pt idx="78">
                  <c:v>5.4579519057839647</c:v>
                </c:pt>
                <c:pt idx="79">
                  <c:v>5.5288343980668726</c:v>
                </c:pt>
                <c:pt idx="80">
                  <c:v>5.5997168903497814</c:v>
                </c:pt>
                <c:pt idx="81">
                  <c:v>5.6705993826326893</c:v>
                </c:pt>
                <c:pt idx="82">
                  <c:v>5.7414818749155989</c:v>
                </c:pt>
                <c:pt idx="83">
                  <c:v>5.8123643671985068</c:v>
                </c:pt>
                <c:pt idx="84">
                  <c:v>5.8832468594814156</c:v>
                </c:pt>
                <c:pt idx="85">
                  <c:v>5.9541293517643243</c:v>
                </c:pt>
                <c:pt idx="86">
                  <c:v>6.0250118440472331</c:v>
                </c:pt>
                <c:pt idx="87">
                  <c:v>6.0958943363301419</c:v>
                </c:pt>
                <c:pt idx="88">
                  <c:v>6.1667768286130498</c:v>
                </c:pt>
                <c:pt idx="89">
                  <c:v>6.2376593208959585</c:v>
                </c:pt>
                <c:pt idx="90">
                  <c:v>6.3085418131788673</c:v>
                </c:pt>
                <c:pt idx="91">
                  <c:v>6.3794243054617761</c:v>
                </c:pt>
                <c:pt idx="92">
                  <c:v>6.4503067977446849</c:v>
                </c:pt>
                <c:pt idx="93">
                  <c:v>6.5211892900275936</c:v>
                </c:pt>
                <c:pt idx="94">
                  <c:v>6.5920717823105024</c:v>
                </c:pt>
                <c:pt idx="95">
                  <c:v>6.6629542745934103</c:v>
                </c:pt>
                <c:pt idx="96">
                  <c:v>6.733836766876319</c:v>
                </c:pt>
                <c:pt idx="97">
                  <c:v>6.8047192591592278</c:v>
                </c:pt>
                <c:pt idx="98">
                  <c:v>6.8756017514421366</c:v>
                </c:pt>
                <c:pt idx="99">
                  <c:v>6.9464842437250454</c:v>
                </c:pt>
                <c:pt idx="100">
                  <c:v>7.0173667360079532</c:v>
                </c:pt>
                <c:pt idx="101">
                  <c:v>7.0882492282908629</c:v>
                </c:pt>
                <c:pt idx="102">
                  <c:v>7.1591317205737708</c:v>
                </c:pt>
                <c:pt idx="103">
                  <c:v>7.2300142128566796</c:v>
                </c:pt>
                <c:pt idx="104">
                  <c:v>7.3008967051395874</c:v>
                </c:pt>
                <c:pt idx="105">
                  <c:v>7.3717791974224971</c:v>
                </c:pt>
                <c:pt idx="106">
                  <c:v>7.442661689705405</c:v>
                </c:pt>
                <c:pt idx="107">
                  <c:v>7.5135441819883138</c:v>
                </c:pt>
                <c:pt idx="108">
                  <c:v>7.5844266742712234</c:v>
                </c:pt>
                <c:pt idx="109">
                  <c:v>7.6553091665541313</c:v>
                </c:pt>
                <c:pt idx="110">
                  <c:v>7.7261916588370401</c:v>
                </c:pt>
                <c:pt idx="111">
                  <c:v>7.7970741511199479</c:v>
                </c:pt>
                <c:pt idx="112">
                  <c:v>7.8679566434028576</c:v>
                </c:pt>
                <c:pt idx="113">
                  <c:v>7.9388391356857655</c:v>
                </c:pt>
                <c:pt idx="114">
                  <c:v>8.0097216279686752</c:v>
                </c:pt>
                <c:pt idx="115">
                  <c:v>8.0806041202515821</c:v>
                </c:pt>
                <c:pt idx="116">
                  <c:v>8.1514866125344927</c:v>
                </c:pt>
                <c:pt idx="117">
                  <c:v>8.2223691048173997</c:v>
                </c:pt>
                <c:pt idx="118">
                  <c:v>8.2932515971003085</c:v>
                </c:pt>
                <c:pt idx="119">
                  <c:v>8.3641340893832172</c:v>
                </c:pt>
                <c:pt idx="120">
                  <c:v>8.435016581666126</c:v>
                </c:pt>
                <c:pt idx="121">
                  <c:v>8.5058990739490348</c:v>
                </c:pt>
              </c:numCache>
            </c:numRef>
          </c:xVal>
          <c:yVal>
            <c:numRef>
              <c:f>'SLPB68106100 4 parámetros'!$AQ$5:$AQ$126</c:f>
              <c:numCache>
                <c:formatCode>0.0E+00</c:formatCode>
                <c:ptCount val="122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-1000000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C4B-46AF-A60A-51B466C6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90688"/>
        <c:axId val="116292608"/>
      </c:scatterChart>
      <c:valAx>
        <c:axId val="116290688"/>
        <c:scaling>
          <c:orientation val="minMax"/>
          <c:max val="9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/>
                  <a:t>Carga entregada al circuito q</a:t>
                </a:r>
                <a:r>
                  <a:rPr lang="en-US" sz="1100" baseline="-25000"/>
                  <a:t>d</a:t>
                </a:r>
                <a:r>
                  <a:rPr lang="en-US" sz="1100"/>
                  <a:t> [Ah]</a:t>
                </a:r>
              </a:p>
            </c:rich>
          </c:tx>
          <c:layout>
            <c:manualLayout>
              <c:xMode val="edge"/>
              <c:yMode val="edge"/>
              <c:x val="0.3430484718092045"/>
              <c:y val="0.91050116166623285"/>
            </c:manualLayout>
          </c:layout>
          <c:overlay val="0"/>
        </c:title>
        <c:numFmt formatCode="0.0" sourceLinked="0"/>
        <c:majorTickMark val="out"/>
        <c:minorTickMark val="none"/>
        <c:tickLblPos val="low"/>
        <c:crossAx val="116292608"/>
        <c:crossesAt val="-0.4"/>
        <c:crossBetween val="midCat"/>
        <c:majorUnit val="0.5"/>
        <c:minorUnit val="0.05"/>
      </c:valAx>
      <c:valAx>
        <c:axId val="116292608"/>
        <c:scaling>
          <c:orientation val="minMax"/>
          <c:max val="0.4"/>
          <c:min val="-0.4"/>
        </c:scaling>
        <c:delete val="0"/>
        <c:axPos val="l"/>
        <c:majorGridlines>
          <c:spPr>
            <a:ln>
              <a:solidFill>
                <a:schemeClr val="bg1">
                  <a:lumMod val="85000"/>
                  <a:alpha val="97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s-ES" sz="1100"/>
                  <a:t>Tensión u</a:t>
                </a:r>
                <a:r>
                  <a:rPr lang="es-ES" sz="1100" baseline="-25000"/>
                  <a:t>E</a:t>
                </a:r>
                <a:r>
                  <a:rPr lang="es-ES" sz="1100"/>
                  <a:t> [V]</a:t>
                </a:r>
              </a:p>
            </c:rich>
          </c:tx>
          <c:layout>
            <c:manualLayout>
              <c:xMode val="edge"/>
              <c:yMode val="edge"/>
              <c:x val="1.0700367880444782E-2"/>
              <c:y val="0.3371839294499913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16290688"/>
        <c:crosses val="autoZero"/>
        <c:crossBetween val="midCat"/>
        <c:majorUnit val="0.1"/>
        <c:minorUnit val="1.0000000000000005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47217840784202292"/>
          <c:y val="0.22683401504422707"/>
          <c:w val="0.43618220055145129"/>
          <c:h val="0.19749203638340723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1144" l="0.70000000000000062" r="0.70000000000000062" t="0.75000000000001144" header="0.30000000000000032" footer="0.30000000000000032"/>
    <c:pageSetup paperSize="9" orientation="landscape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/>
              <a:t>Curva de descarga a corriente constante</a:t>
            </a:r>
          </a:p>
          <a:p>
            <a:pPr>
              <a:defRPr/>
            </a:pPr>
            <a:r>
              <a:rPr lang="es-ES" sz="1400"/>
              <a:t>acumulador de litio Worley Parsons SLPB 68106100</a:t>
            </a:r>
          </a:p>
        </c:rich>
      </c:tx>
      <c:layout>
        <c:manualLayout>
          <c:xMode val="edge"/>
          <c:yMode val="edge"/>
          <c:x val="0.18337145172676836"/>
          <c:y val="1.879735182355936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42464015882645"/>
          <c:y val="0.16793538867343075"/>
          <c:w val="0.86402232229561216"/>
          <c:h val="0.7162144657290973"/>
        </c:manualLayout>
      </c:layout>
      <c:scatterChart>
        <c:scatterStyle val="smoothMarker"/>
        <c:varyColors val="0"/>
        <c:ser>
          <c:idx val="0"/>
          <c:order val="0"/>
          <c:tx>
            <c:v>ud*; Id = 1,5 [A]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'SLPB68106100 4 parámetros'!$AN$133:$AN$152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</c:numCache>
            </c:numRef>
          </c:xVal>
          <c:yVal>
            <c:numRef>
              <c:f>'SLPB68106100 4 parámetros'!$AO$133:$AO$152</c:f>
              <c:numCache>
                <c:formatCode>0.000</c:formatCode>
                <c:ptCount val="20"/>
                <c:pt idx="0">
                  <c:v>4.1812500000000004</c:v>
                </c:pt>
                <c:pt idx="1">
                  <c:v>4.1812500000000004</c:v>
                </c:pt>
                <c:pt idx="2">
                  <c:v>4.0909023740916375</c:v>
                </c:pt>
                <c:pt idx="3">
                  <c:v>4.0159472170067758</c:v>
                </c:pt>
                <c:pt idx="4">
                  <c:v>3.9537160133869977</c:v>
                </c:pt>
                <c:pt idx="5">
                  <c:v>3.9019928031369111</c:v>
                </c:pt>
                <c:pt idx="6">
                  <c:v>3.8589340986231719</c:v>
                </c:pt>
                <c:pt idx="7">
                  <c:v>3.8230013994973713</c:v>
                </c:pt>
                <c:pt idx="8">
                  <c:v>3.7929033674137411</c:v>
                </c:pt>
                <c:pt idx="9">
                  <c:v>3.7675445708005539</c:v>
                </c:pt>
                <c:pt idx="10">
                  <c:v>3.7459768709117052</c:v>
                </c:pt>
                <c:pt idx="11">
                  <c:v>3.7273471245228342</c:v>
                </c:pt>
                <c:pt idx="12">
                  <c:v>3.7108284401109364</c:v>
                </c:pt>
                <c:pt idx="13">
                  <c:v>3.6955037786303055</c:v>
                </c:pt>
                <c:pt idx="14">
                  <c:v>3.6801104109530893</c:v>
                </c:pt>
                <c:pt idx="15">
                  <c:v>3.6623128459795664</c:v>
                </c:pt>
                <c:pt idx="16">
                  <c:v>3.6358526645606473</c:v>
                </c:pt>
                <c:pt idx="17">
                  <c:v>3.5708693825028397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45-455B-8FFE-D312734BB2A0}"/>
            </c:ext>
          </c:extLst>
        </c:ser>
        <c:ser>
          <c:idx val="1"/>
          <c:order val="1"/>
          <c:tx>
            <c:v>ud*; id = 4,0 [A]  </c:v>
          </c:tx>
          <c:spPr>
            <a:ln w="158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'SLPB68106100 4 parámetros'!$AN$133:$AN$156</c:f>
              <c:numCache>
                <c:formatCode>0.000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  <c:pt idx="20" formatCode="#,##0.000">
                  <c:v>9</c:v>
                </c:pt>
                <c:pt idx="21">
                  <c:v>8.5</c:v>
                </c:pt>
                <c:pt idx="22">
                  <c:v>7.0882492282908629</c:v>
                </c:pt>
              </c:numCache>
            </c:numRef>
          </c:xVal>
          <c:yVal>
            <c:numRef>
              <c:f>'SLPB68106100 4 parámetros'!$AP$133:$AP$156</c:f>
              <c:numCache>
                <c:formatCode>0.000</c:formatCode>
                <c:ptCount val="24"/>
                <c:pt idx="0">
                  <c:v>4.1500000000000004</c:v>
                </c:pt>
                <c:pt idx="1">
                  <c:v>4.1500000000000004</c:v>
                </c:pt>
                <c:pt idx="2">
                  <c:v>4.0589091721170636</c:v>
                </c:pt>
                <c:pt idx="3">
                  <c:v>3.9831117973411554</c:v>
                </c:pt>
                <c:pt idx="4">
                  <c:v>3.919918160525917</c:v>
                </c:pt>
                <c:pt idx="5">
                  <c:v>3.8670845846909314</c:v>
                </c:pt>
                <c:pt idx="6">
                  <c:v>3.822730635430784</c:v>
                </c:pt>
                <c:pt idx="7">
                  <c:v>3.7852674448297474</c:v>
                </c:pt>
                <c:pt idx="8">
                  <c:v>3.7533331836895529</c:v>
                </c:pt>
                <c:pt idx="9">
                  <c:v>3.7257306413341347</c:v>
                </c:pt>
                <c:pt idx="10">
                  <c:v>3.7013590853006684</c:v>
                </c:pt>
                <c:pt idx="11">
                  <c:v>3.6791257289563957</c:v>
                </c:pt>
                <c:pt idx="12">
                  <c:v>3.6578045886309485</c:v>
                </c:pt>
                <c:pt idx="13">
                  <c:v>3.6357610110075931</c:v>
                </c:pt>
                <c:pt idx="14">
                  <c:v>3.6102991488215301</c:v>
                </c:pt>
                <c:pt idx="15">
                  <c:v>3.5757470539447413</c:v>
                </c:pt>
                <c:pt idx="16">
                  <c:v>3.5158760693072924</c:v>
                </c:pt>
                <c:pt idx="17">
                  <c:v>3.3514395559282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45-455B-8FFE-D312734BB2A0}"/>
            </c:ext>
          </c:extLst>
        </c:ser>
        <c:ser>
          <c:idx val="2"/>
          <c:order val="2"/>
          <c:tx>
            <c:v>ud*; id = 8,0 [A]</c:v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'SLPB68106100 4 parámetros'!$AN$133:$AN$156</c:f>
              <c:numCache>
                <c:formatCode>0.000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  <c:pt idx="20" formatCode="#,##0.000">
                  <c:v>9</c:v>
                </c:pt>
                <c:pt idx="21">
                  <c:v>8.5</c:v>
                </c:pt>
                <c:pt idx="22">
                  <c:v>7.0882492282908629</c:v>
                </c:pt>
              </c:numCache>
            </c:numRef>
          </c:xVal>
          <c:yVal>
            <c:numRef>
              <c:f>'SLPB68106100 4 parámetros'!$AQ$133:$AQ$156</c:f>
              <c:numCache>
                <c:formatCode>0.000</c:formatCode>
                <c:ptCount val="24"/>
                <c:pt idx="0">
                  <c:v>4.0999999999999996</c:v>
                </c:pt>
                <c:pt idx="1">
                  <c:v>4.0999999999999996</c:v>
                </c:pt>
                <c:pt idx="2">
                  <c:v>4.0077200489577445</c:v>
                </c:pt>
                <c:pt idx="3">
                  <c:v>3.9305751258761625</c:v>
                </c:pt>
                <c:pt idx="4">
                  <c:v>3.8658415959481887</c:v>
                </c:pt>
                <c:pt idx="5">
                  <c:v>3.8112314351773642</c:v>
                </c:pt>
                <c:pt idx="6">
                  <c:v>3.7648050943229641</c:v>
                </c:pt>
                <c:pt idx="7">
                  <c:v>3.7248931173615483</c:v>
                </c:pt>
                <c:pt idx="8">
                  <c:v>3.6900208897308513</c:v>
                </c:pt>
                <c:pt idx="9">
                  <c:v>3.6588283541878641</c:v>
                </c:pt>
                <c:pt idx="10">
                  <c:v>3.6299706283230098</c:v>
                </c:pt>
                <c:pt idx="11">
                  <c:v>3.6019714960500937</c:v>
                </c:pt>
                <c:pt idx="12">
                  <c:v>3.5729664262629672</c:v>
                </c:pt>
                <c:pt idx="13">
                  <c:v>3.5401725828112527</c:v>
                </c:pt>
                <c:pt idx="14">
                  <c:v>3.4986011294110355</c:v>
                </c:pt>
                <c:pt idx="15">
                  <c:v>3.4372417866890221</c:v>
                </c:pt>
                <c:pt idx="16">
                  <c:v>3.3239135169019254</c:v>
                </c:pt>
                <c:pt idx="17">
                  <c:v>3.0003518334087764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C45-455B-8FFE-D312734BB2A0}"/>
            </c:ext>
          </c:extLst>
        </c:ser>
        <c:ser>
          <c:idx val="3"/>
          <c:order val="3"/>
          <c:tx>
            <c:v>ud*; id = 16,0 [A]</c:v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'SLPB68106100 4 parámetros'!$AN$133:$AN$156</c:f>
              <c:numCache>
                <c:formatCode>0.000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  <c:pt idx="20" formatCode="#,##0.000">
                  <c:v>9</c:v>
                </c:pt>
                <c:pt idx="21">
                  <c:v>8.5</c:v>
                </c:pt>
                <c:pt idx="22">
                  <c:v>7.0882492282908629</c:v>
                </c:pt>
              </c:numCache>
            </c:numRef>
          </c:xVal>
          <c:yVal>
            <c:numRef>
              <c:f>'SLPB68106100 4 parámetros'!$AR$133:$AR$156</c:f>
              <c:numCache>
                <c:formatCode>0.000</c:formatCode>
                <c:ptCount val="24"/>
                <c:pt idx="0">
                  <c:v>3.9999999999999991</c:v>
                </c:pt>
                <c:pt idx="1">
                  <c:v>3.9999999999999991</c:v>
                </c:pt>
                <c:pt idx="2">
                  <c:v>3.9053418026391071</c:v>
                </c:pt>
                <c:pt idx="3">
                  <c:v>3.8255017829461777</c:v>
                </c:pt>
                <c:pt idx="4">
                  <c:v>3.7576884667927319</c:v>
                </c:pt>
                <c:pt idx="5">
                  <c:v>3.6995251361502297</c:v>
                </c:pt>
                <c:pt idx="6">
                  <c:v>3.6489540121073238</c:v>
                </c:pt>
                <c:pt idx="7">
                  <c:v>3.60414446242515</c:v>
                </c:pt>
                <c:pt idx="8">
                  <c:v>3.563396301813448</c:v>
                </c:pt>
                <c:pt idx="9">
                  <c:v>3.525023779895323</c:v>
                </c:pt>
                <c:pt idx="10">
                  <c:v>3.4871937143676925</c:v>
                </c:pt>
                <c:pt idx="11">
                  <c:v>3.4476630302374893</c:v>
                </c:pt>
                <c:pt idx="12">
                  <c:v>3.4032901015270047</c:v>
                </c:pt>
                <c:pt idx="13">
                  <c:v>3.3489957264185723</c:v>
                </c:pt>
                <c:pt idx="14">
                  <c:v>3.2752050905900463</c:v>
                </c:pt>
                <c:pt idx="15">
                  <c:v>3.1602312521775824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C45-455B-8FFE-D312734BB2A0}"/>
            </c:ext>
          </c:extLst>
        </c:ser>
        <c:ser>
          <c:idx val="4"/>
          <c:order val="4"/>
          <c:tx>
            <c:v>Qe = 8,506 [Ah]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parámetros'!$AN$133:$AN$156</c:f>
              <c:numCache>
                <c:formatCode>0.000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  <c:pt idx="20" formatCode="#,##0.000">
                  <c:v>9</c:v>
                </c:pt>
                <c:pt idx="21">
                  <c:v>8.5</c:v>
                </c:pt>
                <c:pt idx="22">
                  <c:v>7.0882492282908629</c:v>
                </c:pt>
              </c:numCache>
            </c:numRef>
          </c:xVal>
          <c:yVal>
            <c:numRef>
              <c:f>'SLPB68106100 4 parámetros'!$AS$133:$AS$156</c:f>
              <c:numCache>
                <c:formatCode>0.0E+00</c:formatCode>
                <c:ptCount val="24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C45-455B-8FFE-D312734BB2A0}"/>
            </c:ext>
          </c:extLst>
        </c:ser>
        <c:ser>
          <c:idx val="5"/>
          <c:order val="5"/>
          <c:tx>
            <c:v>Umin adm = 3,0 [V]</c:v>
          </c:tx>
          <c:spPr>
            <a:ln w="1905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parámetros'!$AN$133:$AN$152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</c:numCache>
            </c:numRef>
          </c:xVal>
          <c:yVal>
            <c:numRef>
              <c:f>'SLPB68106100 4 parámetros'!$AT$133:$AT$152</c:f>
              <c:numCache>
                <c:formatCode>0.000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C45-455B-8FFE-D312734BB2A0}"/>
            </c:ext>
          </c:extLst>
        </c:ser>
        <c:ser>
          <c:idx val="6"/>
          <c:order val="6"/>
          <c:tx>
            <c:v>Ue = 3,87 [V/c]</c:v>
          </c:tx>
          <c:spPr>
            <a:ln w="19050">
              <a:solidFill>
                <a:srgbClr val="66FF66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parámetros'!$AN$133:$AN$156</c:f>
              <c:numCache>
                <c:formatCode>0.000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  <c:pt idx="20" formatCode="#,##0.000">
                  <c:v>9</c:v>
                </c:pt>
                <c:pt idx="21">
                  <c:v>8.5</c:v>
                </c:pt>
                <c:pt idx="22">
                  <c:v>7.0882492282908629</c:v>
                </c:pt>
              </c:numCache>
            </c:numRef>
          </c:xVal>
          <c:yVal>
            <c:numRef>
              <c:f>'SLPB68106100 4 parámetros'!$AU$133:$AU$156</c:f>
              <c:numCache>
                <c:formatCode>0.000</c:formatCode>
                <c:ptCount val="24"/>
                <c:pt idx="0">
                  <c:v>3.8693606857010856</c:v>
                </c:pt>
                <c:pt idx="1">
                  <c:v>3.8693606857010856</c:v>
                </c:pt>
                <c:pt idx="2">
                  <c:v>3.8693606857010856</c:v>
                </c:pt>
                <c:pt idx="3">
                  <c:v>3.8693606857010856</c:v>
                </c:pt>
                <c:pt idx="4">
                  <c:v>3.8693606857010856</c:v>
                </c:pt>
                <c:pt idx="5">
                  <c:v>3.8693606857010856</c:v>
                </c:pt>
                <c:pt idx="6">
                  <c:v>3.8693606857010856</c:v>
                </c:pt>
                <c:pt idx="7">
                  <c:v>3.8693606857010856</c:v>
                </c:pt>
                <c:pt idx="8">
                  <c:v>3.8693606857010856</c:v>
                </c:pt>
                <c:pt idx="9">
                  <c:v>3.8693606857010856</c:v>
                </c:pt>
                <c:pt idx="10">
                  <c:v>3.8693606857010856</c:v>
                </c:pt>
                <c:pt idx="11">
                  <c:v>3.8693606857010856</c:v>
                </c:pt>
                <c:pt idx="12">
                  <c:v>3.8693606857010856</c:v>
                </c:pt>
                <c:pt idx="13">
                  <c:v>3.8693606857010856</c:v>
                </c:pt>
                <c:pt idx="14">
                  <c:v>3.8693606857010856</c:v>
                </c:pt>
                <c:pt idx="15">
                  <c:v>3.8693606857010856</c:v>
                </c:pt>
                <c:pt idx="16">
                  <c:v>3.8693606857010856</c:v>
                </c:pt>
                <c:pt idx="17">
                  <c:v>3.8693606857010856</c:v>
                </c:pt>
                <c:pt idx="21">
                  <c:v>3.8693606857010856</c:v>
                </c:pt>
                <c:pt idx="22">
                  <c:v>3.8693606857010856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C45-455B-8FFE-D312734BB2A0}"/>
            </c:ext>
          </c:extLst>
        </c:ser>
        <c:ser>
          <c:idx val="7"/>
          <c:order val="7"/>
          <c:tx>
            <c:v>udj; id = 1,5 [A]</c:v>
          </c:tx>
          <c:spPr>
            <a:ln w="15875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'SLPB68106100 4 parámetros'!$AN$133:$AN$156</c:f>
              <c:numCache>
                <c:formatCode>0.000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  <c:pt idx="20" formatCode="#,##0.000">
                  <c:v>9</c:v>
                </c:pt>
                <c:pt idx="21">
                  <c:v>8.5</c:v>
                </c:pt>
                <c:pt idx="22">
                  <c:v>7.0882492282908629</c:v>
                </c:pt>
              </c:numCache>
            </c:numRef>
          </c:xVal>
          <c:yVal>
            <c:numRef>
              <c:f>'SLPB68106100 4 parámetros'!$AV$133:$AV$157</c:f>
              <c:numCache>
                <c:formatCode>0.00</c:formatCode>
                <c:ptCount val="25"/>
                <c:pt idx="0">
                  <c:v>4.1812500000000004</c:v>
                </c:pt>
                <c:pt idx="1">
                  <c:v>4.18</c:v>
                </c:pt>
                <c:pt idx="2">
                  <c:v>4.0999999999999996</c:v>
                </c:pt>
                <c:pt idx="3">
                  <c:v>4.0199999999999996</c:v>
                </c:pt>
                <c:pt idx="4">
                  <c:v>3.97</c:v>
                </c:pt>
                <c:pt idx="5">
                  <c:v>3.92</c:v>
                </c:pt>
                <c:pt idx="6">
                  <c:v>3.87</c:v>
                </c:pt>
                <c:pt idx="7">
                  <c:v>3.84</c:v>
                </c:pt>
                <c:pt idx="8">
                  <c:v>3.8</c:v>
                </c:pt>
                <c:pt idx="9">
                  <c:v>3.78</c:v>
                </c:pt>
                <c:pt idx="10">
                  <c:v>3.75</c:v>
                </c:pt>
                <c:pt idx="11">
                  <c:v>3.72</c:v>
                </c:pt>
                <c:pt idx="12">
                  <c:v>3.71</c:v>
                </c:pt>
                <c:pt idx="13">
                  <c:v>3.7</c:v>
                </c:pt>
                <c:pt idx="14">
                  <c:v>3.68</c:v>
                </c:pt>
                <c:pt idx="15">
                  <c:v>3.65</c:v>
                </c:pt>
                <c:pt idx="16">
                  <c:v>3.61</c:v>
                </c:pt>
                <c:pt idx="17">
                  <c:v>3.35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C45-455B-8FFE-D312734BB2A0}"/>
            </c:ext>
          </c:extLst>
        </c:ser>
        <c:ser>
          <c:idx val="8"/>
          <c:order val="8"/>
          <c:tx>
            <c:v>udj; id = 4,0 [A]</c:v>
          </c:tx>
          <c:spPr>
            <a:ln w="15875">
              <a:solidFill>
                <a:srgbClr val="00B050"/>
              </a:solidFill>
              <a:prstDash val="sysDash"/>
            </a:ln>
          </c:spPr>
          <c:marker>
            <c:symbol val="none"/>
          </c:marker>
          <c:xVal>
            <c:numRef>
              <c:f>'SLPB68106100 4 parámetros'!$AN$133:$AN$156</c:f>
              <c:numCache>
                <c:formatCode>0.000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  <c:pt idx="20" formatCode="#,##0.000">
                  <c:v>9</c:v>
                </c:pt>
                <c:pt idx="21">
                  <c:v>8.5</c:v>
                </c:pt>
                <c:pt idx="22">
                  <c:v>7.0882492282908629</c:v>
                </c:pt>
              </c:numCache>
            </c:numRef>
          </c:xVal>
          <c:yVal>
            <c:numRef>
              <c:f>'SLPB68106100 4 parámetros'!$AW$133:$AW$157</c:f>
              <c:numCache>
                <c:formatCode>0.00</c:formatCode>
                <c:ptCount val="25"/>
                <c:pt idx="0">
                  <c:v>4.1500000000000004</c:v>
                </c:pt>
                <c:pt idx="1">
                  <c:v>4.1500000000000004</c:v>
                </c:pt>
                <c:pt idx="2">
                  <c:v>4.05</c:v>
                </c:pt>
                <c:pt idx="3">
                  <c:v>3.97</c:v>
                </c:pt>
                <c:pt idx="4">
                  <c:v>3.92</c:v>
                </c:pt>
                <c:pt idx="5">
                  <c:v>3.87</c:v>
                </c:pt>
                <c:pt idx="6">
                  <c:v>3.84</c:v>
                </c:pt>
                <c:pt idx="7">
                  <c:v>3.79</c:v>
                </c:pt>
                <c:pt idx="8">
                  <c:v>3.75</c:v>
                </c:pt>
                <c:pt idx="9">
                  <c:v>3.74</c:v>
                </c:pt>
                <c:pt idx="10">
                  <c:v>3.7</c:v>
                </c:pt>
                <c:pt idx="11">
                  <c:v>3.68</c:v>
                </c:pt>
                <c:pt idx="12">
                  <c:v>3.68</c:v>
                </c:pt>
                <c:pt idx="13">
                  <c:v>3.65</c:v>
                </c:pt>
                <c:pt idx="14">
                  <c:v>3.62</c:v>
                </c:pt>
                <c:pt idx="15">
                  <c:v>3.59</c:v>
                </c:pt>
                <c:pt idx="16">
                  <c:v>3.55</c:v>
                </c:pt>
                <c:pt idx="17">
                  <c:v>3.3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C45-455B-8FFE-D312734BB2A0}"/>
            </c:ext>
          </c:extLst>
        </c:ser>
        <c:ser>
          <c:idx val="9"/>
          <c:order val="9"/>
          <c:tx>
            <c:v>udj; id = 8,0 [A]</c:v>
          </c:tx>
          <c:spPr>
            <a:ln w="6350">
              <a:solidFill>
                <a:srgbClr val="00B0F0"/>
              </a:solidFill>
              <a:prstDash val="sysDash"/>
            </a:ln>
          </c:spPr>
          <c:marker>
            <c:symbol val="none"/>
          </c:marker>
          <c:xVal>
            <c:numRef>
              <c:f>'SLPB68106100 4 parámetros'!$AN$133:$AN$156</c:f>
              <c:numCache>
                <c:formatCode>0.000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  <c:pt idx="20" formatCode="#,##0.000">
                  <c:v>9</c:v>
                </c:pt>
                <c:pt idx="21">
                  <c:v>8.5</c:v>
                </c:pt>
                <c:pt idx="22">
                  <c:v>7.0882492282908629</c:v>
                </c:pt>
              </c:numCache>
            </c:numRef>
          </c:xVal>
          <c:yVal>
            <c:numRef>
              <c:f>'SLPB68106100 4 parámetros'!$AX$133:$AX$157</c:f>
              <c:numCache>
                <c:formatCode>0.00</c:formatCode>
                <c:ptCount val="25"/>
                <c:pt idx="0">
                  <c:v>4.0999999999999996</c:v>
                </c:pt>
                <c:pt idx="1">
                  <c:v>4.0999999999999996</c:v>
                </c:pt>
                <c:pt idx="2">
                  <c:v>3.97</c:v>
                </c:pt>
                <c:pt idx="3">
                  <c:v>3.9</c:v>
                </c:pt>
                <c:pt idx="4">
                  <c:v>3.85</c:v>
                </c:pt>
                <c:pt idx="5">
                  <c:v>3.82</c:v>
                </c:pt>
                <c:pt idx="6">
                  <c:v>3.76</c:v>
                </c:pt>
                <c:pt idx="7">
                  <c:v>3.72</c:v>
                </c:pt>
                <c:pt idx="8">
                  <c:v>3.68</c:v>
                </c:pt>
                <c:pt idx="9">
                  <c:v>3.65</c:v>
                </c:pt>
                <c:pt idx="10">
                  <c:v>3.64</c:v>
                </c:pt>
                <c:pt idx="11">
                  <c:v>3.6</c:v>
                </c:pt>
                <c:pt idx="12">
                  <c:v>3.58</c:v>
                </c:pt>
                <c:pt idx="13">
                  <c:v>3.55</c:v>
                </c:pt>
                <c:pt idx="14">
                  <c:v>3.54</c:v>
                </c:pt>
                <c:pt idx="15">
                  <c:v>3.48</c:v>
                </c:pt>
                <c:pt idx="16">
                  <c:v>3.4</c:v>
                </c:pt>
                <c:pt idx="17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C45-455B-8FFE-D312734BB2A0}"/>
            </c:ext>
          </c:extLst>
        </c:ser>
        <c:ser>
          <c:idx val="10"/>
          <c:order val="10"/>
          <c:tx>
            <c:v>udj; id = 16,0 [A]</c:v>
          </c:tx>
          <c:spPr>
            <a:ln w="1587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'SLPB68106100 4 parámetros'!$AN$133:$AN$156</c:f>
              <c:numCache>
                <c:formatCode>0.000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4.5</c:v>
                </c:pt>
                <c:pt idx="11">
                  <c:v>5</c:v>
                </c:pt>
                <c:pt idx="12">
                  <c:v>5.5</c:v>
                </c:pt>
                <c:pt idx="13">
                  <c:v>6</c:v>
                </c:pt>
                <c:pt idx="14">
                  <c:v>6.5</c:v>
                </c:pt>
                <c:pt idx="15">
                  <c:v>7</c:v>
                </c:pt>
                <c:pt idx="16">
                  <c:v>7.5</c:v>
                </c:pt>
                <c:pt idx="17">
                  <c:v>8</c:v>
                </c:pt>
                <c:pt idx="18" formatCode="#,##0.000">
                  <c:v>8.5</c:v>
                </c:pt>
                <c:pt idx="19" formatCode="#,##0.000">
                  <c:v>8.5058990739490348</c:v>
                </c:pt>
                <c:pt idx="20" formatCode="#,##0.000">
                  <c:v>9</c:v>
                </c:pt>
                <c:pt idx="21">
                  <c:v>8.5</c:v>
                </c:pt>
                <c:pt idx="22">
                  <c:v>7.0882492282908629</c:v>
                </c:pt>
              </c:numCache>
            </c:numRef>
          </c:xVal>
          <c:yVal>
            <c:numRef>
              <c:f>'SLPB68106100 4 parámetros'!$AY$133:$AY$157</c:f>
              <c:numCache>
                <c:formatCode>0.00</c:formatCode>
                <c:ptCount val="25"/>
                <c:pt idx="0">
                  <c:v>3.9999999999999991</c:v>
                </c:pt>
                <c:pt idx="1">
                  <c:v>4.05</c:v>
                </c:pt>
                <c:pt idx="2">
                  <c:v>3.86</c:v>
                </c:pt>
                <c:pt idx="3">
                  <c:v>3.8</c:v>
                </c:pt>
                <c:pt idx="4">
                  <c:v>3.73</c:v>
                </c:pt>
                <c:pt idx="5">
                  <c:v>3.68</c:v>
                </c:pt>
                <c:pt idx="6">
                  <c:v>3.64</c:v>
                </c:pt>
                <c:pt idx="7">
                  <c:v>3.59</c:v>
                </c:pt>
                <c:pt idx="8">
                  <c:v>3.55</c:v>
                </c:pt>
                <c:pt idx="9">
                  <c:v>3.52</c:v>
                </c:pt>
                <c:pt idx="10">
                  <c:v>3.48</c:v>
                </c:pt>
                <c:pt idx="11">
                  <c:v>3.45</c:v>
                </c:pt>
                <c:pt idx="12">
                  <c:v>3.4</c:v>
                </c:pt>
                <c:pt idx="13">
                  <c:v>3.34</c:v>
                </c:pt>
                <c:pt idx="14">
                  <c:v>3.25</c:v>
                </c:pt>
                <c:pt idx="15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C45-455B-8FFE-D312734B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56224"/>
        <c:axId val="116358144"/>
      </c:scatterChart>
      <c:valAx>
        <c:axId val="116356224"/>
        <c:scaling>
          <c:orientation val="minMax"/>
          <c:max val="9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/>
                  <a:t>Carga entregada al circuito exterior q</a:t>
                </a:r>
                <a:r>
                  <a:rPr lang="es-ES" sz="1100" baseline="-25000"/>
                  <a:t>d</a:t>
                </a:r>
                <a:r>
                  <a:rPr lang="es-ES" sz="1100"/>
                  <a:t> [Ah]</a:t>
                </a:r>
              </a:p>
            </c:rich>
          </c:tx>
          <c:layout>
            <c:manualLayout>
              <c:xMode val="edge"/>
              <c:yMode val="edge"/>
              <c:x val="0.31240047228672341"/>
              <c:y val="0.943641895509329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15875"/>
        </c:spPr>
        <c:crossAx val="116358144"/>
        <c:crosses val="autoZero"/>
        <c:crossBetween val="midCat"/>
        <c:majorUnit val="0.5"/>
        <c:minorUnit val="0.05"/>
      </c:valAx>
      <c:valAx>
        <c:axId val="116358144"/>
        <c:scaling>
          <c:orientation val="minMax"/>
          <c:max val="4.3"/>
          <c:min val="2.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100"/>
                  <a:t>Tensión en bornes u</a:t>
                </a:r>
                <a:r>
                  <a:rPr lang="es-ES" sz="1100" baseline="-25000"/>
                  <a:t>d</a:t>
                </a:r>
                <a:r>
                  <a:rPr lang="es-ES" sz="1100"/>
                  <a:t> [V/c]</a:t>
                </a:r>
              </a:p>
            </c:rich>
          </c:tx>
          <c:layout>
            <c:manualLayout>
              <c:xMode val="edge"/>
              <c:yMode val="edge"/>
              <c:x val="1.2871423125128236E-2"/>
              <c:y val="0.3365375223619435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16356224"/>
        <c:crosses val="autoZero"/>
        <c:crossBetween val="midCat"/>
        <c:majorUnit val="0.1"/>
        <c:minorUnit val="2.0000000000000011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22055837937283967"/>
          <c:y val="0.1625029707107507"/>
          <c:w val="0.74464010402091108"/>
          <c:h val="0.15732492393674671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/>
              <a:t>Curva de capacidad a corriente constante 0 a 2 horas</a:t>
            </a:r>
          </a:p>
          <a:p>
            <a:pPr>
              <a:defRPr/>
            </a:pPr>
            <a:r>
              <a:rPr lang="es-ES" sz="1400" b="1" i="0" baseline="0">
                <a:effectLst/>
              </a:rPr>
              <a:t>acumulador de litio Worley Parsons SLPB 68106100</a:t>
            </a:r>
            <a:endParaRPr lang="es-CL" sz="1400">
              <a:effectLst/>
            </a:endParaRPr>
          </a:p>
        </c:rich>
      </c:tx>
      <c:layout>
        <c:manualLayout>
          <c:xMode val="edge"/>
          <c:yMode val="edge"/>
          <c:x val="0.19226523969472817"/>
          <c:y val="6.683375104427735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766533300985641E-2"/>
          <c:y val="0.14354100474282819"/>
          <c:w val="0.85669362641932789"/>
          <c:h val="0.73759359027490001"/>
        </c:manualLayout>
      </c:layout>
      <c:scatterChart>
        <c:scatterStyle val="smoothMarker"/>
        <c:varyColors val="0"/>
        <c:ser>
          <c:idx val="0"/>
          <c:order val="0"/>
          <c:tx>
            <c:v>Id = 1,5 [A]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parámetros'!$BK$5:$BK$126</c:f>
              <c:numCache>
                <c:formatCode>0.00</c:formatCode>
                <c:ptCount val="122"/>
                <c:pt idx="0">
                  <c:v>4.2</c:v>
                </c:pt>
                <c:pt idx="1">
                  <c:v>4.1812500000000004</c:v>
                </c:pt>
                <c:pt idx="2">
                  <c:v>4.1811864836424562</c:v>
                </c:pt>
                <c:pt idx="3">
                  <c:v>4.1811218270780293</c:v>
                </c:pt>
                <c:pt idx="4">
                  <c:v>4.181055999326202</c:v>
                </c:pt>
                <c:pt idx="5">
                  <c:v>4.1809889682738364</c:v>
                </c:pt>
                <c:pt idx="6">
                  <c:v>4.1809207006229387</c:v>
                </c:pt>
                <c:pt idx="7">
                  <c:v>4.1808511618355064</c:v>
                </c:pt>
                <c:pt idx="8">
                  <c:v>4.1807803160752606</c:v>
                </c:pt>
                <c:pt idx="9">
                  <c:v>4.1807081261460679</c:v>
                </c:pt>
                <c:pt idx="10">
                  <c:v>4.1806345534268177</c:v>
                </c:pt>
                <c:pt idx="11">
                  <c:v>4.1805595578025265</c:v>
                </c:pt>
                <c:pt idx="12">
                  <c:v>4.1804830975914031</c:v>
                </c:pt>
                <c:pt idx="13">
                  <c:v>4.1804051294675988</c:v>
                </c:pt>
                <c:pt idx="14">
                  <c:v>4.1803256083793396</c:v>
                </c:pt>
                <c:pt idx="15">
                  <c:v>4.1802444874621232</c:v>
                </c:pt>
                <c:pt idx="16">
                  <c:v>4.1801617179466186</c:v>
                </c:pt>
                <c:pt idx="17">
                  <c:v>4.1800772490608926</c:v>
                </c:pt>
                <c:pt idx="18">
                  <c:v>4.1799910279265555</c:v>
                </c:pt>
                <c:pt idx="19">
                  <c:v>4.1799029994483723</c:v>
                </c:pt>
                <c:pt idx="20">
                  <c:v>4.1798131061968622</c:v>
                </c:pt>
                <c:pt idx="21">
                  <c:v>4.1797212882833517</c:v>
                </c:pt>
                <c:pt idx="22">
                  <c:v>4.1796274832269207</c:v>
                </c:pt>
                <c:pt idx="23">
                  <c:v>4.1795316258126141</c:v>
                </c:pt>
                <c:pt idx="24">
                  <c:v>4.1794336479402387</c:v>
                </c:pt>
                <c:pt idx="25">
                  <c:v>4.1793334784630254</c:v>
                </c:pt>
                <c:pt idx="26">
                  <c:v>4.1792310430153288</c:v>
                </c:pt>
                <c:pt idx="27">
                  <c:v>4.1791262638285076</c:v>
                </c:pt>
                <c:pt idx="28">
                  <c:v>4.1790190595340206</c:v>
                </c:pt>
                <c:pt idx="29">
                  <c:v>4.1789093449526895</c:v>
                </c:pt>
                <c:pt idx="30">
                  <c:v>4.1787970308689797</c:v>
                </c:pt>
                <c:pt idx="31">
                  <c:v>4.178682023789051</c:v>
                </c:pt>
                <c:pt idx="32">
                  <c:v>4.1785642256811855</c:v>
                </c:pt>
                <c:pt idx="33">
                  <c:v>4.1784435336970915</c:v>
                </c:pt>
                <c:pt idx="34">
                  <c:v>4.1783198398724108</c:v>
                </c:pt>
                <c:pt idx="35">
                  <c:v>4.1781930308045956</c:v>
                </c:pt>
                <c:pt idx="36">
                  <c:v>4.1780629873061379</c:v>
                </c:pt>
                <c:pt idx="37">
                  <c:v>4.1779295840309212</c:v>
                </c:pt>
                <c:pt idx="38">
                  <c:v>4.1777926890712376</c:v>
                </c:pt>
                <c:pt idx="39">
                  <c:v>4.1776521635227324</c:v>
                </c:pt>
                <c:pt idx="40">
                  <c:v>4.1775078610142788</c:v>
                </c:pt>
                <c:pt idx="41">
                  <c:v>4.1773596271994258</c:v>
                </c:pt>
                <c:pt idx="42">
                  <c:v>4.177207299205703</c:v>
                </c:pt>
                <c:pt idx="43">
                  <c:v>4.1770507050376668</c:v>
                </c:pt>
                <c:pt idx="44">
                  <c:v>4.1768896629290664</c:v>
                </c:pt>
                <c:pt idx="45">
                  <c:v>4.1767239806390206</c:v>
                </c:pt>
                <c:pt idx="46">
                  <c:v>4.1765534546864602</c:v>
                </c:pt>
                <c:pt idx="47">
                  <c:v>4.176377869516438</c:v>
                </c:pt>
                <c:pt idx="48">
                  <c:v>4.1761969965911101</c:v>
                </c:pt>
                <c:pt idx="49">
                  <c:v>4.176010593397347</c:v>
                </c:pt>
                <c:pt idx="50">
                  <c:v>4.1758184023618918</c:v>
                </c:pt>
                <c:pt idx="51">
                  <c:v>4.1756201496638852</c:v>
                </c:pt>
                <c:pt idx="52">
                  <c:v>4.1754155439332177</c:v>
                </c:pt>
                <c:pt idx="53">
                  <c:v>4.1752042748217182</c:v>
                </c:pt>
                <c:pt idx="54">
                  <c:v>4.1749860114324369</c:v>
                </c:pt>
                <c:pt idx="55">
                  <c:v>4.1747604005902961</c:v>
                </c:pt>
                <c:pt idx="56">
                  <c:v>4.1745270649351092</c:v>
                </c:pt>
                <c:pt idx="57">
                  <c:v>4.1742856008153026</c:v>
                </c:pt>
                <c:pt idx="58">
                  <c:v>4.1740355759576158</c:v>
                </c:pt>
                <c:pt idx="59">
                  <c:v>4.1737765268844731</c:v>
                </c:pt>
                <c:pt idx="60">
                  <c:v>4.173507956046576</c:v>
                </c:pt>
                <c:pt idx="61">
                  <c:v>4.1732293286333784</c:v>
                </c:pt>
                <c:pt idx="62">
                  <c:v>4.1729400690184386</c:v>
                </c:pt>
                <c:pt idx="63">
                  <c:v>4.1726395567899299</c:v>
                </c:pt>
                <c:pt idx="64">
                  <c:v>4.1723271223086993</c:v>
                </c:pt>
                <c:pt idx="65">
                  <c:v>4.1720020417269543</c:v>
                </c:pt>
                <c:pt idx="66">
                  <c:v>4.1716635313895845</c:v>
                </c:pt>
                <c:pt idx="67">
                  <c:v>4.1713107415269661</c:v>
                </c:pt>
                <c:pt idx="68">
                  <c:v>4.1709427491323972</c:v>
                </c:pt>
                <c:pt idx="69">
                  <c:v>4.1705585498984625</c:v>
                </c:pt>
                <c:pt idx="70">
                  <c:v>4.1701570490640254</c:v>
                </c:pt>
                <c:pt idx="71">
                  <c:v>4.1697370509961678</c:v>
                </c:pt>
                <c:pt idx="72">
                  <c:v>4.1692972472982932</c:v>
                </c:pt>
                <c:pt idx="73">
                  <c:v>4.168836203195271</c:v>
                </c:pt>
                <c:pt idx="74">
                  <c:v>4.1683523418971626</c:v>
                </c:pt>
                <c:pt idx="75">
                  <c:v>4.1678439265825276</c:v>
                </c:pt>
                <c:pt idx="76">
                  <c:v>4.1673090395674821</c:v>
                </c:pt>
                <c:pt idx="77">
                  <c:v>4.166745558133985</c:v>
                </c:pt>
                <c:pt idx="78">
                  <c:v>4.1661511263750679</c:v>
                </c:pt>
                <c:pt idx="79">
                  <c:v>4.1655231222697049</c:v>
                </c:pt>
                <c:pt idx="80">
                  <c:v>4.1648586190169112</c:v>
                </c:pt>
                <c:pt idx="81">
                  <c:v>4.1641543394263723</c:v>
                </c:pt>
                <c:pt idx="82">
                  <c:v>4.1634066018660185</c:v>
                </c:pt>
                <c:pt idx="83">
                  <c:v>4.162611255885043</c:v>
                </c:pt>
                <c:pt idx="84">
                  <c:v>4.1617636051359579</c:v>
                </c:pt>
                <c:pt idx="85">
                  <c:v>4.160858314572855</c:v>
                </c:pt>
                <c:pt idx="86">
                  <c:v>4.1598892980519508</c:v>
                </c:pt>
                <c:pt idx="87">
                  <c:v>4.158849581329866</c:v>
                </c:pt>
                <c:pt idx="88">
                  <c:v>4.1577311339392864</c:v>
                </c:pt>
                <c:pt idx="89">
                  <c:v>4.1565246613689473</c:v>
                </c:pt>
                <c:pt idx="90">
                  <c:v>4.1552193461654312</c:v>
                </c:pt>
                <c:pt idx="91">
                  <c:v>4.1538025226847983</c:v>
                </c:pt>
                <c:pt idx="92">
                  <c:v>4.152259264770719</c:v>
                </c:pt>
                <c:pt idx="93">
                  <c:v>4.150571857893067</c:v>
                </c:pt>
                <c:pt idx="94">
                  <c:v>4.1487191161243349</c:v>
                </c:pt>
                <c:pt idx="95">
                  <c:v>4.1466754880020877</c:v>
                </c:pt>
                <c:pt idx="96">
                  <c:v>4.1444098710146742</c:v>
                </c:pt>
                <c:pt idx="97">
                  <c:v>4.1418840175703302</c:v>
                </c:pt>
                <c:pt idx="98">
                  <c:v>4.1390503582102376</c:v>
                </c:pt>
                <c:pt idx="99">
                  <c:v>4.1358489773824196</c:v>
                </c:pt>
                <c:pt idx="100">
                  <c:v>4.132203330169566</c:v>
                </c:pt>
                <c:pt idx="101">
                  <c:v>4.1280140428479877</c:v>
                </c:pt>
                <c:pt idx="102">
                  <c:v>4.1231497166142193</c:v>
                </c:pt>
                <c:pt idx="103">
                  <c:v>4.1174328962520264</c:v>
                </c:pt>
                <c:pt idx="104">
                  <c:v>4.1106179531196378</c:v>
                </c:pt>
                <c:pt idx="105">
                  <c:v>4.1023548688753193</c:v>
                </c:pt>
                <c:pt idx="106">
                  <c:v>4.0921271873002585</c:v>
                </c:pt>
                <c:pt idx="107">
                  <c:v>4.0791397381555923</c:v>
                </c:pt>
                <c:pt idx="108">
                  <c:v>4.0621012989441265</c:v>
                </c:pt>
                <c:pt idx="109">
                  <c:v>4.0387663046386706</c:v>
                </c:pt>
                <c:pt idx="110">
                  <c:v>4.0048533141362306</c:v>
                </c:pt>
                <c:pt idx="111">
                  <c:v>3.9510615937233458</c:v>
                </c:pt>
                <c:pt idx="112">
                  <c:v>3.8526662283840838</c:v>
                </c:pt>
                <c:pt idx="113">
                  <c:v>3.6148994384373627</c:v>
                </c:pt>
                <c:pt idx="114">
                  <c:v>2.2228903384835799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4-4D72-9691-D5E51C943A15}"/>
            </c:ext>
          </c:extLst>
        </c:ser>
        <c:ser>
          <c:idx val="1"/>
          <c:order val="1"/>
          <c:tx>
            <c:v>Id = 4,0 [A]</c:v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parámetros'!$BL$5:$BL$126</c:f>
              <c:numCache>
                <c:formatCode>0.00</c:formatCode>
                <c:ptCount val="122"/>
                <c:pt idx="0">
                  <c:v>4.2</c:v>
                </c:pt>
                <c:pt idx="1">
                  <c:v>4.1500000000000004</c:v>
                </c:pt>
                <c:pt idx="2">
                  <c:v>4.1349520592792981</c:v>
                </c:pt>
                <c:pt idx="3">
                  <c:v>4.1202884290988031</c:v>
                </c:pt>
                <c:pt idx="4">
                  <c:v>4.1059960421064474</c:v>
                </c:pt>
                <c:pt idx="5">
                  <c:v>4.0920619692856546</c:v>
                </c:pt>
                <c:pt idx="6">
                  <c:v>4.078473387376623</c:v>
                </c:pt>
                <c:pt idx="7">
                  <c:v>4.0652175426432429</c:v>
                </c:pt>
                <c:pt idx="8">
                  <c:v>4.052281710210238</c:v>
                </c:pt>
                <c:pt idx="9">
                  <c:v>4.0396531480173081</c:v>
                </c:pt>
                <c:pt idx="10">
                  <c:v>4.0273190442113664</c:v>
                </c:pt>
                <c:pt idx="11">
                  <c:v>4.0152664565098206</c:v>
                </c:pt>
                <c:pt idx="12">
                  <c:v>4.0034822416973839</c:v>
                </c:pt>
                <c:pt idx="13">
                  <c:v>3.9919529729391878</c:v>
                </c:pt>
                <c:pt idx="14">
                  <c:v>3.9806648419669628</c:v>
                </c:pt>
                <c:pt idx="15">
                  <c:v>3.9696035423715235</c:v>
                </c:pt>
                <c:pt idx="16">
                  <c:v>3.9587541291420041</c:v>
                </c:pt>
                <c:pt idx="17">
                  <c:v>3.9481008481286484</c:v>
                </c:pt>
                <c:pt idx="18">
                  <c:v>3.9376269271263569</c:v>
                </c:pt>
                <c:pt idx="19">
                  <c:v>3.927314317570151</c:v>
                </c:pt>
                <c:pt idx="20">
                  <c:v>3.9171433720925766</c:v>
                </c:pt>
                <c:pt idx="21">
                  <c:v>3.9070924379573753</c:v>
                </c:pt>
                <c:pt idx="22">
                  <c:v>3.8971373389593014</c:v>
                </c:pt>
                <c:pt idx="23">
                  <c:v>3.8872507077006451</c:v>
                </c:pt>
                <c:pt idx="24">
                  <c:v>3.877401114554142</c:v>
                </c:pt>
                <c:pt idx="25">
                  <c:v>3.8675519164434666</c:v>
                </c:pt>
                <c:pt idx="26">
                  <c:v>3.8576597134937005</c:v>
                </c:pt>
                <c:pt idx="27">
                  <c:v>3.8476722474254705</c:v>
                </c:pt>
                <c:pt idx="28">
                  <c:v>3.8375254899888951</c:v>
                </c:pt>
                <c:pt idx="29">
                  <c:v>3.8271395311465386</c:v>
                </c:pt>
                <c:pt idx="30">
                  <c:v>3.816412645937719</c:v>
                </c:pt>
                <c:pt idx="31">
                  <c:v>3.8052125224113507</c:v>
                </c:pt>
                <c:pt idx="32">
                  <c:v>3.7933629269235429</c:v>
                </c:pt>
                <c:pt idx="33">
                  <c:v>3.7806227734796281</c:v>
                </c:pt>
                <c:pt idx="34">
                  <c:v>3.7666520173344171</c:v>
                </c:pt>
                <c:pt idx="35">
                  <c:v>3.7509535596643455</c:v>
                </c:pt>
                <c:pt idx="36">
                  <c:v>3.7327688612456953</c:v>
                </c:pt>
                <c:pt idx="37">
                  <c:v>3.7108776383733275</c:v>
                </c:pt>
                <c:pt idx="38">
                  <c:v>3.683180214917547</c:v>
                </c:pt>
                <c:pt idx="39">
                  <c:v>3.6457266414985985</c:v>
                </c:pt>
                <c:pt idx="40">
                  <c:v>3.5900953623527365</c:v>
                </c:pt>
                <c:pt idx="41">
                  <c:v>3.4945540497785226</c:v>
                </c:pt>
                <c:pt idx="42">
                  <c:v>3.2805456206356598</c:v>
                </c:pt>
                <c:pt idx="43">
                  <c:v>2.2760936769935456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4-4D72-9691-D5E51C943A15}"/>
            </c:ext>
          </c:extLst>
        </c:ser>
        <c:ser>
          <c:idx val="2"/>
          <c:order val="2"/>
          <c:tx>
            <c:v>Id = 8,0 [A]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parámetros'!$BM$5:$BM$126</c:f>
              <c:numCache>
                <c:formatCode>0.00</c:formatCode>
                <c:ptCount val="122"/>
                <c:pt idx="0">
                  <c:v>4.2</c:v>
                </c:pt>
                <c:pt idx="1">
                  <c:v>4.0999999999999996</c:v>
                </c:pt>
                <c:pt idx="2">
                  <c:v>4.0601142983694087</c:v>
                </c:pt>
                <c:pt idx="3">
                  <c:v>4.0227951260649606</c:v>
                </c:pt>
                <c:pt idx="4">
                  <c:v>3.9878097774157992</c:v>
                </c:pt>
                <c:pt idx="5">
                  <c:v>3.9549327033530894</c:v>
                </c:pt>
                <c:pt idx="6">
                  <c:v>3.9239421697790142</c:v>
                </c:pt>
                <c:pt idx="7">
                  <c:v>3.8946160958714788</c:v>
                </c:pt>
                <c:pt idx="8">
                  <c:v>3.8667266265331008</c:v>
                </c:pt>
                <c:pt idx="9">
                  <c:v>3.8400327281151081</c:v>
                </c:pt>
                <c:pt idx="10">
                  <c:v>3.8142696366241036</c:v>
                </c:pt>
                <c:pt idx="11">
                  <c:v>3.7891331599119575</c:v>
                </c:pt>
                <c:pt idx="12">
                  <c:v>3.7642552815860815</c:v>
                </c:pt>
                <c:pt idx="13">
                  <c:v>3.7391644509128801</c:v>
                </c:pt>
                <c:pt idx="14">
                  <c:v>3.7132175431758196</c:v>
                </c:pt>
                <c:pt idx="15">
                  <c:v>3.6854761463069847</c:v>
                </c:pt>
                <c:pt idx="16">
                  <c:v>3.6544649159052658</c:v>
                </c:pt>
                <c:pt idx="17">
                  <c:v>3.6176551422128687</c:v>
                </c:pt>
                <c:pt idx="18">
                  <c:v>3.5702224400093323</c:v>
                </c:pt>
                <c:pt idx="19">
                  <c:v>3.501522121829808</c:v>
                </c:pt>
                <c:pt idx="20">
                  <c:v>3.382227852862524</c:v>
                </c:pt>
                <c:pt idx="21">
                  <c:v>3.0904574834415586</c:v>
                </c:pt>
                <c:pt idx="22">
                  <c:v>0.66368991363302499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4-4D72-9691-D5E51C943A15}"/>
            </c:ext>
          </c:extLst>
        </c:ser>
        <c:ser>
          <c:idx val="3"/>
          <c:order val="3"/>
          <c:tx>
            <c:v>Id = 16  [A]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parámetros'!$BN$5:$BN$126</c:f>
              <c:numCache>
                <c:formatCode>0.00</c:formatCode>
                <c:ptCount val="122"/>
                <c:pt idx="0">
                  <c:v>4.2</c:v>
                </c:pt>
                <c:pt idx="1">
                  <c:v>3.9999999999999991</c:v>
                </c:pt>
                <c:pt idx="2">
                  <c:v>3.9188417911318583</c:v>
                </c:pt>
                <c:pt idx="3">
                  <c:v>3.8461101012056238</c:v>
                </c:pt>
                <c:pt idx="4">
                  <c:v>3.7796482755892979</c:v>
                </c:pt>
                <c:pt idx="5">
                  <c:v>3.7170665920650854</c:v>
                </c:pt>
                <c:pt idx="6">
                  <c:v>3.6553285856194164</c:v>
                </c:pt>
                <c:pt idx="7">
                  <c:v>3.5898420067899686</c:v>
                </c:pt>
                <c:pt idx="8">
                  <c:v>3.5120916293044022</c:v>
                </c:pt>
                <c:pt idx="9">
                  <c:v>3.4019268991005402</c:v>
                </c:pt>
                <c:pt idx="10">
                  <c:v>3.1915702155382344</c:v>
                </c:pt>
                <c:pt idx="11">
                  <c:v>2.3882820384027115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04-4D72-9691-D5E51C943A15}"/>
            </c:ext>
          </c:extLst>
        </c:ser>
        <c:ser>
          <c:idx val="4"/>
          <c:order val="4"/>
          <c:tx>
            <c:v>Ufin = 3,0 [V/c]</c:v>
          </c:tx>
          <c:spPr>
            <a:ln w="1905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parámetros'!$BO$5:$BO$126</c:f>
              <c:numCache>
                <c:formatCode>0.00</c:formatCode>
                <c:ptCount val="12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504-4D72-9691-D5E51C943A15}"/>
            </c:ext>
          </c:extLst>
        </c:ser>
        <c:ser>
          <c:idx val="5"/>
          <c:order val="5"/>
          <c:tx>
            <c:v>tn = 1,0 [h]</c:v>
          </c:tx>
          <c:spPr>
            <a:ln w="19050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parámetros'!$BP$5:$BP$126</c:f>
              <c:numCache>
                <c:formatCode>0.0E+00</c:formatCode>
                <c:ptCount val="122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504-4D72-9691-D5E51C943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07392"/>
        <c:axId val="118513664"/>
      </c:scatterChart>
      <c:valAx>
        <c:axId val="118507392"/>
        <c:scaling>
          <c:orientation val="minMax"/>
          <c:max val="2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/>
                  <a:t>Tiempo de descarga t [h]</a:t>
                </a:r>
              </a:p>
            </c:rich>
          </c:tx>
          <c:layout>
            <c:manualLayout>
              <c:xMode val="edge"/>
              <c:yMode val="edge"/>
              <c:x val="0.39095529452261113"/>
              <c:y val="0.9410075606220866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18513664"/>
        <c:crosses val="autoZero"/>
        <c:crossBetween val="midCat"/>
        <c:majorUnit val="0.25"/>
        <c:minorUnit val="0.1"/>
      </c:valAx>
      <c:valAx>
        <c:axId val="118513664"/>
        <c:scaling>
          <c:orientation val="minMax"/>
          <c:max val="4.3"/>
          <c:min val="2.200000000000000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Tensión en bornes u</a:t>
                </a:r>
                <a:r>
                  <a:rPr lang="en-US" sz="1100" baseline="-25000"/>
                  <a:t>d</a:t>
                </a:r>
                <a:r>
                  <a:rPr lang="en-US" sz="1100"/>
                  <a:t>  [V/c]</a:t>
                </a:r>
              </a:p>
            </c:rich>
          </c:tx>
          <c:layout>
            <c:manualLayout>
              <c:xMode val="edge"/>
              <c:yMode val="edge"/>
              <c:x val="1.0075613637621349E-2"/>
              <c:y val="0.3043761635058775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18507392"/>
        <c:crosses val="autoZero"/>
        <c:crossBetween val="midCat"/>
        <c:majorUnit val="0.2"/>
        <c:minorUnit val="0.05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53761765894543379"/>
          <c:y val="0.75822785309731022"/>
          <c:w val="0.41691890776947316"/>
          <c:h val="0.12324748880074203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 b="1" i="0" baseline="0">
                <a:effectLst/>
              </a:rPr>
              <a:t>Corriente de recarga a tensión constante</a:t>
            </a:r>
            <a:endParaRPr lang="es-CL" sz="1400">
              <a:effectLst/>
            </a:endParaRPr>
          </a:p>
          <a:p>
            <a:pPr>
              <a:defRPr sz="1400"/>
            </a:pPr>
            <a:r>
              <a:rPr lang="es-ES" sz="1400" b="1" i="0" baseline="0">
                <a:effectLst/>
              </a:rPr>
              <a:t>acumulador de litio Worley Parsons SLPB 68106100</a:t>
            </a:r>
            <a:endParaRPr lang="es-CL" sz="1400">
              <a:effectLst/>
            </a:endParaRPr>
          </a:p>
        </c:rich>
      </c:tx>
      <c:layout>
        <c:manualLayout>
          <c:xMode val="edge"/>
          <c:yMode val="edge"/>
          <c:x val="0.18055248797034662"/>
          <c:y val="1.777777777777777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316830815862002"/>
          <c:y val="0.17277579797187242"/>
          <c:w val="0.85729490703497535"/>
          <c:h val="0.68818425205179889"/>
        </c:manualLayout>
      </c:layout>
      <c:scatterChart>
        <c:scatterStyle val="smoothMarker"/>
        <c:varyColors val="0"/>
        <c:ser>
          <c:idx val="0"/>
          <c:order val="0"/>
          <c:tx>
            <c:v>Ir;  Ur  =  4,15  [V/c]</c:v>
          </c:tx>
          <c:spPr>
            <a:ln w="15875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0-0932-4457-816D-A451A2E00AA4}"/>
            </c:ext>
          </c:extLst>
        </c:ser>
        <c:ser>
          <c:idx val="1"/>
          <c:order val="1"/>
          <c:tx>
            <c:v>ir;  Ur  =  4,20  [V/c]</c:v>
          </c:tx>
          <c:spPr>
            <a:ln w="19050">
              <a:solidFill>
                <a:schemeClr val="tx2">
                  <a:lumMod val="7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parámetros'!$DB$5:$DB$126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parámetros'!$DD$5:$DD$126</c:f>
              <c:numCache>
                <c:formatCode>0.000</c:formatCode>
                <c:ptCount val="122"/>
                <c:pt idx="0">
                  <c:v>278.55198548004756</c:v>
                </c:pt>
                <c:pt idx="1">
                  <c:v>278.55198548004756</c:v>
                </c:pt>
                <c:pt idx="2">
                  <c:v>135.28239617981274</c:v>
                </c:pt>
                <c:pt idx="3">
                  <c:v>69.710011987904267</c:v>
                </c:pt>
                <c:pt idx="4">
                  <c:v>39.077678783853209</c:v>
                </c:pt>
                <c:pt idx="5">
                  <c:v>24.248906839509146</c:v>
                </c:pt>
                <c:pt idx="6">
                  <c:v>16.645724251934332</c:v>
                </c:pt>
                <c:pt idx="7">
                  <c:v>12.411756259732925</c:v>
                </c:pt>
                <c:pt idx="8">
                  <c:v>9.8036781202232959</c:v>
                </c:pt>
                <c:pt idx="9">
                  <c:v>8.0252085167167078</c:v>
                </c:pt>
                <c:pt idx="10">
                  <c:v>6.7057100008112265</c:v>
                </c:pt>
                <c:pt idx="11">
                  <c:v>5.6668645068220052</c:v>
                </c:pt>
                <c:pt idx="12">
                  <c:v>4.8181144643164231</c:v>
                </c:pt>
                <c:pt idx="13">
                  <c:v>4.1096815570318972</c:v>
                </c:pt>
                <c:pt idx="14">
                  <c:v>3.5113495096753495</c:v>
                </c:pt>
                <c:pt idx="15">
                  <c:v>3.0027909073162236</c:v>
                </c:pt>
                <c:pt idx="16">
                  <c:v>2.5690797825738652</c:v>
                </c:pt>
                <c:pt idx="17">
                  <c:v>2.1985450511170663</c:v>
                </c:pt>
                <c:pt idx="18">
                  <c:v>1.8816902380071612</c:v>
                </c:pt>
                <c:pt idx="19">
                  <c:v>1.6106070790116085</c:v>
                </c:pt>
                <c:pt idx="20">
                  <c:v>1.3786247250738117</c:v>
                </c:pt>
                <c:pt idx="21">
                  <c:v>1.1800770015362378</c:v>
                </c:pt>
                <c:pt idx="22">
                  <c:v>1.0101333595670252</c:v>
                </c:pt>
                <c:pt idx="23">
                  <c:v>0.86466765421519765</c:v>
                </c:pt>
                <c:pt idx="24">
                  <c:v>0.74015184310261883</c:v>
                </c:pt>
                <c:pt idx="25">
                  <c:v>0.63356768445641842</c:v>
                </c:pt>
                <c:pt idx="26">
                  <c:v>0.54233235348155862</c:v>
                </c:pt>
                <c:pt idx="27">
                  <c:v>0.46423530748441705</c:v>
                </c:pt>
                <c:pt idx="28">
                  <c:v>0.39738448263613713</c:v>
                </c:pt>
                <c:pt idx="29">
                  <c:v>0.34016034578010423</c:v>
                </c:pt>
                <c:pt idx="30">
                  <c:v>0.29117661079683238</c:v>
                </c:pt>
                <c:pt idx="31">
                  <c:v>0.249246633301585</c:v>
                </c:pt>
                <c:pt idx="32">
                  <c:v>0.21335465413674917</c:v>
                </c:pt>
                <c:pt idx="33">
                  <c:v>0.1826311881299969</c:v>
                </c:pt>
                <c:pt idx="34">
                  <c:v>0.15633195882709547</c:v>
                </c:pt>
                <c:pt idx="35">
                  <c:v>0.13381986751568026</c:v>
                </c:pt>
                <c:pt idx="36">
                  <c:v>0.11454955912430044</c:v>
                </c:pt>
                <c:pt idx="37">
                  <c:v>9.8054210830930397E-2</c:v>
                </c:pt>
                <c:pt idx="38">
                  <c:v>8.393422321240733E-2</c:v>
                </c:pt>
                <c:pt idx="39">
                  <c:v>7.1847539923272336E-2</c:v>
                </c:pt>
                <c:pt idx="40">
                  <c:v>6.1501361373947072E-2</c:v>
                </c:pt>
                <c:pt idx="41">
                  <c:v>5.264505166136179E-2</c:v>
                </c:pt>
                <c:pt idx="42">
                  <c:v>4.5064066917716195E-2</c:v>
                </c:pt>
                <c:pt idx="43">
                  <c:v>3.8574757989597162E-2</c:v>
                </c:pt>
                <c:pt idx="44">
                  <c:v>3.3019921541515222E-2</c:v>
                </c:pt>
                <c:pt idx="45">
                  <c:v>2.8264991809025624E-2</c:v>
                </c:pt>
                <c:pt idx="46">
                  <c:v>2.4194780746559015E-2</c:v>
                </c:pt>
                <c:pt idx="47">
                  <c:v>2.0710687600044388E-2</c:v>
                </c:pt>
                <c:pt idx="48">
                  <c:v>1.7728310306255612E-2</c:v>
                </c:pt>
                <c:pt idx="49">
                  <c:v>1.5175400855077613E-2</c:v>
                </c:pt>
                <c:pt idx="50">
                  <c:v>1.2990115083390454E-2</c:v>
                </c:pt>
                <c:pt idx="51">
                  <c:v>1.1119514501870828E-2</c:v>
                </c:pt>
                <c:pt idx="52">
                  <c:v>9.5182838615043494E-3</c:v>
                </c:pt>
                <c:pt idx="53">
                  <c:v>8.1476333928907369E-3</c:v>
                </c:pt>
                <c:pt idx="54">
                  <c:v>6.9743591251182745E-3</c:v>
                </c:pt>
                <c:pt idx="55">
                  <c:v>5.9700385204571474E-3</c:v>
                </c:pt>
                <c:pt idx="56">
                  <c:v>5.1103419391438209E-3</c:v>
                </c:pt>
                <c:pt idx="57">
                  <c:v>4.3744432545089317E-3</c:v>
                </c:pt>
                <c:pt idx="58">
                  <c:v>3.7445153406162656E-3</c:v>
                </c:pt>
                <c:pt idx="59">
                  <c:v>3.2052982106141287E-3</c:v>
                </c:pt>
                <c:pt idx="60">
                  <c:v>2.7437293439623862E-3</c:v>
                </c:pt>
                <c:pt idx="61">
                  <c:v>2.3486272472219966E-3</c:v>
                </c:pt>
                <c:pt idx="62">
                  <c:v>2.0104205826758119E-3</c:v>
                </c:pt>
                <c:pt idx="63">
                  <c:v>1.7209163029285534E-3</c:v>
                </c:pt>
                <c:pt idx="64">
                  <c:v>1.4731011745530104E-3</c:v>
                </c:pt>
                <c:pt idx="65">
                  <c:v>1.2609718826979762E-3</c:v>
                </c:pt>
                <c:pt idx="66">
                  <c:v>1.0793896009466931E-3</c:v>
                </c:pt>
                <c:pt idx="67">
                  <c:v>9.2395550338446016E-4</c:v>
                </c:pt>
                <c:pt idx="68">
                  <c:v>7.9090420315860869E-4</c:v>
                </c:pt>
                <c:pt idx="69">
                  <c:v>6.7701253608277859E-4</c:v>
                </c:pt>
                <c:pt idx="70">
                  <c:v>5.7952147957079253E-4</c:v>
                </c:pt>
                <c:pt idx="71">
                  <c:v>4.9606931538835781E-4</c:v>
                </c:pt>
                <c:pt idx="72">
                  <c:v>4.2463441709206489E-4</c:v>
                </c:pt>
                <c:pt idx="73">
                  <c:v>3.6348627618290662E-4</c:v>
                </c:pt>
                <c:pt idx="74">
                  <c:v>3.1114358058421498E-4</c:v>
                </c:pt>
                <c:pt idx="75">
                  <c:v>2.6633832989625861E-4</c:v>
                </c:pt>
                <c:pt idx="76">
                  <c:v>2.2798511812050301E-4</c:v>
                </c:pt>
                <c:pt idx="77">
                  <c:v>1.9515483972834617E-4</c:v>
                </c:pt>
                <c:pt idx="78">
                  <c:v>1.6705218210456195E-4</c:v>
                </c:pt>
                <c:pt idx="79">
                  <c:v>1.4299635912048804E-4</c:v>
                </c:pt>
                <c:pt idx="80">
                  <c:v>1.2240461910827769E-4</c:v>
                </c:pt>
                <c:pt idx="81">
                  <c:v>1.0477812771734998E-4</c:v>
                </c:pt>
                <c:pt idx="82">
                  <c:v>8.9689883665598039E-5</c:v>
                </c:pt>
                <c:pt idx="83">
                  <c:v>7.6774374644762188E-5</c:v>
                </c:pt>
                <c:pt idx="84">
                  <c:v>6.5718722794543141E-5</c:v>
                </c:pt>
                <c:pt idx="85">
                  <c:v>5.6255105244816072E-5</c:v>
                </c:pt>
                <c:pt idx="86">
                  <c:v>4.8154266113766907E-5</c:v>
                </c:pt>
                <c:pt idx="87">
                  <c:v>4.1219962790295731E-5</c:v>
                </c:pt>
                <c:pt idx="88">
                  <c:v>3.5284211962013679E-5</c:v>
                </c:pt>
                <c:pt idx="89">
                  <c:v>3.0203220223998101E-5</c:v>
                </c:pt>
                <c:pt idx="90">
                  <c:v>2.5853900687407183E-5</c:v>
                </c:pt>
                <c:pt idx="91">
                  <c:v>2.2130891202892848E-5</c:v>
                </c:pt>
                <c:pt idx="92">
                  <c:v>1.8944001965352885E-5</c:v>
                </c:pt>
                <c:pt idx="93">
                  <c:v>1.6216030668316792E-5</c:v>
                </c:pt>
                <c:pt idx="94">
                  <c:v>1.3880892280138303E-5</c:v>
                </c:pt>
                <c:pt idx="95">
                  <c:v>1.1882018135872398E-5</c:v>
                </c:pt>
                <c:pt idx="96">
                  <c:v>1.0170985562881544E-5</c:v>
                </c:pt>
                <c:pt idx="97">
                  <c:v>8.7063448428871821E-6</c:v>
                </c:pt>
                <c:pt idx="98">
                  <c:v>7.4526150936540568E-6</c:v>
                </c:pt>
                <c:pt idx="99">
                  <c:v>6.3794247455676846E-6</c:v>
                </c:pt>
                <c:pt idx="100">
                  <c:v>5.4607757911736539E-6</c:v>
                </c:pt>
                <c:pt idx="101">
                  <c:v>4.6744139841427898E-6</c:v>
                </c:pt>
                <c:pt idx="102">
                  <c:v>4.0012897307497003E-6</c:v>
                </c:pt>
                <c:pt idx="103">
                  <c:v>3.4250966139746041E-6</c:v>
                </c:pt>
                <c:pt idx="104">
                  <c:v>2.9318763709875734E-6</c:v>
                </c:pt>
                <c:pt idx="105">
                  <c:v>2.5096807546051353E-6</c:v>
                </c:pt>
                <c:pt idx="106">
                  <c:v>2.1482820873220573E-6</c:v>
                </c:pt>
                <c:pt idx="107">
                  <c:v>1.8389254960975871E-6</c:v>
                </c:pt>
                <c:pt idx="108">
                  <c:v>1.5741168257903872E-6</c:v>
                </c:pt>
                <c:pt idx="109">
                  <c:v>1.3474410934508683E-6</c:v>
                </c:pt>
                <c:pt idx="110">
                  <c:v>1.153407085530919E-6</c:v>
                </c:pt>
                <c:pt idx="111">
                  <c:v>9.8731433338272068E-7</c:v>
                </c:pt>
                <c:pt idx="112">
                  <c:v>8.4513924453157185E-7</c:v>
                </c:pt>
                <c:pt idx="113">
                  <c:v>7.2343763125590767E-7</c:v>
                </c:pt>
                <c:pt idx="114">
                  <c:v>6.1926127523191092E-7</c:v>
                </c:pt>
                <c:pt idx="115">
                  <c:v>5.3008650702357778E-7</c:v>
                </c:pt>
                <c:pt idx="116">
                  <c:v>4.5375307025814808E-7</c:v>
                </c:pt>
                <c:pt idx="117">
                  <c:v>3.8841178947333339E-7</c:v>
                </c:pt>
                <c:pt idx="118">
                  <c:v>3.3247977389122249E-7</c:v>
                </c:pt>
                <c:pt idx="119">
                  <c:v>2.8460207193156735E-7</c:v>
                </c:pt>
                <c:pt idx="120">
                  <c:v>2.4361884754601947E-7</c:v>
                </c:pt>
                <c:pt idx="121">
                  <c:v>2.0853728322090943E-7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32-4457-816D-A451A2E00AA4}"/>
            </c:ext>
          </c:extLst>
        </c:ser>
        <c:ser>
          <c:idx val="2"/>
          <c:order val="2"/>
          <c:tx>
            <c:v>ir;  Ur  4,25  [V/c]</c:v>
          </c:tx>
          <c:spPr>
            <a:ln w="15875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2-0932-4457-816D-A451A2E00AA4}"/>
            </c:ext>
          </c:extLst>
        </c:ser>
        <c:ser>
          <c:idx val="3"/>
          <c:order val="3"/>
          <c:tx>
            <c:v>Imáx ad.  =  8,0  [A]</c:v>
          </c:tx>
          <c:spPr>
            <a:ln w="1905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parámetros'!$DB$5:$DB$126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parámetros'!$DI$5:$DI$126</c:f>
              <c:numCache>
                <c:formatCode>#,##0.000</c:formatCode>
                <c:ptCount val="12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32-4457-816D-A451A2E00AA4}"/>
            </c:ext>
          </c:extLst>
        </c:ser>
        <c:ser>
          <c:idx val="4"/>
          <c:order val="4"/>
          <c:tx>
            <c:v>ir &lt; 8,0 [A]; Ur  =  4,15  [V/c]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4-0932-4457-816D-A451A2E00AA4}"/>
            </c:ext>
          </c:extLst>
        </c:ser>
        <c:ser>
          <c:idx val="5"/>
          <c:order val="5"/>
          <c:tx>
            <c:v>ir &lt; 8,0 [A]; Ur  =  4,20  [V/c]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'SLPB68106100 4 parámetros'!$DB$5:$DB$126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parámetros'!$DG$5:$DG$126</c:f>
              <c:numCache>
                <c:formatCode>0.000</c:formatCode>
                <c:ptCount val="122"/>
                <c:pt idx="2">
                  <c:v>8.0000000000000071</c:v>
                </c:pt>
                <c:pt idx="3">
                  <c:v>8.0000000000000071</c:v>
                </c:pt>
                <c:pt idx="4">
                  <c:v>8.0000000000000036</c:v>
                </c:pt>
                <c:pt idx="5">
                  <c:v>7.9999999999999911</c:v>
                </c:pt>
                <c:pt idx="6">
                  <c:v>8.0000000000000089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2.4289249283685748</c:v>
                </c:pt>
                <c:pt idx="48">
                  <c:v>1.9180871091464338E-2</c:v>
                </c:pt>
                <c:pt idx="49">
                  <c:v>1.6418790202443658E-2</c:v>
                </c:pt>
                <c:pt idx="50">
                  <c:v>1.4054454066574401E-2</c:v>
                </c:pt>
                <c:pt idx="51">
                  <c:v>1.2030586704305834E-2</c:v>
                </c:pt>
                <c:pt idx="52">
                  <c:v>1.029815998283116E-2</c:v>
                </c:pt>
                <c:pt idx="53">
                  <c:v>8.8152059113255164E-3</c:v>
                </c:pt>
                <c:pt idx="54">
                  <c:v>7.5457999670192335E-3</c:v>
                </c:pt>
                <c:pt idx="55">
                  <c:v>6.4591908249411398E-3</c:v>
                </c:pt>
                <c:pt idx="56">
                  <c:v>5.5290554076847997E-3</c:v>
                </c:pt>
                <c:pt idx="57">
                  <c:v>4.7328612096819876E-3</c:v>
                </c:pt>
                <c:pt idx="58">
                  <c:v>4.0513204477577039E-3</c:v>
                </c:pt>
                <c:pt idx="59">
                  <c:v>3.4679228152967125E-3</c:v>
                </c:pt>
                <c:pt idx="60">
                  <c:v>2.9685355201536472E-3</c:v>
                </c:pt>
                <c:pt idx="61">
                  <c:v>2.5410609185172327E-3</c:v>
                </c:pt>
                <c:pt idx="62">
                  <c:v>2.1751434496408784E-3</c:v>
                </c:pt>
                <c:pt idx="63">
                  <c:v>1.8619187725832111E-3</c:v>
                </c:pt>
                <c:pt idx="64">
                  <c:v>1.5937990279724147E-3</c:v>
                </c:pt>
                <c:pt idx="65">
                  <c:v>1.364289022163239E-3</c:v>
                </c:pt>
                <c:pt idx="66">
                  <c:v>1.1678288813499235E-3</c:v>
                </c:pt>
                <c:pt idx="67">
                  <c:v>9.9965936396272949E-4</c:v>
                </c:pt>
                <c:pt idx="68">
                  <c:v>8.5570656786160574E-4</c:v>
                </c:pt>
                <c:pt idx="69">
                  <c:v>7.3248324053310204E-4</c:v>
                </c:pt>
                <c:pt idx="70">
                  <c:v>6.2700430000006918E-4</c:v>
                </c:pt>
                <c:pt idx="71">
                  <c:v>5.3671452196368537E-4</c:v>
                </c:pt>
                <c:pt idx="72">
                  <c:v>4.594266387769624E-4</c:v>
                </c:pt>
                <c:pt idx="73">
                  <c:v>3.9326835363340392E-4</c:v>
                </c:pt>
                <c:pt idx="74">
                  <c:v>3.3663698385311255E-4</c:v>
                </c:pt>
                <c:pt idx="75">
                  <c:v>2.8816063593950091E-4</c:v>
                </c:pt>
                <c:pt idx="76">
                  <c:v>2.4666497179026779E-4</c:v>
                </c:pt>
                <c:pt idx="77">
                  <c:v>2.1114475995176539E-4</c:v>
                </c:pt>
                <c:pt idx="78">
                  <c:v>1.8073952425367876E-4</c:v>
                </c:pt>
                <c:pt idx="79">
                  <c:v>1.5471269868783165E-4</c:v>
                </c:pt>
                <c:pt idx="80">
                  <c:v>1.324337841523975E-4</c:v>
                </c:pt>
                <c:pt idx="81">
                  <c:v>1.1336307444764811E-4</c:v>
                </c:pt>
                <c:pt idx="82">
                  <c:v>9.7038582147489233E-5</c:v>
                </c:pt>
                <c:pt idx="83">
                  <c:v>8.3064847018478715E-5</c:v>
                </c:pt>
                <c:pt idx="84">
                  <c:v>7.1103355523404282E-5</c:v>
                </c:pt>
                <c:pt idx="85">
                  <c:v>6.0864340873935292E-5</c:v>
                </c:pt>
                <c:pt idx="86">
                  <c:v>5.2099763330203757E-5</c:v>
                </c:pt>
                <c:pt idx="87">
                  <c:v>4.4597301069870965E-5</c:v>
                </c:pt>
                <c:pt idx="88">
                  <c:v>3.8175207315305351E-5</c:v>
                </c:pt>
                <c:pt idx="89">
                  <c:v>3.2677906887102041E-5</c:v>
                </c:pt>
                <c:pt idx="90">
                  <c:v>2.7972227911731865E-5</c:v>
                </c:pt>
                <c:pt idx="91">
                  <c:v>2.394417538909019E-5</c:v>
                </c:pt>
                <c:pt idx="92">
                  <c:v>2.049616988131227E-5</c:v>
                </c:pt>
                <c:pt idx="93">
                  <c:v>1.7544683537096011E-5</c:v>
                </c:pt>
                <c:pt idx="94">
                  <c:v>1.5018216679152427E-5</c:v>
                </c:pt>
                <c:pt idx="95">
                  <c:v>1.2855565714176055E-5</c:v>
                </c:pt>
                <c:pt idx="96">
                  <c:v>1.1004340478848501E-5</c:v>
                </c:pt>
                <c:pt idx="97">
                  <c:v>9.4196951394563738E-6</c:v>
                </c:pt>
                <c:pt idx="98">
                  <c:v>8.0632416299410471E-6</c:v>
                </c:pt>
                <c:pt idx="99">
                  <c:v>6.9021199067264133E-6</c:v>
                </c:pt>
                <c:pt idx="100">
                  <c:v>5.9082018921686893E-6</c:v>
                </c:pt>
                <c:pt idx="101">
                  <c:v>5.0574098864330343E-6</c:v>
                </c:pt>
                <c:pt idx="102">
                  <c:v>4.3291335316553311E-6</c:v>
                </c:pt>
                <c:pt idx="103">
                  <c:v>3.7057303003962392E-6</c:v>
                </c:pt>
                <c:pt idx="104">
                  <c:v>3.1720982818228663E-6</c:v>
                </c:pt>
                <c:pt idx="105">
                  <c:v>2.715310287726386E-6</c:v>
                </c:pt>
                <c:pt idx="106">
                  <c:v>2.324300538703036E-6</c:v>
                </c:pt>
                <c:pt idx="107">
                  <c:v>1.9895970027050752E-6</c:v>
                </c:pt>
                <c:pt idx="108">
                  <c:v>1.7030913568305309E-6</c:v>
                </c:pt>
                <c:pt idx="109">
                  <c:v>1.4578430551637262E-6</c:v>
                </c:pt>
                <c:pt idx="110">
                  <c:v>1.2479109301466496E-6</c:v>
                </c:pt>
                <c:pt idx="111">
                  <c:v>1.0682094853109485E-6</c:v>
                </c:pt>
                <c:pt idx="112">
                  <c:v>9.143853318960152E-7</c:v>
                </c:pt>
                <c:pt idx="113">
                  <c:v>7.8271217063276562E-7</c:v>
                </c:pt>
                <c:pt idx="114">
                  <c:v>6.700001620174494E-7</c:v>
                </c:pt>
                <c:pt idx="115">
                  <c:v>5.7351886795232839E-7</c:v>
                </c:pt>
                <c:pt idx="116">
                  <c:v>4.9093113574371484E-7</c:v>
                </c:pt>
                <c:pt idx="117">
                  <c:v>4.202361125749136E-7</c:v>
                </c:pt>
                <c:pt idx="118">
                  <c:v>3.5972135492556972E-7</c:v>
                </c:pt>
                <c:pt idx="119">
                  <c:v>3.0792079996899813E-7</c:v>
                </c:pt>
                <c:pt idx="120">
                  <c:v>2.6357966476097851E-7</c:v>
                </c:pt>
                <c:pt idx="121">
                  <c:v>2.256236797393293E-7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932-4457-816D-A451A2E00AA4}"/>
            </c:ext>
          </c:extLst>
        </c:ser>
        <c:ser>
          <c:idx val="6"/>
          <c:order val="6"/>
          <c:tx>
            <c:v>ir &lt; 8,0 [A]; Ur  =  4,25  [V/c]</c:v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6-0932-4457-816D-A451A2E00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40384"/>
        <c:axId val="118242304"/>
      </c:scatterChart>
      <c:valAx>
        <c:axId val="118240384"/>
        <c:scaling>
          <c:orientation val="minMax"/>
          <c:max val="3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Tiempo de descarga t</a:t>
                </a:r>
                <a:r>
                  <a:rPr lang="en-US" sz="1100" baseline="0"/>
                  <a:t> </a:t>
                </a:r>
                <a:r>
                  <a:rPr lang="en-US" sz="1100"/>
                  <a:t>[h]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18242304"/>
        <c:crosses val="autoZero"/>
        <c:crossBetween val="midCat"/>
        <c:majorUnit val="0.25"/>
        <c:minorUnit val="1.0000000000000005E-2"/>
      </c:valAx>
      <c:valAx>
        <c:axId val="118242304"/>
        <c:scaling>
          <c:orientation val="minMax"/>
          <c:max val="9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Corriente de recarga</a:t>
                </a:r>
                <a:r>
                  <a:rPr lang="en-US" sz="1100" baseline="0"/>
                  <a:t> </a:t>
                </a:r>
                <a:r>
                  <a:rPr lang="en-US" sz="1100"/>
                  <a:t>ir [A]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18240384"/>
        <c:crosses val="autoZero"/>
        <c:crossBetween val="midCat"/>
        <c:majorUnit val="1"/>
        <c:minorUnit val="0.1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35048074852168137"/>
          <c:y val="0.42252003499562557"/>
          <c:w val="0.3358766403429243"/>
          <c:h val="0.24495118110236219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Recarga a tensión constante</a:t>
            </a:r>
          </a:p>
          <a:p>
            <a:pPr>
              <a:defRPr sz="1400"/>
            </a:pPr>
            <a:r>
              <a:rPr lang="es-ES" sz="1400"/>
              <a:t>acumulador de litio Worley Parsons SLPB 68106100</a:t>
            </a:r>
          </a:p>
        </c:rich>
      </c:tx>
      <c:layout>
        <c:manualLayout>
          <c:xMode val="edge"/>
          <c:yMode val="edge"/>
          <c:x val="0.20190433828962229"/>
          <c:y val="3.325773091667472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050668405518425E-2"/>
          <c:y val="0.11984826624764321"/>
          <c:w val="0.87703919927113971"/>
          <c:h val="0.77246919797279723"/>
        </c:manualLayout>
      </c:layout>
      <c:scatterChart>
        <c:scatterStyle val="smoothMarker"/>
        <c:varyColors val="0"/>
        <c:ser>
          <c:idx val="0"/>
          <c:order val="0"/>
          <c:tx>
            <c:v>qe; Ur  =  4,15  [V/c]</c:v>
          </c:tx>
          <c:spPr>
            <a:ln w="15875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0-2BFD-4CEE-935E-6946B339C368}"/>
            </c:ext>
          </c:extLst>
        </c:ser>
        <c:ser>
          <c:idx val="1"/>
          <c:order val="1"/>
          <c:tx>
            <c:v>qe; Ur  =  4,20  [V/c]</c:v>
          </c:tx>
          <c:spPr>
            <a:ln w="19050">
              <a:solidFill>
                <a:srgbClr val="00B050"/>
              </a:solidFill>
              <a:prstDash val="sysDash"/>
            </a:ln>
          </c:spPr>
          <c:marker>
            <c:symbol val="none"/>
          </c:marker>
          <c:xVal>
            <c:numRef>
              <c:f>'SLPB68106100 4 parámetros'!$CM$5:$CM$126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parámetros'!$CO$5:$CO$126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1.2248651880239709</c:v>
                </c:pt>
                <c:pt idx="3">
                  <c:v>2.2733475250653883</c:v>
                </c:pt>
                <c:pt idx="4">
                  <c:v>3.1708464676725447</c:v>
                </c:pt>
                <c:pt idx="5">
                  <c:v>3.9391039037052011</c:v>
                </c:pt>
                <c:pt idx="6">
                  <c:v>4.5967308489859757</c:v>
                </c:pt>
                <c:pt idx="7">
                  <c:v>5.1596582986604629</c:v>
                </c:pt>
                <c:pt idx="8">
                  <c:v>5.6415231551281764</c:v>
                </c:pt>
                <c:pt idx="9">
                  <c:v>6.0539985816381412</c:v>
                </c:pt>
                <c:pt idx="10">
                  <c:v>6.4070767843561205</c:v>
                </c:pt>
                <c:pt idx="11">
                  <c:v>6.7093110732915049</c:v>
                </c:pt>
                <c:pt idx="12">
                  <c:v>6.968023066003326</c:v>
                </c:pt>
                <c:pt idx="13">
                  <c:v>7.1894800535896417</c:v>
                </c:pt>
                <c:pt idx="14">
                  <c:v>7.3790468256466051</c:v>
                </c:pt>
                <c:pt idx="15">
                  <c:v>7.5413156321528394</c:v>
                </c:pt>
                <c:pt idx="16">
                  <c:v>7.6802174306022266</c:v>
                </c:pt>
                <c:pt idx="17">
                  <c:v>7.7991171133439829</c:v>
                </c:pt>
                <c:pt idx="18">
                  <c:v>7.9008950220097303</c:v>
                </c:pt>
                <c:pt idx="19">
                  <c:v>7.9880167237124349</c:v>
                </c:pt>
                <c:pt idx="20">
                  <c:v>8.0625927393437067</c:v>
                </c:pt>
                <c:pt idx="21">
                  <c:v>8.1264296708859103</c:v>
                </c:pt>
                <c:pt idx="22">
                  <c:v>8.1810739662968199</c:v>
                </c:pt>
                <c:pt idx="23">
                  <c:v>8.2278493821700103</c:v>
                </c:pt>
                <c:pt idx="24">
                  <c:v>8.2678890517028858</c:v>
                </c:pt>
                <c:pt idx="25">
                  <c:v>8.3021629348180745</c:v>
                </c:pt>
                <c:pt idx="26">
                  <c:v>8.3315013154165722</c:v>
                </c:pt>
                <c:pt idx="27">
                  <c:v>8.3566149149830249</c:v>
                </c:pt>
                <c:pt idx="28">
                  <c:v>8.3781121097946745</c:v>
                </c:pt>
                <c:pt idx="29">
                  <c:v>8.3965136688203756</c:v>
                </c:pt>
                <c:pt idx="30">
                  <c:v>8.4122653693349463</c:v>
                </c:pt>
                <c:pt idx="31">
                  <c:v>8.4257487958616917</c:v>
                </c:pt>
                <c:pt idx="32">
                  <c:v>8.4372905840472949</c:v>
                </c:pt>
                <c:pt idx="33">
                  <c:v>8.4471703334015871</c:v>
                </c:pt>
                <c:pt idx="34">
                  <c:v>8.4556273805882132</c:v>
                </c:pt>
                <c:pt idx="35">
                  <c:v>8.4628665973488815</c:v>
                </c:pt>
                <c:pt idx="36">
                  <c:v>8.4690633535158355</c:v>
                </c:pt>
                <c:pt idx="37">
                  <c:v>8.4743677653413414</c:v>
                </c:pt>
                <c:pt idx="38">
                  <c:v>8.478908332059877</c:v>
                </c:pt>
                <c:pt idx="39">
                  <c:v>8.482795048778657</c:v>
                </c:pt>
                <c:pt idx="40">
                  <c:v>8.4861220711061502</c:v>
                </c:pt>
                <c:pt idx="41">
                  <c:v>8.4889699960691782</c:v>
                </c:pt>
                <c:pt idx="42">
                  <c:v>8.4914078145737371</c:v>
                </c:pt>
                <c:pt idx="43">
                  <c:v>8.4934945827078412</c:v>
                </c:pt>
                <c:pt idx="44">
                  <c:v>8.4952808523736802</c:v>
                </c:pt>
                <c:pt idx="45">
                  <c:v>8.4968098959060931</c:v>
                </c:pt>
                <c:pt idx="46">
                  <c:v>8.4981187543437215</c:v>
                </c:pt>
                <c:pt idx="47">
                  <c:v>8.4992391347471798</c:v>
                </c:pt>
                <c:pt idx="48">
                  <c:v>8.5001981783017513</c:v>
                </c:pt>
                <c:pt idx="49">
                  <c:v>8.5010191178118735</c:v>
                </c:pt>
                <c:pt idx="50">
                  <c:v>8.5017218405152022</c:v>
                </c:pt>
                <c:pt idx="51">
                  <c:v>8.5023233698504175</c:v>
                </c:pt>
                <c:pt idx="52">
                  <c:v>8.502838277849559</c:v>
                </c:pt>
                <c:pt idx="53">
                  <c:v>8.5032790381451253</c:v>
                </c:pt>
                <c:pt idx="54">
                  <c:v>8.5036563281434763</c:v>
                </c:pt>
                <c:pt idx="55">
                  <c:v>8.5039792876847233</c:v>
                </c:pt>
                <c:pt idx="56">
                  <c:v>8.5042557404551076</c:v>
                </c:pt>
                <c:pt idx="57">
                  <c:v>8.5044923835155917</c:v>
                </c:pt>
                <c:pt idx="58">
                  <c:v>8.5046949495379796</c:v>
                </c:pt>
                <c:pt idx="59">
                  <c:v>8.5048683456787444</c:v>
                </c:pt>
                <c:pt idx="60">
                  <c:v>8.5050167724547521</c:v>
                </c:pt>
                <c:pt idx="61">
                  <c:v>8.5051438255006779</c:v>
                </c:pt>
                <c:pt idx="62">
                  <c:v>8.50525258267316</c:v>
                </c:pt>
                <c:pt idx="63">
                  <c:v>8.5053456786117891</c:v>
                </c:pt>
                <c:pt idx="64">
                  <c:v>8.5054253685631878</c:v>
                </c:pt>
                <c:pt idx="65">
                  <c:v>8.5054935830142959</c:v>
                </c:pt>
                <c:pt idx="66">
                  <c:v>8.5055519744583634</c:v>
                </c:pt>
                <c:pt idx="67">
                  <c:v>8.5056019574265616</c:v>
                </c:pt>
                <c:pt idx="68">
                  <c:v>8.5056447427549546</c:v>
                </c:pt>
                <c:pt idx="69">
                  <c:v>8.5056813669169813</c:v>
                </c:pt>
                <c:pt idx="70">
                  <c:v>8.5057127171319813</c:v>
                </c:pt>
                <c:pt idx="71">
                  <c:v>8.5057395528580795</c:v>
                </c:pt>
                <c:pt idx="72">
                  <c:v>8.5057625241900183</c:v>
                </c:pt>
                <c:pt idx="73">
                  <c:v>8.5057821876077</c:v>
                </c:pt>
                <c:pt idx="74">
                  <c:v>8.5057990194568927</c:v>
                </c:pt>
                <c:pt idx="75">
                  <c:v>8.5058134274886896</c:v>
                </c:pt>
                <c:pt idx="76">
                  <c:v>8.5058257607372791</c:v>
                </c:pt>
                <c:pt idx="77">
                  <c:v>8.5058363179752767</c:v>
                </c:pt>
                <c:pt idx="78">
                  <c:v>8.5058453549514894</c:v>
                </c:pt>
                <c:pt idx="79">
                  <c:v>8.5058530905864238</c:v>
                </c:pt>
                <c:pt idx="80">
                  <c:v>8.5058597122756314</c:v>
                </c:pt>
                <c:pt idx="81">
                  <c:v>8.5058653804293538</c:v>
                </c:pt>
                <c:pt idx="82">
                  <c:v>8.5058702323584612</c:v>
                </c:pt>
                <c:pt idx="83">
                  <c:v>8.5058743856008121</c:v>
                </c:pt>
                <c:pt idx="84">
                  <c:v>8.5058779407685883</c:v>
                </c:pt>
                <c:pt idx="85">
                  <c:v>8.505880983985632</c:v>
                </c:pt>
                <c:pt idx="86">
                  <c:v>8.5058835889737985</c:v>
                </c:pt>
                <c:pt idx="87">
                  <c:v>8.505885818838852</c:v>
                </c:pt>
                <c:pt idx="88">
                  <c:v>8.5058877275992177</c:v>
                </c:pt>
                <c:pt idx="89">
                  <c:v>8.5058893614945621</c:v>
                </c:pt>
                <c:pt idx="90">
                  <c:v>8.5058907601059577</c:v>
                </c:pt>
                <c:pt idx="91">
                  <c:v>8.5058919573147271</c:v>
                </c:pt>
                <c:pt idx="92">
                  <c:v>8.5058929821232212</c:v>
                </c:pt>
                <c:pt idx="93">
                  <c:v>8.5058938593573981</c:v>
                </c:pt>
                <c:pt idx="94">
                  <c:v>8.505894610268232</c:v>
                </c:pt>
                <c:pt idx="95">
                  <c:v>8.5058952530465177</c:v>
                </c:pt>
                <c:pt idx="96">
                  <c:v>8.5058958032635417</c:v>
                </c:pt>
                <c:pt idx="97">
                  <c:v>8.5058962742482986</c:v>
                </c:pt>
                <c:pt idx="98">
                  <c:v>8.5058966774103801</c:v>
                </c:pt>
                <c:pt idx="99">
                  <c:v>8.5058970225163755</c:v>
                </c:pt>
                <c:pt idx="100">
                  <c:v>8.5058973179264701</c:v>
                </c:pt>
                <c:pt idx="101">
                  <c:v>8.5058975707969644</c:v>
                </c:pt>
                <c:pt idx="102">
                  <c:v>8.505897787253641</c:v>
                </c:pt>
                <c:pt idx="103">
                  <c:v>8.505897972540156</c:v>
                </c:pt>
                <c:pt idx="104">
                  <c:v>8.5058981311450701</c:v>
                </c:pt>
                <c:pt idx="105">
                  <c:v>8.5058982669105845</c:v>
                </c:pt>
                <c:pt idx="106">
                  <c:v>8.5058983831256114</c:v>
                </c:pt>
                <c:pt idx="107">
                  <c:v>8.5058984826054616</c:v>
                </c:pt>
                <c:pt idx="108">
                  <c:v>8.5058985677600294</c:v>
                </c:pt>
                <c:pt idx="109">
                  <c:v>8.5058986406521822</c:v>
                </c:pt>
                <c:pt idx="110">
                  <c:v>8.5058987030477287</c:v>
                </c:pt>
                <c:pt idx="111">
                  <c:v>8.5058987564582029</c:v>
                </c:pt>
                <c:pt idx="112">
                  <c:v>8.5058988021774695</c:v>
                </c:pt>
                <c:pt idx="113">
                  <c:v>8.5058988413130781</c:v>
                </c:pt>
                <c:pt idx="114">
                  <c:v>8.5058988748130862</c:v>
                </c:pt>
                <c:pt idx="115">
                  <c:v>8.5058989034890295</c:v>
                </c:pt>
                <c:pt idx="116">
                  <c:v>8.5058989280355863</c:v>
                </c:pt>
                <c:pt idx="117">
                  <c:v>8.505898949047392</c:v>
                </c:pt>
                <c:pt idx="118">
                  <c:v>8.5058989670334597</c:v>
                </c:pt>
                <c:pt idx="119">
                  <c:v>8.5058989824294997</c:v>
                </c:pt>
                <c:pt idx="120">
                  <c:v>8.5058989956084829</c:v>
                </c:pt>
                <c:pt idx="121">
                  <c:v>8.5058990068896669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FD-4CEE-935E-6946B339C368}"/>
            </c:ext>
          </c:extLst>
        </c:ser>
        <c:ser>
          <c:idx val="2"/>
          <c:order val="2"/>
          <c:tx>
            <c:v>qe; Ur  =  4,25  [V/c]</c:v>
          </c:tx>
          <c:spPr>
            <a:ln w="1587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2-2BFD-4CEE-935E-6946B339C368}"/>
            </c:ext>
          </c:extLst>
        </c:ser>
        <c:ser>
          <c:idx val="3"/>
          <c:order val="3"/>
          <c:tx>
            <c:v>qC; Ur  =  4,15  [V/c]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3-2BFD-4CEE-935E-6946B339C368}"/>
            </c:ext>
          </c:extLst>
        </c:ser>
        <c:ser>
          <c:idx val="4"/>
          <c:order val="4"/>
          <c:tx>
            <c:v>qE; Ur  =  4,20  [V/c]</c:v>
          </c:tx>
          <c:spPr>
            <a:ln w="19050">
              <a:solidFill>
                <a:srgbClr val="FFC000"/>
              </a:solidFill>
              <a:prstDash val="dash"/>
            </a:ln>
          </c:spPr>
          <c:marker>
            <c:symbol val="none"/>
          </c:marker>
          <c:xVal>
            <c:numRef>
              <c:f>'SLPB68106100 4 parámetros'!$CM$5:$CM$126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parámetros'!$CR$5:$CR$126</c:f>
              <c:numCache>
                <c:formatCode>0.000</c:formatCode>
                <c:ptCount val="122"/>
                <c:pt idx="0">
                  <c:v>-6.9709738104669841</c:v>
                </c:pt>
                <c:pt idx="1">
                  <c:v>-6.9709738104669841</c:v>
                </c:pt>
                <c:pt idx="2">
                  <c:v>-1.648030262631738</c:v>
                </c:pt>
                <c:pt idx="3">
                  <c:v>0.73029489520091795</c:v>
                </c:pt>
                <c:pt idx="4">
                  <c:v>1.792945758496304</c:v>
                </c:pt>
                <c:pt idx="5">
                  <c:v>2.2677449479778131</c:v>
                </c:pt>
                <c:pt idx="6">
                  <c:v>2.4798882568659315</c:v>
                </c:pt>
                <c:pt idx="7">
                  <c:v>2.5746752415597043</c:v>
                </c:pt>
                <c:pt idx="8">
                  <c:v>2.6170266714229755</c:v>
                </c:pt>
                <c:pt idx="9">
                  <c:v>2.6359495606493639</c:v>
                </c:pt>
                <c:pt idx="10">
                  <c:v>2.6444044283558426</c:v>
                </c:pt>
                <c:pt idx="11">
                  <c:v>2.6481821172213653</c:v>
                </c:pt>
                <c:pt idx="12">
                  <c:v>2.6498700127225283</c:v>
                </c:pt>
                <c:pt idx="13">
                  <c:v>2.6506241752076525</c:v>
                </c:pt>
                <c:pt idx="14">
                  <c:v>2.6509611398204358</c:v>
                </c:pt>
                <c:pt idx="15">
                  <c:v>2.6511116977605456</c:v>
                </c:pt>
                <c:pt idx="16">
                  <c:v>2.6511789680093192</c:v>
                </c:pt>
                <c:pt idx="17">
                  <c:v>2.6512090247859126</c:v>
                </c:pt>
                <c:pt idx="18">
                  <c:v>2.6512224543455711</c:v>
                </c:pt>
                <c:pt idx="19">
                  <c:v>2.6512284547585576</c:v>
                </c:pt>
                <c:pt idx="20">
                  <c:v>2.6512311357813863</c:v>
                </c:pt>
                <c:pt idx="21">
                  <c:v>2.6512323336795007</c:v>
                </c:pt>
                <c:pt idx="22">
                  <c:v>2.6512328689080253</c:v>
                </c:pt>
                <c:pt idx="23">
                  <c:v>2.6512331080515472</c:v>
                </c:pt>
                <c:pt idx="24">
                  <c:v>2.6512332149023994</c:v>
                </c:pt>
                <c:pt idx="25">
                  <c:v>2.651233262644042</c:v>
                </c:pt>
                <c:pt idx="26">
                  <c:v>2.6512332839753134</c:v>
                </c:pt>
                <c:pt idx="27">
                  <c:v>2.651233293506261</c:v>
                </c:pt>
                <c:pt idx="28">
                  <c:v>2.6512332977647493</c:v>
                </c:pt>
                <c:pt idx="29">
                  <c:v>2.6512332996674695</c:v>
                </c:pt>
                <c:pt idx="30">
                  <c:v>2.651233300517617</c:v>
                </c:pt>
                <c:pt idx="31">
                  <c:v>2.6512333008974682</c:v>
                </c:pt>
                <c:pt idx="32">
                  <c:v>2.651233301067188</c:v>
                </c:pt>
                <c:pt idx="33">
                  <c:v>2.6512333011430198</c:v>
                </c:pt>
                <c:pt idx="34">
                  <c:v>2.651233301176902</c:v>
                </c:pt>
                <c:pt idx="35">
                  <c:v>2.651233301192041</c:v>
                </c:pt>
                <c:pt idx="36">
                  <c:v>2.651233301198805</c:v>
                </c:pt>
                <c:pt idx="37">
                  <c:v>2.6512333012018274</c:v>
                </c:pt>
                <c:pt idx="38">
                  <c:v>2.6512333012031779</c:v>
                </c:pt>
                <c:pt idx="39">
                  <c:v>2.651233301203781</c:v>
                </c:pt>
                <c:pt idx="40">
                  <c:v>2.6512333012040505</c:v>
                </c:pt>
                <c:pt idx="41">
                  <c:v>2.6512333012041709</c:v>
                </c:pt>
                <c:pt idx="42">
                  <c:v>2.6512333012042246</c:v>
                </c:pt>
                <c:pt idx="43">
                  <c:v>2.6512333012042486</c:v>
                </c:pt>
                <c:pt idx="44">
                  <c:v>2.6512333012042597</c:v>
                </c:pt>
                <c:pt idx="45">
                  <c:v>2.6512333012042641</c:v>
                </c:pt>
                <c:pt idx="46">
                  <c:v>2.6512333012042664</c:v>
                </c:pt>
                <c:pt idx="47">
                  <c:v>2.6512333012042673</c:v>
                </c:pt>
                <c:pt idx="48">
                  <c:v>2.6512333012042677</c:v>
                </c:pt>
                <c:pt idx="49">
                  <c:v>2.6512333012042681</c:v>
                </c:pt>
                <c:pt idx="50">
                  <c:v>2.6512333012042681</c:v>
                </c:pt>
                <c:pt idx="51">
                  <c:v>2.6512333012042681</c:v>
                </c:pt>
                <c:pt idx="52">
                  <c:v>2.6512333012042681</c:v>
                </c:pt>
                <c:pt idx="53">
                  <c:v>2.6512333012042681</c:v>
                </c:pt>
                <c:pt idx="54">
                  <c:v>2.6512333012042681</c:v>
                </c:pt>
                <c:pt idx="55">
                  <c:v>2.6512333012042681</c:v>
                </c:pt>
                <c:pt idx="56">
                  <c:v>2.6512333012042681</c:v>
                </c:pt>
                <c:pt idx="57">
                  <c:v>2.6512333012042681</c:v>
                </c:pt>
                <c:pt idx="58">
                  <c:v>2.6512333012042681</c:v>
                </c:pt>
                <c:pt idx="59">
                  <c:v>2.6512333012042681</c:v>
                </c:pt>
                <c:pt idx="60">
                  <c:v>2.6512333012042681</c:v>
                </c:pt>
                <c:pt idx="61">
                  <c:v>2.6512333012042681</c:v>
                </c:pt>
                <c:pt idx="62">
                  <c:v>2.6512333012042681</c:v>
                </c:pt>
                <c:pt idx="63">
                  <c:v>2.6512333012042681</c:v>
                </c:pt>
                <c:pt idx="64">
                  <c:v>2.6512333012042681</c:v>
                </c:pt>
                <c:pt idx="65">
                  <c:v>2.6512333012042681</c:v>
                </c:pt>
                <c:pt idx="66">
                  <c:v>2.6512333012042681</c:v>
                </c:pt>
                <c:pt idx="67">
                  <c:v>2.6512333012042681</c:v>
                </c:pt>
                <c:pt idx="68">
                  <c:v>2.6512333012042681</c:v>
                </c:pt>
                <c:pt idx="69">
                  <c:v>2.6512333012042681</c:v>
                </c:pt>
                <c:pt idx="70">
                  <c:v>2.6512333012042681</c:v>
                </c:pt>
                <c:pt idx="71">
                  <c:v>2.6512333012042681</c:v>
                </c:pt>
                <c:pt idx="72">
                  <c:v>2.6512333012042681</c:v>
                </c:pt>
                <c:pt idx="73">
                  <c:v>2.6512333012042681</c:v>
                </c:pt>
                <c:pt idx="74">
                  <c:v>2.6512333012042681</c:v>
                </c:pt>
                <c:pt idx="75">
                  <c:v>2.6512333012042681</c:v>
                </c:pt>
                <c:pt idx="76">
                  <c:v>2.6512333012042681</c:v>
                </c:pt>
                <c:pt idx="77">
                  <c:v>2.6512333012042681</c:v>
                </c:pt>
                <c:pt idx="78">
                  <c:v>2.6512333012042681</c:v>
                </c:pt>
                <c:pt idx="79">
                  <c:v>2.6512333012042681</c:v>
                </c:pt>
                <c:pt idx="80">
                  <c:v>2.6512333012042681</c:v>
                </c:pt>
                <c:pt idx="81">
                  <c:v>2.6512333012042681</c:v>
                </c:pt>
                <c:pt idx="82">
                  <c:v>2.6512333012042681</c:v>
                </c:pt>
                <c:pt idx="83">
                  <c:v>2.6512333012042681</c:v>
                </c:pt>
                <c:pt idx="84">
                  <c:v>2.6512333012042681</c:v>
                </c:pt>
                <c:pt idx="85">
                  <c:v>2.6512333012042681</c:v>
                </c:pt>
                <c:pt idx="86">
                  <c:v>2.6512333012042681</c:v>
                </c:pt>
                <c:pt idx="87">
                  <c:v>2.6512333012042681</c:v>
                </c:pt>
                <c:pt idx="88">
                  <c:v>2.6512333012042681</c:v>
                </c:pt>
                <c:pt idx="89">
                  <c:v>2.6512333012042681</c:v>
                </c:pt>
                <c:pt idx="90">
                  <c:v>2.6512333012042681</c:v>
                </c:pt>
                <c:pt idx="91">
                  <c:v>2.6512333012042681</c:v>
                </c:pt>
                <c:pt idx="92">
                  <c:v>2.6512333012042681</c:v>
                </c:pt>
                <c:pt idx="93">
                  <c:v>2.6512333012042681</c:v>
                </c:pt>
                <c:pt idx="94">
                  <c:v>2.6512333012042681</c:v>
                </c:pt>
                <c:pt idx="95">
                  <c:v>2.6512333012042681</c:v>
                </c:pt>
                <c:pt idx="96">
                  <c:v>2.6512333012042681</c:v>
                </c:pt>
                <c:pt idx="97">
                  <c:v>2.6512333012042681</c:v>
                </c:pt>
                <c:pt idx="98">
                  <c:v>2.6512333012042681</c:v>
                </c:pt>
                <c:pt idx="99">
                  <c:v>2.6512333012042681</c:v>
                </c:pt>
                <c:pt idx="100">
                  <c:v>2.6512333012042681</c:v>
                </c:pt>
                <c:pt idx="101">
                  <c:v>2.6512333012042681</c:v>
                </c:pt>
                <c:pt idx="102">
                  <c:v>2.6512333012042681</c:v>
                </c:pt>
                <c:pt idx="103">
                  <c:v>2.6512333012042681</c:v>
                </c:pt>
                <c:pt idx="104">
                  <c:v>2.6512333012042681</c:v>
                </c:pt>
                <c:pt idx="105">
                  <c:v>2.6512333012042681</c:v>
                </c:pt>
                <c:pt idx="106">
                  <c:v>2.6512333012042681</c:v>
                </c:pt>
                <c:pt idx="107">
                  <c:v>2.6512333012042681</c:v>
                </c:pt>
                <c:pt idx="108">
                  <c:v>2.6512333012042681</c:v>
                </c:pt>
                <c:pt idx="109">
                  <c:v>2.6512333012042681</c:v>
                </c:pt>
                <c:pt idx="110">
                  <c:v>2.6512333012042681</c:v>
                </c:pt>
                <c:pt idx="111">
                  <c:v>2.6512333012042681</c:v>
                </c:pt>
                <c:pt idx="112">
                  <c:v>2.6512333012042681</c:v>
                </c:pt>
                <c:pt idx="113">
                  <c:v>2.6512333012042681</c:v>
                </c:pt>
                <c:pt idx="114">
                  <c:v>2.6512333012042681</c:v>
                </c:pt>
                <c:pt idx="115">
                  <c:v>2.6512333012042681</c:v>
                </c:pt>
                <c:pt idx="116">
                  <c:v>2.6512333012042681</c:v>
                </c:pt>
                <c:pt idx="117">
                  <c:v>2.6512333012042681</c:v>
                </c:pt>
                <c:pt idx="118">
                  <c:v>2.6512333012042681</c:v>
                </c:pt>
                <c:pt idx="119">
                  <c:v>2.6512333012042681</c:v>
                </c:pt>
                <c:pt idx="120">
                  <c:v>2.6512333012042681</c:v>
                </c:pt>
                <c:pt idx="121">
                  <c:v>2.6512333012042681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BFD-4CEE-935E-6946B339C368}"/>
            </c:ext>
          </c:extLst>
        </c:ser>
        <c:ser>
          <c:idx val="5"/>
          <c:order val="5"/>
          <c:tx>
            <c:v>qC; Ur  =  4,25  [V/c]</c:v>
          </c:tx>
          <c:spPr>
            <a:ln w="1587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5-2BFD-4CEE-935E-6946B339C368}"/>
            </c:ext>
          </c:extLst>
        </c:ser>
        <c:ser>
          <c:idx val="6"/>
          <c:order val="6"/>
          <c:tx>
            <c:v>qr; Ur  =  4,15  [V/c]</c:v>
          </c:tx>
          <c:spPr>
            <a:ln w="15875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6-2BFD-4CEE-935E-6946B339C368}"/>
            </c:ext>
          </c:extLst>
        </c:ser>
        <c:ser>
          <c:idx val="7"/>
          <c:order val="7"/>
          <c:tx>
            <c:v>qr; Ur  =  4,20  [V/c]</c:v>
          </c:tx>
          <c:spPr>
            <a:ln w="1905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parámetros'!$CM$5:$CM$126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parámetros'!$CU$5:$CU$126</c:f>
              <c:numCache>
                <c:formatCode>0.000</c:formatCode>
                <c:ptCount val="122"/>
                <c:pt idx="0">
                  <c:v>-6.9709738104669841</c:v>
                </c:pt>
                <c:pt idx="1">
                  <c:v>-6.9709738104669841</c:v>
                </c:pt>
                <c:pt idx="2">
                  <c:v>-0.42316507460776709</c:v>
                </c:pt>
                <c:pt idx="3">
                  <c:v>3.0036424202663063</c:v>
                </c:pt>
                <c:pt idx="4">
                  <c:v>4.9637922261688487</c:v>
                </c:pt>
                <c:pt idx="5">
                  <c:v>6.2068488516830147</c:v>
                </c:pt>
                <c:pt idx="6">
                  <c:v>7.0766191058519077</c:v>
                </c:pt>
                <c:pt idx="7">
                  <c:v>7.7343335402201667</c:v>
                </c:pt>
                <c:pt idx="8">
                  <c:v>8.2585498265511514</c:v>
                </c:pt>
                <c:pt idx="9">
                  <c:v>8.6899481422875056</c:v>
                </c:pt>
                <c:pt idx="10">
                  <c:v>9.0514812127119626</c:v>
                </c:pt>
                <c:pt idx="11">
                  <c:v>9.3574931905128693</c:v>
                </c:pt>
                <c:pt idx="12">
                  <c:v>9.6178930787258547</c:v>
                </c:pt>
                <c:pt idx="13">
                  <c:v>9.8401042287972942</c:v>
                </c:pt>
                <c:pt idx="14">
                  <c:v>10.030007965467041</c:v>
                </c:pt>
                <c:pt idx="15">
                  <c:v>10.192427329913386</c:v>
                </c:pt>
                <c:pt idx="16">
                  <c:v>10.331396398611545</c:v>
                </c:pt>
                <c:pt idx="17">
                  <c:v>10.450326138129896</c:v>
                </c:pt>
                <c:pt idx="18">
                  <c:v>10.552117476355301</c:v>
                </c:pt>
                <c:pt idx="19">
                  <c:v>10.639245178470993</c:v>
                </c:pt>
                <c:pt idx="20">
                  <c:v>10.713823875125094</c:v>
                </c:pt>
                <c:pt idx="21">
                  <c:v>10.777662004565411</c:v>
                </c:pt>
                <c:pt idx="22">
                  <c:v>10.832306835204845</c:v>
                </c:pt>
                <c:pt idx="23">
                  <c:v>10.879082490221558</c:v>
                </c:pt>
                <c:pt idx="24">
                  <c:v>10.919122266605285</c:v>
                </c:pt>
                <c:pt idx="25">
                  <c:v>10.953396197462116</c:v>
                </c:pt>
                <c:pt idx="26">
                  <c:v>10.982734599391886</c:v>
                </c:pt>
                <c:pt idx="27">
                  <c:v>11.007848208489285</c:v>
                </c:pt>
                <c:pt idx="28">
                  <c:v>11.029345407559424</c:v>
                </c:pt>
                <c:pt idx="29">
                  <c:v>11.047746968487845</c:v>
                </c:pt>
                <c:pt idx="30">
                  <c:v>11.063498669852564</c:v>
                </c:pt>
                <c:pt idx="31">
                  <c:v>11.07698209675916</c:v>
                </c:pt>
                <c:pt idx="32">
                  <c:v>11.088523885114483</c:v>
                </c:pt>
                <c:pt idx="33">
                  <c:v>11.098403634544606</c:v>
                </c:pt>
                <c:pt idx="34">
                  <c:v>11.106860681765115</c:v>
                </c:pt>
                <c:pt idx="35">
                  <c:v>11.114099898540923</c:v>
                </c:pt>
                <c:pt idx="36">
                  <c:v>11.12029665471464</c:v>
                </c:pt>
                <c:pt idx="37">
                  <c:v>11.125601066543169</c:v>
                </c:pt>
                <c:pt idx="38">
                  <c:v>11.130141633263055</c:v>
                </c:pt>
                <c:pt idx="39">
                  <c:v>11.134028349982438</c:v>
                </c:pt>
                <c:pt idx="40">
                  <c:v>11.1373553723102</c:v>
                </c:pt>
                <c:pt idx="41">
                  <c:v>11.140203297273349</c:v>
                </c:pt>
                <c:pt idx="42">
                  <c:v>11.142641115777963</c:v>
                </c:pt>
                <c:pt idx="43">
                  <c:v>11.14472788391209</c:v>
                </c:pt>
                <c:pt idx="44">
                  <c:v>11.14651415357794</c:v>
                </c:pt>
                <c:pt idx="45">
                  <c:v>11.148043197110358</c:v>
                </c:pt>
                <c:pt idx="46">
                  <c:v>11.149352055547988</c:v>
                </c:pt>
                <c:pt idx="47">
                  <c:v>11.150472435951446</c:v>
                </c:pt>
                <c:pt idx="48">
                  <c:v>11.151431479506019</c:v>
                </c:pt>
                <c:pt idx="49">
                  <c:v>11.152252419016142</c:v>
                </c:pt>
                <c:pt idx="50">
                  <c:v>11.15295514171947</c:v>
                </c:pt>
                <c:pt idx="51">
                  <c:v>11.153556671054686</c:v>
                </c:pt>
                <c:pt idx="52">
                  <c:v>11.154071579053827</c:v>
                </c:pt>
                <c:pt idx="53">
                  <c:v>11.154512339349393</c:v>
                </c:pt>
                <c:pt idx="54">
                  <c:v>11.154889629347744</c:v>
                </c:pt>
                <c:pt idx="55">
                  <c:v>11.155212588888991</c:v>
                </c:pt>
                <c:pt idx="56">
                  <c:v>11.155489041659376</c:v>
                </c:pt>
                <c:pt idx="57">
                  <c:v>11.15572568471986</c:v>
                </c:pt>
                <c:pt idx="58">
                  <c:v>11.155928250742248</c:v>
                </c:pt>
                <c:pt idx="59">
                  <c:v>11.156101646883013</c:v>
                </c:pt>
                <c:pt idx="60">
                  <c:v>11.15625007365902</c:v>
                </c:pt>
                <c:pt idx="61">
                  <c:v>11.156377126704946</c:v>
                </c:pt>
                <c:pt idx="62">
                  <c:v>11.156485883877428</c:v>
                </c:pt>
                <c:pt idx="63">
                  <c:v>11.156578979816057</c:v>
                </c:pt>
                <c:pt idx="64">
                  <c:v>11.156658669767456</c:v>
                </c:pt>
                <c:pt idx="65">
                  <c:v>11.156726884218564</c:v>
                </c:pt>
                <c:pt idx="66">
                  <c:v>11.156785275662632</c:v>
                </c:pt>
                <c:pt idx="67">
                  <c:v>11.15683525863083</c:v>
                </c:pt>
                <c:pt idx="68">
                  <c:v>11.156878043959223</c:v>
                </c:pt>
                <c:pt idx="69">
                  <c:v>11.156914668121249</c:v>
                </c:pt>
                <c:pt idx="70">
                  <c:v>11.156946018336249</c:v>
                </c:pt>
                <c:pt idx="71">
                  <c:v>11.156972854062348</c:v>
                </c:pt>
                <c:pt idx="72">
                  <c:v>11.156995825394286</c:v>
                </c:pt>
                <c:pt idx="73">
                  <c:v>11.157015488811968</c:v>
                </c:pt>
                <c:pt idx="74">
                  <c:v>11.157032320661161</c:v>
                </c:pt>
                <c:pt idx="75">
                  <c:v>11.157046728692958</c:v>
                </c:pt>
                <c:pt idx="76">
                  <c:v>11.157059061941547</c:v>
                </c:pt>
                <c:pt idx="77">
                  <c:v>11.157069619179545</c:v>
                </c:pt>
                <c:pt idx="78">
                  <c:v>11.157078656155758</c:v>
                </c:pt>
                <c:pt idx="79">
                  <c:v>11.157086391790692</c:v>
                </c:pt>
                <c:pt idx="80">
                  <c:v>11.1570930134799</c:v>
                </c:pt>
                <c:pt idx="81">
                  <c:v>11.157098681633622</c:v>
                </c:pt>
                <c:pt idx="82">
                  <c:v>11.157103533562729</c:v>
                </c:pt>
                <c:pt idx="83">
                  <c:v>11.15710768680508</c:v>
                </c:pt>
                <c:pt idx="84">
                  <c:v>11.157111241972856</c:v>
                </c:pt>
                <c:pt idx="85">
                  <c:v>11.1571142851899</c:v>
                </c:pt>
                <c:pt idx="86">
                  <c:v>11.157116890178067</c:v>
                </c:pt>
                <c:pt idx="87">
                  <c:v>11.15711912004312</c:v>
                </c:pt>
                <c:pt idx="88">
                  <c:v>11.157121028803486</c:v>
                </c:pt>
                <c:pt idx="89">
                  <c:v>11.15712266269883</c:v>
                </c:pt>
                <c:pt idx="90">
                  <c:v>11.157124061310226</c:v>
                </c:pt>
                <c:pt idx="91">
                  <c:v>11.157125258518995</c:v>
                </c:pt>
                <c:pt idx="92">
                  <c:v>11.157126283327489</c:v>
                </c:pt>
                <c:pt idx="93">
                  <c:v>11.157127160561666</c:v>
                </c:pt>
                <c:pt idx="94">
                  <c:v>11.1571279114725</c:v>
                </c:pt>
                <c:pt idx="95">
                  <c:v>11.157128554250786</c:v>
                </c:pt>
                <c:pt idx="96">
                  <c:v>11.15712910446781</c:v>
                </c:pt>
                <c:pt idx="97">
                  <c:v>11.157129575452567</c:v>
                </c:pt>
                <c:pt idx="98">
                  <c:v>11.157129978614648</c:v>
                </c:pt>
                <c:pt idx="99">
                  <c:v>11.157130323720644</c:v>
                </c:pt>
                <c:pt idx="100">
                  <c:v>11.157130619130738</c:v>
                </c:pt>
                <c:pt idx="101">
                  <c:v>11.157130872001233</c:v>
                </c:pt>
                <c:pt idx="102">
                  <c:v>11.157131088457909</c:v>
                </c:pt>
                <c:pt idx="103">
                  <c:v>11.157131273744424</c:v>
                </c:pt>
                <c:pt idx="104">
                  <c:v>11.157131432349338</c:v>
                </c:pt>
                <c:pt idx="105">
                  <c:v>11.157131568114853</c:v>
                </c:pt>
                <c:pt idx="106">
                  <c:v>11.15713168432988</c:v>
                </c:pt>
                <c:pt idx="107">
                  <c:v>11.15713178380973</c:v>
                </c:pt>
                <c:pt idx="108">
                  <c:v>11.157131868964298</c:v>
                </c:pt>
                <c:pt idx="109">
                  <c:v>11.15713194185645</c:v>
                </c:pt>
                <c:pt idx="110">
                  <c:v>11.157132004251997</c:v>
                </c:pt>
                <c:pt idx="111">
                  <c:v>11.157132057662471</c:v>
                </c:pt>
                <c:pt idx="112">
                  <c:v>11.157132103381738</c:v>
                </c:pt>
                <c:pt idx="113">
                  <c:v>11.157132142517346</c:v>
                </c:pt>
                <c:pt idx="114">
                  <c:v>11.157132176017354</c:v>
                </c:pt>
                <c:pt idx="115">
                  <c:v>11.157132204693298</c:v>
                </c:pt>
                <c:pt idx="116">
                  <c:v>11.157132229239854</c:v>
                </c:pt>
                <c:pt idx="117">
                  <c:v>11.15713225025166</c:v>
                </c:pt>
                <c:pt idx="118">
                  <c:v>11.157132268237728</c:v>
                </c:pt>
                <c:pt idx="119">
                  <c:v>11.157132283633768</c:v>
                </c:pt>
                <c:pt idx="120">
                  <c:v>11.157132296812751</c:v>
                </c:pt>
                <c:pt idx="121">
                  <c:v>11.157132308093935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BFD-4CEE-935E-6946B339C368}"/>
            </c:ext>
          </c:extLst>
        </c:ser>
        <c:ser>
          <c:idx val="8"/>
          <c:order val="8"/>
          <c:tx>
            <c:v>qr; Ur  =  4,25  [V/c]</c:v>
          </c:tx>
          <c:spPr>
            <a:ln w="15875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8-2BFD-4CEE-935E-6946B339C368}"/>
            </c:ext>
          </c:extLst>
        </c:ser>
        <c:ser>
          <c:idx val="9"/>
          <c:order val="9"/>
          <c:tx>
            <c:v>qr contr.; Ur  =  4,15  [V/c]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9-2BFD-4CEE-935E-6946B339C368}"/>
            </c:ext>
          </c:extLst>
        </c:ser>
        <c:ser>
          <c:idx val="10"/>
          <c:order val="10"/>
          <c:tx>
            <c:v>qr contr.; Ur  =  4,20  [V/c]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'SLPB68106100 4 parámetros'!$CM$5:$CM$126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parámetros'!$CX$5:$CX$126</c:f>
              <c:numCache>
                <c:formatCode>0.000</c:formatCode>
                <c:ptCount val="122"/>
                <c:pt idx="0">
                  <c:v>-6.9709738104669841</c:v>
                </c:pt>
                <c:pt idx="1">
                  <c:v>-6.9709738104669841</c:v>
                </c:pt>
                <c:pt idx="2">
                  <c:v>-6.5709738104669837</c:v>
                </c:pt>
                <c:pt idx="3">
                  <c:v>-6.1709738104669833</c:v>
                </c:pt>
                <c:pt idx="4">
                  <c:v>-5.770973810466983</c:v>
                </c:pt>
                <c:pt idx="5">
                  <c:v>-5.3709738104669835</c:v>
                </c:pt>
                <c:pt idx="6">
                  <c:v>-4.9709738104669832</c:v>
                </c:pt>
                <c:pt idx="7">
                  <c:v>-4.5709738104669828</c:v>
                </c:pt>
                <c:pt idx="8">
                  <c:v>-4.1709738104669833</c:v>
                </c:pt>
                <c:pt idx="9">
                  <c:v>-3.770973810466983</c:v>
                </c:pt>
                <c:pt idx="10">
                  <c:v>-3.3709738104669835</c:v>
                </c:pt>
                <c:pt idx="11">
                  <c:v>-2.9709738104669832</c:v>
                </c:pt>
                <c:pt idx="12">
                  <c:v>-2.5709738104669837</c:v>
                </c:pt>
                <c:pt idx="13">
                  <c:v>-2.1709738104669825</c:v>
                </c:pt>
                <c:pt idx="14">
                  <c:v>-1.770973810466983</c:v>
                </c:pt>
                <c:pt idx="15">
                  <c:v>-1.3709738104669835</c:v>
                </c:pt>
                <c:pt idx="16">
                  <c:v>-0.97097381046698317</c:v>
                </c:pt>
                <c:pt idx="17">
                  <c:v>-0.57097381046698281</c:v>
                </c:pt>
                <c:pt idx="18">
                  <c:v>-0.17097381046698334</c:v>
                </c:pt>
                <c:pt idx="19">
                  <c:v>0.22902618953301612</c:v>
                </c:pt>
                <c:pt idx="20">
                  <c:v>0.62902618953301648</c:v>
                </c:pt>
                <c:pt idx="21">
                  <c:v>1.0290261895330168</c:v>
                </c:pt>
                <c:pt idx="22">
                  <c:v>1.4290261895330154</c:v>
                </c:pt>
                <c:pt idx="23">
                  <c:v>1.8290261895330158</c:v>
                </c:pt>
                <c:pt idx="24">
                  <c:v>2.2290261895330179</c:v>
                </c:pt>
                <c:pt idx="25">
                  <c:v>2.6290261895330183</c:v>
                </c:pt>
                <c:pt idx="26">
                  <c:v>3.0290261895330168</c:v>
                </c:pt>
                <c:pt idx="27">
                  <c:v>3.4290261895330172</c:v>
                </c:pt>
                <c:pt idx="28">
                  <c:v>3.8290261895330175</c:v>
                </c:pt>
                <c:pt idx="29">
                  <c:v>4.2290261895330161</c:v>
                </c:pt>
                <c:pt idx="30">
                  <c:v>4.6290261895330165</c:v>
                </c:pt>
                <c:pt idx="31">
                  <c:v>5.0290261895330168</c:v>
                </c:pt>
                <c:pt idx="32">
                  <c:v>5.429026189533019</c:v>
                </c:pt>
                <c:pt idx="33">
                  <c:v>5.8290261895330175</c:v>
                </c:pt>
                <c:pt idx="34">
                  <c:v>6.2290261895330179</c:v>
                </c:pt>
                <c:pt idx="35">
                  <c:v>6.6290261895330165</c:v>
                </c:pt>
                <c:pt idx="36">
                  <c:v>7.0290261895330168</c:v>
                </c:pt>
                <c:pt idx="37">
                  <c:v>7.4290261895330154</c:v>
                </c:pt>
                <c:pt idx="38">
                  <c:v>7.8290261895330175</c:v>
                </c:pt>
                <c:pt idx="39">
                  <c:v>8.2290261895330161</c:v>
                </c:pt>
                <c:pt idx="40">
                  <c:v>8.6290261895330183</c:v>
                </c:pt>
                <c:pt idx="41">
                  <c:v>9.0290261895330168</c:v>
                </c:pt>
                <c:pt idx="42">
                  <c:v>9.4290261895330154</c:v>
                </c:pt>
                <c:pt idx="43">
                  <c:v>9.829026189533014</c:v>
                </c:pt>
                <c:pt idx="44">
                  <c:v>10.229026189533016</c:v>
                </c:pt>
                <c:pt idx="45">
                  <c:v>10.629026189533015</c:v>
                </c:pt>
                <c:pt idx="46">
                  <c:v>11.029026189533017</c:v>
                </c:pt>
                <c:pt idx="47">
                  <c:v>11.150472435951446</c:v>
                </c:pt>
                <c:pt idx="48">
                  <c:v>11.151431479506019</c:v>
                </c:pt>
                <c:pt idx="49">
                  <c:v>11.152252419016142</c:v>
                </c:pt>
                <c:pt idx="50">
                  <c:v>11.15295514171947</c:v>
                </c:pt>
                <c:pt idx="51">
                  <c:v>11.153556671054686</c:v>
                </c:pt>
                <c:pt idx="52">
                  <c:v>11.154071579053827</c:v>
                </c:pt>
                <c:pt idx="53">
                  <c:v>11.154512339349393</c:v>
                </c:pt>
                <c:pt idx="54">
                  <c:v>11.154889629347744</c:v>
                </c:pt>
                <c:pt idx="55">
                  <c:v>11.155212588888991</c:v>
                </c:pt>
                <c:pt idx="56">
                  <c:v>11.155489041659376</c:v>
                </c:pt>
                <c:pt idx="57">
                  <c:v>11.15572568471986</c:v>
                </c:pt>
                <c:pt idx="58">
                  <c:v>11.155928250742248</c:v>
                </c:pt>
                <c:pt idx="59">
                  <c:v>11.156101646883013</c:v>
                </c:pt>
                <c:pt idx="60">
                  <c:v>11.15625007365902</c:v>
                </c:pt>
                <c:pt idx="61">
                  <c:v>11.156377126704946</c:v>
                </c:pt>
                <c:pt idx="62">
                  <c:v>11.156485883877428</c:v>
                </c:pt>
                <c:pt idx="63">
                  <c:v>11.156578979816057</c:v>
                </c:pt>
                <c:pt idx="64">
                  <c:v>11.156658669767456</c:v>
                </c:pt>
                <c:pt idx="65">
                  <c:v>11.156726884218564</c:v>
                </c:pt>
                <c:pt idx="66">
                  <c:v>11.156785275662632</c:v>
                </c:pt>
                <c:pt idx="67">
                  <c:v>11.15683525863083</c:v>
                </c:pt>
                <c:pt idx="68">
                  <c:v>11.156878043959223</c:v>
                </c:pt>
                <c:pt idx="69">
                  <c:v>11.156914668121249</c:v>
                </c:pt>
                <c:pt idx="70">
                  <c:v>11.156946018336249</c:v>
                </c:pt>
                <c:pt idx="71">
                  <c:v>11.156972854062348</c:v>
                </c:pt>
                <c:pt idx="72">
                  <c:v>11.156995825394286</c:v>
                </c:pt>
                <c:pt idx="73">
                  <c:v>11.157015488811968</c:v>
                </c:pt>
                <c:pt idx="74">
                  <c:v>11.157032320661161</c:v>
                </c:pt>
                <c:pt idx="75">
                  <c:v>11.157046728692958</c:v>
                </c:pt>
                <c:pt idx="76">
                  <c:v>11.157059061941547</c:v>
                </c:pt>
                <c:pt idx="77">
                  <c:v>11.157069619179545</c:v>
                </c:pt>
                <c:pt idx="78">
                  <c:v>11.157078656155758</c:v>
                </c:pt>
                <c:pt idx="79">
                  <c:v>11.157086391790692</c:v>
                </c:pt>
                <c:pt idx="80">
                  <c:v>11.1570930134799</c:v>
                </c:pt>
                <c:pt idx="81">
                  <c:v>11.157098681633622</c:v>
                </c:pt>
                <c:pt idx="82">
                  <c:v>11.157103533562729</c:v>
                </c:pt>
                <c:pt idx="83">
                  <c:v>11.15710768680508</c:v>
                </c:pt>
                <c:pt idx="84">
                  <c:v>11.157111241972856</c:v>
                </c:pt>
                <c:pt idx="85">
                  <c:v>11.1571142851899</c:v>
                </c:pt>
                <c:pt idx="86">
                  <c:v>11.157116890178067</c:v>
                </c:pt>
                <c:pt idx="87">
                  <c:v>11.15711912004312</c:v>
                </c:pt>
                <c:pt idx="88">
                  <c:v>11.157121028803486</c:v>
                </c:pt>
                <c:pt idx="89">
                  <c:v>11.15712266269883</c:v>
                </c:pt>
                <c:pt idx="90">
                  <c:v>11.157124061310226</c:v>
                </c:pt>
                <c:pt idx="91">
                  <c:v>11.157125258518995</c:v>
                </c:pt>
                <c:pt idx="92">
                  <c:v>11.157126283327489</c:v>
                </c:pt>
                <c:pt idx="93">
                  <c:v>11.157127160561666</c:v>
                </c:pt>
                <c:pt idx="94">
                  <c:v>11.1571279114725</c:v>
                </c:pt>
                <c:pt idx="95">
                  <c:v>11.157128554250786</c:v>
                </c:pt>
                <c:pt idx="96">
                  <c:v>11.15712910446781</c:v>
                </c:pt>
                <c:pt idx="97">
                  <c:v>11.157129575452567</c:v>
                </c:pt>
                <c:pt idx="98">
                  <c:v>11.157129978614648</c:v>
                </c:pt>
                <c:pt idx="99">
                  <c:v>11.157130323720644</c:v>
                </c:pt>
                <c:pt idx="100">
                  <c:v>11.157130619130738</c:v>
                </c:pt>
                <c:pt idx="101">
                  <c:v>11.157130872001233</c:v>
                </c:pt>
                <c:pt idx="102">
                  <c:v>11.157131088457909</c:v>
                </c:pt>
                <c:pt idx="103">
                  <c:v>11.157131273744424</c:v>
                </c:pt>
                <c:pt idx="104">
                  <c:v>11.157131432349338</c:v>
                </c:pt>
                <c:pt idx="105">
                  <c:v>11.157131568114853</c:v>
                </c:pt>
                <c:pt idx="106">
                  <c:v>11.15713168432988</c:v>
                </c:pt>
                <c:pt idx="107">
                  <c:v>11.15713178380973</c:v>
                </c:pt>
                <c:pt idx="108">
                  <c:v>11.157131868964298</c:v>
                </c:pt>
                <c:pt idx="109">
                  <c:v>11.15713194185645</c:v>
                </c:pt>
                <c:pt idx="110">
                  <c:v>11.157132004251997</c:v>
                </c:pt>
                <c:pt idx="111">
                  <c:v>11.157132057662471</c:v>
                </c:pt>
                <c:pt idx="112">
                  <c:v>11.157132103381738</c:v>
                </c:pt>
                <c:pt idx="113">
                  <c:v>11.157132142517346</c:v>
                </c:pt>
                <c:pt idx="114">
                  <c:v>11.157132176017354</c:v>
                </c:pt>
                <c:pt idx="115">
                  <c:v>11.157132204693298</c:v>
                </c:pt>
                <c:pt idx="116">
                  <c:v>11.157132229239854</c:v>
                </c:pt>
                <c:pt idx="117">
                  <c:v>11.15713225025166</c:v>
                </c:pt>
                <c:pt idx="118">
                  <c:v>11.157132268237728</c:v>
                </c:pt>
                <c:pt idx="119">
                  <c:v>11.157132283633768</c:v>
                </c:pt>
                <c:pt idx="120">
                  <c:v>11.157132296812751</c:v>
                </c:pt>
                <c:pt idx="121">
                  <c:v>11.157132308093935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2BFD-4CEE-935E-6946B339C368}"/>
            </c:ext>
          </c:extLst>
        </c:ser>
        <c:ser>
          <c:idx val="11"/>
          <c:order val="11"/>
          <c:tx>
            <c:v>qr contr.; Ur  =  4,25  [V/c]</c:v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#REF!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0.15000000000000024</c:v>
                </c:pt>
                <c:pt idx="5">
                  <c:v>0.2</c:v>
                </c:pt>
                <c:pt idx="6">
                  <c:v>0.25</c:v>
                </c:pt>
                <c:pt idx="7">
                  <c:v>0.30000000000000032</c:v>
                </c:pt>
                <c:pt idx="8">
                  <c:v>0.35000000000000031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0.60000000000000064</c:v>
                </c:pt>
                <c:pt idx="14">
                  <c:v>0.6500000000000018</c:v>
                </c:pt>
                <c:pt idx="15">
                  <c:v>0.70000000000000062</c:v>
                </c:pt>
                <c:pt idx="16">
                  <c:v>0.75000000000000155</c:v>
                </c:pt>
                <c:pt idx="17">
                  <c:v>0.8</c:v>
                </c:pt>
                <c:pt idx="18">
                  <c:v>0.85000000000000064</c:v>
                </c:pt>
                <c:pt idx="19">
                  <c:v>0.89999999999999991</c:v>
                </c:pt>
                <c:pt idx="20">
                  <c:v>0.95000000000000062</c:v>
                </c:pt>
                <c:pt idx="21">
                  <c:v>1</c:v>
                </c:pt>
                <c:pt idx="22">
                  <c:v>1.0499999999999956</c:v>
                </c:pt>
                <c:pt idx="23">
                  <c:v>1.0999999999999965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1.7999999999999956</c:v>
                </c:pt>
                <c:pt idx="38">
                  <c:v>1.85</c:v>
                </c:pt>
                <c:pt idx="39">
                  <c:v>1.9000000000000001</c:v>
                </c:pt>
                <c:pt idx="40">
                  <c:v>1.9500000000000031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2.0999999999999988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2.3499999999999988</c:v>
                </c:pt>
                <c:pt idx="49">
                  <c:v>2.4000000000000004</c:v>
                </c:pt>
                <c:pt idx="50">
                  <c:v>2.4499999999999997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2.8499999999999988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3.3499999999999988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3.5999999999999988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3.8499999999999988</c:v>
                </c:pt>
                <c:pt idx="79">
                  <c:v>3.9000000000000004</c:v>
                </c:pt>
                <c:pt idx="80">
                  <c:v>3.9499999999999997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4.1499999999999995</c:v>
                </c:pt>
                <c:pt idx="85">
                  <c:v>4.1999999999999975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4.6499999999999995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5.6499999999999995</c:v>
                </c:pt>
                <c:pt idx="115">
                  <c:v>5.6999999999999975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B-2BFD-4CEE-935E-6946B339C368}"/>
            </c:ext>
          </c:extLst>
        </c:ser>
        <c:ser>
          <c:idx val="12"/>
          <c:order val="12"/>
          <c:tx>
            <c:v>Qe  =  8,506  [Ah]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parámetros'!$CM$5:$CM$126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parámetros'!$CZ$5:$CZ$126</c:f>
              <c:numCache>
                <c:formatCode>0.000</c:formatCode>
                <c:ptCount val="122"/>
                <c:pt idx="0">
                  <c:v>8.5058990739490348</c:v>
                </c:pt>
                <c:pt idx="1">
                  <c:v>8.5058990739490348</c:v>
                </c:pt>
                <c:pt idx="2">
                  <c:v>8.5058990739490348</c:v>
                </c:pt>
                <c:pt idx="3">
                  <c:v>8.5058990739490348</c:v>
                </c:pt>
                <c:pt idx="4">
                  <c:v>8.5058990739490348</c:v>
                </c:pt>
                <c:pt idx="5">
                  <c:v>8.5058990739490348</c:v>
                </c:pt>
                <c:pt idx="6">
                  <c:v>8.5058990739490348</c:v>
                </c:pt>
                <c:pt idx="7">
                  <c:v>8.5058990739490348</c:v>
                </c:pt>
                <c:pt idx="8">
                  <c:v>8.5058990739490348</c:v>
                </c:pt>
                <c:pt idx="9">
                  <c:v>8.5058990739490348</c:v>
                </c:pt>
                <c:pt idx="10">
                  <c:v>8.5058990739490348</c:v>
                </c:pt>
                <c:pt idx="11">
                  <c:v>8.5058990739490348</c:v>
                </c:pt>
                <c:pt idx="12">
                  <c:v>8.5058990739490348</c:v>
                </c:pt>
                <c:pt idx="13">
                  <c:v>8.5058990739490348</c:v>
                </c:pt>
                <c:pt idx="14">
                  <c:v>8.5058990739490348</c:v>
                </c:pt>
                <c:pt idx="15">
                  <c:v>8.5058990739490348</c:v>
                </c:pt>
                <c:pt idx="16">
                  <c:v>8.5058990739490348</c:v>
                </c:pt>
                <c:pt idx="17">
                  <c:v>8.5058990739490348</c:v>
                </c:pt>
                <c:pt idx="18">
                  <c:v>8.5058990739490348</c:v>
                </c:pt>
                <c:pt idx="19">
                  <c:v>8.5058990739490348</c:v>
                </c:pt>
                <c:pt idx="20">
                  <c:v>8.5058990739490348</c:v>
                </c:pt>
                <c:pt idx="21">
                  <c:v>8.5058990739490348</c:v>
                </c:pt>
                <c:pt idx="22">
                  <c:v>8.5058990739490348</c:v>
                </c:pt>
                <c:pt idx="23">
                  <c:v>8.5058990739490348</c:v>
                </c:pt>
                <c:pt idx="24">
                  <c:v>8.5058990739490348</c:v>
                </c:pt>
                <c:pt idx="25">
                  <c:v>8.5058990739490348</c:v>
                </c:pt>
                <c:pt idx="26">
                  <c:v>8.5058990739490348</c:v>
                </c:pt>
                <c:pt idx="27">
                  <c:v>8.5058990739490348</c:v>
                </c:pt>
                <c:pt idx="28">
                  <c:v>8.5058990739490348</c:v>
                </c:pt>
                <c:pt idx="29">
                  <c:v>8.5058990739490348</c:v>
                </c:pt>
                <c:pt idx="30">
                  <c:v>8.5058990739490348</c:v>
                </c:pt>
                <c:pt idx="31">
                  <c:v>8.5058990739490348</c:v>
                </c:pt>
                <c:pt idx="32">
                  <c:v>8.5058990739490348</c:v>
                </c:pt>
                <c:pt idx="33">
                  <c:v>8.5058990739490348</c:v>
                </c:pt>
                <c:pt idx="34">
                  <c:v>8.5058990739490348</c:v>
                </c:pt>
                <c:pt idx="35">
                  <c:v>8.5058990739490348</c:v>
                </c:pt>
                <c:pt idx="36">
                  <c:v>8.5058990739490348</c:v>
                </c:pt>
                <c:pt idx="37">
                  <c:v>8.5058990739490348</c:v>
                </c:pt>
                <c:pt idx="38">
                  <c:v>8.5058990739490348</c:v>
                </c:pt>
                <c:pt idx="39">
                  <c:v>8.5058990739490348</c:v>
                </c:pt>
                <c:pt idx="40">
                  <c:v>8.5058990739490348</c:v>
                </c:pt>
                <c:pt idx="41">
                  <c:v>8.5058990739490348</c:v>
                </c:pt>
                <c:pt idx="42">
                  <c:v>8.5058990739490348</c:v>
                </c:pt>
                <c:pt idx="43">
                  <c:v>8.5058990739490348</c:v>
                </c:pt>
                <c:pt idx="44">
                  <c:v>8.5058990739490348</c:v>
                </c:pt>
                <c:pt idx="45">
                  <c:v>8.5058990739490348</c:v>
                </c:pt>
                <c:pt idx="46">
                  <c:v>8.5058990739490348</c:v>
                </c:pt>
                <c:pt idx="47">
                  <c:v>8.5058990739490348</c:v>
                </c:pt>
                <c:pt idx="48">
                  <c:v>8.5058990739490348</c:v>
                </c:pt>
                <c:pt idx="49">
                  <c:v>8.5058990739490348</c:v>
                </c:pt>
                <c:pt idx="50">
                  <c:v>8.5058990739490348</c:v>
                </c:pt>
                <c:pt idx="51">
                  <c:v>8.5058990739490348</c:v>
                </c:pt>
                <c:pt idx="52">
                  <c:v>8.5058990739490348</c:v>
                </c:pt>
                <c:pt idx="53">
                  <c:v>8.5058990739490348</c:v>
                </c:pt>
                <c:pt idx="54">
                  <c:v>8.5058990739490348</c:v>
                </c:pt>
                <c:pt idx="55">
                  <c:v>8.5058990739490348</c:v>
                </c:pt>
                <c:pt idx="56">
                  <c:v>8.5058990739490348</c:v>
                </c:pt>
                <c:pt idx="57">
                  <c:v>8.5058990739490348</c:v>
                </c:pt>
                <c:pt idx="58">
                  <c:v>8.5058990739490348</c:v>
                </c:pt>
                <c:pt idx="59">
                  <c:v>8.5058990739490348</c:v>
                </c:pt>
                <c:pt idx="60">
                  <c:v>8.5058990739490348</c:v>
                </c:pt>
                <c:pt idx="61">
                  <c:v>8.5058990739490348</c:v>
                </c:pt>
                <c:pt idx="62">
                  <c:v>8.5058990739490348</c:v>
                </c:pt>
                <c:pt idx="63">
                  <c:v>8.5058990739490348</c:v>
                </c:pt>
                <c:pt idx="64">
                  <c:v>8.5058990739490348</c:v>
                </c:pt>
                <c:pt idx="65">
                  <c:v>8.5058990739490348</c:v>
                </c:pt>
                <c:pt idx="66">
                  <c:v>8.5058990739490348</c:v>
                </c:pt>
                <c:pt idx="67">
                  <c:v>8.5058990739490348</c:v>
                </c:pt>
                <c:pt idx="68">
                  <c:v>8.5058990739490348</c:v>
                </c:pt>
                <c:pt idx="69">
                  <c:v>8.5058990739490348</c:v>
                </c:pt>
                <c:pt idx="70">
                  <c:v>8.5058990739490348</c:v>
                </c:pt>
                <c:pt idx="71">
                  <c:v>8.5058990739490348</c:v>
                </c:pt>
                <c:pt idx="72">
                  <c:v>8.5058990739490348</c:v>
                </c:pt>
                <c:pt idx="73">
                  <c:v>8.5058990739490348</c:v>
                </c:pt>
                <c:pt idx="74">
                  <c:v>8.5058990739490348</c:v>
                </c:pt>
                <c:pt idx="75">
                  <c:v>8.5058990739490348</c:v>
                </c:pt>
                <c:pt idx="76">
                  <c:v>8.5058990739490348</c:v>
                </c:pt>
                <c:pt idx="77">
                  <c:v>8.5058990739490348</c:v>
                </c:pt>
                <c:pt idx="78">
                  <c:v>8.5058990739490348</c:v>
                </c:pt>
                <c:pt idx="79">
                  <c:v>8.5058990739490348</c:v>
                </c:pt>
                <c:pt idx="80">
                  <c:v>8.5058990739490348</c:v>
                </c:pt>
                <c:pt idx="81">
                  <c:v>8.5058990739490348</c:v>
                </c:pt>
                <c:pt idx="82">
                  <c:v>8.5058990739490348</c:v>
                </c:pt>
                <c:pt idx="83">
                  <c:v>8.5058990739490348</c:v>
                </c:pt>
                <c:pt idx="84">
                  <c:v>8.5058990739490348</c:v>
                </c:pt>
                <c:pt idx="85">
                  <c:v>8.5058990739490348</c:v>
                </c:pt>
                <c:pt idx="86">
                  <c:v>8.5058990739490348</c:v>
                </c:pt>
                <c:pt idx="87">
                  <c:v>8.5058990739490348</c:v>
                </c:pt>
                <c:pt idx="88">
                  <c:v>8.5058990739490348</c:v>
                </c:pt>
                <c:pt idx="89">
                  <c:v>8.5058990739490348</c:v>
                </c:pt>
                <c:pt idx="90">
                  <c:v>8.5058990739490348</c:v>
                </c:pt>
                <c:pt idx="91">
                  <c:v>8.5058990739490348</c:v>
                </c:pt>
                <c:pt idx="92">
                  <c:v>8.5058990739490348</c:v>
                </c:pt>
                <c:pt idx="93">
                  <c:v>8.5058990739490348</c:v>
                </c:pt>
                <c:pt idx="94">
                  <c:v>8.5058990739490348</c:v>
                </c:pt>
                <c:pt idx="95">
                  <c:v>8.5058990739490348</c:v>
                </c:pt>
                <c:pt idx="96">
                  <c:v>8.5058990739490348</c:v>
                </c:pt>
                <c:pt idx="97">
                  <c:v>8.5058990739490348</c:v>
                </c:pt>
                <c:pt idx="98">
                  <c:v>8.5058990739490348</c:v>
                </c:pt>
                <c:pt idx="99">
                  <c:v>8.5058990739490348</c:v>
                </c:pt>
                <c:pt idx="100">
                  <c:v>8.5058990739490348</c:v>
                </c:pt>
                <c:pt idx="101">
                  <c:v>8.5058990739490348</c:v>
                </c:pt>
                <c:pt idx="102">
                  <c:v>8.5058990739490348</c:v>
                </c:pt>
                <c:pt idx="103">
                  <c:v>8.5058990739490348</c:v>
                </c:pt>
                <c:pt idx="104">
                  <c:v>8.5058990739490348</c:v>
                </c:pt>
                <c:pt idx="105">
                  <c:v>8.5058990739490348</c:v>
                </c:pt>
                <c:pt idx="106">
                  <c:v>8.5058990739490348</c:v>
                </c:pt>
                <c:pt idx="107">
                  <c:v>8.5058990739490348</c:v>
                </c:pt>
                <c:pt idx="108">
                  <c:v>8.5058990739490348</c:v>
                </c:pt>
                <c:pt idx="109">
                  <c:v>8.5058990739490348</c:v>
                </c:pt>
                <c:pt idx="110">
                  <c:v>8.5058990739490348</c:v>
                </c:pt>
                <c:pt idx="111">
                  <c:v>8.5058990739490348</c:v>
                </c:pt>
                <c:pt idx="112">
                  <c:v>8.5058990739490348</c:v>
                </c:pt>
                <c:pt idx="113">
                  <c:v>8.5058990739490348</c:v>
                </c:pt>
                <c:pt idx="114">
                  <c:v>8.5058990739490348</c:v>
                </c:pt>
                <c:pt idx="115">
                  <c:v>8.5058990739490348</c:v>
                </c:pt>
                <c:pt idx="116">
                  <c:v>8.5058990739490348</c:v>
                </c:pt>
                <c:pt idx="117">
                  <c:v>8.5058990739490348</c:v>
                </c:pt>
                <c:pt idx="118">
                  <c:v>8.5058990739490348</c:v>
                </c:pt>
                <c:pt idx="119">
                  <c:v>8.5058990739490348</c:v>
                </c:pt>
                <c:pt idx="120">
                  <c:v>8.5058990739490348</c:v>
                </c:pt>
                <c:pt idx="121">
                  <c:v>8.5058990739490348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2BFD-4CEE-935E-6946B339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83744"/>
        <c:axId val="118385664"/>
      </c:scatterChart>
      <c:valAx>
        <c:axId val="118383744"/>
        <c:scaling>
          <c:orientation val="minMax"/>
          <c:max val="3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es-ES" sz="1100"/>
                  <a:t>Tiempo de recarga t</a:t>
                </a:r>
                <a:r>
                  <a:rPr lang="es-ES" sz="1100" baseline="0"/>
                  <a:t> </a:t>
                </a:r>
                <a:r>
                  <a:rPr lang="es-ES" sz="1100"/>
                  <a:t>[h]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18385664"/>
        <c:crossesAt val="-8"/>
        <c:crossBetween val="midCat"/>
        <c:majorUnit val="0.25"/>
        <c:minorUnit val="0.1"/>
      </c:valAx>
      <c:valAx>
        <c:axId val="118385664"/>
        <c:scaling>
          <c:orientation val="minMax"/>
          <c:max val="12"/>
          <c:min val="-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Carga inyectada q</a:t>
                </a:r>
                <a:r>
                  <a:rPr lang="en-US" sz="1100" baseline="-25000"/>
                  <a:t>r</a:t>
                </a:r>
                <a:r>
                  <a:rPr lang="en-US" sz="1100"/>
                  <a:t> [Ah]</a:t>
                </a:r>
              </a:p>
            </c:rich>
          </c:tx>
          <c:layout>
            <c:manualLayout>
              <c:xMode val="edge"/>
              <c:yMode val="edge"/>
              <c:x val="1.1060355886951133E-2"/>
              <c:y val="0.3251940929032455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8383744"/>
        <c:crosses val="autoZero"/>
        <c:crossBetween val="midCat"/>
        <c:majorUnit val="1"/>
        <c:minorUnit val="0.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63521906971316344"/>
          <c:y val="0.6457965239648138"/>
          <c:w val="0.3169098578492125"/>
          <c:h val="0.226006969458666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Tensión</a:t>
            </a:r>
            <a:r>
              <a:rPr lang="en-US" sz="1400" baseline="0"/>
              <a:t> de recarga a corriente constante</a:t>
            </a:r>
            <a:endParaRPr lang="en-US" sz="1400"/>
          </a:p>
          <a:p>
            <a:pPr>
              <a:defRPr sz="1400"/>
            </a:pPr>
            <a:r>
              <a:rPr lang="es-ES" sz="1400" b="1" i="0" baseline="0">
                <a:effectLst/>
              </a:rPr>
              <a:t>acumulador de litio Worley Parsons SLPB 68106100</a:t>
            </a:r>
            <a:endParaRPr lang="es-CL" sz="1400">
              <a:effectLst/>
            </a:endParaRPr>
          </a:p>
        </c:rich>
      </c:tx>
      <c:layout>
        <c:manualLayout>
          <c:xMode val="edge"/>
          <c:yMode val="edge"/>
          <c:x val="0.17129862842658561"/>
          <c:y val="3.9215698383726532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706776480343085E-2"/>
          <c:y val="0.14434304180000426"/>
          <c:w val="0.85694718620185983"/>
          <c:h val="0.7275898494950902"/>
        </c:manualLayout>
      </c:layout>
      <c:scatterChart>
        <c:scatterStyle val="smoothMarker"/>
        <c:varyColors val="0"/>
        <c:ser>
          <c:idx val="0"/>
          <c:order val="0"/>
          <c:tx>
            <c:v>ue; Ir = 1,5 [A]</c:v>
          </c:tx>
          <c:spPr>
            <a:ln w="15875">
              <a:solidFill>
                <a:schemeClr val="tx1"/>
              </a:solidFill>
              <a:prstDash val="dashDot"/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parámetros'!$DL$5:$DL$126</c:f>
              <c:numCache>
                <c:formatCode>0.000</c:formatCode>
                <c:ptCount val="122"/>
                <c:pt idx="0">
                  <c:v>3.8765006857010857</c:v>
                </c:pt>
                <c:pt idx="1">
                  <c:v>3.8765006857010857</c:v>
                </c:pt>
                <c:pt idx="2">
                  <c:v>3.8765642020586299</c:v>
                </c:pt>
                <c:pt idx="3">
                  <c:v>3.8766288586230564</c:v>
                </c:pt>
                <c:pt idx="4">
                  <c:v>3.8766946863748837</c:v>
                </c:pt>
                <c:pt idx="5">
                  <c:v>3.8767617174272497</c:v>
                </c:pt>
                <c:pt idx="6">
                  <c:v>3.8768299850781469</c:v>
                </c:pt>
                <c:pt idx="7">
                  <c:v>3.8768995238655792</c:v>
                </c:pt>
                <c:pt idx="8">
                  <c:v>3.8769703696258246</c:v>
                </c:pt>
                <c:pt idx="9">
                  <c:v>3.8770425595550178</c:v>
                </c:pt>
                <c:pt idx="10">
                  <c:v>3.877116132274268</c:v>
                </c:pt>
                <c:pt idx="11">
                  <c:v>3.8771911278985591</c:v>
                </c:pt>
                <c:pt idx="12">
                  <c:v>3.8772675881096825</c:v>
                </c:pt>
                <c:pt idx="13">
                  <c:v>3.8773455562334873</c:v>
                </c:pt>
                <c:pt idx="14">
                  <c:v>3.8774250773217465</c:v>
                </c:pt>
                <c:pt idx="15">
                  <c:v>3.8775061982389625</c:v>
                </c:pt>
                <c:pt idx="16">
                  <c:v>3.877588967754467</c:v>
                </c:pt>
                <c:pt idx="17">
                  <c:v>3.8776734366401935</c:v>
                </c:pt>
                <c:pt idx="18">
                  <c:v>3.8777596577745306</c:v>
                </c:pt>
                <c:pt idx="19">
                  <c:v>3.8778476862527129</c:v>
                </c:pt>
                <c:pt idx="20">
                  <c:v>3.877937579504223</c:v>
                </c:pt>
                <c:pt idx="21">
                  <c:v>3.8780293974177336</c:v>
                </c:pt>
                <c:pt idx="22">
                  <c:v>3.8781232024741645</c:v>
                </c:pt>
                <c:pt idx="23">
                  <c:v>3.878219059888472</c:v>
                </c:pt>
                <c:pt idx="24">
                  <c:v>3.8783170377608469</c:v>
                </c:pt>
                <c:pt idx="25">
                  <c:v>3.8784172072380598</c:v>
                </c:pt>
                <c:pt idx="26">
                  <c:v>3.8785196426857569</c:v>
                </c:pt>
                <c:pt idx="27">
                  <c:v>3.8786244218725781</c:v>
                </c:pt>
                <c:pt idx="28">
                  <c:v>3.878731626167065</c:v>
                </c:pt>
                <c:pt idx="29">
                  <c:v>3.8788413407483961</c:v>
                </c:pt>
                <c:pt idx="30">
                  <c:v>3.8789536548321055</c:v>
                </c:pt>
                <c:pt idx="31">
                  <c:v>3.8790686619120347</c:v>
                </c:pt>
                <c:pt idx="32">
                  <c:v>3.8791864600199006</c:v>
                </c:pt>
                <c:pt idx="33">
                  <c:v>3.8793071520039946</c:v>
                </c:pt>
                <c:pt idx="34">
                  <c:v>3.8794308458286748</c:v>
                </c:pt>
                <c:pt idx="35">
                  <c:v>3.8795576548964901</c:v>
                </c:pt>
                <c:pt idx="36">
                  <c:v>3.8796876983949482</c:v>
                </c:pt>
                <c:pt idx="37">
                  <c:v>3.8798211016701645</c:v>
                </c:pt>
                <c:pt idx="38">
                  <c:v>3.8799579966298481</c:v>
                </c:pt>
                <c:pt idx="39">
                  <c:v>3.8800985221783537</c:v>
                </c:pt>
                <c:pt idx="40">
                  <c:v>3.8802428246868068</c:v>
                </c:pt>
                <c:pt idx="41">
                  <c:v>3.8803910585016603</c:v>
                </c:pt>
                <c:pt idx="42">
                  <c:v>3.8805433864953827</c:v>
                </c:pt>
                <c:pt idx="43">
                  <c:v>3.8806999806634188</c:v>
                </c:pt>
                <c:pt idx="44">
                  <c:v>3.8808610227720193</c:v>
                </c:pt>
                <c:pt idx="45">
                  <c:v>3.8810267050620655</c:v>
                </c:pt>
                <c:pt idx="46">
                  <c:v>3.881197231014625</c:v>
                </c:pt>
                <c:pt idx="47">
                  <c:v>3.8813728161846477</c:v>
                </c:pt>
                <c:pt idx="48">
                  <c:v>3.8815536891099751</c:v>
                </c:pt>
                <c:pt idx="49">
                  <c:v>3.8817400923037391</c:v>
                </c:pt>
                <c:pt idx="50">
                  <c:v>3.8819322833391938</c:v>
                </c:pt>
                <c:pt idx="51">
                  <c:v>3.8821305360372005</c:v>
                </c:pt>
                <c:pt idx="52">
                  <c:v>3.8823351417678684</c:v>
                </c:pt>
                <c:pt idx="53">
                  <c:v>3.8825464108793679</c:v>
                </c:pt>
                <c:pt idx="54">
                  <c:v>3.8827646742686488</c:v>
                </c:pt>
                <c:pt idx="55">
                  <c:v>3.8829902851107896</c:v>
                </c:pt>
                <c:pt idx="56">
                  <c:v>3.8832236207659765</c:v>
                </c:pt>
                <c:pt idx="57">
                  <c:v>3.883465084885783</c:v>
                </c:pt>
                <c:pt idx="58">
                  <c:v>3.8837151097434699</c:v>
                </c:pt>
                <c:pt idx="59">
                  <c:v>3.8839741588166121</c:v>
                </c:pt>
                <c:pt idx="60">
                  <c:v>3.8842427296545092</c:v>
                </c:pt>
                <c:pt idx="61">
                  <c:v>3.8845213570677073</c:v>
                </c:pt>
                <c:pt idx="62">
                  <c:v>3.884810616682647</c:v>
                </c:pt>
                <c:pt idx="63">
                  <c:v>3.8851111289111557</c:v>
                </c:pt>
                <c:pt idx="64">
                  <c:v>3.8854235633923864</c:v>
                </c:pt>
                <c:pt idx="65">
                  <c:v>3.8857486439741313</c:v>
                </c:pt>
                <c:pt idx="66">
                  <c:v>3.8860871543115012</c:v>
                </c:pt>
                <c:pt idx="67">
                  <c:v>3.8864399441741191</c:v>
                </c:pt>
                <c:pt idx="68">
                  <c:v>3.8868079365686885</c:v>
                </c:pt>
                <c:pt idx="69">
                  <c:v>3.8871921358026236</c:v>
                </c:pt>
                <c:pt idx="70">
                  <c:v>3.8875936366370603</c:v>
                </c:pt>
                <c:pt idx="71">
                  <c:v>3.8880136347049179</c:v>
                </c:pt>
                <c:pt idx="72">
                  <c:v>3.888453438402792</c:v>
                </c:pt>
                <c:pt idx="73">
                  <c:v>3.8889144825058146</c:v>
                </c:pt>
                <c:pt idx="74">
                  <c:v>3.8893983438039226</c:v>
                </c:pt>
                <c:pt idx="75">
                  <c:v>3.8899067591185581</c:v>
                </c:pt>
                <c:pt idx="76">
                  <c:v>3.8904416461336031</c:v>
                </c:pt>
                <c:pt idx="77">
                  <c:v>3.8910051275671007</c:v>
                </c:pt>
                <c:pt idx="78">
                  <c:v>3.8915995593260173</c:v>
                </c:pt>
                <c:pt idx="79">
                  <c:v>3.8922275634313803</c:v>
                </c:pt>
                <c:pt idx="80">
                  <c:v>3.8928920666841744</c:v>
                </c:pt>
                <c:pt idx="81">
                  <c:v>3.893596346274713</c:v>
                </c:pt>
                <c:pt idx="82">
                  <c:v>3.8943440838350671</c:v>
                </c:pt>
                <c:pt idx="83">
                  <c:v>3.8951394298160427</c:v>
                </c:pt>
                <c:pt idx="84">
                  <c:v>3.8959870805651282</c:v>
                </c:pt>
                <c:pt idx="85">
                  <c:v>3.8968923711282311</c:v>
                </c:pt>
                <c:pt idx="86">
                  <c:v>3.8978613876491353</c:v>
                </c:pt>
                <c:pt idx="87">
                  <c:v>3.8989011043712201</c:v>
                </c:pt>
                <c:pt idx="88">
                  <c:v>3.9000195517617997</c:v>
                </c:pt>
                <c:pt idx="89">
                  <c:v>3.9012260243321384</c:v>
                </c:pt>
                <c:pt idx="90">
                  <c:v>3.9025313395356545</c:v>
                </c:pt>
                <c:pt idx="91">
                  <c:v>3.9039481630162873</c:v>
                </c:pt>
                <c:pt idx="92">
                  <c:v>3.9054914209303666</c:v>
                </c:pt>
                <c:pt idx="93">
                  <c:v>3.9071788278080182</c:v>
                </c:pt>
                <c:pt idx="94">
                  <c:v>3.9090315695767512</c:v>
                </c:pt>
                <c:pt idx="95">
                  <c:v>3.9110751976989979</c:v>
                </c:pt>
                <c:pt idx="96">
                  <c:v>3.9133408146864119</c:v>
                </c:pt>
                <c:pt idx="97">
                  <c:v>3.9158666681307555</c:v>
                </c:pt>
                <c:pt idx="98">
                  <c:v>3.9187003274908485</c:v>
                </c:pt>
                <c:pt idx="99">
                  <c:v>3.9219017083186656</c:v>
                </c:pt>
                <c:pt idx="100">
                  <c:v>3.9255473555315192</c:v>
                </c:pt>
                <c:pt idx="101">
                  <c:v>3.929736642853098</c:v>
                </c:pt>
                <c:pt idx="102">
                  <c:v>3.9346009690868664</c:v>
                </c:pt>
                <c:pt idx="103">
                  <c:v>3.9403177894490593</c:v>
                </c:pt>
                <c:pt idx="104">
                  <c:v>3.9471327325814483</c:v>
                </c:pt>
                <c:pt idx="105">
                  <c:v>3.9553958168257668</c:v>
                </c:pt>
                <c:pt idx="106">
                  <c:v>3.9656234984008267</c:v>
                </c:pt>
                <c:pt idx="107">
                  <c:v>3.9786109475454938</c:v>
                </c:pt>
                <c:pt idx="108">
                  <c:v>3.9956493867569591</c:v>
                </c:pt>
                <c:pt idx="109">
                  <c:v>4.0189843810624151</c:v>
                </c:pt>
                <c:pt idx="110">
                  <c:v>4.0528973715648551</c:v>
                </c:pt>
                <c:pt idx="111">
                  <c:v>4.1066890919777403</c:v>
                </c:pt>
                <c:pt idx="112">
                  <c:v>4.2050844573170023</c:v>
                </c:pt>
                <c:pt idx="113">
                  <c:v>4.4428512472637225</c:v>
                </c:pt>
                <c:pt idx="114">
                  <c:v>5.8348603472175053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F0-425C-AA1A-A663D2C98CE0}"/>
            </c:ext>
          </c:extLst>
        </c:ser>
        <c:ser>
          <c:idx val="1"/>
          <c:order val="1"/>
          <c:tx>
            <c:v>ue; Ir = 4,0 [A]</c:v>
          </c:tx>
          <c:spPr>
            <a:ln w="15875">
              <a:solidFill>
                <a:srgbClr val="00B050"/>
              </a:solidFill>
              <a:prstDash val="dashDot"/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parámetros'!$DM$5:$DM$126</c:f>
              <c:numCache>
                <c:formatCode>0.000</c:formatCode>
                <c:ptCount val="122"/>
                <c:pt idx="0">
                  <c:v>3.8884006857010855</c:v>
                </c:pt>
                <c:pt idx="1">
                  <c:v>3.8884006857010855</c:v>
                </c:pt>
                <c:pt idx="2">
                  <c:v>3.8888591550330744</c:v>
                </c:pt>
                <c:pt idx="3">
                  <c:v>3.8893402483492903</c:v>
                </c:pt>
                <c:pt idx="4">
                  <c:v>3.8898456826449048</c:v>
                </c:pt>
                <c:pt idx="5">
                  <c:v>3.8903773531676364</c:v>
                </c:pt>
                <c:pt idx="6">
                  <c:v>3.8909373571660781</c:v>
                </c:pt>
                <c:pt idx="7">
                  <c:v>3.891528021538706</c:v>
                </c:pt>
                <c:pt idx="8">
                  <c:v>3.8921519351520839</c:v>
                </c:pt>
                <c:pt idx="9">
                  <c:v>3.8928119867748183</c:v>
                </c:pt>
                <c:pt idx="10">
                  <c:v>3.8935114097996841</c:v>
                </c:pt>
                <c:pt idx="11">
                  <c:v>3.8942538352146525</c:v>
                </c:pt>
                <c:pt idx="12">
                  <c:v>3.8950433546542009</c:v>
                </c:pt>
                <c:pt idx="13">
                  <c:v>3.8958845958421757</c:v>
                </c:pt>
                <c:pt idx="14">
                  <c:v>3.8967828133636395</c:v>
                </c:pt>
                <c:pt idx="15">
                  <c:v>3.8977439985268245</c:v>
                </c:pt>
                <c:pt idx="16">
                  <c:v>3.8987750131692844</c:v>
                </c:pt>
                <c:pt idx="17">
                  <c:v>3.8998837537260966</c:v>
                </c:pt>
                <c:pt idx="18">
                  <c:v>3.901079353857746</c:v>
                </c:pt>
                <c:pt idx="19">
                  <c:v>3.9023724366414947</c:v>
                </c:pt>
                <c:pt idx="20">
                  <c:v>3.9037754310713226</c:v>
                </c:pt>
                <c:pt idx="21">
                  <c:v>3.9053029728473558</c:v>
                </c:pt>
                <c:pt idx="22">
                  <c:v>3.9069724168602789</c:v>
                </c:pt>
                <c:pt idx="23">
                  <c:v>3.9088044994556759</c:v>
                </c:pt>
                <c:pt idx="24">
                  <c:v>3.9108242041642622</c:v>
                </c:pt>
                <c:pt idx="25">
                  <c:v>3.9130619077625415</c:v>
                </c:pt>
                <c:pt idx="26">
                  <c:v>3.9155549186073872</c:v>
                </c:pt>
                <c:pt idx="27">
                  <c:v>3.9183495733668336</c:v>
                </c:pt>
                <c:pt idx="28">
                  <c:v>3.9215041438470304</c:v>
                </c:pt>
                <c:pt idx="29">
                  <c:v>3.9250929442023765</c:v>
                </c:pt>
                <c:pt idx="30">
                  <c:v>3.9292122595928025</c:v>
                </c:pt>
                <c:pt idx="31">
                  <c:v>3.9339891138974252</c:v>
                </c:pt>
                <c:pt idx="32">
                  <c:v>3.9395946001848769</c:v>
                </c:pt>
                <c:pt idx="33">
                  <c:v>3.9462648072572497</c:v>
                </c:pt>
                <c:pt idx="34">
                  <c:v>3.9543349220505601</c:v>
                </c:pt>
                <c:pt idx="35">
                  <c:v>3.964297321074878</c:v>
                </c:pt>
                <c:pt idx="36">
                  <c:v>3.9769059529568054</c:v>
                </c:pt>
                <c:pt idx="37">
                  <c:v>3.9933766388468723</c:v>
                </c:pt>
                <c:pt idx="38">
                  <c:v>4.0158047167912621</c:v>
                </c:pt>
                <c:pt idx="39">
                  <c:v>4.0481359190855288</c:v>
                </c:pt>
                <c:pt idx="40">
                  <c:v>4.0987877020335688</c:v>
                </c:pt>
                <c:pt idx="41">
                  <c:v>4.1894884082205088</c:v>
                </c:pt>
                <c:pt idx="42">
                  <c:v>4.3987912468245609</c:v>
                </c:pt>
                <c:pt idx="43">
                  <c:v>5.3986688498681179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F0-425C-AA1A-A663D2C98CE0}"/>
            </c:ext>
          </c:extLst>
        </c:ser>
        <c:ser>
          <c:idx val="2"/>
          <c:order val="2"/>
          <c:tx>
            <c:v>ue; Ir = 8,0 [A]</c:v>
          </c:tx>
          <c:spPr>
            <a:ln w="15875">
              <a:solidFill>
                <a:srgbClr val="00B0F0"/>
              </a:solidFill>
              <a:prstDash val="dashDot"/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parámetros'!$DN$5:$DN$126</c:f>
              <c:numCache>
                <c:formatCode>0.000</c:formatCode>
                <c:ptCount val="122"/>
                <c:pt idx="0">
                  <c:v>3.9074406857010855</c:v>
                </c:pt>
                <c:pt idx="1">
                  <c:v>3.9074406857010855</c:v>
                </c:pt>
                <c:pt idx="2">
                  <c:v>3.9093198109974949</c:v>
                </c:pt>
                <c:pt idx="3">
                  <c:v>3.9113940206341873</c:v>
                </c:pt>
                <c:pt idx="4">
                  <c:v>3.9136953573763269</c:v>
                </c:pt>
                <c:pt idx="5">
                  <c:v>3.9162632878485506</c:v>
                </c:pt>
                <c:pt idx="6">
                  <c:v>3.9191469847282194</c:v>
                </c:pt>
                <c:pt idx="7">
                  <c:v>3.9224085059832658</c:v>
                </c:pt>
                <c:pt idx="8">
                  <c:v>3.9261273113525634</c:v>
                </c:pt>
                <c:pt idx="9">
                  <c:v>3.9304068217511077</c:v>
                </c:pt>
                <c:pt idx="10">
                  <c:v>3.9353841875819038</c:v>
                </c:pt>
                <c:pt idx="11">
                  <c:v>3.9412452599936261</c:v>
                </c:pt>
                <c:pt idx="12">
                  <c:v>3.9482483132102657</c:v>
                </c:pt>
                <c:pt idx="13">
                  <c:v>3.9567631298239969</c:v>
                </c:pt>
                <c:pt idx="14">
                  <c:v>3.9673384610325817</c:v>
                </c:pt>
                <c:pt idx="15">
                  <c:v>3.9808252027036675</c:v>
                </c:pt>
                <c:pt idx="16">
                  <c:v>3.9986175420937653</c:v>
                </c:pt>
                <c:pt idx="17">
                  <c:v>4.0231689288134138</c:v>
                </c:pt>
                <c:pt idx="18">
                  <c:v>4.0592339564486704</c:v>
                </c:pt>
                <c:pt idx="19">
                  <c:v>4.1173925919926591</c:v>
                </c:pt>
                <c:pt idx="20">
                  <c:v>4.2269111524699721</c:v>
                </c:pt>
                <c:pt idx="21">
                  <c:v>4.5096161307399321</c:v>
                </c:pt>
                <c:pt idx="22">
                  <c:v>6.9279770140351511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FF0-425C-AA1A-A663D2C98CE0}"/>
            </c:ext>
          </c:extLst>
        </c:ser>
        <c:ser>
          <c:idx val="3"/>
          <c:order val="3"/>
          <c:tx>
            <c:v>uE; Ir = 1,5 [A]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parámetros'!$DO$5:$DO$126</c:f>
              <c:numCache>
                <c:formatCode>0.000</c:formatCode>
                <c:ptCount val="122"/>
                <c:pt idx="0">
                  <c:v>-0.85775068570108548</c:v>
                </c:pt>
                <c:pt idx="1">
                  <c:v>-0.85775068570108548</c:v>
                </c:pt>
                <c:pt idx="2">
                  <c:v>-0.19391834627299923</c:v>
                </c:pt>
                <c:pt idx="3">
                  <c:v>0.10268618076294882</c:v>
                </c:pt>
                <c:pt idx="4">
                  <c:v>0.23521097690953488</c:v>
                </c:pt>
                <c:pt idx="5">
                  <c:v>0.29442390184093886</c:v>
                </c:pt>
                <c:pt idx="6">
                  <c:v>0.3208806147043482</c:v>
                </c:pt>
                <c:pt idx="7">
                  <c:v>0.3327016429063458</c:v>
                </c:pt>
                <c:pt idx="8">
                  <c:v>0.33798335377019545</c:v>
                </c:pt>
                <c:pt idx="9">
                  <c:v>0.34034325590160175</c:v>
                </c:pt>
                <c:pt idx="10">
                  <c:v>0.34139767523908077</c:v>
                </c:pt>
                <c:pt idx="11">
                  <c:v>0.34186879653027902</c:v>
                </c:pt>
                <c:pt idx="12">
                  <c:v>0.34207929653073516</c:v>
                </c:pt>
                <c:pt idx="13">
                  <c:v>0.34217334927473098</c:v>
                </c:pt>
                <c:pt idx="14">
                  <c:v>0.34221537264116314</c:v>
                </c:pt>
                <c:pt idx="15">
                  <c:v>0.34223414894955423</c:v>
                </c:pt>
                <c:pt idx="16">
                  <c:v>0.34224253832400769</c:v>
                </c:pt>
                <c:pt idx="17">
                  <c:v>0.34224628675006974</c:v>
                </c:pt>
                <c:pt idx="18">
                  <c:v>0.34224796157076348</c:v>
                </c:pt>
                <c:pt idx="19">
                  <c:v>0.34224870989134115</c:v>
                </c:pt>
                <c:pt idx="20">
                  <c:v>0.34224904424575242</c:v>
                </c:pt>
                <c:pt idx="21">
                  <c:v>0.34224919363743783</c:v>
                </c:pt>
                <c:pt idx="22">
                  <c:v>0.34224926038659653</c:v>
                </c:pt>
                <c:pt idx="23">
                  <c:v>0.34224929021054679</c:v>
                </c:pt>
                <c:pt idx="24">
                  <c:v>0.34224930353607813</c:v>
                </c:pt>
                <c:pt idx="25">
                  <c:v>0.34224930949001059</c:v>
                </c:pt>
                <c:pt idx="26">
                  <c:v>0.34224931215026566</c:v>
                </c:pt>
                <c:pt idx="27">
                  <c:v>0.34224931333888459</c:v>
                </c:pt>
                <c:pt idx="28">
                  <c:v>0.3422493138699671</c:v>
                </c:pt>
                <c:pt idx="29">
                  <c:v>0.34224931410725817</c:v>
                </c:pt>
                <c:pt idx="30">
                  <c:v>0.34224931421328136</c:v>
                </c:pt>
                <c:pt idx="31">
                  <c:v>0.34224931426065319</c:v>
                </c:pt>
                <c:pt idx="32">
                  <c:v>0.34224931428181921</c:v>
                </c:pt>
                <c:pt idx="33">
                  <c:v>0.34224931429127631</c:v>
                </c:pt>
                <c:pt idx="34">
                  <c:v>0.34224931429550182</c:v>
                </c:pt>
                <c:pt idx="35">
                  <c:v>0.34224931429738981</c:v>
                </c:pt>
                <c:pt idx="36">
                  <c:v>0.34224931429823335</c:v>
                </c:pt>
                <c:pt idx="37">
                  <c:v>0.34224931429861027</c:v>
                </c:pt>
                <c:pt idx="38">
                  <c:v>0.3422493142987787</c:v>
                </c:pt>
                <c:pt idx="39">
                  <c:v>0.34224931429885391</c:v>
                </c:pt>
                <c:pt idx="40">
                  <c:v>0.34224931429888755</c:v>
                </c:pt>
                <c:pt idx="41">
                  <c:v>0.34224931429890254</c:v>
                </c:pt>
                <c:pt idx="42">
                  <c:v>0.34224931429890926</c:v>
                </c:pt>
                <c:pt idx="43">
                  <c:v>0.34224931429891225</c:v>
                </c:pt>
                <c:pt idx="44">
                  <c:v>0.34224931429891364</c:v>
                </c:pt>
                <c:pt idx="45">
                  <c:v>0.3422493142989142</c:v>
                </c:pt>
                <c:pt idx="46">
                  <c:v>0.34224931429891448</c:v>
                </c:pt>
                <c:pt idx="47">
                  <c:v>0.34224931429891459</c:v>
                </c:pt>
                <c:pt idx="48">
                  <c:v>0.34224931429891464</c:v>
                </c:pt>
                <c:pt idx="49">
                  <c:v>0.3422493142989147</c:v>
                </c:pt>
                <c:pt idx="50">
                  <c:v>0.3422493142989147</c:v>
                </c:pt>
                <c:pt idx="51">
                  <c:v>0.3422493142989147</c:v>
                </c:pt>
                <c:pt idx="52">
                  <c:v>0.3422493142989147</c:v>
                </c:pt>
                <c:pt idx="53">
                  <c:v>0.3422493142989147</c:v>
                </c:pt>
                <c:pt idx="54">
                  <c:v>0.3422493142989147</c:v>
                </c:pt>
                <c:pt idx="55">
                  <c:v>0.3422493142989147</c:v>
                </c:pt>
                <c:pt idx="56">
                  <c:v>0.3422493142989147</c:v>
                </c:pt>
                <c:pt idx="57">
                  <c:v>0.3422493142989147</c:v>
                </c:pt>
                <c:pt idx="58">
                  <c:v>0.3422493142989147</c:v>
                </c:pt>
                <c:pt idx="59">
                  <c:v>0.3422493142989147</c:v>
                </c:pt>
                <c:pt idx="60">
                  <c:v>0.3422493142989147</c:v>
                </c:pt>
                <c:pt idx="61">
                  <c:v>0.3422493142989147</c:v>
                </c:pt>
                <c:pt idx="62">
                  <c:v>0.3422493142989147</c:v>
                </c:pt>
                <c:pt idx="63">
                  <c:v>0.3422493142989147</c:v>
                </c:pt>
                <c:pt idx="64">
                  <c:v>0.3422493142989147</c:v>
                </c:pt>
                <c:pt idx="65">
                  <c:v>0.3422493142989147</c:v>
                </c:pt>
                <c:pt idx="66">
                  <c:v>0.3422493142989147</c:v>
                </c:pt>
                <c:pt idx="67">
                  <c:v>0.3422493142989147</c:v>
                </c:pt>
                <c:pt idx="68">
                  <c:v>0.3422493142989147</c:v>
                </c:pt>
                <c:pt idx="69">
                  <c:v>0.3422493142989147</c:v>
                </c:pt>
                <c:pt idx="70">
                  <c:v>0.3422493142989147</c:v>
                </c:pt>
                <c:pt idx="71">
                  <c:v>0.3422493142989147</c:v>
                </c:pt>
                <c:pt idx="72">
                  <c:v>0.3422493142989147</c:v>
                </c:pt>
                <c:pt idx="73">
                  <c:v>0.3422493142989147</c:v>
                </c:pt>
                <c:pt idx="74">
                  <c:v>0.3422493142989147</c:v>
                </c:pt>
                <c:pt idx="75">
                  <c:v>0.3422493142989147</c:v>
                </c:pt>
                <c:pt idx="76">
                  <c:v>0.3422493142989147</c:v>
                </c:pt>
                <c:pt idx="77">
                  <c:v>0.3422493142989147</c:v>
                </c:pt>
                <c:pt idx="78">
                  <c:v>0.3422493142989147</c:v>
                </c:pt>
                <c:pt idx="79">
                  <c:v>0.3422493142989147</c:v>
                </c:pt>
                <c:pt idx="80">
                  <c:v>0.3422493142989147</c:v>
                </c:pt>
                <c:pt idx="81">
                  <c:v>0.3422493142989147</c:v>
                </c:pt>
                <c:pt idx="82">
                  <c:v>0.3422493142989147</c:v>
                </c:pt>
                <c:pt idx="83">
                  <c:v>0.3422493142989147</c:v>
                </c:pt>
                <c:pt idx="84">
                  <c:v>0.3422493142989147</c:v>
                </c:pt>
                <c:pt idx="85">
                  <c:v>0.3422493142989147</c:v>
                </c:pt>
                <c:pt idx="86">
                  <c:v>0.3422493142989147</c:v>
                </c:pt>
                <c:pt idx="87">
                  <c:v>0.3422493142989147</c:v>
                </c:pt>
                <c:pt idx="88">
                  <c:v>0.3422493142989147</c:v>
                </c:pt>
                <c:pt idx="89">
                  <c:v>0.3422493142989147</c:v>
                </c:pt>
                <c:pt idx="90">
                  <c:v>0.3422493142989147</c:v>
                </c:pt>
                <c:pt idx="91">
                  <c:v>0.3422493142989147</c:v>
                </c:pt>
                <c:pt idx="92">
                  <c:v>0.3422493142989147</c:v>
                </c:pt>
                <c:pt idx="93">
                  <c:v>0.3422493142989147</c:v>
                </c:pt>
                <c:pt idx="94">
                  <c:v>0.3422493142989147</c:v>
                </c:pt>
                <c:pt idx="95">
                  <c:v>0.3422493142989147</c:v>
                </c:pt>
                <c:pt idx="96">
                  <c:v>0.3422493142989147</c:v>
                </c:pt>
                <c:pt idx="97">
                  <c:v>0.3422493142989147</c:v>
                </c:pt>
                <c:pt idx="98">
                  <c:v>0.3422493142989147</c:v>
                </c:pt>
                <c:pt idx="99">
                  <c:v>0.3422493142989147</c:v>
                </c:pt>
                <c:pt idx="100">
                  <c:v>0.3422493142989147</c:v>
                </c:pt>
                <c:pt idx="101">
                  <c:v>0.3422493142989147</c:v>
                </c:pt>
                <c:pt idx="102">
                  <c:v>0.3422493142989147</c:v>
                </c:pt>
                <c:pt idx="103">
                  <c:v>0.3422493142989147</c:v>
                </c:pt>
                <c:pt idx="104">
                  <c:v>0.3422493142989147</c:v>
                </c:pt>
                <c:pt idx="105">
                  <c:v>0.3422493142989147</c:v>
                </c:pt>
                <c:pt idx="106">
                  <c:v>0.3422493142989147</c:v>
                </c:pt>
                <c:pt idx="107">
                  <c:v>0.3422493142989147</c:v>
                </c:pt>
                <c:pt idx="108">
                  <c:v>0.3422493142989147</c:v>
                </c:pt>
                <c:pt idx="109">
                  <c:v>0.3422493142989147</c:v>
                </c:pt>
                <c:pt idx="110">
                  <c:v>0.3422493142989147</c:v>
                </c:pt>
                <c:pt idx="111">
                  <c:v>0.3422493142989147</c:v>
                </c:pt>
                <c:pt idx="112">
                  <c:v>0.3422493142989147</c:v>
                </c:pt>
                <c:pt idx="113">
                  <c:v>0.3422493142989147</c:v>
                </c:pt>
                <c:pt idx="114">
                  <c:v>0.3422493142989147</c:v>
                </c:pt>
                <c:pt idx="115">
                  <c:v>0.3422493142989147</c:v>
                </c:pt>
                <c:pt idx="116">
                  <c:v>0.3422493142989147</c:v>
                </c:pt>
                <c:pt idx="117">
                  <c:v>0.3422493142989147</c:v>
                </c:pt>
                <c:pt idx="118">
                  <c:v>0.3422493142989147</c:v>
                </c:pt>
                <c:pt idx="119">
                  <c:v>0.3422493142989147</c:v>
                </c:pt>
                <c:pt idx="120">
                  <c:v>0.3422493142989147</c:v>
                </c:pt>
                <c:pt idx="121">
                  <c:v>0.3422493142989147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FF0-425C-AA1A-A663D2C98CE0}"/>
            </c:ext>
          </c:extLst>
        </c:ser>
        <c:ser>
          <c:idx val="4"/>
          <c:order val="4"/>
          <c:tx>
            <c:v>uE; Ir = 4,0 [A]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parámetros'!$DP$5:$DP$126</c:f>
              <c:numCache>
                <c:formatCode>0.000</c:formatCode>
                <c:ptCount val="122"/>
                <c:pt idx="0">
                  <c:v>-0.83840068570108528</c:v>
                </c:pt>
                <c:pt idx="1">
                  <c:v>-0.83840068570108528</c:v>
                </c:pt>
                <c:pt idx="2">
                  <c:v>-0.17456834627299905</c:v>
                </c:pt>
                <c:pt idx="3">
                  <c:v>0.12203618076294898</c:v>
                </c:pt>
                <c:pt idx="4">
                  <c:v>0.25456097690953505</c:v>
                </c:pt>
                <c:pt idx="5">
                  <c:v>0.31377390184093901</c:v>
                </c:pt>
                <c:pt idx="6">
                  <c:v>0.34023061470434834</c:v>
                </c:pt>
                <c:pt idx="7">
                  <c:v>0.35205164290634594</c:v>
                </c:pt>
                <c:pt idx="8">
                  <c:v>0.35733335377019559</c:v>
                </c:pt>
                <c:pt idx="9">
                  <c:v>0.35969325590160189</c:v>
                </c:pt>
                <c:pt idx="10">
                  <c:v>0.36074767523908091</c:v>
                </c:pt>
                <c:pt idx="11">
                  <c:v>0.36121879653027916</c:v>
                </c:pt>
                <c:pt idx="12">
                  <c:v>0.3614292965307353</c:v>
                </c:pt>
                <c:pt idx="13">
                  <c:v>0.36152334927473112</c:v>
                </c:pt>
                <c:pt idx="14">
                  <c:v>0.36156537264116329</c:v>
                </c:pt>
                <c:pt idx="15">
                  <c:v>0.36158414894955437</c:v>
                </c:pt>
                <c:pt idx="16">
                  <c:v>0.36159253832400784</c:v>
                </c:pt>
                <c:pt idx="17">
                  <c:v>0.36159628675006988</c:v>
                </c:pt>
                <c:pt idx="18">
                  <c:v>0.36159796157076363</c:v>
                </c:pt>
                <c:pt idx="19">
                  <c:v>0.3615987098913413</c:v>
                </c:pt>
                <c:pt idx="20">
                  <c:v>0.36159904424575257</c:v>
                </c:pt>
                <c:pt idx="21">
                  <c:v>0.36159919363743798</c:v>
                </c:pt>
                <c:pt idx="22">
                  <c:v>0.36159926038659668</c:v>
                </c:pt>
                <c:pt idx="23">
                  <c:v>0.36159929021054693</c:v>
                </c:pt>
                <c:pt idx="24">
                  <c:v>0.36159930353607828</c:v>
                </c:pt>
                <c:pt idx="25">
                  <c:v>0.36159930949001073</c:v>
                </c:pt>
                <c:pt idx="26">
                  <c:v>0.36159931215026581</c:v>
                </c:pt>
                <c:pt idx="27">
                  <c:v>0.36159931333888473</c:v>
                </c:pt>
                <c:pt idx="28">
                  <c:v>0.36159931386996724</c:v>
                </c:pt>
                <c:pt idx="29">
                  <c:v>0.36159931410725832</c:v>
                </c:pt>
                <c:pt idx="30">
                  <c:v>0.36159931421328151</c:v>
                </c:pt>
                <c:pt idx="31">
                  <c:v>0.36159931426065334</c:v>
                </c:pt>
                <c:pt idx="32">
                  <c:v>0.36159931428181935</c:v>
                </c:pt>
                <c:pt idx="33">
                  <c:v>0.36159931429127645</c:v>
                </c:pt>
                <c:pt idx="34">
                  <c:v>0.36159931429550196</c:v>
                </c:pt>
                <c:pt idx="35">
                  <c:v>0.36159931429738995</c:v>
                </c:pt>
                <c:pt idx="36">
                  <c:v>0.3615993142982335</c:v>
                </c:pt>
                <c:pt idx="37">
                  <c:v>0.36159931429861042</c:v>
                </c:pt>
                <c:pt idx="38">
                  <c:v>0.36159931429877884</c:v>
                </c:pt>
                <c:pt idx="39">
                  <c:v>0.36159931429885406</c:v>
                </c:pt>
                <c:pt idx="40">
                  <c:v>0.3615993142988877</c:v>
                </c:pt>
                <c:pt idx="41">
                  <c:v>0.36159931429890269</c:v>
                </c:pt>
                <c:pt idx="42">
                  <c:v>0.3615993142989094</c:v>
                </c:pt>
                <c:pt idx="43">
                  <c:v>0.3615993142989124</c:v>
                </c:pt>
                <c:pt idx="44">
                  <c:v>0.36159931429891379</c:v>
                </c:pt>
                <c:pt idx="45">
                  <c:v>0.36159931429891434</c:v>
                </c:pt>
                <c:pt idx="46">
                  <c:v>0.36159931429891462</c:v>
                </c:pt>
                <c:pt idx="47">
                  <c:v>0.36159931429891473</c:v>
                </c:pt>
                <c:pt idx="48">
                  <c:v>0.36159931429891479</c:v>
                </c:pt>
                <c:pt idx="49">
                  <c:v>0.36159931429891484</c:v>
                </c:pt>
                <c:pt idx="50">
                  <c:v>0.36159931429891484</c:v>
                </c:pt>
                <c:pt idx="51">
                  <c:v>0.36159931429891484</c:v>
                </c:pt>
                <c:pt idx="52">
                  <c:v>0.36159931429891484</c:v>
                </c:pt>
                <c:pt idx="53">
                  <c:v>0.36159931429891484</c:v>
                </c:pt>
                <c:pt idx="54">
                  <c:v>0.36159931429891484</c:v>
                </c:pt>
                <c:pt idx="55">
                  <c:v>0.36159931429891484</c:v>
                </c:pt>
                <c:pt idx="56">
                  <c:v>0.36159931429891484</c:v>
                </c:pt>
                <c:pt idx="57">
                  <c:v>0.36159931429891484</c:v>
                </c:pt>
                <c:pt idx="58">
                  <c:v>0.36159931429891484</c:v>
                </c:pt>
                <c:pt idx="59">
                  <c:v>0.36159931429891484</c:v>
                </c:pt>
                <c:pt idx="60">
                  <c:v>0.36159931429891484</c:v>
                </c:pt>
                <c:pt idx="61">
                  <c:v>0.36159931429891484</c:v>
                </c:pt>
                <c:pt idx="62">
                  <c:v>0.36159931429891484</c:v>
                </c:pt>
                <c:pt idx="63">
                  <c:v>0.36159931429891484</c:v>
                </c:pt>
                <c:pt idx="64">
                  <c:v>0.36159931429891484</c:v>
                </c:pt>
                <c:pt idx="65">
                  <c:v>0.36159931429891484</c:v>
                </c:pt>
                <c:pt idx="66">
                  <c:v>0.36159931429891484</c:v>
                </c:pt>
                <c:pt idx="67">
                  <c:v>0.36159931429891484</c:v>
                </c:pt>
                <c:pt idx="68">
                  <c:v>0.36159931429891484</c:v>
                </c:pt>
                <c:pt idx="69">
                  <c:v>0.36159931429891484</c:v>
                </c:pt>
                <c:pt idx="70">
                  <c:v>0.36159931429891484</c:v>
                </c:pt>
                <c:pt idx="71">
                  <c:v>0.36159931429891484</c:v>
                </c:pt>
                <c:pt idx="72">
                  <c:v>0.36159931429891484</c:v>
                </c:pt>
                <c:pt idx="73">
                  <c:v>0.36159931429891484</c:v>
                </c:pt>
                <c:pt idx="74">
                  <c:v>0.36159931429891484</c:v>
                </c:pt>
                <c:pt idx="75">
                  <c:v>0.36159931429891484</c:v>
                </c:pt>
                <c:pt idx="76">
                  <c:v>0.36159931429891484</c:v>
                </c:pt>
                <c:pt idx="77">
                  <c:v>0.36159931429891484</c:v>
                </c:pt>
                <c:pt idx="78">
                  <c:v>0.36159931429891484</c:v>
                </c:pt>
                <c:pt idx="79">
                  <c:v>0.36159931429891484</c:v>
                </c:pt>
                <c:pt idx="80">
                  <c:v>0.36159931429891484</c:v>
                </c:pt>
                <c:pt idx="81">
                  <c:v>0.36159931429891484</c:v>
                </c:pt>
                <c:pt idx="82">
                  <c:v>0.36159931429891484</c:v>
                </c:pt>
                <c:pt idx="83">
                  <c:v>0.36159931429891484</c:v>
                </c:pt>
                <c:pt idx="84">
                  <c:v>0.36159931429891484</c:v>
                </c:pt>
                <c:pt idx="85">
                  <c:v>0.36159931429891484</c:v>
                </c:pt>
                <c:pt idx="86">
                  <c:v>0.36159931429891484</c:v>
                </c:pt>
                <c:pt idx="87">
                  <c:v>0.36159931429891484</c:v>
                </c:pt>
                <c:pt idx="88">
                  <c:v>0.36159931429891484</c:v>
                </c:pt>
                <c:pt idx="89">
                  <c:v>0.36159931429891484</c:v>
                </c:pt>
                <c:pt idx="90">
                  <c:v>0.36159931429891484</c:v>
                </c:pt>
                <c:pt idx="91">
                  <c:v>0.36159931429891484</c:v>
                </c:pt>
                <c:pt idx="92">
                  <c:v>0.36159931429891484</c:v>
                </c:pt>
                <c:pt idx="93">
                  <c:v>0.36159931429891484</c:v>
                </c:pt>
                <c:pt idx="94">
                  <c:v>0.36159931429891484</c:v>
                </c:pt>
                <c:pt idx="95">
                  <c:v>0.36159931429891484</c:v>
                </c:pt>
                <c:pt idx="96">
                  <c:v>0.36159931429891484</c:v>
                </c:pt>
                <c:pt idx="97">
                  <c:v>0.36159931429891484</c:v>
                </c:pt>
                <c:pt idx="98">
                  <c:v>0.36159931429891484</c:v>
                </c:pt>
                <c:pt idx="99">
                  <c:v>0.36159931429891484</c:v>
                </c:pt>
                <c:pt idx="100">
                  <c:v>0.36159931429891484</c:v>
                </c:pt>
                <c:pt idx="101">
                  <c:v>0.36159931429891484</c:v>
                </c:pt>
                <c:pt idx="102">
                  <c:v>0.36159931429891484</c:v>
                </c:pt>
                <c:pt idx="103">
                  <c:v>0.36159931429891484</c:v>
                </c:pt>
                <c:pt idx="104">
                  <c:v>0.36159931429891484</c:v>
                </c:pt>
                <c:pt idx="105">
                  <c:v>0.36159931429891484</c:v>
                </c:pt>
                <c:pt idx="106">
                  <c:v>0.36159931429891484</c:v>
                </c:pt>
                <c:pt idx="107">
                  <c:v>0.36159931429891484</c:v>
                </c:pt>
                <c:pt idx="108">
                  <c:v>0.36159931429891484</c:v>
                </c:pt>
                <c:pt idx="109">
                  <c:v>0.36159931429891484</c:v>
                </c:pt>
                <c:pt idx="110">
                  <c:v>0.36159931429891484</c:v>
                </c:pt>
                <c:pt idx="111">
                  <c:v>0.36159931429891484</c:v>
                </c:pt>
                <c:pt idx="112">
                  <c:v>0.36159931429891484</c:v>
                </c:pt>
                <c:pt idx="113">
                  <c:v>0.36159931429891484</c:v>
                </c:pt>
                <c:pt idx="114">
                  <c:v>0.36159931429891484</c:v>
                </c:pt>
                <c:pt idx="115">
                  <c:v>0.36159931429891484</c:v>
                </c:pt>
                <c:pt idx="116">
                  <c:v>0.36159931429891484</c:v>
                </c:pt>
                <c:pt idx="117">
                  <c:v>0.36159931429891484</c:v>
                </c:pt>
                <c:pt idx="118">
                  <c:v>0.36159931429891484</c:v>
                </c:pt>
                <c:pt idx="119">
                  <c:v>0.36159931429891484</c:v>
                </c:pt>
                <c:pt idx="120">
                  <c:v>0.36159931429891484</c:v>
                </c:pt>
                <c:pt idx="121">
                  <c:v>0.36159931429891484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FF0-425C-AA1A-A663D2C98CE0}"/>
            </c:ext>
          </c:extLst>
        </c:ser>
        <c:ser>
          <c:idx val="5"/>
          <c:order val="5"/>
          <c:tx>
            <c:v>uE; Ir = 8,0 [A]</c:v>
          </c:tx>
          <c:spPr>
            <a:ln w="12700">
              <a:solidFill>
                <a:srgbClr val="00B0F0"/>
              </a:solidFill>
              <a:prstDash val="dash"/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parámetros'!$DQ$5:$DQ$126</c:f>
              <c:numCache>
                <c:formatCode>0.000</c:formatCode>
                <c:ptCount val="122"/>
                <c:pt idx="0">
                  <c:v>-0.80744068570108507</c:v>
                </c:pt>
                <c:pt idx="1">
                  <c:v>-0.80744068570108507</c:v>
                </c:pt>
                <c:pt idx="2">
                  <c:v>-0.14360834627299879</c:v>
                </c:pt>
                <c:pt idx="3">
                  <c:v>0.15299618076294924</c:v>
                </c:pt>
                <c:pt idx="4">
                  <c:v>0.28552097690953532</c:v>
                </c:pt>
                <c:pt idx="5">
                  <c:v>0.34473390184093927</c:v>
                </c:pt>
                <c:pt idx="6">
                  <c:v>0.37119061470434861</c:v>
                </c:pt>
                <c:pt idx="7">
                  <c:v>0.38301164290634621</c:v>
                </c:pt>
                <c:pt idx="8">
                  <c:v>0.38829335377019586</c:v>
                </c:pt>
                <c:pt idx="9">
                  <c:v>0.39065325590160216</c:v>
                </c:pt>
                <c:pt idx="10">
                  <c:v>0.39170767523908118</c:v>
                </c:pt>
                <c:pt idx="11">
                  <c:v>0.39217879653027943</c:v>
                </c:pt>
                <c:pt idx="12">
                  <c:v>0.39238929653073557</c:v>
                </c:pt>
                <c:pt idx="13">
                  <c:v>0.39248334927473139</c:v>
                </c:pt>
                <c:pt idx="14">
                  <c:v>0.39252537264116355</c:v>
                </c:pt>
                <c:pt idx="15">
                  <c:v>0.39254414894955464</c:v>
                </c:pt>
                <c:pt idx="16">
                  <c:v>0.3925525383240081</c:v>
                </c:pt>
                <c:pt idx="17">
                  <c:v>0.39255628675007015</c:v>
                </c:pt>
                <c:pt idx="18">
                  <c:v>0.39255796157076389</c:v>
                </c:pt>
                <c:pt idx="19">
                  <c:v>0.39255870989134156</c:v>
                </c:pt>
                <c:pt idx="20">
                  <c:v>0.39255904424575283</c:v>
                </c:pt>
                <c:pt idx="21">
                  <c:v>0.39255919363743824</c:v>
                </c:pt>
                <c:pt idx="22">
                  <c:v>0.39255926038659694</c:v>
                </c:pt>
                <c:pt idx="23">
                  <c:v>0.3925592902105472</c:v>
                </c:pt>
                <c:pt idx="24">
                  <c:v>0.39255930353607854</c:v>
                </c:pt>
                <c:pt idx="25">
                  <c:v>0.392559309490011</c:v>
                </c:pt>
                <c:pt idx="26">
                  <c:v>0.39255931215026607</c:v>
                </c:pt>
                <c:pt idx="27">
                  <c:v>0.392559313338885</c:v>
                </c:pt>
                <c:pt idx="28">
                  <c:v>0.39255931386996751</c:v>
                </c:pt>
                <c:pt idx="29">
                  <c:v>0.39255931410725858</c:v>
                </c:pt>
                <c:pt idx="30">
                  <c:v>0.39255931421328177</c:v>
                </c:pt>
                <c:pt idx="31">
                  <c:v>0.3925593142606536</c:v>
                </c:pt>
                <c:pt idx="32">
                  <c:v>0.39255931428181962</c:v>
                </c:pt>
                <c:pt idx="33">
                  <c:v>0.39255931429127672</c:v>
                </c:pt>
                <c:pt idx="34">
                  <c:v>0.39255931429550223</c:v>
                </c:pt>
                <c:pt idx="35">
                  <c:v>0.39255931429739022</c:v>
                </c:pt>
                <c:pt idx="36">
                  <c:v>0.39255931429823376</c:v>
                </c:pt>
                <c:pt idx="37">
                  <c:v>0.39255931429861068</c:v>
                </c:pt>
                <c:pt idx="38">
                  <c:v>0.39255931429877911</c:v>
                </c:pt>
                <c:pt idx="39">
                  <c:v>0.39255931429885432</c:v>
                </c:pt>
                <c:pt idx="40">
                  <c:v>0.39255931429888796</c:v>
                </c:pt>
                <c:pt idx="41">
                  <c:v>0.39255931429890295</c:v>
                </c:pt>
                <c:pt idx="42">
                  <c:v>0.39255931429890967</c:v>
                </c:pt>
                <c:pt idx="43">
                  <c:v>0.39255931429891266</c:v>
                </c:pt>
                <c:pt idx="44">
                  <c:v>0.39255931429891405</c:v>
                </c:pt>
                <c:pt idx="45">
                  <c:v>0.39255931429891461</c:v>
                </c:pt>
                <c:pt idx="46">
                  <c:v>0.39255931429891489</c:v>
                </c:pt>
                <c:pt idx="47">
                  <c:v>0.392559314298915</c:v>
                </c:pt>
                <c:pt idx="48">
                  <c:v>0.39255931429891505</c:v>
                </c:pt>
                <c:pt idx="49">
                  <c:v>0.39255931429891511</c:v>
                </c:pt>
                <c:pt idx="50">
                  <c:v>0.39255931429891511</c:v>
                </c:pt>
                <c:pt idx="51">
                  <c:v>0.39255931429891511</c:v>
                </c:pt>
                <c:pt idx="52">
                  <c:v>0.39255931429891511</c:v>
                </c:pt>
                <c:pt idx="53">
                  <c:v>0.39255931429891511</c:v>
                </c:pt>
                <c:pt idx="54">
                  <c:v>0.39255931429891511</c:v>
                </c:pt>
                <c:pt idx="55">
                  <c:v>0.39255931429891511</c:v>
                </c:pt>
                <c:pt idx="56">
                  <c:v>0.39255931429891511</c:v>
                </c:pt>
                <c:pt idx="57">
                  <c:v>0.39255931429891511</c:v>
                </c:pt>
                <c:pt idx="58">
                  <c:v>0.39255931429891511</c:v>
                </c:pt>
                <c:pt idx="59">
                  <c:v>0.39255931429891511</c:v>
                </c:pt>
                <c:pt idx="60">
                  <c:v>0.39255931429891511</c:v>
                </c:pt>
                <c:pt idx="61">
                  <c:v>0.39255931429891511</c:v>
                </c:pt>
                <c:pt idx="62">
                  <c:v>0.39255931429891511</c:v>
                </c:pt>
                <c:pt idx="63">
                  <c:v>0.39255931429891511</c:v>
                </c:pt>
                <c:pt idx="64">
                  <c:v>0.39255931429891511</c:v>
                </c:pt>
                <c:pt idx="65">
                  <c:v>0.39255931429891511</c:v>
                </c:pt>
                <c:pt idx="66">
                  <c:v>0.39255931429891511</c:v>
                </c:pt>
                <c:pt idx="67">
                  <c:v>0.39255931429891511</c:v>
                </c:pt>
                <c:pt idx="68">
                  <c:v>0.39255931429891511</c:v>
                </c:pt>
                <c:pt idx="69">
                  <c:v>0.39255931429891511</c:v>
                </c:pt>
                <c:pt idx="70">
                  <c:v>0.39255931429891511</c:v>
                </c:pt>
                <c:pt idx="71">
                  <c:v>0.39255931429891511</c:v>
                </c:pt>
                <c:pt idx="72">
                  <c:v>0.39255931429891511</c:v>
                </c:pt>
                <c:pt idx="73">
                  <c:v>0.39255931429891511</c:v>
                </c:pt>
                <c:pt idx="74">
                  <c:v>0.39255931429891511</c:v>
                </c:pt>
                <c:pt idx="75">
                  <c:v>0.39255931429891511</c:v>
                </c:pt>
                <c:pt idx="76">
                  <c:v>0.39255931429891511</c:v>
                </c:pt>
                <c:pt idx="77">
                  <c:v>0.39255931429891511</c:v>
                </c:pt>
                <c:pt idx="78">
                  <c:v>0.39255931429891511</c:v>
                </c:pt>
                <c:pt idx="79">
                  <c:v>0.39255931429891511</c:v>
                </c:pt>
                <c:pt idx="80">
                  <c:v>0.39255931429891511</c:v>
                </c:pt>
                <c:pt idx="81">
                  <c:v>0.39255931429891511</c:v>
                </c:pt>
                <c:pt idx="82">
                  <c:v>0.39255931429891511</c:v>
                </c:pt>
                <c:pt idx="83">
                  <c:v>0.39255931429891511</c:v>
                </c:pt>
                <c:pt idx="84">
                  <c:v>0.39255931429891511</c:v>
                </c:pt>
                <c:pt idx="85">
                  <c:v>0.39255931429891511</c:v>
                </c:pt>
                <c:pt idx="86">
                  <c:v>0.39255931429891511</c:v>
                </c:pt>
                <c:pt idx="87">
                  <c:v>0.39255931429891511</c:v>
                </c:pt>
                <c:pt idx="88">
                  <c:v>0.39255931429891511</c:v>
                </c:pt>
                <c:pt idx="89">
                  <c:v>0.39255931429891511</c:v>
                </c:pt>
                <c:pt idx="90">
                  <c:v>0.39255931429891511</c:v>
                </c:pt>
                <c:pt idx="91">
                  <c:v>0.39255931429891511</c:v>
                </c:pt>
                <c:pt idx="92">
                  <c:v>0.39255931429891511</c:v>
                </c:pt>
                <c:pt idx="93">
                  <c:v>0.39255931429891511</c:v>
                </c:pt>
                <c:pt idx="94">
                  <c:v>0.39255931429891511</c:v>
                </c:pt>
                <c:pt idx="95">
                  <c:v>0.39255931429891511</c:v>
                </c:pt>
                <c:pt idx="96">
                  <c:v>0.39255931429891511</c:v>
                </c:pt>
                <c:pt idx="97">
                  <c:v>0.39255931429891511</c:v>
                </c:pt>
                <c:pt idx="98">
                  <c:v>0.39255931429891511</c:v>
                </c:pt>
                <c:pt idx="99">
                  <c:v>0.39255931429891511</c:v>
                </c:pt>
                <c:pt idx="100">
                  <c:v>0.39255931429891511</c:v>
                </c:pt>
                <c:pt idx="101">
                  <c:v>0.39255931429891511</c:v>
                </c:pt>
                <c:pt idx="102">
                  <c:v>0.39255931429891511</c:v>
                </c:pt>
                <c:pt idx="103">
                  <c:v>0.39255931429891511</c:v>
                </c:pt>
                <c:pt idx="104">
                  <c:v>0.39255931429891511</c:v>
                </c:pt>
                <c:pt idx="105">
                  <c:v>0.39255931429891511</c:v>
                </c:pt>
                <c:pt idx="106">
                  <c:v>0.39255931429891511</c:v>
                </c:pt>
                <c:pt idx="107">
                  <c:v>0.39255931429891511</c:v>
                </c:pt>
                <c:pt idx="108">
                  <c:v>0.39255931429891511</c:v>
                </c:pt>
                <c:pt idx="109">
                  <c:v>0.39255931429891511</c:v>
                </c:pt>
                <c:pt idx="110">
                  <c:v>0.39255931429891511</c:v>
                </c:pt>
                <c:pt idx="111">
                  <c:v>0.39255931429891511</c:v>
                </c:pt>
                <c:pt idx="112">
                  <c:v>0.39255931429891511</c:v>
                </c:pt>
                <c:pt idx="113">
                  <c:v>0.39255931429891511</c:v>
                </c:pt>
                <c:pt idx="114">
                  <c:v>0.39255931429891511</c:v>
                </c:pt>
                <c:pt idx="115">
                  <c:v>0.39255931429891511</c:v>
                </c:pt>
                <c:pt idx="116">
                  <c:v>0.39255931429891511</c:v>
                </c:pt>
                <c:pt idx="117">
                  <c:v>0.39255931429891511</c:v>
                </c:pt>
                <c:pt idx="118">
                  <c:v>0.39255931429891511</c:v>
                </c:pt>
                <c:pt idx="119">
                  <c:v>0.39255931429891511</c:v>
                </c:pt>
                <c:pt idx="120">
                  <c:v>0.39255931429891511</c:v>
                </c:pt>
                <c:pt idx="121">
                  <c:v>0.39255931429891511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FF0-425C-AA1A-A663D2C98CE0}"/>
            </c:ext>
          </c:extLst>
        </c:ser>
        <c:ser>
          <c:idx val="6"/>
          <c:order val="6"/>
          <c:tx>
            <c:v>ur; Ir = 1,5 [A]</c:v>
          </c:tx>
          <c:spPr>
            <a:ln w="15875">
              <a:solidFill>
                <a:prstClr val="black"/>
              </a:solidFill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parámetros'!$DR$5:$DR$126</c:f>
              <c:numCache>
                <c:formatCode>0.000</c:formatCode>
                <c:ptCount val="122"/>
                <c:pt idx="0">
                  <c:v>3.0187500000000003</c:v>
                </c:pt>
                <c:pt idx="1">
                  <c:v>3.0187500000000003</c:v>
                </c:pt>
                <c:pt idx="2">
                  <c:v>3.6826458557856308</c:v>
                </c:pt>
                <c:pt idx="3">
                  <c:v>3.9793150393860053</c:v>
                </c:pt>
                <c:pt idx="4">
                  <c:v>4.1119056632844186</c:v>
                </c:pt>
                <c:pt idx="5">
                  <c:v>4.1711856192681882</c:v>
                </c:pt>
                <c:pt idx="6">
                  <c:v>4.1977105997824955</c:v>
                </c:pt>
                <c:pt idx="7">
                  <c:v>4.2096011667719253</c:v>
                </c:pt>
                <c:pt idx="8">
                  <c:v>4.2149537233960199</c:v>
                </c:pt>
                <c:pt idx="9">
                  <c:v>4.2173858154566197</c:v>
                </c:pt>
                <c:pt idx="10">
                  <c:v>4.2185138075133484</c:v>
                </c:pt>
                <c:pt idx="11">
                  <c:v>4.219059924428838</c:v>
                </c:pt>
                <c:pt idx="12">
                  <c:v>4.2193468846404176</c:v>
                </c:pt>
                <c:pt idx="13">
                  <c:v>4.2195189055082185</c:v>
                </c:pt>
                <c:pt idx="14">
                  <c:v>4.2196404499629097</c:v>
                </c:pt>
                <c:pt idx="15">
                  <c:v>4.2197403471885169</c:v>
                </c:pt>
                <c:pt idx="16">
                  <c:v>4.2198315060784743</c:v>
                </c:pt>
                <c:pt idx="17">
                  <c:v>4.2199197233902632</c:v>
                </c:pt>
                <c:pt idx="18">
                  <c:v>4.220007619345294</c:v>
                </c:pt>
                <c:pt idx="19">
                  <c:v>4.2200963961440543</c:v>
                </c:pt>
                <c:pt idx="20">
                  <c:v>4.2201866237499752</c:v>
                </c:pt>
                <c:pt idx="21">
                  <c:v>4.2202785910551714</c:v>
                </c:pt>
                <c:pt idx="22">
                  <c:v>4.2203724628607606</c:v>
                </c:pt>
                <c:pt idx="23">
                  <c:v>4.2204683500990186</c:v>
                </c:pt>
                <c:pt idx="24">
                  <c:v>4.2205663412969248</c:v>
                </c:pt>
                <c:pt idx="25">
                  <c:v>4.2206665167280706</c:v>
                </c:pt>
                <c:pt idx="26">
                  <c:v>4.2207689548360223</c:v>
                </c:pt>
                <c:pt idx="27">
                  <c:v>4.2208737352114625</c:v>
                </c:pt>
                <c:pt idx="28">
                  <c:v>4.2209809400370322</c:v>
                </c:pt>
                <c:pt idx="29">
                  <c:v>4.2210906548556544</c:v>
                </c:pt>
                <c:pt idx="30">
                  <c:v>4.2212029690453869</c:v>
                </c:pt>
                <c:pt idx="31">
                  <c:v>4.2213179761726876</c:v>
                </c:pt>
                <c:pt idx="32">
                  <c:v>4.2214357743017201</c:v>
                </c:pt>
                <c:pt idx="33">
                  <c:v>4.2215564662952705</c:v>
                </c:pt>
                <c:pt idx="34">
                  <c:v>4.2216801601241762</c:v>
                </c:pt>
                <c:pt idx="35">
                  <c:v>4.2218069691938798</c:v>
                </c:pt>
                <c:pt idx="36">
                  <c:v>4.2219370126931812</c:v>
                </c:pt>
                <c:pt idx="37">
                  <c:v>4.2220704159687745</c:v>
                </c:pt>
                <c:pt idx="38">
                  <c:v>4.2222073109286269</c:v>
                </c:pt>
                <c:pt idx="39">
                  <c:v>4.2223478364772076</c:v>
                </c:pt>
                <c:pt idx="40">
                  <c:v>4.222492138985694</c:v>
                </c:pt>
                <c:pt idx="41">
                  <c:v>4.222640372800563</c:v>
                </c:pt>
                <c:pt idx="42">
                  <c:v>4.222792700794292</c:v>
                </c:pt>
                <c:pt idx="43">
                  <c:v>4.2229492949623308</c:v>
                </c:pt>
                <c:pt idx="44">
                  <c:v>4.2231103370709331</c:v>
                </c:pt>
                <c:pt idx="45">
                  <c:v>4.2232760193609797</c:v>
                </c:pt>
                <c:pt idx="46">
                  <c:v>4.2234465453135392</c:v>
                </c:pt>
                <c:pt idx="47">
                  <c:v>4.2236221304835624</c:v>
                </c:pt>
                <c:pt idx="48">
                  <c:v>4.2238030034088894</c:v>
                </c:pt>
                <c:pt idx="49">
                  <c:v>4.2239894066026533</c:v>
                </c:pt>
                <c:pt idx="50">
                  <c:v>4.2241815976381085</c:v>
                </c:pt>
                <c:pt idx="51">
                  <c:v>4.2243798503361152</c:v>
                </c:pt>
                <c:pt idx="52">
                  <c:v>4.2245844560667827</c:v>
                </c:pt>
                <c:pt idx="53">
                  <c:v>4.2247957251782822</c:v>
                </c:pt>
                <c:pt idx="54">
                  <c:v>4.2250139885675635</c:v>
                </c:pt>
                <c:pt idx="55">
                  <c:v>4.2252395994097043</c:v>
                </c:pt>
                <c:pt idx="56">
                  <c:v>4.2254729350648912</c:v>
                </c:pt>
                <c:pt idx="57">
                  <c:v>4.2257143991846977</c:v>
                </c:pt>
                <c:pt idx="58">
                  <c:v>4.2259644240423846</c:v>
                </c:pt>
                <c:pt idx="59">
                  <c:v>4.2262234731155264</c:v>
                </c:pt>
                <c:pt idx="60">
                  <c:v>4.2264920439534244</c:v>
                </c:pt>
                <c:pt idx="61">
                  <c:v>4.226770671366622</c:v>
                </c:pt>
                <c:pt idx="62">
                  <c:v>4.2270599309815617</c:v>
                </c:pt>
                <c:pt idx="63">
                  <c:v>4.2273604432100704</c:v>
                </c:pt>
                <c:pt idx="64">
                  <c:v>4.2276728776913011</c:v>
                </c:pt>
                <c:pt idx="65">
                  <c:v>4.227997958273046</c:v>
                </c:pt>
                <c:pt idx="66">
                  <c:v>4.2283364686104159</c:v>
                </c:pt>
                <c:pt idx="67">
                  <c:v>4.2286892584730342</c:v>
                </c:pt>
                <c:pt idx="68">
                  <c:v>4.2290572508676032</c:v>
                </c:pt>
                <c:pt idx="69">
                  <c:v>4.2294414501015378</c:v>
                </c:pt>
                <c:pt idx="70">
                  <c:v>4.229842950935975</c:v>
                </c:pt>
                <c:pt idx="71">
                  <c:v>4.2302629490038326</c:v>
                </c:pt>
                <c:pt idx="72">
                  <c:v>4.2307027527017063</c:v>
                </c:pt>
                <c:pt idx="73">
                  <c:v>4.2311637968047293</c:v>
                </c:pt>
                <c:pt idx="74">
                  <c:v>4.2316476581028368</c:v>
                </c:pt>
                <c:pt idx="75">
                  <c:v>4.2321560734174728</c:v>
                </c:pt>
                <c:pt idx="76">
                  <c:v>4.2326909604325174</c:v>
                </c:pt>
                <c:pt idx="77">
                  <c:v>4.2332544418660154</c:v>
                </c:pt>
                <c:pt idx="78">
                  <c:v>4.2338488736249325</c:v>
                </c:pt>
                <c:pt idx="79">
                  <c:v>4.2344768777302946</c:v>
                </c:pt>
                <c:pt idx="80">
                  <c:v>4.2351413809830891</c:v>
                </c:pt>
                <c:pt idx="81">
                  <c:v>4.2358456605736272</c:v>
                </c:pt>
                <c:pt idx="82">
                  <c:v>4.2365933981339818</c:v>
                </c:pt>
                <c:pt idx="83">
                  <c:v>4.2373887441149574</c:v>
                </c:pt>
                <c:pt idx="84">
                  <c:v>4.2382363948640425</c:v>
                </c:pt>
                <c:pt idx="85">
                  <c:v>4.2391416854271462</c:v>
                </c:pt>
                <c:pt idx="86">
                  <c:v>4.2401107019480495</c:v>
                </c:pt>
                <c:pt idx="87">
                  <c:v>4.2411504186701343</c:v>
                </c:pt>
                <c:pt idx="88">
                  <c:v>4.242268866060714</c:v>
                </c:pt>
                <c:pt idx="89">
                  <c:v>4.2434753386310531</c:v>
                </c:pt>
                <c:pt idx="90">
                  <c:v>4.2447806538345692</c:v>
                </c:pt>
                <c:pt idx="91">
                  <c:v>4.246197477315202</c:v>
                </c:pt>
                <c:pt idx="92">
                  <c:v>4.2477407352292813</c:v>
                </c:pt>
                <c:pt idx="93">
                  <c:v>4.2494281421069324</c:v>
                </c:pt>
                <c:pt idx="94">
                  <c:v>4.2512808838756655</c:v>
                </c:pt>
                <c:pt idx="95">
                  <c:v>4.2533245119979126</c:v>
                </c:pt>
                <c:pt idx="96">
                  <c:v>4.2555901289853271</c:v>
                </c:pt>
                <c:pt idx="97">
                  <c:v>4.2581159824296702</c:v>
                </c:pt>
                <c:pt idx="98">
                  <c:v>4.2609496417897628</c:v>
                </c:pt>
                <c:pt idx="99">
                  <c:v>4.2641510226175807</c:v>
                </c:pt>
                <c:pt idx="100">
                  <c:v>4.2677966698304335</c:v>
                </c:pt>
                <c:pt idx="101">
                  <c:v>4.2719859571520127</c:v>
                </c:pt>
                <c:pt idx="102">
                  <c:v>4.2768502833857811</c:v>
                </c:pt>
                <c:pt idx="103">
                  <c:v>4.282567103747974</c:v>
                </c:pt>
                <c:pt idx="104">
                  <c:v>4.2893820468803625</c:v>
                </c:pt>
                <c:pt idx="105">
                  <c:v>4.2976451311246819</c:v>
                </c:pt>
                <c:pt idx="106">
                  <c:v>4.3078728126997419</c:v>
                </c:pt>
                <c:pt idx="107">
                  <c:v>4.320860261844409</c:v>
                </c:pt>
                <c:pt idx="108">
                  <c:v>4.3378987010558738</c:v>
                </c:pt>
                <c:pt idx="109">
                  <c:v>4.3612336953613298</c:v>
                </c:pt>
                <c:pt idx="110">
                  <c:v>4.3951466858637698</c:v>
                </c:pt>
                <c:pt idx="111">
                  <c:v>4.448938406276655</c:v>
                </c:pt>
                <c:pt idx="112">
                  <c:v>4.547333771615917</c:v>
                </c:pt>
                <c:pt idx="113">
                  <c:v>4.7851005615626372</c:v>
                </c:pt>
                <c:pt idx="114">
                  <c:v>6.17710966151642</c:v>
                </c:pt>
                <c:pt idx="115">
                  <c:v>1000000.3422493143</c:v>
                </c:pt>
                <c:pt idx="116">
                  <c:v>1000000.3422493143</c:v>
                </c:pt>
                <c:pt idx="117">
                  <c:v>1000000.3422493143</c:v>
                </c:pt>
                <c:pt idx="118">
                  <c:v>1000000.3422493143</c:v>
                </c:pt>
                <c:pt idx="119">
                  <c:v>1000000.3422493143</c:v>
                </c:pt>
                <c:pt idx="120">
                  <c:v>1000000.3422493143</c:v>
                </c:pt>
                <c:pt idx="121">
                  <c:v>1000000.3422493143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FF0-425C-AA1A-A663D2C98CE0}"/>
            </c:ext>
          </c:extLst>
        </c:ser>
        <c:ser>
          <c:idx val="7"/>
          <c:order val="7"/>
          <c:tx>
            <c:v>ur; Ir = 4,0 [A]</c:v>
          </c:tx>
          <c:spPr>
            <a:ln w="158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parámetros'!$DS$5:$DS$126</c:f>
              <c:numCache>
                <c:formatCode>0.000</c:formatCode>
                <c:ptCount val="122"/>
                <c:pt idx="0">
                  <c:v>3.0500000000000003</c:v>
                </c:pt>
                <c:pt idx="1">
                  <c:v>3.0500000000000003</c:v>
                </c:pt>
                <c:pt idx="2">
                  <c:v>3.7142908087600754</c:v>
                </c:pt>
                <c:pt idx="3">
                  <c:v>4.0113764291122394</c:v>
                </c:pt>
                <c:pt idx="4">
                  <c:v>4.1444066595544395</c:v>
                </c:pt>
                <c:pt idx="5">
                  <c:v>4.2041512550085756</c:v>
                </c:pt>
                <c:pt idx="6">
                  <c:v>4.2311679718704269</c:v>
                </c:pt>
                <c:pt idx="7">
                  <c:v>4.2435796644450523</c:v>
                </c:pt>
                <c:pt idx="8">
                  <c:v>4.2494852889222798</c:v>
                </c:pt>
                <c:pt idx="9">
                  <c:v>4.2525052426764205</c:v>
                </c:pt>
                <c:pt idx="10">
                  <c:v>4.2542590850387647</c:v>
                </c:pt>
                <c:pt idx="11">
                  <c:v>4.2554726317449321</c:v>
                </c:pt>
                <c:pt idx="12">
                  <c:v>4.2564726511849358</c:v>
                </c:pt>
                <c:pt idx="13">
                  <c:v>4.2574079451169071</c:v>
                </c:pt>
                <c:pt idx="14">
                  <c:v>4.2583481860048025</c:v>
                </c:pt>
                <c:pt idx="15">
                  <c:v>4.2593281474763787</c:v>
                </c:pt>
                <c:pt idx="16">
                  <c:v>4.2603675514932924</c:v>
                </c:pt>
                <c:pt idx="17">
                  <c:v>4.2614800404761661</c:v>
                </c:pt>
                <c:pt idx="18">
                  <c:v>4.26267731542851</c:v>
                </c:pt>
                <c:pt idx="19">
                  <c:v>4.2639711465328363</c:v>
                </c:pt>
                <c:pt idx="20">
                  <c:v>4.265374475317075</c:v>
                </c:pt>
                <c:pt idx="21">
                  <c:v>4.2669021664847939</c:v>
                </c:pt>
                <c:pt idx="22">
                  <c:v>4.2685716772468751</c:v>
                </c:pt>
                <c:pt idx="23">
                  <c:v>4.270403789666223</c:v>
                </c:pt>
                <c:pt idx="24">
                  <c:v>4.2724235077003403</c:v>
                </c:pt>
                <c:pt idx="25">
                  <c:v>4.274661217252552</c:v>
                </c:pt>
                <c:pt idx="26">
                  <c:v>4.2771542307576533</c:v>
                </c:pt>
                <c:pt idx="27">
                  <c:v>4.2799488867057187</c:v>
                </c:pt>
                <c:pt idx="28">
                  <c:v>4.2831034577169973</c:v>
                </c:pt>
                <c:pt idx="29">
                  <c:v>4.2866922583096345</c:v>
                </c:pt>
                <c:pt idx="30">
                  <c:v>4.2908115738060841</c:v>
                </c:pt>
                <c:pt idx="31">
                  <c:v>4.2955884281580783</c:v>
                </c:pt>
                <c:pt idx="32">
                  <c:v>4.3011939144666966</c:v>
                </c:pt>
                <c:pt idx="33">
                  <c:v>4.3078641215485263</c:v>
                </c:pt>
                <c:pt idx="34">
                  <c:v>4.3159342363460622</c:v>
                </c:pt>
                <c:pt idx="35">
                  <c:v>4.3258966353722679</c:v>
                </c:pt>
                <c:pt idx="36">
                  <c:v>4.338505267255039</c:v>
                </c:pt>
                <c:pt idx="37">
                  <c:v>4.354975953145483</c:v>
                </c:pt>
                <c:pt idx="38">
                  <c:v>4.3774040310900411</c:v>
                </c:pt>
                <c:pt idx="39">
                  <c:v>4.4097352333843833</c:v>
                </c:pt>
                <c:pt idx="40">
                  <c:v>4.4603870163324562</c:v>
                </c:pt>
                <c:pt idx="41">
                  <c:v>4.5510877225194113</c:v>
                </c:pt>
                <c:pt idx="42">
                  <c:v>4.7603905611234705</c:v>
                </c:pt>
                <c:pt idx="43">
                  <c:v>5.7602681641670301</c:v>
                </c:pt>
                <c:pt idx="44">
                  <c:v>1000000.3615993143</c:v>
                </c:pt>
                <c:pt idx="45">
                  <c:v>1000000.3615993143</c:v>
                </c:pt>
                <c:pt idx="46">
                  <c:v>1000000.3615993143</c:v>
                </c:pt>
                <c:pt idx="47">
                  <c:v>1000000.3615993143</c:v>
                </c:pt>
                <c:pt idx="48">
                  <c:v>1000000.3615993143</c:v>
                </c:pt>
                <c:pt idx="49">
                  <c:v>1000000.3615993143</c:v>
                </c:pt>
                <c:pt idx="50">
                  <c:v>1000000.3615993143</c:v>
                </c:pt>
                <c:pt idx="51">
                  <c:v>1000000.3615993143</c:v>
                </c:pt>
                <c:pt idx="52">
                  <c:v>1000000.3615993143</c:v>
                </c:pt>
                <c:pt idx="53">
                  <c:v>1000000.3615993143</c:v>
                </c:pt>
                <c:pt idx="54">
                  <c:v>1000000.3615993143</c:v>
                </c:pt>
                <c:pt idx="55">
                  <c:v>1000000.3615993143</c:v>
                </c:pt>
                <c:pt idx="56">
                  <c:v>1000000.3615993143</c:v>
                </c:pt>
                <c:pt idx="57">
                  <c:v>1000000.3615993143</c:v>
                </c:pt>
                <c:pt idx="58">
                  <c:v>1000000.3615993143</c:v>
                </c:pt>
                <c:pt idx="59">
                  <c:v>1000000.3615993143</c:v>
                </c:pt>
                <c:pt idx="60">
                  <c:v>1000000.3615993143</c:v>
                </c:pt>
                <c:pt idx="61">
                  <c:v>1000000.3615993143</c:v>
                </c:pt>
                <c:pt idx="62">
                  <c:v>1000000.3615993143</c:v>
                </c:pt>
                <c:pt idx="63">
                  <c:v>1000000.3615993143</c:v>
                </c:pt>
                <c:pt idx="64">
                  <c:v>1000000.3615993143</c:v>
                </c:pt>
                <c:pt idx="65">
                  <c:v>1000000.3615993143</c:v>
                </c:pt>
                <c:pt idx="66">
                  <c:v>1000000.3615993143</c:v>
                </c:pt>
                <c:pt idx="67">
                  <c:v>1000000.3615993143</c:v>
                </c:pt>
                <c:pt idx="68">
                  <c:v>1000000.3615993143</c:v>
                </c:pt>
                <c:pt idx="69">
                  <c:v>1000000.3615993143</c:v>
                </c:pt>
                <c:pt idx="70">
                  <c:v>1000000.3615993143</c:v>
                </c:pt>
                <c:pt idx="71">
                  <c:v>1000000.3615993143</c:v>
                </c:pt>
                <c:pt idx="72">
                  <c:v>1000000.3615993143</c:v>
                </c:pt>
                <c:pt idx="73">
                  <c:v>1000000.3615993143</c:v>
                </c:pt>
                <c:pt idx="74">
                  <c:v>1000000.3615993143</c:v>
                </c:pt>
                <c:pt idx="75">
                  <c:v>1000000.3615993143</c:v>
                </c:pt>
                <c:pt idx="76">
                  <c:v>1000000.3615993143</c:v>
                </c:pt>
                <c:pt idx="77">
                  <c:v>1000000.3615993143</c:v>
                </c:pt>
                <c:pt idx="78">
                  <c:v>1000000.3615993143</c:v>
                </c:pt>
                <c:pt idx="79">
                  <c:v>1000000.3615993143</c:v>
                </c:pt>
                <c:pt idx="80">
                  <c:v>1000000.3615993143</c:v>
                </c:pt>
                <c:pt idx="81">
                  <c:v>1000000.3615993143</c:v>
                </c:pt>
                <c:pt idx="82">
                  <c:v>1000000.3615993143</c:v>
                </c:pt>
                <c:pt idx="83">
                  <c:v>1000000.3615993143</c:v>
                </c:pt>
                <c:pt idx="84">
                  <c:v>1000000.3615993143</c:v>
                </c:pt>
                <c:pt idx="85">
                  <c:v>1000000.3615993143</c:v>
                </c:pt>
                <c:pt idx="86">
                  <c:v>1000000.3615993143</c:v>
                </c:pt>
                <c:pt idx="87">
                  <c:v>1000000.3615993143</c:v>
                </c:pt>
                <c:pt idx="88">
                  <c:v>1000000.3615993143</c:v>
                </c:pt>
                <c:pt idx="89">
                  <c:v>1000000.3615993143</c:v>
                </c:pt>
                <c:pt idx="90">
                  <c:v>1000000.3615993143</c:v>
                </c:pt>
                <c:pt idx="91">
                  <c:v>1000000.3615993143</c:v>
                </c:pt>
                <c:pt idx="92">
                  <c:v>1000000.3615993143</c:v>
                </c:pt>
                <c:pt idx="93">
                  <c:v>1000000.3615993143</c:v>
                </c:pt>
                <c:pt idx="94">
                  <c:v>1000000.3615993143</c:v>
                </c:pt>
                <c:pt idx="95">
                  <c:v>1000000.3615993143</c:v>
                </c:pt>
                <c:pt idx="96">
                  <c:v>1000000.3615993143</c:v>
                </c:pt>
                <c:pt idx="97">
                  <c:v>1000000.3615993143</c:v>
                </c:pt>
                <c:pt idx="98">
                  <c:v>1000000.3615993143</c:v>
                </c:pt>
                <c:pt idx="99">
                  <c:v>1000000.3615993143</c:v>
                </c:pt>
                <c:pt idx="100">
                  <c:v>1000000.3615993143</c:v>
                </c:pt>
                <c:pt idx="101">
                  <c:v>1000000.3615993143</c:v>
                </c:pt>
                <c:pt idx="102">
                  <c:v>1000000.3615993143</c:v>
                </c:pt>
                <c:pt idx="103">
                  <c:v>1000000.3615993143</c:v>
                </c:pt>
                <c:pt idx="104">
                  <c:v>1000000.3615993143</c:v>
                </c:pt>
                <c:pt idx="105">
                  <c:v>1000000.3615993143</c:v>
                </c:pt>
                <c:pt idx="106">
                  <c:v>1000000.3615993143</c:v>
                </c:pt>
                <c:pt idx="107">
                  <c:v>1000000.3615993143</c:v>
                </c:pt>
                <c:pt idx="108">
                  <c:v>1000000.3615993143</c:v>
                </c:pt>
                <c:pt idx="109">
                  <c:v>1000000.3615993143</c:v>
                </c:pt>
                <c:pt idx="110">
                  <c:v>1000000.3615993143</c:v>
                </c:pt>
                <c:pt idx="111">
                  <c:v>1000000.3615993143</c:v>
                </c:pt>
                <c:pt idx="112">
                  <c:v>1000000.3615993143</c:v>
                </c:pt>
                <c:pt idx="113">
                  <c:v>1000000.3615993143</c:v>
                </c:pt>
                <c:pt idx="114">
                  <c:v>1000000.3615993143</c:v>
                </c:pt>
                <c:pt idx="115">
                  <c:v>1000000.3615993143</c:v>
                </c:pt>
                <c:pt idx="116">
                  <c:v>1000000.3615993143</c:v>
                </c:pt>
                <c:pt idx="117">
                  <c:v>1000000.3615993143</c:v>
                </c:pt>
                <c:pt idx="118">
                  <c:v>1000000.3615993143</c:v>
                </c:pt>
                <c:pt idx="119">
                  <c:v>1000000.3615993143</c:v>
                </c:pt>
                <c:pt idx="120">
                  <c:v>1000000.3615993143</c:v>
                </c:pt>
                <c:pt idx="121">
                  <c:v>1000000.3615993143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FF0-425C-AA1A-A663D2C98CE0}"/>
            </c:ext>
          </c:extLst>
        </c:ser>
        <c:ser>
          <c:idx val="8"/>
          <c:order val="8"/>
          <c:tx>
            <c:v>ur; Ir = 8,0 [A]</c:v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parámetros'!$DT$5:$DT$126</c:f>
              <c:numCache>
                <c:formatCode>0.000</c:formatCode>
                <c:ptCount val="122"/>
                <c:pt idx="0">
                  <c:v>3.1000000000000005</c:v>
                </c:pt>
                <c:pt idx="1">
                  <c:v>3.1000000000000005</c:v>
                </c:pt>
                <c:pt idx="2">
                  <c:v>3.7657114647244962</c:v>
                </c:pt>
                <c:pt idx="3">
                  <c:v>4.0643902013971367</c:v>
                </c:pt>
                <c:pt idx="4">
                  <c:v>4.1992163342858619</c:v>
                </c:pt>
                <c:pt idx="5">
                  <c:v>4.2609971896894896</c:v>
                </c:pt>
                <c:pt idx="6">
                  <c:v>4.2903375994325677</c:v>
                </c:pt>
                <c:pt idx="7">
                  <c:v>4.3054201488896124</c:v>
                </c:pt>
                <c:pt idx="8">
                  <c:v>4.3144206651227597</c:v>
                </c:pt>
                <c:pt idx="9">
                  <c:v>4.3210600776527102</c:v>
                </c:pt>
                <c:pt idx="10">
                  <c:v>4.3270918628209847</c:v>
                </c:pt>
                <c:pt idx="11">
                  <c:v>4.3334240565239055</c:v>
                </c:pt>
                <c:pt idx="12">
                  <c:v>4.3406376097410009</c:v>
                </c:pt>
                <c:pt idx="13">
                  <c:v>4.3492464790987286</c:v>
                </c:pt>
                <c:pt idx="14">
                  <c:v>4.359863833673745</c:v>
                </c:pt>
                <c:pt idx="15">
                  <c:v>4.3733693516532224</c:v>
                </c:pt>
                <c:pt idx="16">
                  <c:v>4.3911700804177736</c:v>
                </c:pt>
                <c:pt idx="17">
                  <c:v>4.4157252155634836</c:v>
                </c:pt>
                <c:pt idx="18">
                  <c:v>4.4517919180194339</c:v>
                </c:pt>
                <c:pt idx="19">
                  <c:v>4.5099513018840005</c:v>
                </c:pt>
                <c:pt idx="20">
                  <c:v>4.6194701967157252</c:v>
                </c:pt>
                <c:pt idx="21">
                  <c:v>4.90217532437737</c:v>
                </c:pt>
                <c:pt idx="22">
                  <c:v>7.3205362744217481</c:v>
                </c:pt>
                <c:pt idx="23">
                  <c:v>1000000.3925592902</c:v>
                </c:pt>
                <c:pt idx="24">
                  <c:v>1000000.3925593036</c:v>
                </c:pt>
                <c:pt idx="25">
                  <c:v>1000000.3925593095</c:v>
                </c:pt>
                <c:pt idx="26">
                  <c:v>1000000.3925593122</c:v>
                </c:pt>
                <c:pt idx="27">
                  <c:v>1000000.3925593133</c:v>
                </c:pt>
                <c:pt idx="28">
                  <c:v>1000000.3925593139</c:v>
                </c:pt>
                <c:pt idx="29">
                  <c:v>1000000.3925593141</c:v>
                </c:pt>
                <c:pt idx="30">
                  <c:v>1000000.3925593143</c:v>
                </c:pt>
                <c:pt idx="31">
                  <c:v>1000000.3925593143</c:v>
                </c:pt>
                <c:pt idx="32">
                  <c:v>1000000.3925593143</c:v>
                </c:pt>
                <c:pt idx="33">
                  <c:v>1000000.3925593143</c:v>
                </c:pt>
                <c:pt idx="34">
                  <c:v>1000000.3925593143</c:v>
                </c:pt>
                <c:pt idx="35">
                  <c:v>1000000.3925593143</c:v>
                </c:pt>
                <c:pt idx="36">
                  <c:v>1000000.3925593143</c:v>
                </c:pt>
                <c:pt idx="37">
                  <c:v>1000000.3925593143</c:v>
                </c:pt>
                <c:pt idx="38">
                  <c:v>1000000.3925593143</c:v>
                </c:pt>
                <c:pt idx="39">
                  <c:v>1000000.3925593143</c:v>
                </c:pt>
                <c:pt idx="40">
                  <c:v>1000000.3925593143</c:v>
                </c:pt>
                <c:pt idx="41">
                  <c:v>1000000.3925593143</c:v>
                </c:pt>
                <c:pt idx="42">
                  <c:v>1000000.3925593143</c:v>
                </c:pt>
                <c:pt idx="43">
                  <c:v>1000000.3925593143</c:v>
                </c:pt>
                <c:pt idx="44">
                  <c:v>1000000.3925593143</c:v>
                </c:pt>
                <c:pt idx="45">
                  <c:v>1000000.3925593143</c:v>
                </c:pt>
                <c:pt idx="46">
                  <c:v>1000000.3925593143</c:v>
                </c:pt>
                <c:pt idx="47">
                  <c:v>1000000.3925593143</c:v>
                </c:pt>
                <c:pt idx="48">
                  <c:v>1000000.3925593143</c:v>
                </c:pt>
                <c:pt idx="49">
                  <c:v>1000000.3925593143</c:v>
                </c:pt>
                <c:pt idx="50">
                  <c:v>1000000.3925593143</c:v>
                </c:pt>
                <c:pt idx="51">
                  <c:v>1000000.3925593143</c:v>
                </c:pt>
                <c:pt idx="52">
                  <c:v>1000000.3925593143</c:v>
                </c:pt>
                <c:pt idx="53">
                  <c:v>1000000.3925593143</c:v>
                </c:pt>
                <c:pt idx="54">
                  <c:v>1000000.3925593143</c:v>
                </c:pt>
                <c:pt idx="55">
                  <c:v>1000000.3925593143</c:v>
                </c:pt>
                <c:pt idx="56">
                  <c:v>1000000.3925593143</c:v>
                </c:pt>
                <c:pt idx="57">
                  <c:v>1000000.3925593143</c:v>
                </c:pt>
                <c:pt idx="58">
                  <c:v>1000000.3925593143</c:v>
                </c:pt>
                <c:pt idx="59">
                  <c:v>1000000.3925593143</c:v>
                </c:pt>
                <c:pt idx="60">
                  <c:v>1000000.3925593143</c:v>
                </c:pt>
                <c:pt idx="61">
                  <c:v>1000000.3925593143</c:v>
                </c:pt>
                <c:pt idx="62">
                  <c:v>1000000.3925593143</c:v>
                </c:pt>
                <c:pt idx="63">
                  <c:v>1000000.3925593143</c:v>
                </c:pt>
                <c:pt idx="64">
                  <c:v>1000000.3925593143</c:v>
                </c:pt>
                <c:pt idx="65">
                  <c:v>1000000.3925593143</c:v>
                </c:pt>
                <c:pt idx="66">
                  <c:v>1000000.3925593143</c:v>
                </c:pt>
                <c:pt idx="67">
                  <c:v>1000000.3925593143</c:v>
                </c:pt>
                <c:pt idx="68">
                  <c:v>1000000.3925593143</c:v>
                </c:pt>
                <c:pt idx="69">
                  <c:v>1000000.3925593143</c:v>
                </c:pt>
                <c:pt idx="70">
                  <c:v>1000000.3925593143</c:v>
                </c:pt>
                <c:pt idx="71">
                  <c:v>1000000.3925593143</c:v>
                </c:pt>
                <c:pt idx="72">
                  <c:v>1000000.3925593143</c:v>
                </c:pt>
                <c:pt idx="73">
                  <c:v>1000000.3925593143</c:v>
                </c:pt>
                <c:pt idx="74">
                  <c:v>1000000.3925593143</c:v>
                </c:pt>
                <c:pt idx="75">
                  <c:v>1000000.3925593143</c:v>
                </c:pt>
                <c:pt idx="76">
                  <c:v>1000000.3925593143</c:v>
                </c:pt>
                <c:pt idx="77">
                  <c:v>1000000.3925593143</c:v>
                </c:pt>
                <c:pt idx="78">
                  <c:v>1000000.3925593143</c:v>
                </c:pt>
                <c:pt idx="79">
                  <c:v>1000000.3925593143</c:v>
                </c:pt>
                <c:pt idx="80">
                  <c:v>1000000.3925593143</c:v>
                </c:pt>
                <c:pt idx="81">
                  <c:v>1000000.3925593143</c:v>
                </c:pt>
                <c:pt idx="82">
                  <c:v>1000000.3925593143</c:v>
                </c:pt>
                <c:pt idx="83">
                  <c:v>1000000.3925593143</c:v>
                </c:pt>
                <c:pt idx="84">
                  <c:v>1000000.3925593143</c:v>
                </c:pt>
                <c:pt idx="85">
                  <c:v>1000000.3925593143</c:v>
                </c:pt>
                <c:pt idx="86">
                  <c:v>1000000.3925593143</c:v>
                </c:pt>
                <c:pt idx="87">
                  <c:v>1000000.3925593143</c:v>
                </c:pt>
                <c:pt idx="88">
                  <c:v>1000000.3925593143</c:v>
                </c:pt>
                <c:pt idx="89">
                  <c:v>1000000.3925593143</c:v>
                </c:pt>
                <c:pt idx="90">
                  <c:v>1000000.3925593143</c:v>
                </c:pt>
                <c:pt idx="91">
                  <c:v>1000000.3925593143</c:v>
                </c:pt>
                <c:pt idx="92">
                  <c:v>1000000.3925593143</c:v>
                </c:pt>
                <c:pt idx="93">
                  <c:v>1000000.3925593143</c:v>
                </c:pt>
                <c:pt idx="94">
                  <c:v>1000000.3925593143</c:v>
                </c:pt>
                <c:pt idx="95">
                  <c:v>1000000.3925593143</c:v>
                </c:pt>
                <c:pt idx="96">
                  <c:v>1000000.3925593143</c:v>
                </c:pt>
                <c:pt idx="97">
                  <c:v>1000000.3925593143</c:v>
                </c:pt>
                <c:pt idx="98">
                  <c:v>1000000.3925593143</c:v>
                </c:pt>
                <c:pt idx="99">
                  <c:v>1000000.3925593143</c:v>
                </c:pt>
                <c:pt idx="100">
                  <c:v>1000000.3925593143</c:v>
                </c:pt>
                <c:pt idx="101">
                  <c:v>1000000.3925593143</c:v>
                </c:pt>
                <c:pt idx="102">
                  <c:v>1000000.3925593143</c:v>
                </c:pt>
                <c:pt idx="103">
                  <c:v>1000000.3925593143</c:v>
                </c:pt>
                <c:pt idx="104">
                  <c:v>1000000.3925593143</c:v>
                </c:pt>
                <c:pt idx="105">
                  <c:v>1000000.3925593143</c:v>
                </c:pt>
                <c:pt idx="106">
                  <c:v>1000000.3925593143</c:v>
                </c:pt>
                <c:pt idx="107">
                  <c:v>1000000.3925593143</c:v>
                </c:pt>
                <c:pt idx="108">
                  <c:v>1000000.3925593143</c:v>
                </c:pt>
                <c:pt idx="109">
                  <c:v>1000000.3925593143</c:v>
                </c:pt>
                <c:pt idx="110">
                  <c:v>1000000.3925593143</c:v>
                </c:pt>
                <c:pt idx="111">
                  <c:v>1000000.3925593143</c:v>
                </c:pt>
                <c:pt idx="112">
                  <c:v>1000000.3925593143</c:v>
                </c:pt>
                <c:pt idx="113">
                  <c:v>1000000.3925593143</c:v>
                </c:pt>
                <c:pt idx="114">
                  <c:v>1000000.3925593143</c:v>
                </c:pt>
                <c:pt idx="115">
                  <c:v>1000000.3925593143</c:v>
                </c:pt>
                <c:pt idx="116">
                  <c:v>1000000.3925593143</c:v>
                </c:pt>
                <c:pt idx="117">
                  <c:v>1000000.3925593143</c:v>
                </c:pt>
                <c:pt idx="118">
                  <c:v>1000000.3925593143</c:v>
                </c:pt>
                <c:pt idx="119">
                  <c:v>1000000.3925593143</c:v>
                </c:pt>
                <c:pt idx="120">
                  <c:v>1000000.3925593143</c:v>
                </c:pt>
                <c:pt idx="121">
                  <c:v>1000000.3925593143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FF0-425C-AA1A-A663D2C98CE0}"/>
            </c:ext>
          </c:extLst>
        </c:ser>
        <c:ser>
          <c:idx val="9"/>
          <c:order val="9"/>
          <c:tx>
            <c:v>Urmáx = 4,20 [V/c]</c:v>
          </c:tx>
          <c:spPr>
            <a:ln w="1905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parámetros'!$DK$5:$DK$126</c:f>
              <c:numCache>
                <c:formatCode>0.000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parámetros'!$DU$5:$DU$126</c:f>
              <c:numCache>
                <c:formatCode>0.000</c:formatCode>
                <c:ptCount val="122"/>
                <c:pt idx="0">
                  <c:v>4.2</c:v>
                </c:pt>
                <c:pt idx="1">
                  <c:v>4.2</c:v>
                </c:pt>
                <c:pt idx="2">
                  <c:v>4.2</c:v>
                </c:pt>
                <c:pt idx="3">
                  <c:v>4.2</c:v>
                </c:pt>
                <c:pt idx="4">
                  <c:v>4.2</c:v>
                </c:pt>
                <c:pt idx="5">
                  <c:v>4.2</c:v>
                </c:pt>
                <c:pt idx="6">
                  <c:v>4.2</c:v>
                </c:pt>
                <c:pt idx="7">
                  <c:v>4.2</c:v>
                </c:pt>
                <c:pt idx="8">
                  <c:v>4.2</c:v>
                </c:pt>
                <c:pt idx="9">
                  <c:v>4.2</c:v>
                </c:pt>
                <c:pt idx="10">
                  <c:v>4.2</c:v>
                </c:pt>
                <c:pt idx="11">
                  <c:v>4.2</c:v>
                </c:pt>
                <c:pt idx="12">
                  <c:v>4.2</c:v>
                </c:pt>
                <c:pt idx="13">
                  <c:v>4.2</c:v>
                </c:pt>
                <c:pt idx="14">
                  <c:v>4.2</c:v>
                </c:pt>
                <c:pt idx="15">
                  <c:v>4.2</c:v>
                </c:pt>
                <c:pt idx="16">
                  <c:v>4.2</c:v>
                </c:pt>
                <c:pt idx="17">
                  <c:v>4.2</c:v>
                </c:pt>
                <c:pt idx="18">
                  <c:v>4.2</c:v>
                </c:pt>
                <c:pt idx="19">
                  <c:v>4.2</c:v>
                </c:pt>
                <c:pt idx="20">
                  <c:v>4.2</c:v>
                </c:pt>
                <c:pt idx="21">
                  <c:v>4.2</c:v>
                </c:pt>
                <c:pt idx="22">
                  <c:v>4.2</c:v>
                </c:pt>
                <c:pt idx="23">
                  <c:v>4.2</c:v>
                </c:pt>
                <c:pt idx="24">
                  <c:v>4.2</c:v>
                </c:pt>
                <c:pt idx="25">
                  <c:v>4.2</c:v>
                </c:pt>
                <c:pt idx="26">
                  <c:v>4.2</c:v>
                </c:pt>
                <c:pt idx="27">
                  <c:v>4.2</c:v>
                </c:pt>
                <c:pt idx="28">
                  <c:v>4.2</c:v>
                </c:pt>
                <c:pt idx="29">
                  <c:v>4.2</c:v>
                </c:pt>
                <c:pt idx="30">
                  <c:v>4.2</c:v>
                </c:pt>
                <c:pt idx="31">
                  <c:v>4.2</c:v>
                </c:pt>
                <c:pt idx="32">
                  <c:v>4.2</c:v>
                </c:pt>
                <c:pt idx="33">
                  <c:v>4.2</c:v>
                </c:pt>
                <c:pt idx="34">
                  <c:v>4.2</c:v>
                </c:pt>
                <c:pt idx="35">
                  <c:v>4.2</c:v>
                </c:pt>
                <c:pt idx="36">
                  <c:v>4.2</c:v>
                </c:pt>
                <c:pt idx="37">
                  <c:v>4.2</c:v>
                </c:pt>
                <c:pt idx="38">
                  <c:v>4.2</c:v>
                </c:pt>
                <c:pt idx="39">
                  <c:v>4.2</c:v>
                </c:pt>
                <c:pt idx="40">
                  <c:v>4.2</c:v>
                </c:pt>
                <c:pt idx="41">
                  <c:v>4.2</c:v>
                </c:pt>
                <c:pt idx="42">
                  <c:v>4.2</c:v>
                </c:pt>
                <c:pt idx="43">
                  <c:v>4.2</c:v>
                </c:pt>
                <c:pt idx="44">
                  <c:v>4.2</c:v>
                </c:pt>
                <c:pt idx="45">
                  <c:v>4.2</c:v>
                </c:pt>
                <c:pt idx="46">
                  <c:v>4.2</c:v>
                </c:pt>
                <c:pt idx="47">
                  <c:v>4.2</c:v>
                </c:pt>
                <c:pt idx="48">
                  <c:v>4.2</c:v>
                </c:pt>
                <c:pt idx="49">
                  <c:v>4.2</c:v>
                </c:pt>
                <c:pt idx="50">
                  <c:v>4.2</c:v>
                </c:pt>
                <c:pt idx="51">
                  <c:v>4.2</c:v>
                </c:pt>
                <c:pt idx="52">
                  <c:v>4.2</c:v>
                </c:pt>
                <c:pt idx="53">
                  <c:v>4.2</c:v>
                </c:pt>
                <c:pt idx="54">
                  <c:v>4.2</c:v>
                </c:pt>
                <c:pt idx="55">
                  <c:v>4.2</c:v>
                </c:pt>
                <c:pt idx="56">
                  <c:v>4.2</c:v>
                </c:pt>
                <c:pt idx="57">
                  <c:v>4.2</c:v>
                </c:pt>
                <c:pt idx="58">
                  <c:v>4.2</c:v>
                </c:pt>
                <c:pt idx="59">
                  <c:v>4.2</c:v>
                </c:pt>
                <c:pt idx="60">
                  <c:v>4.2</c:v>
                </c:pt>
                <c:pt idx="61">
                  <c:v>4.2</c:v>
                </c:pt>
                <c:pt idx="62">
                  <c:v>4.2</c:v>
                </c:pt>
                <c:pt idx="63">
                  <c:v>4.2</c:v>
                </c:pt>
                <c:pt idx="64">
                  <c:v>4.2</c:v>
                </c:pt>
                <c:pt idx="65">
                  <c:v>4.2</c:v>
                </c:pt>
                <c:pt idx="66">
                  <c:v>4.2</c:v>
                </c:pt>
                <c:pt idx="67">
                  <c:v>4.2</c:v>
                </c:pt>
                <c:pt idx="68">
                  <c:v>4.2</c:v>
                </c:pt>
                <c:pt idx="69">
                  <c:v>4.2</c:v>
                </c:pt>
                <c:pt idx="70">
                  <c:v>4.2</c:v>
                </c:pt>
                <c:pt idx="71">
                  <c:v>4.2</c:v>
                </c:pt>
                <c:pt idx="72">
                  <c:v>4.2</c:v>
                </c:pt>
                <c:pt idx="73">
                  <c:v>4.2</c:v>
                </c:pt>
                <c:pt idx="74">
                  <c:v>4.2</c:v>
                </c:pt>
                <c:pt idx="75">
                  <c:v>4.2</c:v>
                </c:pt>
                <c:pt idx="76">
                  <c:v>4.2</c:v>
                </c:pt>
                <c:pt idx="77">
                  <c:v>4.2</c:v>
                </c:pt>
                <c:pt idx="78">
                  <c:v>4.2</c:v>
                </c:pt>
                <c:pt idx="79">
                  <c:v>4.2</c:v>
                </c:pt>
                <c:pt idx="80">
                  <c:v>4.2</c:v>
                </c:pt>
                <c:pt idx="81">
                  <c:v>4.2</c:v>
                </c:pt>
                <c:pt idx="82">
                  <c:v>4.2</c:v>
                </c:pt>
                <c:pt idx="83">
                  <c:v>4.2</c:v>
                </c:pt>
                <c:pt idx="84">
                  <c:v>4.2</c:v>
                </c:pt>
                <c:pt idx="85">
                  <c:v>4.2</c:v>
                </c:pt>
                <c:pt idx="86">
                  <c:v>4.2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4.2</c:v>
                </c:pt>
                <c:pt idx="91">
                  <c:v>4.2</c:v>
                </c:pt>
                <c:pt idx="92">
                  <c:v>4.2</c:v>
                </c:pt>
                <c:pt idx="93">
                  <c:v>4.2</c:v>
                </c:pt>
                <c:pt idx="94">
                  <c:v>4.2</c:v>
                </c:pt>
                <c:pt idx="95">
                  <c:v>4.2</c:v>
                </c:pt>
                <c:pt idx="96">
                  <c:v>4.2</c:v>
                </c:pt>
                <c:pt idx="97">
                  <c:v>4.2</c:v>
                </c:pt>
                <c:pt idx="98">
                  <c:v>4.2</c:v>
                </c:pt>
                <c:pt idx="99">
                  <c:v>4.2</c:v>
                </c:pt>
                <c:pt idx="100">
                  <c:v>4.2</c:v>
                </c:pt>
                <c:pt idx="101">
                  <c:v>4.2</c:v>
                </c:pt>
                <c:pt idx="102">
                  <c:v>4.2</c:v>
                </c:pt>
                <c:pt idx="103">
                  <c:v>4.2</c:v>
                </c:pt>
                <c:pt idx="104">
                  <c:v>4.2</c:v>
                </c:pt>
                <c:pt idx="105">
                  <c:v>4.2</c:v>
                </c:pt>
                <c:pt idx="106">
                  <c:v>4.2</c:v>
                </c:pt>
                <c:pt idx="107">
                  <c:v>4.2</c:v>
                </c:pt>
                <c:pt idx="108">
                  <c:v>4.2</c:v>
                </c:pt>
                <c:pt idx="109">
                  <c:v>4.2</c:v>
                </c:pt>
                <c:pt idx="110">
                  <c:v>4.2</c:v>
                </c:pt>
                <c:pt idx="111">
                  <c:v>4.2</c:v>
                </c:pt>
                <c:pt idx="112">
                  <c:v>4.2</c:v>
                </c:pt>
                <c:pt idx="113">
                  <c:v>4.2</c:v>
                </c:pt>
                <c:pt idx="114">
                  <c:v>4.2</c:v>
                </c:pt>
                <c:pt idx="115">
                  <c:v>4.2</c:v>
                </c:pt>
                <c:pt idx="116">
                  <c:v>4.2</c:v>
                </c:pt>
                <c:pt idx="117">
                  <c:v>4.2</c:v>
                </c:pt>
                <c:pt idx="118">
                  <c:v>4.2</c:v>
                </c:pt>
                <c:pt idx="119">
                  <c:v>4.2</c:v>
                </c:pt>
                <c:pt idx="120">
                  <c:v>4.2</c:v>
                </c:pt>
                <c:pt idx="121">
                  <c:v>4.2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FF0-425C-AA1A-A663D2C98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94176"/>
        <c:axId val="118612736"/>
      </c:scatterChart>
      <c:valAx>
        <c:axId val="118594176"/>
        <c:scaling>
          <c:orientation val="minMax"/>
          <c:max val="6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/>
                  <a:t>Tiempo  de  recarga t [h]</a:t>
                </a:r>
              </a:p>
            </c:rich>
          </c:tx>
          <c:layout>
            <c:manualLayout>
              <c:xMode val="edge"/>
              <c:yMode val="edge"/>
              <c:x val="0.39356858737944816"/>
              <c:y val="0.9280603674540682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18612736"/>
        <c:crossesAt val="-1"/>
        <c:crossBetween val="midCat"/>
        <c:majorUnit val="0.5"/>
        <c:minorUnit val="0.1"/>
      </c:valAx>
      <c:valAx>
        <c:axId val="118612736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Tensión de recarga</a:t>
                </a:r>
                <a:r>
                  <a:rPr lang="en-US" sz="1100" baseline="0"/>
                  <a:t> </a:t>
                </a:r>
                <a:r>
                  <a:rPr lang="en-US" sz="1100"/>
                  <a:t>u</a:t>
                </a:r>
                <a:r>
                  <a:rPr lang="en-US" sz="1100" baseline="-25000"/>
                  <a:t>r</a:t>
                </a:r>
                <a:r>
                  <a:rPr lang="en-US" sz="1100" baseline="0"/>
                  <a:t> </a:t>
                </a:r>
                <a:r>
                  <a:rPr lang="en-US" sz="1100"/>
                  <a:t>[V/c]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18594176"/>
        <c:crosses val="autoZero"/>
        <c:crossBetween val="midCat"/>
        <c:majorUnit val="0.5"/>
        <c:minorUnit val="0.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21070854184239499"/>
          <c:y val="0.43646609123547669"/>
          <c:w val="0.73204604298486153"/>
          <c:h val="0.20938836170707478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CICLOS DE VIDA ÚTIL SEGÚN PROFUNDIDAD DE LA DESCARGA</a:t>
            </a:r>
          </a:p>
          <a:p>
            <a:pPr>
              <a:defRPr/>
            </a:pPr>
            <a:r>
              <a:rPr lang="en-US" sz="1400"/>
              <a:t>(Curva "DOD" típica acum. Ión Li)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759149955700863"/>
          <c:y val="0.17279079741605907"/>
          <c:w val="0.80663314074647163"/>
          <c:h val="0.65249225856799153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'Curva DOD Ion-Li'!$H$7:$H$34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Ion-Li'!$I$7:$I$34</c:f>
              <c:numCache>
                <c:formatCode>#,##0</c:formatCode>
                <c:ptCount val="28"/>
                <c:pt idx="0">
                  <c:v>94770</c:v>
                </c:pt>
                <c:pt idx="1">
                  <c:v>46470</c:v>
                </c:pt>
                <c:pt idx="2">
                  <c:v>30369.999999999996</c:v>
                </c:pt>
                <c:pt idx="3">
                  <c:v>22320</c:v>
                </c:pt>
                <c:pt idx="4">
                  <c:v>17490</c:v>
                </c:pt>
                <c:pt idx="5">
                  <c:v>14270</c:v>
                </c:pt>
                <c:pt idx="6">
                  <c:v>11970</c:v>
                </c:pt>
                <c:pt idx="7">
                  <c:v>10245</c:v>
                </c:pt>
                <c:pt idx="8">
                  <c:v>8903.3333333333339</c:v>
                </c:pt>
                <c:pt idx="9">
                  <c:v>7830</c:v>
                </c:pt>
                <c:pt idx="10">
                  <c:v>6951.818181818182</c:v>
                </c:pt>
                <c:pt idx="11">
                  <c:v>6220</c:v>
                </c:pt>
                <c:pt idx="12">
                  <c:v>5600.7692307692305</c:v>
                </c:pt>
                <c:pt idx="13">
                  <c:v>5069.9999999999991</c:v>
                </c:pt>
                <c:pt idx="14">
                  <c:v>4609.9999999999982</c:v>
                </c:pt>
                <c:pt idx="15">
                  <c:v>4207.4999999999991</c:v>
                </c:pt>
                <c:pt idx="16">
                  <c:v>3852.3529411764698</c:v>
                </c:pt>
                <c:pt idx="17">
                  <c:v>3536.6666666666647</c:v>
                </c:pt>
                <c:pt idx="18">
                  <c:v>3254.2105263157882</c:v>
                </c:pt>
                <c:pt idx="19">
                  <c:v>2999.9999999999991</c:v>
                </c:pt>
                <c:pt idx="20">
                  <c:v>2769.9999999999986</c:v>
                </c:pt>
                <c:pt idx="21">
                  <c:v>2560.9090909090896</c:v>
                </c:pt>
                <c:pt idx="22">
                  <c:v>2369.9999999999991</c:v>
                </c:pt>
                <c:pt idx="23">
                  <c:v>2194.9999999999986</c:v>
                </c:pt>
                <c:pt idx="24">
                  <c:v>2033.9999999999986</c:v>
                </c:pt>
                <c:pt idx="25">
                  <c:v>1885.3846153846139</c:v>
                </c:pt>
                <c:pt idx="26">
                  <c:v>1747.7777777777765</c:v>
                </c:pt>
                <c:pt idx="27">
                  <c:v>1619.9999999999984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21-4A14-A23F-8268C1A30E34}"/>
            </c:ext>
          </c:extLst>
        </c:ser>
        <c:ser>
          <c:idx val="1"/>
          <c:order val="1"/>
          <c:marker>
            <c:symbol val="circle"/>
            <c:size val="5"/>
          </c:marker>
          <c:xVal>
            <c:numRef>
              <c:f>'Curva DOD Ion-Li'!$H$7:$H$34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Ion-Li'!$J$7:$J$34</c:f>
              <c:numCache>
                <c:formatCode>#,##0</c:formatCode>
                <c:ptCount val="28"/>
                <c:pt idx="1">
                  <c:v>45000</c:v>
                </c:pt>
                <c:pt idx="3">
                  <c:v>25000</c:v>
                </c:pt>
                <c:pt idx="9">
                  <c:v>10000</c:v>
                </c:pt>
                <c:pt idx="11">
                  <c:v>7000</c:v>
                </c:pt>
                <c:pt idx="19">
                  <c:v>3000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21-4A14-A23F-8268C1A30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71648"/>
        <c:axId val="128573824"/>
      </c:scatterChart>
      <c:valAx>
        <c:axId val="128571648"/>
        <c:scaling>
          <c:orientation val="minMax"/>
          <c:max val="1.4"/>
          <c:min val="0.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 i="0">
                    <a:latin typeface="+mn-lt"/>
                  </a:rPr>
                  <a:t>Profundidad de la descarga </a:t>
                </a:r>
                <a:r>
                  <a:rPr lang="es-ES" sz="1100" i="0">
                    <a:latin typeface="+mn-lt"/>
                    <a:cs typeface="Times New Roman" panose="02020603050405020304" pitchFamily="18" charset="0"/>
                  </a:rPr>
                  <a:t>q</a:t>
                </a:r>
                <a:r>
                  <a:rPr lang="es-ES" sz="1100" i="0" baseline="-25000">
                    <a:latin typeface="+mn-lt"/>
                    <a:cs typeface="Times New Roman" panose="02020603050405020304" pitchFamily="18" charset="0"/>
                  </a:rPr>
                  <a:t>d</a:t>
                </a:r>
                <a:r>
                  <a:rPr lang="es-ES" sz="1100" i="0">
                    <a:latin typeface="+mn-lt"/>
                    <a:cs typeface="Times New Roman" panose="02020603050405020304" pitchFamily="18" charset="0"/>
                  </a:rPr>
                  <a:t> [0/1]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28573824"/>
        <c:crosses val="autoZero"/>
        <c:crossBetween val="midCat"/>
        <c:majorUnit val="0.1"/>
        <c:minorUnit val="1.0000000000000002E-2"/>
      </c:valAx>
      <c:valAx>
        <c:axId val="128573824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 i="0">
                    <a:latin typeface="+mn-lt"/>
                  </a:rPr>
                  <a:t>Número de descargas/recargas </a:t>
                </a:r>
                <a:r>
                  <a:rPr lang="en-US" sz="1100" i="0">
                    <a:latin typeface="+mn-lt"/>
                    <a:cs typeface="Times New Roman" panose="02020603050405020304" pitchFamily="18" charset="0"/>
                  </a:rPr>
                  <a:t>n</a:t>
                </a:r>
                <a:r>
                  <a:rPr lang="en-US" sz="1100" i="0" baseline="-25000">
                    <a:latin typeface="+mn-lt"/>
                    <a:cs typeface="Times New Roman" panose="02020603050405020304" pitchFamily="18" charset="0"/>
                  </a:rPr>
                  <a:t>dr</a:t>
                </a:r>
                <a:r>
                  <a:rPr lang="en-US" sz="1100" i="0" baseline="0">
                    <a:latin typeface="+mn-lt"/>
                    <a:cs typeface="Times New Roman" panose="02020603050405020304" pitchFamily="18" charset="0"/>
                  </a:rPr>
                  <a:t> </a:t>
                </a:r>
                <a:r>
                  <a:rPr lang="en-US" sz="1100" i="0">
                    <a:latin typeface="+mn-lt"/>
                    <a:cs typeface="Times New Roman" panose="02020603050405020304" pitchFamily="18" charset="0"/>
                  </a:rPr>
                  <a:t>[c]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8571648"/>
        <c:crosses val="autoZero"/>
        <c:crossBetween val="midCat"/>
        <c:majorUnit val="5000"/>
        <c:minorUnit val="100"/>
      </c:valAx>
      <c:spPr>
        <a:solidFill>
          <a:schemeClr val="bg1"/>
        </a:solidFill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Capacidad útil en función de la corriente</a:t>
            </a:r>
            <a:r>
              <a:rPr lang="en-US" sz="1400" baseline="0"/>
              <a:t> de descarga</a:t>
            </a:r>
          </a:p>
          <a:p>
            <a:pPr>
              <a:defRPr sz="1400"/>
            </a:pPr>
            <a:r>
              <a:rPr lang="en-US" sz="1400" baseline="0"/>
              <a:t>acumulador de litio Worley Parsons</a:t>
            </a:r>
            <a:r>
              <a:rPr lang="en-US" sz="1400"/>
              <a:t> SLPB 68106100</a:t>
            </a:r>
          </a:p>
        </c:rich>
      </c:tx>
      <c:layout>
        <c:manualLayout>
          <c:xMode val="edge"/>
          <c:yMode val="edge"/>
          <c:x val="0.18646389540654476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573677382035122E-2"/>
          <c:y val="0.16599563948750551"/>
          <c:w val="0.86559555246985342"/>
          <c:h val="0.70208566361219693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#REF!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0.13333333333333341</c:v>
                </c:pt>
                <c:pt idx="3">
                  <c:v>0.26666666666666738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2.1333333333333342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3.7333333333333352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4.1333333333333462</c:v>
                </c:pt>
                <c:pt idx="33">
                  <c:v>4.2666666666666684</c:v>
                </c:pt>
                <c:pt idx="34">
                  <c:v>4.4000000000000004</c:v>
                </c:pt>
                <c:pt idx="35">
                  <c:v>4.5333333333333492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4.933333333333354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5.3333333333333472</c:v>
                </c:pt>
                <c:pt idx="42">
                  <c:v>5.4666666666666694</c:v>
                </c:pt>
                <c:pt idx="43">
                  <c:v>5.6</c:v>
                </c:pt>
                <c:pt idx="44">
                  <c:v>5.7333333333333512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6.1333333333333462</c:v>
                </c:pt>
                <c:pt idx="48">
                  <c:v>6.2666666666666684</c:v>
                </c:pt>
                <c:pt idx="49">
                  <c:v>6.4</c:v>
                </c:pt>
                <c:pt idx="50">
                  <c:v>6.5333333333333492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6.933333333333354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7.3333333333333472</c:v>
                </c:pt>
                <c:pt idx="57">
                  <c:v>7.4666666666666694</c:v>
                </c:pt>
                <c:pt idx="58">
                  <c:v>7.6</c:v>
                </c:pt>
                <c:pt idx="59">
                  <c:v>7.7333333333333512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8.2666666666666728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8.6666666666666767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9.0666666666666949</c:v>
                </c:pt>
                <c:pt idx="70">
                  <c:v>9.2000000000000011</c:v>
                </c:pt>
                <c:pt idx="71">
                  <c:v>9.3333333333333357</c:v>
                </c:pt>
                <c:pt idx="72">
                  <c:v>9.4666666666667023</c:v>
                </c:pt>
                <c:pt idx="73">
                  <c:v>9.6</c:v>
                </c:pt>
                <c:pt idx="74">
                  <c:v>9.7333333333333183</c:v>
                </c:pt>
                <c:pt idx="75">
                  <c:v>9.8666666666667027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10.266666666666676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10.666666666666691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11.066666666666698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11.466666666666702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11.866666666666708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12.266666666666676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12.666666666666691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13.066666666666698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13.466666666666702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13.866666666666708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14.266666666666676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14.666666666666691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15.066666666666698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15.466666666666702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15.866666666666708</c:v>
                </c:pt>
                <c:pt idx="121">
                  <c:v>16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0-F79C-400A-8B55-E136BF11D810}"/>
            </c:ext>
          </c:extLst>
        </c:ser>
        <c:ser>
          <c:idx val="1"/>
          <c:order val="1"/>
          <c:tx>
            <c:v>qe;  UFin  =  3,0  [V/c]</c:v>
          </c:tx>
          <c:spPr>
            <a:ln w="19050">
              <a:solidFill>
                <a:srgbClr val="00B0F0"/>
              </a:solidFill>
              <a:prstDash val="dashDot"/>
            </a:ln>
          </c:spPr>
          <c:marker>
            <c:symbol val="none"/>
          </c:marker>
          <c:xVal>
            <c:numRef>
              <c:f>'SLPB68106100 4 parámetros'!$DW$5:$DW$126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0.13333333333333333</c:v>
                </c:pt>
                <c:pt idx="3">
                  <c:v>0.26666666666666666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2.1333333333333333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3.7333333333333334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4.1333333333333337</c:v>
                </c:pt>
                <c:pt idx="33">
                  <c:v>4.2666666666666666</c:v>
                </c:pt>
                <c:pt idx="34">
                  <c:v>4.4000000000000004</c:v>
                </c:pt>
                <c:pt idx="35">
                  <c:v>4.5333333333333332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4.9333333333333336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5.333333333333333</c:v>
                </c:pt>
                <c:pt idx="42">
                  <c:v>5.4666666666666668</c:v>
                </c:pt>
                <c:pt idx="43">
                  <c:v>5.6</c:v>
                </c:pt>
                <c:pt idx="44">
                  <c:v>5.7333333333333334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6.1333333333333337</c:v>
                </c:pt>
                <c:pt idx="48">
                  <c:v>6.2666666666666666</c:v>
                </c:pt>
                <c:pt idx="49">
                  <c:v>6.4</c:v>
                </c:pt>
                <c:pt idx="50">
                  <c:v>6.5333333333333332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6.9333333333333336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7.333333333333333</c:v>
                </c:pt>
                <c:pt idx="57">
                  <c:v>7.4666666666666668</c:v>
                </c:pt>
                <c:pt idx="58">
                  <c:v>7.6</c:v>
                </c:pt>
                <c:pt idx="59">
                  <c:v>7.7333333333333334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8.2666666666666675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8.6666666666666661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9.0666666666666664</c:v>
                </c:pt>
                <c:pt idx="70">
                  <c:v>9.1999999999999993</c:v>
                </c:pt>
                <c:pt idx="71">
                  <c:v>9.3333333333333339</c:v>
                </c:pt>
                <c:pt idx="72">
                  <c:v>9.4666666666666668</c:v>
                </c:pt>
                <c:pt idx="73">
                  <c:v>9.6</c:v>
                </c:pt>
                <c:pt idx="74">
                  <c:v>9.7333333333333325</c:v>
                </c:pt>
                <c:pt idx="75">
                  <c:v>9.8666666666666671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10.266666666666667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10.666666666666666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11.066666666666666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11.466666666666667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11.866666666666667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12.266666666666667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12.666666666666666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13.066666666666666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13.466666666666667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13.866666666666667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14.266666666666667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14.666666666666666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15.066666666666666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15.466666666666667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15.866666666666667</c:v>
                </c:pt>
                <c:pt idx="121">
                  <c:v>16</c:v>
                </c:pt>
              </c:numCache>
            </c:numRef>
          </c:xVal>
          <c:yVal>
            <c:numRef>
              <c:f>'SLPB68106100 4 parámetros'!$DY$5:$DY$126</c:f>
              <c:numCache>
                <c:formatCode>0.000</c:formatCode>
                <c:ptCount val="122"/>
                <c:pt idx="0">
                  <c:v>8.5058990739490348</c:v>
                </c:pt>
                <c:pt idx="1">
                  <c:v>8.5058990739490348</c:v>
                </c:pt>
                <c:pt idx="2">
                  <c:v>8.4896115996980726</c:v>
                </c:pt>
                <c:pt idx="3">
                  <c:v>8.4733627029024046</c:v>
                </c:pt>
                <c:pt idx="4">
                  <c:v>8.4571522466660607</c:v>
                </c:pt>
                <c:pt idx="5">
                  <c:v>8.4409800947400324</c:v>
                </c:pt>
                <c:pt idx="6">
                  <c:v>8.4248461115184377</c:v>
                </c:pt>
                <c:pt idx="7">
                  <c:v>8.4087501620347496</c:v>
                </c:pt>
                <c:pt idx="8">
                  <c:v>8.3926921119580147</c:v>
                </c:pt>
                <c:pt idx="9">
                  <c:v>8.3766718275891332</c:v>
                </c:pt>
                <c:pt idx="10">
                  <c:v>8.3606891758571358</c:v>
                </c:pt>
                <c:pt idx="11">
                  <c:v>8.3447440243155011</c:v>
                </c:pt>
                <c:pt idx="12">
                  <c:v>8.3288362411385108</c:v>
                </c:pt>
                <c:pt idx="13">
                  <c:v>8.3129656951175885</c:v>
                </c:pt>
                <c:pt idx="14">
                  <c:v>8.2971322556577256</c:v>
                </c:pt>
                <c:pt idx="15">
                  <c:v>8.28133579277387</c:v>
                </c:pt>
                <c:pt idx="16">
                  <c:v>8.265576177087393</c:v>
                </c:pt>
                <c:pt idx="17">
                  <c:v>8.2498532798225366</c:v>
                </c:pt>
                <c:pt idx="18">
                  <c:v>8.234166972802921</c:v>
                </c:pt>
                <c:pt idx="19">
                  <c:v>8.2185171284480525</c:v>
                </c:pt>
                <c:pt idx="20">
                  <c:v>8.2029036197698719</c:v>
                </c:pt>
                <c:pt idx="21">
                  <c:v>8.1873263203693121</c:v>
                </c:pt>
                <c:pt idx="22">
                  <c:v>8.1717851044328924</c:v>
                </c:pt>
                <c:pt idx="23">
                  <c:v>8.1562798467293334</c:v>
                </c:pt>
                <c:pt idx="24">
                  <c:v>8.1408104226061813</c:v>
                </c:pt>
                <c:pt idx="25">
                  <c:v>8.1253767079864847</c:v>
                </c:pt>
                <c:pt idx="26">
                  <c:v>8.1099785793654604</c:v>
                </c:pt>
                <c:pt idx="27">
                  <c:v>8.0946159138072158</c:v>
                </c:pt>
                <c:pt idx="28">
                  <c:v>8.079288588941461</c:v>
                </c:pt>
                <c:pt idx="29">
                  <c:v>8.0639964829602704</c:v>
                </c:pt>
                <c:pt idx="30">
                  <c:v>8.0487394746148517</c:v>
                </c:pt>
                <c:pt idx="31">
                  <c:v>8.0335174432123431</c:v>
                </c:pt>
                <c:pt idx="32">
                  <c:v>8.0183302686126332</c:v>
                </c:pt>
                <c:pt idx="33">
                  <c:v>8.0031778312251891</c:v>
                </c:pt>
                <c:pt idx="34">
                  <c:v>7.9880600120059295</c:v>
                </c:pt>
                <c:pt idx="35">
                  <c:v>7.9729766924541057</c:v>
                </c:pt>
                <c:pt idx="36">
                  <c:v>7.9579277546091998</c:v>
                </c:pt>
                <c:pt idx="37">
                  <c:v>7.942913081047851</c:v>
                </c:pt>
                <c:pt idx="38">
                  <c:v>7.9279325548808064</c:v>
                </c:pt>
                <c:pt idx="39">
                  <c:v>7.9129860597498807</c:v>
                </c:pt>
                <c:pt idx="40">
                  <c:v>7.8980734798249497</c:v>
                </c:pt>
                <c:pt idx="41">
                  <c:v>7.8831946998009563</c:v>
                </c:pt>
                <c:pt idx="42">
                  <c:v>7.8683496048949326</c:v>
                </c:pt>
                <c:pt idx="43">
                  <c:v>7.8535380808430624</c:v>
                </c:pt>
                <c:pt idx="44">
                  <c:v>7.8387600138977298</c:v>
                </c:pt>
                <c:pt idx="45">
                  <c:v>7.8240152908246268</c:v>
                </c:pt>
                <c:pt idx="46">
                  <c:v>7.8093037988998484</c:v>
                </c:pt>
                <c:pt idx="47">
                  <c:v>7.7946254259070278</c:v>
                </c:pt>
                <c:pt idx="48">
                  <c:v>7.7799800601344735</c:v>
                </c:pt>
                <c:pt idx="49">
                  <c:v>7.765367590372346</c:v>
                </c:pt>
                <c:pt idx="50">
                  <c:v>7.7507879059098395</c:v>
                </c:pt>
                <c:pt idx="51">
                  <c:v>7.7362408965323803</c:v>
                </c:pt>
                <c:pt idx="52">
                  <c:v>7.7217264525188556</c:v>
                </c:pt>
                <c:pt idx="53">
                  <c:v>7.7072444646388529</c:v>
                </c:pt>
                <c:pt idx="54">
                  <c:v>7.6927948241499235</c:v>
                </c:pt>
                <c:pt idx="55">
                  <c:v>7.67837742279485</c:v>
                </c:pt>
                <c:pt idx="56">
                  <c:v>7.6639921527989596</c:v>
                </c:pt>
                <c:pt idx="57">
                  <c:v>7.6496389068674189</c:v>
                </c:pt>
                <c:pt idx="58">
                  <c:v>7.6353175781825868</c:v>
                </c:pt>
                <c:pt idx="59">
                  <c:v>7.6210280604013469</c:v>
                </c:pt>
                <c:pt idx="60">
                  <c:v>7.6067702476524843</c:v>
                </c:pt>
                <c:pt idx="61">
                  <c:v>7.5925440345340736</c:v>
                </c:pt>
                <c:pt idx="62">
                  <c:v>7.578349316110871</c:v>
                </c:pt>
                <c:pt idx="63">
                  <c:v>7.5641859879117481</c:v>
                </c:pt>
                <c:pt idx="64">
                  <c:v>7.5500539459271128</c:v>
                </c:pt>
                <c:pt idx="65">
                  <c:v>7.53595308660638</c:v>
                </c:pt>
                <c:pt idx="66">
                  <c:v>7.5218833068554281</c:v>
                </c:pt>
                <c:pt idx="67">
                  <c:v>7.5078445040340975</c:v>
                </c:pt>
                <c:pt idx="68">
                  <c:v>7.4938365759536856</c:v>
                </c:pt>
                <c:pt idx="69">
                  <c:v>7.479859420874476</c:v>
                </c:pt>
                <c:pt idx="70">
                  <c:v>7.46591293750327</c:v>
                </c:pt>
                <c:pt idx="71">
                  <c:v>7.4519970249909351</c:v>
                </c:pt>
                <c:pt idx="72">
                  <c:v>7.438111582929988</c:v>
                </c:pt>
                <c:pt idx="73">
                  <c:v>7.4242565113521684</c:v>
                </c:pt>
                <c:pt idx="74">
                  <c:v>7.4104317107260407</c:v>
                </c:pt>
                <c:pt idx="75">
                  <c:v>7.396637081954613</c:v>
                </c:pt>
                <c:pt idx="76">
                  <c:v>7.3828725263729753</c:v>
                </c:pt>
                <c:pt idx="77">
                  <c:v>7.3691379457459316</c:v>
                </c:pt>
                <c:pt idx="78">
                  <c:v>7.3554332422656792</c:v>
                </c:pt>
                <c:pt idx="79">
                  <c:v>7.3417583185494806</c:v>
                </c:pt>
                <c:pt idx="80">
                  <c:v>7.32811307763735</c:v>
                </c:pt>
                <c:pt idx="81">
                  <c:v>7.3144974229897768</c:v>
                </c:pt>
                <c:pt idx="82">
                  <c:v>7.3009112584854314</c:v>
                </c:pt>
                <c:pt idx="83">
                  <c:v>7.2873544884189201</c:v>
                </c:pt>
                <c:pt idx="84">
                  <c:v>7.2738270174985233</c:v>
                </c:pt>
                <c:pt idx="85">
                  <c:v>7.260328750843974</c:v>
                </c:pt>
                <c:pt idx="86">
                  <c:v>7.2468595939842313</c:v>
                </c:pt>
                <c:pt idx="87">
                  <c:v>7.2334194528552826</c:v>
                </c:pt>
                <c:pt idx="88">
                  <c:v>7.2200082337979516</c:v>
                </c:pt>
                <c:pt idx="89">
                  <c:v>7.2066258435557184</c:v>
                </c:pt>
                <c:pt idx="90">
                  <c:v>7.193272189272566</c:v>
                </c:pt>
                <c:pt idx="91">
                  <c:v>7.1799471784908251</c:v>
                </c:pt>
                <c:pt idx="92">
                  <c:v>7.1666507191490494</c:v>
                </c:pt>
                <c:pt idx="93">
                  <c:v>7.1533827195798807</c:v>
                </c:pt>
                <c:pt idx="94">
                  <c:v>7.1401430885079611</c:v>
                </c:pt>
                <c:pt idx="95">
                  <c:v>7.1269317350478225</c:v>
                </c:pt>
                <c:pt idx="96">
                  <c:v>7.1137485687018183</c:v>
                </c:pt>
                <c:pt idx="97">
                  <c:v>7.1005934993580526</c:v>
                </c:pt>
                <c:pt idx="98">
                  <c:v>7.0874664372883283</c:v>
                </c:pt>
                <c:pt idx="99">
                  <c:v>7.0743672931461061</c:v>
                </c:pt>
                <c:pt idx="100">
                  <c:v>7.0612959779644759</c:v>
                </c:pt>
                <c:pt idx="101">
                  <c:v>7.0482524031541498</c:v>
                </c:pt>
                <c:pt idx="102">
                  <c:v>7.0352364805014469</c:v>
                </c:pt>
                <c:pt idx="103">
                  <c:v>7.0222481221663235</c:v>
                </c:pt>
                <c:pt idx="104">
                  <c:v>7.0092872406803775</c:v>
                </c:pt>
                <c:pt idx="105">
                  <c:v>6.9963537489448999</c:v>
                </c:pt>
                <c:pt idx="106">
                  <c:v>6.9834475602289192</c:v>
                </c:pt>
                <c:pt idx="107">
                  <c:v>6.9705685881672554</c:v>
                </c:pt>
                <c:pt idx="108">
                  <c:v>6.9577167467586047</c:v>
                </c:pt>
                <c:pt idx="109">
                  <c:v>6.9448919503636182</c:v>
                </c:pt>
                <c:pt idx="110">
                  <c:v>6.9320941137030037</c:v>
                </c:pt>
                <c:pt idx="111">
                  <c:v>6.9193231518556306</c:v>
                </c:pt>
                <c:pt idx="112">
                  <c:v>6.9065789802566586</c:v>
                </c:pt>
                <c:pt idx="113">
                  <c:v>6.8938615146956606</c:v>
                </c:pt>
                <c:pt idx="114">
                  <c:v>6.8811706713147807</c:v>
                </c:pt>
                <c:pt idx="115">
                  <c:v>6.8685063666068791</c:v>
                </c:pt>
                <c:pt idx="116">
                  <c:v>6.8558685174137111</c:v>
                </c:pt>
                <c:pt idx="117">
                  <c:v>6.8432570409240991</c:v>
                </c:pt>
                <c:pt idx="118">
                  <c:v>6.8306718546721248</c:v>
                </c:pt>
                <c:pt idx="119">
                  <c:v>6.8181128765353378</c:v>
                </c:pt>
                <c:pt idx="120">
                  <c:v>6.8055800247329605</c:v>
                </c:pt>
                <c:pt idx="121">
                  <c:v>6.7930732178241211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9C-400A-8B55-E136BF11D810}"/>
            </c:ext>
          </c:extLst>
        </c:ser>
        <c:ser>
          <c:idx val="2"/>
          <c:order val="2"/>
          <c:spPr>
            <a:ln w="15875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#REF!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0.13333333333333341</c:v>
                </c:pt>
                <c:pt idx="3">
                  <c:v>0.26666666666666738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2.1333333333333342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3.7333333333333352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4.1333333333333462</c:v>
                </c:pt>
                <c:pt idx="33">
                  <c:v>4.2666666666666684</c:v>
                </c:pt>
                <c:pt idx="34">
                  <c:v>4.4000000000000004</c:v>
                </c:pt>
                <c:pt idx="35">
                  <c:v>4.5333333333333492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4.933333333333354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5.3333333333333472</c:v>
                </c:pt>
                <c:pt idx="42">
                  <c:v>5.4666666666666694</c:v>
                </c:pt>
                <c:pt idx="43">
                  <c:v>5.6</c:v>
                </c:pt>
                <c:pt idx="44">
                  <c:v>5.7333333333333512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6.1333333333333462</c:v>
                </c:pt>
                <c:pt idx="48">
                  <c:v>6.2666666666666684</c:v>
                </c:pt>
                <c:pt idx="49">
                  <c:v>6.4</c:v>
                </c:pt>
                <c:pt idx="50">
                  <c:v>6.5333333333333492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6.933333333333354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7.3333333333333472</c:v>
                </c:pt>
                <c:pt idx="57">
                  <c:v>7.4666666666666694</c:v>
                </c:pt>
                <c:pt idx="58">
                  <c:v>7.6</c:v>
                </c:pt>
                <c:pt idx="59">
                  <c:v>7.7333333333333512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8.2666666666666728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8.6666666666666767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9.0666666666666949</c:v>
                </c:pt>
                <c:pt idx="70">
                  <c:v>9.2000000000000011</c:v>
                </c:pt>
                <c:pt idx="71">
                  <c:v>9.3333333333333357</c:v>
                </c:pt>
                <c:pt idx="72">
                  <c:v>9.4666666666667023</c:v>
                </c:pt>
                <c:pt idx="73">
                  <c:v>9.6</c:v>
                </c:pt>
                <c:pt idx="74">
                  <c:v>9.7333333333333183</c:v>
                </c:pt>
                <c:pt idx="75">
                  <c:v>9.8666666666667027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10.266666666666676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10.666666666666691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11.066666666666698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11.466666666666702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11.866666666666708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12.266666666666676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12.666666666666691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13.066666666666698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13.466666666666702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13.866666666666708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14.266666666666676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14.666666666666691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15.066666666666698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15.466666666666702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15.866666666666708</c:v>
                </c:pt>
                <c:pt idx="121">
                  <c:v>16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2-F79C-400A-8B55-E136BF11D810}"/>
            </c:ext>
          </c:extLst>
        </c:ser>
        <c:ser>
          <c:idx val="3"/>
          <c:order val="3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0.13333333333333341</c:v>
                </c:pt>
                <c:pt idx="3">
                  <c:v>0.26666666666666738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2.1333333333333342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3.7333333333333352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4.1333333333333462</c:v>
                </c:pt>
                <c:pt idx="33">
                  <c:v>4.2666666666666684</c:v>
                </c:pt>
                <c:pt idx="34">
                  <c:v>4.4000000000000004</c:v>
                </c:pt>
                <c:pt idx="35">
                  <c:v>4.5333333333333492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4.933333333333354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5.3333333333333472</c:v>
                </c:pt>
                <c:pt idx="42">
                  <c:v>5.4666666666666694</c:v>
                </c:pt>
                <c:pt idx="43">
                  <c:v>5.6</c:v>
                </c:pt>
                <c:pt idx="44">
                  <c:v>5.7333333333333512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6.1333333333333462</c:v>
                </c:pt>
                <c:pt idx="48">
                  <c:v>6.2666666666666684</c:v>
                </c:pt>
                <c:pt idx="49">
                  <c:v>6.4</c:v>
                </c:pt>
                <c:pt idx="50">
                  <c:v>6.5333333333333492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6.933333333333354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7.3333333333333472</c:v>
                </c:pt>
                <c:pt idx="57">
                  <c:v>7.4666666666666694</c:v>
                </c:pt>
                <c:pt idx="58">
                  <c:v>7.6</c:v>
                </c:pt>
                <c:pt idx="59">
                  <c:v>7.7333333333333512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8.2666666666666728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8.6666666666666767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9.0666666666666949</c:v>
                </c:pt>
                <c:pt idx="70">
                  <c:v>9.2000000000000011</c:v>
                </c:pt>
                <c:pt idx="71">
                  <c:v>9.3333333333333357</c:v>
                </c:pt>
                <c:pt idx="72">
                  <c:v>9.4666666666667023</c:v>
                </c:pt>
                <c:pt idx="73">
                  <c:v>9.6</c:v>
                </c:pt>
                <c:pt idx="74">
                  <c:v>9.7333333333333183</c:v>
                </c:pt>
                <c:pt idx="75">
                  <c:v>9.8666666666667027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10.266666666666676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10.666666666666691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11.066666666666698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11.466666666666702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11.866666666666708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12.266666666666676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12.666666666666691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13.066666666666698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13.466666666666702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13.866666666666708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14.266666666666676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14.666666666666691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15.066666666666698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15.466666666666702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15.866666666666708</c:v>
                </c:pt>
                <c:pt idx="121">
                  <c:v>16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3-F79C-400A-8B55-E136BF11D810}"/>
            </c:ext>
          </c:extLst>
        </c:ser>
        <c:ser>
          <c:idx val="4"/>
          <c:order val="4"/>
          <c:tx>
            <c:v>qr;  UFin  =  3,0  [V/c]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'SLPB68106100 4 parámetros'!$DW$5:$DW$126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0.13333333333333333</c:v>
                </c:pt>
                <c:pt idx="3">
                  <c:v>0.26666666666666666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2.1333333333333333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3.7333333333333334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4.1333333333333337</c:v>
                </c:pt>
                <c:pt idx="33">
                  <c:v>4.2666666666666666</c:v>
                </c:pt>
                <c:pt idx="34">
                  <c:v>4.4000000000000004</c:v>
                </c:pt>
                <c:pt idx="35">
                  <c:v>4.5333333333333332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4.9333333333333336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5.333333333333333</c:v>
                </c:pt>
                <c:pt idx="42">
                  <c:v>5.4666666666666668</c:v>
                </c:pt>
                <c:pt idx="43">
                  <c:v>5.6</c:v>
                </c:pt>
                <c:pt idx="44">
                  <c:v>5.7333333333333334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6.1333333333333337</c:v>
                </c:pt>
                <c:pt idx="48">
                  <c:v>6.2666666666666666</c:v>
                </c:pt>
                <c:pt idx="49">
                  <c:v>6.4</c:v>
                </c:pt>
                <c:pt idx="50">
                  <c:v>6.5333333333333332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6.9333333333333336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7.333333333333333</c:v>
                </c:pt>
                <c:pt idx="57">
                  <c:v>7.4666666666666668</c:v>
                </c:pt>
                <c:pt idx="58">
                  <c:v>7.6</c:v>
                </c:pt>
                <c:pt idx="59">
                  <c:v>7.7333333333333334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8.2666666666666675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8.6666666666666661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9.0666666666666664</c:v>
                </c:pt>
                <c:pt idx="70">
                  <c:v>9.1999999999999993</c:v>
                </c:pt>
                <c:pt idx="71">
                  <c:v>9.3333333333333339</c:v>
                </c:pt>
                <c:pt idx="72">
                  <c:v>9.4666666666666668</c:v>
                </c:pt>
                <c:pt idx="73">
                  <c:v>9.6</c:v>
                </c:pt>
                <c:pt idx="74">
                  <c:v>9.7333333333333325</c:v>
                </c:pt>
                <c:pt idx="75">
                  <c:v>9.8666666666666671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10.266666666666667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10.666666666666666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11.066666666666666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11.466666666666667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11.866666666666667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12.266666666666667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12.666666666666666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13.066666666666666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13.466666666666667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13.866666666666667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14.266666666666667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14.666666666666666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15.066666666666666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15.466666666666667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15.866666666666667</c:v>
                </c:pt>
                <c:pt idx="121">
                  <c:v>16</c:v>
                </c:pt>
              </c:numCache>
            </c:numRef>
          </c:xVal>
          <c:yVal>
            <c:numRef>
              <c:f>'SLPB68106100 4 parámetros'!$EB$5:$EB$126</c:f>
              <c:numCache>
                <c:formatCode>0.000</c:formatCode>
                <c:ptCount val="122"/>
                <c:pt idx="0">
                  <c:v>11.157132375153303</c:v>
                </c:pt>
                <c:pt idx="1">
                  <c:v>11.157132375153303</c:v>
                </c:pt>
                <c:pt idx="2">
                  <c:v>11.082175115859298</c:v>
                </c:pt>
                <c:pt idx="3">
                  <c:v>11.008226160271947</c:v>
                </c:pt>
                <c:pt idx="4">
                  <c:v>10.935269343330155</c:v>
                </c:pt>
                <c:pt idx="5">
                  <c:v>10.863288765542054</c:v>
                </c:pt>
                <c:pt idx="6">
                  <c:v>10.792268788602389</c:v>
                </c:pt>
                <c:pt idx="7">
                  <c:v>10.722194031082346</c:v>
                </c:pt>
                <c:pt idx="8">
                  <c:v>10.65304936419054</c:v>
                </c:pt>
                <c:pt idx="9">
                  <c:v>10.58481990760407</c:v>
                </c:pt>
                <c:pt idx="10">
                  <c:v>10.517491025368416</c:v>
                </c:pt>
                <c:pt idx="11">
                  <c:v>10.451048321865091</c:v>
                </c:pt>
                <c:pt idx="12">
                  <c:v>10.385477637845906</c:v>
                </c:pt>
                <c:pt idx="13">
                  <c:v>10.32076504653271</c:v>
                </c:pt>
                <c:pt idx="14">
                  <c:v>10.256896849781633</c:v>
                </c:pt>
                <c:pt idx="15">
                  <c:v>10.19385957431062</c:v>
                </c:pt>
                <c:pt idx="16">
                  <c:v>10.131639967989337</c:v>
                </c:pt>
                <c:pt idx="17">
                  <c:v>10.070224996190326</c:v>
                </c:pt>
                <c:pt idx="18">
                  <c:v>10.009601838200483</c:v>
                </c:pt>
                <c:pt idx="19">
                  <c:v>9.9497578836917597</c:v>
                </c:pt>
                <c:pt idx="20">
                  <c:v>9.8906807292502137</c:v>
                </c:pt>
                <c:pt idx="21">
                  <c:v>9.8323581749623674</c:v>
                </c:pt>
                <c:pt idx="22">
                  <c:v>9.774778221057975</c:v>
                </c:pt>
                <c:pt idx="23">
                  <c:v>9.7179290646082261</c:v>
                </c:pt>
                <c:pt idx="24">
                  <c:v>9.6617990962785054</c:v>
                </c:pt>
                <c:pt idx="25">
                  <c:v>9.6063768971347976</c:v>
                </c:pt>
                <c:pt idx="26">
                  <c:v>9.5516512355028205</c:v>
                </c:pt>
                <c:pt idx="27">
                  <c:v>9.4976110638790754</c:v>
                </c:pt>
                <c:pt idx="28">
                  <c:v>9.4442455158928897</c:v>
                </c:pt>
                <c:pt idx="29">
                  <c:v>9.3915439033186576</c:v>
                </c:pt>
                <c:pt idx="30">
                  <c:v>9.3394957131374312</c:v>
                </c:pt>
                <c:pt idx="31">
                  <c:v>9.2880906046470439</c:v>
                </c:pt>
                <c:pt idx="32">
                  <c:v>9.2373184066199787</c:v>
                </c:pt>
                <c:pt idx="33">
                  <c:v>9.1871691145081584</c:v>
                </c:pt>
                <c:pt idx="34">
                  <c:v>9.1376328876939308</c:v>
                </c:pt>
                <c:pt idx="35">
                  <c:v>9.0887000467864603</c:v>
                </c:pt>
                <c:pt idx="36">
                  <c:v>9.0403610709627511</c:v>
                </c:pt>
                <c:pt idx="37">
                  <c:v>8.9926065953526102</c:v>
                </c:pt>
                <c:pt idx="38">
                  <c:v>8.9454274084668093</c:v>
                </c:pt>
                <c:pt idx="39">
                  <c:v>8.8988144496676984</c:v>
                </c:pt>
                <c:pt idx="40">
                  <c:v>8.8527588066816278</c:v>
                </c:pt>
                <c:pt idx="41">
                  <c:v>8.8072517131524375</c:v>
                </c:pt>
                <c:pt idx="42">
                  <c:v>8.7622845462353531</c:v>
                </c:pt>
                <c:pt idx="43">
                  <c:v>8.7178488242306464</c:v>
                </c:pt>
                <c:pt idx="44">
                  <c:v>8.6739362042563393</c:v>
                </c:pt>
                <c:pt idx="45">
                  <c:v>8.6305384799593856</c:v>
                </c:pt>
                <c:pt idx="46">
                  <c:v>8.587647579264635</c:v>
                </c:pt>
                <c:pt idx="47">
                  <c:v>8.5452555621609747</c:v>
                </c:pt>
                <c:pt idx="48">
                  <c:v>8.5033546185240407</c:v>
                </c:pt>
                <c:pt idx="49">
                  <c:v>8.4619370659748814</c:v>
                </c:pt>
                <c:pt idx="50">
                  <c:v>8.4209953477740047</c:v>
                </c:pt>
                <c:pt idx="51">
                  <c:v>8.3805220307501767</c:v>
                </c:pt>
                <c:pt idx="52">
                  <c:v>8.3405098032634513</c:v>
                </c:pt>
                <c:pt idx="53">
                  <c:v>8.3009514732018292</c:v>
                </c:pt>
                <c:pt idx="54">
                  <c:v>8.2618399660110153</c:v>
                </c:pt>
                <c:pt idx="55">
                  <c:v>8.2231683227566847</c:v>
                </c:pt>
                <c:pt idx="56">
                  <c:v>8.1849296982187898</c:v>
                </c:pt>
                <c:pt idx="57">
                  <c:v>8.1471173590173027</c:v>
                </c:pt>
                <c:pt idx="58">
                  <c:v>8.1097246817689381</c:v>
                </c:pt>
                <c:pt idx="59">
                  <c:v>8.0727451512742974</c:v>
                </c:pt>
                <c:pt idx="60">
                  <c:v>8.0361723587349552</c:v>
                </c:pt>
                <c:pt idx="61">
                  <c:v>8</c:v>
                </c:pt>
                <c:pt idx="62">
                  <c:v>7.964221873841514</c:v>
                </c:pt>
                <c:pt idx="63">
                  <c:v>7.9288318802585476</c:v>
                </c:pt>
                <c:pt idx="64">
                  <c:v>7.8938240188090791</c:v>
                </c:pt>
                <c:pt idx="65">
                  <c:v>7.8591923869695481</c:v>
                </c:pt>
                <c:pt idx="66">
                  <c:v>7.8249311785214548</c:v>
                </c:pt>
                <c:pt idx="67">
                  <c:v>7.791034681964609</c:v>
                </c:pt>
                <c:pt idx="68">
                  <c:v>7.7574972789565857</c:v>
                </c:pt>
                <c:pt idx="69">
                  <c:v>7.7243134427779463</c:v>
                </c:pt>
                <c:pt idx="70">
                  <c:v>7.6914777368227956</c:v>
                </c:pt>
                <c:pt idx="71">
                  <c:v>7.6589848131142677</c:v>
                </c:pt>
                <c:pt idx="72">
                  <c:v>7.6268294108445414</c:v>
                </c:pt>
                <c:pt idx="73">
                  <c:v>7.5950063549389295</c:v>
                </c:pt>
                <c:pt idx="74">
                  <c:v>7.5635105546437043</c:v>
                </c:pt>
                <c:pt idx="75">
                  <c:v>7.5323370021372273</c:v>
                </c:pt>
                <c:pt idx="76">
                  <c:v>7.5014807711640277</c:v>
                </c:pt>
                <c:pt idx="77">
                  <c:v>7.4709370156913959</c:v>
                </c:pt>
                <c:pt idx="78">
                  <c:v>7.4407009685882102</c:v>
                </c:pt>
                <c:pt idx="79">
                  <c:v>7.4107679403255435</c:v>
                </c:pt>
                <c:pt idx="80">
                  <c:v>7.3811333176987119</c:v>
                </c:pt>
                <c:pt idx="81">
                  <c:v>7.3517925625704734</c:v>
                </c:pt>
                <c:pt idx="82">
                  <c:v>7.3227412106349172</c:v>
                </c:pt>
                <c:pt idx="83">
                  <c:v>7.2939748702018097</c:v>
                </c:pt>
                <c:pt idx="84">
                  <c:v>7.2654892210009727</c:v>
                </c:pt>
                <c:pt idx="85">
                  <c:v>7.2372800130064379</c:v>
                </c:pt>
                <c:pt idx="86">
                  <c:v>7.2093430652799739</c:v>
                </c:pt>
                <c:pt idx="87">
                  <c:v>7.1816742648337444</c:v>
                </c:pt>
                <c:pt idx="88">
                  <c:v>7.154269565511715</c:v>
                </c:pt>
                <c:pt idx="89">
                  <c:v>7.1271249868895339</c:v>
                </c:pt>
                <c:pt idx="90">
                  <c:v>7.1002366131925871</c:v>
                </c:pt>
                <c:pt idx="91">
                  <c:v>7.0736005922318945</c:v>
                </c:pt>
                <c:pt idx="92">
                  <c:v>7.047213134357591</c:v>
                </c:pt>
                <c:pt idx="93">
                  <c:v>7.0210705114296594</c:v>
                </c:pt>
                <c:pt idx="94">
                  <c:v>6.9951690558056931</c:v>
                </c:pt>
                <c:pt idx="95">
                  <c:v>6.969505159345319</c:v>
                </c:pt>
                <c:pt idx="96">
                  <c:v>6.9440752724310961</c:v>
                </c:pt>
                <c:pt idx="97">
                  <c:v>6.9188759030055564</c:v>
                </c:pt>
                <c:pt idx="98">
                  <c:v>6.8939036156241471</c:v>
                </c:pt>
                <c:pt idx="99">
                  <c:v>6.8691550305237978</c:v>
                </c:pt>
                <c:pt idx="100">
                  <c:v>6.8446268227068678</c:v>
                </c:pt>
                <c:pt idx="101">
                  <c:v>6.8203157210402265</c:v>
                </c:pt>
                <c:pt idx="102">
                  <c:v>6.7962185073691694</c:v>
                </c:pt>
                <c:pt idx="103">
                  <c:v>6.7723320156460041</c:v>
                </c:pt>
                <c:pt idx="104">
                  <c:v>6.7486531310729791</c:v>
                </c:pt>
                <c:pt idx="105">
                  <c:v>6.7251787892593864</c:v>
                </c:pt>
                <c:pt idx="106">
                  <c:v>6.7019059753925667</c:v>
                </c:pt>
                <c:pt idx="107">
                  <c:v>6.6788317234225838</c:v>
                </c:pt>
                <c:pt idx="108">
                  <c:v>6.6559531152603792</c:v>
                </c:pt>
                <c:pt idx="109">
                  <c:v>6.6332672799891457</c:v>
                </c:pt>
                <c:pt idx="110">
                  <c:v>6.6107713930887169</c:v>
                </c:pt>
                <c:pt idx="111">
                  <c:v>6.5884626756727585</c:v>
                </c:pt>
                <c:pt idx="112">
                  <c:v>6.5663383937385547</c:v>
                </c:pt>
                <c:pt idx="113">
                  <c:v>6.5443958574291585</c:v>
                </c:pt>
                <c:pt idx="114">
                  <c:v>6.5226324203077457</c:v>
                </c:pt>
                <c:pt idx="115">
                  <c:v>6.501045478643908</c:v>
                </c:pt>
                <c:pt idx="116">
                  <c:v>6.4796324707117634</c:v>
                </c:pt>
                <c:pt idx="117">
                  <c:v>6.4583908760996138</c:v>
                </c:pt>
                <c:pt idx="118">
                  <c:v>6.4373182150310164</c:v>
                </c:pt>
                <c:pt idx="119">
                  <c:v>6.416412047697051</c:v>
                </c:pt>
                <c:pt idx="120">
                  <c:v>6.395669973599599</c:v>
                </c:pt>
                <c:pt idx="121">
                  <c:v>6.3750896309054781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79C-400A-8B55-E136BF11D810}"/>
            </c:ext>
          </c:extLst>
        </c:ser>
        <c:ser>
          <c:idx val="5"/>
          <c:order val="5"/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#REF!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0.13333333333333341</c:v>
                </c:pt>
                <c:pt idx="3">
                  <c:v>0.26666666666666738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2.1333333333333342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3.7333333333333352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4.1333333333333462</c:v>
                </c:pt>
                <c:pt idx="33">
                  <c:v>4.2666666666666684</c:v>
                </c:pt>
                <c:pt idx="34">
                  <c:v>4.4000000000000004</c:v>
                </c:pt>
                <c:pt idx="35">
                  <c:v>4.5333333333333492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4.933333333333354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5.3333333333333472</c:v>
                </c:pt>
                <c:pt idx="42">
                  <c:v>5.4666666666666694</c:v>
                </c:pt>
                <c:pt idx="43">
                  <c:v>5.6</c:v>
                </c:pt>
                <c:pt idx="44">
                  <c:v>5.7333333333333512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6.1333333333333462</c:v>
                </c:pt>
                <c:pt idx="48">
                  <c:v>6.2666666666666684</c:v>
                </c:pt>
                <c:pt idx="49">
                  <c:v>6.4</c:v>
                </c:pt>
                <c:pt idx="50">
                  <c:v>6.5333333333333492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6.933333333333354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7.3333333333333472</c:v>
                </c:pt>
                <c:pt idx="57">
                  <c:v>7.4666666666666694</c:v>
                </c:pt>
                <c:pt idx="58">
                  <c:v>7.6</c:v>
                </c:pt>
                <c:pt idx="59">
                  <c:v>7.7333333333333512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8.2666666666666728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8.6666666666666767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9.0666666666666949</c:v>
                </c:pt>
                <c:pt idx="70">
                  <c:v>9.2000000000000011</c:v>
                </c:pt>
                <c:pt idx="71">
                  <c:v>9.3333333333333357</c:v>
                </c:pt>
                <c:pt idx="72">
                  <c:v>9.4666666666667023</c:v>
                </c:pt>
                <c:pt idx="73">
                  <c:v>9.6</c:v>
                </c:pt>
                <c:pt idx="74">
                  <c:v>9.7333333333333183</c:v>
                </c:pt>
                <c:pt idx="75">
                  <c:v>9.8666666666667027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10.266666666666676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10.666666666666691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11.066666666666698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11.466666666666702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11.866666666666708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12.266666666666676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12.666666666666691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13.066666666666698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13.466666666666702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13.866666666666708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14.266666666666676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14.666666666666691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15.066666666666698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15.466666666666702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15.866666666666708</c:v>
                </c:pt>
                <c:pt idx="121">
                  <c:v>16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5-F79C-400A-8B55-E136BF11D810}"/>
            </c:ext>
          </c:extLst>
        </c:ser>
        <c:ser>
          <c:idx val="6"/>
          <c:order val="6"/>
          <c:tx>
            <c:v>Qn  =  8,000  [Ah]</c:v>
          </c:tx>
          <c:spPr>
            <a:ln w="19050">
              <a:solidFill>
                <a:srgbClr val="FFC000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parámetros'!$DW$5:$DW$126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0.13333333333333333</c:v>
                </c:pt>
                <c:pt idx="3">
                  <c:v>0.26666666666666666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2.1333333333333333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3.7333333333333334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4.1333333333333337</c:v>
                </c:pt>
                <c:pt idx="33">
                  <c:v>4.2666666666666666</c:v>
                </c:pt>
                <c:pt idx="34">
                  <c:v>4.4000000000000004</c:v>
                </c:pt>
                <c:pt idx="35">
                  <c:v>4.5333333333333332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4.9333333333333336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5.333333333333333</c:v>
                </c:pt>
                <c:pt idx="42">
                  <c:v>5.4666666666666668</c:v>
                </c:pt>
                <c:pt idx="43">
                  <c:v>5.6</c:v>
                </c:pt>
                <c:pt idx="44">
                  <c:v>5.7333333333333334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6.1333333333333337</c:v>
                </c:pt>
                <c:pt idx="48">
                  <c:v>6.2666666666666666</c:v>
                </c:pt>
                <c:pt idx="49">
                  <c:v>6.4</c:v>
                </c:pt>
                <c:pt idx="50">
                  <c:v>6.5333333333333332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6.9333333333333336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7.333333333333333</c:v>
                </c:pt>
                <c:pt idx="57">
                  <c:v>7.4666666666666668</c:v>
                </c:pt>
                <c:pt idx="58">
                  <c:v>7.6</c:v>
                </c:pt>
                <c:pt idx="59">
                  <c:v>7.7333333333333334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8.2666666666666675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8.6666666666666661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9.0666666666666664</c:v>
                </c:pt>
                <c:pt idx="70">
                  <c:v>9.1999999999999993</c:v>
                </c:pt>
                <c:pt idx="71">
                  <c:v>9.3333333333333339</c:v>
                </c:pt>
                <c:pt idx="72">
                  <c:v>9.4666666666666668</c:v>
                </c:pt>
                <c:pt idx="73">
                  <c:v>9.6</c:v>
                </c:pt>
                <c:pt idx="74">
                  <c:v>9.7333333333333325</c:v>
                </c:pt>
                <c:pt idx="75">
                  <c:v>9.8666666666666671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10.266666666666667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10.666666666666666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11.066666666666666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11.466666666666667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11.866666666666667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12.266666666666667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12.666666666666666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13.066666666666666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13.466666666666667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13.866666666666667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14.266666666666667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14.666666666666666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15.066666666666666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15.466666666666667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15.866666666666667</c:v>
                </c:pt>
                <c:pt idx="121">
                  <c:v>16</c:v>
                </c:pt>
              </c:numCache>
            </c:numRef>
          </c:xVal>
          <c:yVal>
            <c:numRef>
              <c:f>'SLPB68106100 4 parámetros'!$ED$5:$ED$126</c:f>
              <c:numCache>
                <c:formatCode>0.000</c:formatCode>
                <c:ptCount val="12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79C-400A-8B55-E136BF11D810}"/>
            </c:ext>
          </c:extLst>
        </c:ser>
        <c:ser>
          <c:idx val="7"/>
          <c:order val="7"/>
          <c:tx>
            <c:v>Qe  =  8,506  [Ah]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parámetros'!$DW$5:$DW$126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0.13333333333333333</c:v>
                </c:pt>
                <c:pt idx="3">
                  <c:v>0.26666666666666666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2.1333333333333333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3.7333333333333334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4.1333333333333337</c:v>
                </c:pt>
                <c:pt idx="33">
                  <c:v>4.2666666666666666</c:v>
                </c:pt>
                <c:pt idx="34">
                  <c:v>4.4000000000000004</c:v>
                </c:pt>
                <c:pt idx="35">
                  <c:v>4.5333333333333332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4.9333333333333336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5.333333333333333</c:v>
                </c:pt>
                <c:pt idx="42">
                  <c:v>5.4666666666666668</c:v>
                </c:pt>
                <c:pt idx="43">
                  <c:v>5.6</c:v>
                </c:pt>
                <c:pt idx="44">
                  <c:v>5.7333333333333334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6.1333333333333337</c:v>
                </c:pt>
                <c:pt idx="48">
                  <c:v>6.2666666666666666</c:v>
                </c:pt>
                <c:pt idx="49">
                  <c:v>6.4</c:v>
                </c:pt>
                <c:pt idx="50">
                  <c:v>6.5333333333333332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6.9333333333333336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7.333333333333333</c:v>
                </c:pt>
                <c:pt idx="57">
                  <c:v>7.4666666666666668</c:v>
                </c:pt>
                <c:pt idx="58">
                  <c:v>7.6</c:v>
                </c:pt>
                <c:pt idx="59">
                  <c:v>7.7333333333333334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8.2666666666666675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8.6666666666666661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9.0666666666666664</c:v>
                </c:pt>
                <c:pt idx="70">
                  <c:v>9.1999999999999993</c:v>
                </c:pt>
                <c:pt idx="71">
                  <c:v>9.3333333333333339</c:v>
                </c:pt>
                <c:pt idx="72">
                  <c:v>9.4666666666666668</c:v>
                </c:pt>
                <c:pt idx="73">
                  <c:v>9.6</c:v>
                </c:pt>
                <c:pt idx="74">
                  <c:v>9.7333333333333325</c:v>
                </c:pt>
                <c:pt idx="75">
                  <c:v>9.8666666666666671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10.266666666666667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10.666666666666666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11.066666666666666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11.466666666666667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11.866666666666667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12.266666666666667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12.666666666666666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13.066666666666666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13.466666666666667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13.866666666666667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14.266666666666667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14.666666666666666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15.066666666666666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15.466666666666667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15.866666666666667</c:v>
                </c:pt>
                <c:pt idx="121">
                  <c:v>16</c:v>
                </c:pt>
              </c:numCache>
            </c:numRef>
          </c:xVal>
          <c:yVal>
            <c:numRef>
              <c:f>'SLPB68106100 4 parámetros'!$EE$5:$EE$126</c:f>
              <c:numCache>
                <c:formatCode>0.000</c:formatCode>
                <c:ptCount val="122"/>
                <c:pt idx="0">
                  <c:v>8.5058990739490348</c:v>
                </c:pt>
                <c:pt idx="1">
                  <c:v>8.5058990739490348</c:v>
                </c:pt>
                <c:pt idx="2">
                  <c:v>8.5058990739490348</c:v>
                </c:pt>
                <c:pt idx="3">
                  <c:v>8.5058990739490348</c:v>
                </c:pt>
                <c:pt idx="4">
                  <c:v>8.5058990739490348</c:v>
                </c:pt>
                <c:pt idx="5">
                  <c:v>8.5058990739490348</c:v>
                </c:pt>
                <c:pt idx="6">
                  <c:v>8.5058990739490348</c:v>
                </c:pt>
                <c:pt idx="7">
                  <c:v>8.5058990739490348</c:v>
                </c:pt>
                <c:pt idx="8">
                  <c:v>8.5058990739490348</c:v>
                </c:pt>
                <c:pt idx="9">
                  <c:v>8.5058990739490348</c:v>
                </c:pt>
                <c:pt idx="10">
                  <c:v>8.5058990739490348</c:v>
                </c:pt>
                <c:pt idx="11">
                  <c:v>8.5058990739490348</c:v>
                </c:pt>
                <c:pt idx="12">
                  <c:v>8.5058990739490348</c:v>
                </c:pt>
                <c:pt idx="13">
                  <c:v>8.5058990739490348</c:v>
                </c:pt>
                <c:pt idx="14">
                  <c:v>8.5058990739490348</c:v>
                </c:pt>
                <c:pt idx="15">
                  <c:v>8.5058990739490348</c:v>
                </c:pt>
                <c:pt idx="16">
                  <c:v>8.5058990739490348</c:v>
                </c:pt>
                <c:pt idx="17">
                  <c:v>8.5058990739490348</c:v>
                </c:pt>
                <c:pt idx="18">
                  <c:v>8.5058990739490348</c:v>
                </c:pt>
                <c:pt idx="19">
                  <c:v>8.5058990739490348</c:v>
                </c:pt>
                <c:pt idx="20">
                  <c:v>8.5058990739490348</c:v>
                </c:pt>
                <c:pt idx="21">
                  <c:v>8.5058990739490348</c:v>
                </c:pt>
                <c:pt idx="22">
                  <c:v>8.5058990739490348</c:v>
                </c:pt>
                <c:pt idx="23">
                  <c:v>8.5058990739490348</c:v>
                </c:pt>
                <c:pt idx="24">
                  <c:v>8.5058990739490348</c:v>
                </c:pt>
                <c:pt idx="25">
                  <c:v>8.5058990739490348</c:v>
                </c:pt>
                <c:pt idx="26">
                  <c:v>8.5058990739490348</c:v>
                </c:pt>
                <c:pt idx="27">
                  <c:v>8.5058990739490348</c:v>
                </c:pt>
                <c:pt idx="28">
                  <c:v>8.5058990739490348</c:v>
                </c:pt>
                <c:pt idx="29">
                  <c:v>8.5058990739490348</c:v>
                </c:pt>
                <c:pt idx="30">
                  <c:v>8.5058990739490348</c:v>
                </c:pt>
                <c:pt idx="31">
                  <c:v>8.5058990739490348</c:v>
                </c:pt>
                <c:pt idx="32">
                  <c:v>8.5058990739490348</c:v>
                </c:pt>
                <c:pt idx="33">
                  <c:v>8.5058990739490348</c:v>
                </c:pt>
                <c:pt idx="34">
                  <c:v>8.5058990739490348</c:v>
                </c:pt>
                <c:pt idx="35">
                  <c:v>8.5058990739490348</c:v>
                </c:pt>
                <c:pt idx="36">
                  <c:v>8.5058990739490348</c:v>
                </c:pt>
                <c:pt idx="37">
                  <c:v>8.5058990739490348</c:v>
                </c:pt>
                <c:pt idx="38">
                  <c:v>8.5058990739490348</c:v>
                </c:pt>
                <c:pt idx="39">
                  <c:v>8.5058990739490348</c:v>
                </c:pt>
                <c:pt idx="40">
                  <c:v>8.5058990739490348</c:v>
                </c:pt>
                <c:pt idx="41">
                  <c:v>8.5058990739490348</c:v>
                </c:pt>
                <c:pt idx="42">
                  <c:v>8.5058990739490348</c:v>
                </c:pt>
                <c:pt idx="43">
                  <c:v>8.5058990739490348</c:v>
                </c:pt>
                <c:pt idx="44">
                  <c:v>8.5058990739490348</c:v>
                </c:pt>
                <c:pt idx="45">
                  <c:v>8.5058990739490348</c:v>
                </c:pt>
                <c:pt idx="46">
                  <c:v>8.5058990739490348</c:v>
                </c:pt>
                <c:pt idx="47">
                  <c:v>8.5058990739490348</c:v>
                </c:pt>
                <c:pt idx="48">
                  <c:v>8.5058990739490348</c:v>
                </c:pt>
                <c:pt idx="49">
                  <c:v>8.5058990739490348</c:v>
                </c:pt>
                <c:pt idx="50">
                  <c:v>8.5058990739490348</c:v>
                </c:pt>
                <c:pt idx="51">
                  <c:v>8.5058990739490348</c:v>
                </c:pt>
                <c:pt idx="52">
                  <c:v>8.5058990739490348</c:v>
                </c:pt>
                <c:pt idx="53">
                  <c:v>8.5058990739490348</c:v>
                </c:pt>
                <c:pt idx="54">
                  <c:v>8.5058990739490348</c:v>
                </c:pt>
                <c:pt idx="55">
                  <c:v>8.5058990739490348</c:v>
                </c:pt>
                <c:pt idx="56">
                  <c:v>8.5058990739490348</c:v>
                </c:pt>
                <c:pt idx="57">
                  <c:v>8.5058990739490348</c:v>
                </c:pt>
                <c:pt idx="58">
                  <c:v>8.5058990739490348</c:v>
                </c:pt>
                <c:pt idx="59">
                  <c:v>8.5058990739490348</c:v>
                </c:pt>
                <c:pt idx="60">
                  <c:v>8.5058990739490348</c:v>
                </c:pt>
                <c:pt idx="61">
                  <c:v>8.5058990739490348</c:v>
                </c:pt>
                <c:pt idx="62">
                  <c:v>8.5058990739490348</c:v>
                </c:pt>
                <c:pt idx="63">
                  <c:v>8.5058990739490348</c:v>
                </c:pt>
                <c:pt idx="64">
                  <c:v>8.5058990739490348</c:v>
                </c:pt>
                <c:pt idx="65">
                  <c:v>8.5058990739490348</c:v>
                </c:pt>
                <c:pt idx="66">
                  <c:v>8.5058990739490348</c:v>
                </c:pt>
                <c:pt idx="67">
                  <c:v>8.5058990739490348</c:v>
                </c:pt>
                <c:pt idx="68">
                  <c:v>8.5058990739490348</c:v>
                </c:pt>
                <c:pt idx="69">
                  <c:v>8.5058990739490348</c:v>
                </c:pt>
                <c:pt idx="70">
                  <c:v>8.5058990739490348</c:v>
                </c:pt>
                <c:pt idx="71">
                  <c:v>8.5058990739490348</c:v>
                </c:pt>
                <c:pt idx="72">
                  <c:v>8.5058990739490348</c:v>
                </c:pt>
                <c:pt idx="73">
                  <c:v>8.5058990739490348</c:v>
                </c:pt>
                <c:pt idx="74">
                  <c:v>8.5058990739490348</c:v>
                </c:pt>
                <c:pt idx="75">
                  <c:v>8.5058990739490348</c:v>
                </c:pt>
                <c:pt idx="76">
                  <c:v>8.5058990739490348</c:v>
                </c:pt>
                <c:pt idx="77">
                  <c:v>8.5058990739490348</c:v>
                </c:pt>
                <c:pt idx="78">
                  <c:v>8.5058990739490348</c:v>
                </c:pt>
                <c:pt idx="79">
                  <c:v>8.5058990739490348</c:v>
                </c:pt>
                <c:pt idx="80">
                  <c:v>8.5058990739490348</c:v>
                </c:pt>
                <c:pt idx="81">
                  <c:v>8.5058990739490348</c:v>
                </c:pt>
                <c:pt idx="82">
                  <c:v>8.5058990739490348</c:v>
                </c:pt>
                <c:pt idx="83">
                  <c:v>8.5058990739490348</c:v>
                </c:pt>
                <c:pt idx="84">
                  <c:v>8.5058990739490348</c:v>
                </c:pt>
                <c:pt idx="85">
                  <c:v>8.5058990739490348</c:v>
                </c:pt>
                <c:pt idx="86">
                  <c:v>8.5058990739490348</c:v>
                </c:pt>
                <c:pt idx="87">
                  <c:v>8.5058990739490348</c:v>
                </c:pt>
                <c:pt idx="88">
                  <c:v>8.5058990739490348</c:v>
                </c:pt>
                <c:pt idx="89">
                  <c:v>8.5058990739490348</c:v>
                </c:pt>
                <c:pt idx="90">
                  <c:v>8.5058990739490348</c:v>
                </c:pt>
                <c:pt idx="91">
                  <c:v>8.5058990739490348</c:v>
                </c:pt>
                <c:pt idx="92">
                  <c:v>8.5058990739490348</c:v>
                </c:pt>
                <c:pt idx="93">
                  <c:v>8.5058990739490348</c:v>
                </c:pt>
                <c:pt idx="94">
                  <c:v>8.5058990739490348</c:v>
                </c:pt>
                <c:pt idx="95">
                  <c:v>8.5058990739490348</c:v>
                </c:pt>
                <c:pt idx="96">
                  <c:v>8.5058990739490348</c:v>
                </c:pt>
                <c:pt idx="97">
                  <c:v>8.5058990739490348</c:v>
                </c:pt>
                <c:pt idx="98">
                  <c:v>8.5058990739490348</c:v>
                </c:pt>
                <c:pt idx="99">
                  <c:v>8.5058990739490348</c:v>
                </c:pt>
                <c:pt idx="100">
                  <c:v>8.5058990739490348</c:v>
                </c:pt>
                <c:pt idx="101">
                  <c:v>8.5058990739490348</c:v>
                </c:pt>
                <c:pt idx="102">
                  <c:v>8.5058990739490348</c:v>
                </c:pt>
                <c:pt idx="103">
                  <c:v>8.5058990739490348</c:v>
                </c:pt>
                <c:pt idx="104">
                  <c:v>8.5058990739490348</c:v>
                </c:pt>
                <c:pt idx="105">
                  <c:v>8.5058990739490348</c:v>
                </c:pt>
                <c:pt idx="106">
                  <c:v>8.5058990739490348</c:v>
                </c:pt>
                <c:pt idx="107">
                  <c:v>8.5058990739490348</c:v>
                </c:pt>
                <c:pt idx="108">
                  <c:v>8.5058990739490348</c:v>
                </c:pt>
                <c:pt idx="109">
                  <c:v>8.5058990739490348</c:v>
                </c:pt>
                <c:pt idx="110">
                  <c:v>8.5058990739490348</c:v>
                </c:pt>
                <c:pt idx="111">
                  <c:v>8.5058990739490348</c:v>
                </c:pt>
                <c:pt idx="112">
                  <c:v>8.5058990739490348</c:v>
                </c:pt>
                <c:pt idx="113">
                  <c:v>8.5058990739490348</c:v>
                </c:pt>
                <c:pt idx="114">
                  <c:v>8.5058990739490348</c:v>
                </c:pt>
                <c:pt idx="115">
                  <c:v>8.5058990739490348</c:v>
                </c:pt>
                <c:pt idx="116">
                  <c:v>8.5058990739490348</c:v>
                </c:pt>
                <c:pt idx="117">
                  <c:v>8.5058990739490348</c:v>
                </c:pt>
                <c:pt idx="118">
                  <c:v>8.5058990739490348</c:v>
                </c:pt>
                <c:pt idx="119">
                  <c:v>8.5058990739490348</c:v>
                </c:pt>
                <c:pt idx="120">
                  <c:v>8.5058990739490348</c:v>
                </c:pt>
                <c:pt idx="121">
                  <c:v>8.5058990739490348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79C-400A-8B55-E136BF11D810}"/>
            </c:ext>
          </c:extLst>
        </c:ser>
        <c:ser>
          <c:idx val="8"/>
          <c:order val="8"/>
          <c:tx>
            <c:v>In  =  8,0  [A]</c:v>
          </c:tx>
          <c:spPr>
            <a:ln w="1905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'SLPB68106100 4 parámetros'!$DW$5:$DW$126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0.13333333333333333</c:v>
                </c:pt>
                <c:pt idx="3">
                  <c:v>0.26666666666666666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2.1333333333333333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3.7333333333333334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4.1333333333333337</c:v>
                </c:pt>
                <c:pt idx="33">
                  <c:v>4.2666666666666666</c:v>
                </c:pt>
                <c:pt idx="34">
                  <c:v>4.4000000000000004</c:v>
                </c:pt>
                <c:pt idx="35">
                  <c:v>4.5333333333333332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4.9333333333333336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5.333333333333333</c:v>
                </c:pt>
                <c:pt idx="42">
                  <c:v>5.4666666666666668</c:v>
                </c:pt>
                <c:pt idx="43">
                  <c:v>5.6</c:v>
                </c:pt>
                <c:pt idx="44">
                  <c:v>5.7333333333333334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6.1333333333333337</c:v>
                </c:pt>
                <c:pt idx="48">
                  <c:v>6.2666666666666666</c:v>
                </c:pt>
                <c:pt idx="49">
                  <c:v>6.4</c:v>
                </c:pt>
                <c:pt idx="50">
                  <c:v>6.5333333333333332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6.9333333333333336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7.333333333333333</c:v>
                </c:pt>
                <c:pt idx="57">
                  <c:v>7.4666666666666668</c:v>
                </c:pt>
                <c:pt idx="58">
                  <c:v>7.6</c:v>
                </c:pt>
                <c:pt idx="59">
                  <c:v>7.7333333333333334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8.2666666666666675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8.6666666666666661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9.0666666666666664</c:v>
                </c:pt>
                <c:pt idx="70">
                  <c:v>9.1999999999999993</c:v>
                </c:pt>
                <c:pt idx="71">
                  <c:v>9.3333333333333339</c:v>
                </c:pt>
                <c:pt idx="72">
                  <c:v>9.4666666666666668</c:v>
                </c:pt>
                <c:pt idx="73">
                  <c:v>9.6</c:v>
                </c:pt>
                <c:pt idx="74">
                  <c:v>9.7333333333333325</c:v>
                </c:pt>
                <c:pt idx="75">
                  <c:v>9.8666666666666671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10.266666666666667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10.666666666666666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11.066666666666666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11.466666666666667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11.866666666666667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12.266666666666667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12.666666666666666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13.066666666666666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13.466666666666667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13.866666666666667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14.266666666666667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14.666666666666666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15.066666666666666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15.466666666666667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15.866666666666667</c:v>
                </c:pt>
                <c:pt idx="121">
                  <c:v>16</c:v>
                </c:pt>
              </c:numCache>
            </c:numRef>
          </c:xVal>
          <c:yVal>
            <c:numRef>
              <c:f>'SLPB68106100 4 parámetros'!$EF$5:$EF$126</c:f>
              <c:numCache>
                <c:formatCode>General</c:formatCode>
                <c:ptCount val="122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79C-400A-8B55-E136BF11D810}"/>
            </c:ext>
          </c:extLst>
        </c:ser>
        <c:ser>
          <c:idx val="9"/>
          <c:order val="9"/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#REF!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0.13333333333333341</c:v>
                </c:pt>
                <c:pt idx="3">
                  <c:v>0.26666666666666738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2.1333333333333342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3.7333333333333352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4.1333333333333462</c:v>
                </c:pt>
                <c:pt idx="33">
                  <c:v>4.2666666666666684</c:v>
                </c:pt>
                <c:pt idx="34">
                  <c:v>4.4000000000000004</c:v>
                </c:pt>
                <c:pt idx="35">
                  <c:v>4.5333333333333492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4.933333333333354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5.3333333333333472</c:v>
                </c:pt>
                <c:pt idx="42">
                  <c:v>5.4666666666666694</c:v>
                </c:pt>
                <c:pt idx="43">
                  <c:v>5.6</c:v>
                </c:pt>
                <c:pt idx="44">
                  <c:v>5.7333333333333512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6.1333333333333462</c:v>
                </c:pt>
                <c:pt idx="48">
                  <c:v>6.2666666666666684</c:v>
                </c:pt>
                <c:pt idx="49">
                  <c:v>6.4</c:v>
                </c:pt>
                <c:pt idx="50">
                  <c:v>6.5333333333333492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6.933333333333354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7.3333333333333472</c:v>
                </c:pt>
                <c:pt idx="57">
                  <c:v>7.4666666666666694</c:v>
                </c:pt>
                <c:pt idx="58">
                  <c:v>7.6</c:v>
                </c:pt>
                <c:pt idx="59">
                  <c:v>7.7333333333333512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8.2666666666666728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8.6666666666666767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9.0666666666666949</c:v>
                </c:pt>
                <c:pt idx="70">
                  <c:v>9.2000000000000011</c:v>
                </c:pt>
                <c:pt idx="71">
                  <c:v>9.3333333333333357</c:v>
                </c:pt>
                <c:pt idx="72">
                  <c:v>9.4666666666667023</c:v>
                </c:pt>
                <c:pt idx="73">
                  <c:v>9.6</c:v>
                </c:pt>
                <c:pt idx="74">
                  <c:v>9.7333333333333183</c:v>
                </c:pt>
                <c:pt idx="75">
                  <c:v>9.8666666666667027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10.266666666666676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10.666666666666691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11.066666666666698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11.466666666666702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11.866666666666708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12.266666666666676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12.666666666666691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13.066666666666698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13.466666666666702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13.866666666666708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14.266666666666676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14.666666666666691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15.066666666666698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15.466666666666702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15.866666666666708</c:v>
                </c:pt>
                <c:pt idx="121">
                  <c:v>16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9-F79C-400A-8B55-E136BF11D810}"/>
            </c:ext>
          </c:extLst>
        </c:ser>
        <c:ser>
          <c:idx val="10"/>
          <c:order val="10"/>
          <c:tx>
            <c:v>QE;  Ufin,adm.  =  3,0  [V/c]</c:v>
          </c:tx>
          <c:spPr>
            <a:ln w="19050">
              <a:solidFill>
                <a:srgbClr val="00B0F0"/>
              </a:solidFill>
              <a:prstDash val="dash"/>
            </a:ln>
          </c:spPr>
          <c:marker>
            <c:symbol val="none"/>
          </c:marker>
          <c:xVal>
            <c:numRef>
              <c:f>'SLPB68106100 4 parámetros'!$DW$5:$DW$126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0.13333333333333333</c:v>
                </c:pt>
                <c:pt idx="3">
                  <c:v>0.26666666666666666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2.1333333333333333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3.7333333333333334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4.1333333333333337</c:v>
                </c:pt>
                <c:pt idx="33">
                  <c:v>4.2666666666666666</c:v>
                </c:pt>
                <c:pt idx="34">
                  <c:v>4.4000000000000004</c:v>
                </c:pt>
                <c:pt idx="35">
                  <c:v>4.5333333333333332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4.9333333333333336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5.333333333333333</c:v>
                </c:pt>
                <c:pt idx="42">
                  <c:v>5.4666666666666668</c:v>
                </c:pt>
                <c:pt idx="43">
                  <c:v>5.6</c:v>
                </c:pt>
                <c:pt idx="44">
                  <c:v>5.7333333333333334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6.1333333333333337</c:v>
                </c:pt>
                <c:pt idx="48">
                  <c:v>6.2666666666666666</c:v>
                </c:pt>
                <c:pt idx="49">
                  <c:v>6.4</c:v>
                </c:pt>
                <c:pt idx="50">
                  <c:v>6.5333333333333332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6.9333333333333336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7.333333333333333</c:v>
                </c:pt>
                <c:pt idx="57">
                  <c:v>7.4666666666666668</c:v>
                </c:pt>
                <c:pt idx="58">
                  <c:v>7.6</c:v>
                </c:pt>
                <c:pt idx="59">
                  <c:v>7.7333333333333334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8.2666666666666675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8.6666666666666661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9.0666666666666664</c:v>
                </c:pt>
                <c:pt idx="70">
                  <c:v>9.1999999999999993</c:v>
                </c:pt>
                <c:pt idx="71">
                  <c:v>9.3333333333333339</c:v>
                </c:pt>
                <c:pt idx="72">
                  <c:v>9.4666666666666668</c:v>
                </c:pt>
                <c:pt idx="73">
                  <c:v>9.6</c:v>
                </c:pt>
                <c:pt idx="74">
                  <c:v>9.7333333333333325</c:v>
                </c:pt>
                <c:pt idx="75">
                  <c:v>9.8666666666666671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10.266666666666667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10.666666666666666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11.066666666666666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11.466666666666667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11.866666666666667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12.266666666666667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12.666666666666666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13.066666666666666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13.466666666666667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13.866666666666667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14.266666666666667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14.666666666666666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15.066666666666666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15.466666666666667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15.866666666666667</c:v>
                </c:pt>
                <c:pt idx="121">
                  <c:v>16</c:v>
                </c:pt>
              </c:numCache>
            </c:numRef>
          </c:xVal>
          <c:yVal>
            <c:numRef>
              <c:f>'SLPB68106100 4 parámetros'!$EJ$5:$EJ$126</c:f>
              <c:numCache>
                <c:formatCode>0.000</c:formatCode>
                <c:ptCount val="122"/>
                <c:pt idx="0">
                  <c:v>2.6512333012042681</c:v>
                </c:pt>
                <c:pt idx="1">
                  <c:v>2.6512333012042681</c:v>
                </c:pt>
                <c:pt idx="2">
                  <c:v>2.5925635161612259</c:v>
                </c:pt>
                <c:pt idx="3">
                  <c:v>2.5348634573695432</c:v>
                </c:pt>
                <c:pt idx="4">
                  <c:v>2.4781170966640942</c:v>
                </c:pt>
                <c:pt idx="5">
                  <c:v>2.4223086708020207</c:v>
                </c:pt>
                <c:pt idx="6">
                  <c:v>2.367422677083951</c:v>
                </c:pt>
                <c:pt idx="7">
                  <c:v>2.3134438690475969</c:v>
                </c:pt>
                <c:pt idx="8">
                  <c:v>2.2603572522325255</c:v>
                </c:pt>
                <c:pt idx="9">
                  <c:v>2.2081480800149365</c:v>
                </c:pt>
                <c:pt idx="10">
                  <c:v>2.1568018495112811</c:v>
                </c:pt>
                <c:pt idx="11">
                  <c:v>2.1063042975495909</c:v>
                </c:pt>
                <c:pt idx="12">
                  <c:v>2.0566413967073949</c:v>
                </c:pt>
                <c:pt idx="13">
                  <c:v>2.0077993514151213</c:v>
                </c:pt>
                <c:pt idx="14">
                  <c:v>1.9597645941239081</c:v>
                </c:pt>
                <c:pt idx="15">
                  <c:v>1.9125237815367502</c:v>
                </c:pt>
                <c:pt idx="16">
                  <c:v>1.8660637909019431</c:v>
                </c:pt>
                <c:pt idx="17">
                  <c:v>1.8203717163677906</c:v>
                </c:pt>
                <c:pt idx="18">
                  <c:v>1.7754348653975622</c:v>
                </c:pt>
                <c:pt idx="19">
                  <c:v>1.7312407552437064</c:v>
                </c:pt>
                <c:pt idx="20">
                  <c:v>1.6877771094803409</c:v>
                </c:pt>
                <c:pt idx="21">
                  <c:v>1.645031854593056</c:v>
                </c:pt>
                <c:pt idx="22">
                  <c:v>1.6029931166250824</c:v>
                </c:pt>
                <c:pt idx="23">
                  <c:v>1.5616492178788932</c:v>
                </c:pt>
                <c:pt idx="24">
                  <c:v>1.5209886736723248</c:v>
                </c:pt>
                <c:pt idx="25">
                  <c:v>1.4810001891483133</c:v>
                </c:pt>
                <c:pt idx="26">
                  <c:v>1.4416726561373601</c:v>
                </c:pt>
                <c:pt idx="27">
                  <c:v>1.4029951500718603</c:v>
                </c:pt>
                <c:pt idx="28">
                  <c:v>1.364956926951429</c:v>
                </c:pt>
                <c:pt idx="29">
                  <c:v>1.3275474203583868</c:v>
                </c:pt>
                <c:pt idx="30">
                  <c:v>1.2907562385225788</c:v>
                </c:pt>
                <c:pt idx="31">
                  <c:v>1.2545731614347009</c:v>
                </c:pt>
                <c:pt idx="32">
                  <c:v>1.218988138007346</c:v>
                </c:pt>
                <c:pt idx="33">
                  <c:v>1.1839912832829691</c:v>
                </c:pt>
                <c:pt idx="34">
                  <c:v>1.1495728756880019</c:v>
                </c:pt>
                <c:pt idx="35">
                  <c:v>1.1157233543323548</c:v>
                </c:pt>
                <c:pt idx="36">
                  <c:v>1.0824333163535507</c:v>
                </c:pt>
                <c:pt idx="37">
                  <c:v>1.049693514304759</c:v>
                </c:pt>
                <c:pt idx="38">
                  <c:v>1.0174948535860022</c:v>
                </c:pt>
                <c:pt idx="39">
                  <c:v>0.98582838991781752</c:v>
                </c:pt>
                <c:pt idx="40">
                  <c:v>0.95468532685667817</c:v>
                </c:pt>
                <c:pt idx="41">
                  <c:v>0.92405701335148138</c:v>
                </c:pt>
                <c:pt idx="42">
                  <c:v>0.8939349413404214</c:v>
                </c:pt>
                <c:pt idx="43">
                  <c:v>0.86431074338758451</c:v>
                </c:pt>
                <c:pt idx="44">
                  <c:v>0.83517619035860857</c:v>
                </c:pt>
                <c:pt idx="45">
                  <c:v>0.80652318913475884</c:v>
                </c:pt>
                <c:pt idx="46">
                  <c:v>0.77834378036478613</c:v>
                </c:pt>
                <c:pt idx="47">
                  <c:v>0.75063013625394781</c:v>
                </c:pt>
                <c:pt idx="48">
                  <c:v>0.72337455838956699</c:v>
                </c:pt>
                <c:pt idx="49">
                  <c:v>0.69656947560253601</c:v>
                </c:pt>
                <c:pt idx="50">
                  <c:v>0.67020744186416592</c:v>
                </c:pt>
                <c:pt idx="51">
                  <c:v>0.64428113421779631</c:v>
                </c:pt>
                <c:pt idx="52">
                  <c:v>0.61878335074459478</c:v>
                </c:pt>
                <c:pt idx="53">
                  <c:v>0.59370700856297631</c:v>
                </c:pt>
                <c:pt idx="54">
                  <c:v>0.56904514186109179</c:v>
                </c:pt>
                <c:pt idx="55">
                  <c:v>0.54479089996183427</c:v>
                </c:pt>
                <c:pt idx="56">
                  <c:v>0.52093754541983017</c:v>
                </c:pt>
                <c:pt idx="57">
                  <c:v>0.4974784521498834</c:v>
                </c:pt>
                <c:pt idx="58">
                  <c:v>0.47440710358635219</c:v>
                </c:pt>
                <c:pt idx="59">
                  <c:v>0.45171709087294998</c:v>
                </c:pt>
                <c:pt idx="60">
                  <c:v>0.42940211108246995</c:v>
                </c:pt>
                <c:pt idx="61">
                  <c:v>0.40745596546592644</c:v>
                </c:pt>
                <c:pt idx="62">
                  <c:v>0.385872557730643</c:v>
                </c:pt>
                <c:pt idx="63">
                  <c:v>0.36464589234679945</c:v>
                </c:pt>
                <c:pt idx="64">
                  <c:v>0.34377007288196593</c:v>
                </c:pt>
                <c:pt idx="65">
                  <c:v>0.32323930036316817</c:v>
                </c:pt>
                <c:pt idx="66">
                  <c:v>0.30304787166602631</c:v>
                </c:pt>
                <c:pt idx="67">
                  <c:v>0.28319017793051104</c:v>
                </c:pt>
                <c:pt idx="68">
                  <c:v>0.26366070300290012</c:v>
                </c:pt>
                <c:pt idx="69">
                  <c:v>0.24445402190346988</c:v>
                </c:pt>
                <c:pt idx="70">
                  <c:v>0.22556479931952556</c:v>
                </c:pt>
                <c:pt idx="71">
                  <c:v>0.20698778812333263</c:v>
                </c:pt>
                <c:pt idx="72">
                  <c:v>0.18871782791455294</c:v>
                </c:pt>
                <c:pt idx="73">
                  <c:v>0.1707498435867616</c:v>
                </c:pt>
                <c:pt idx="74">
                  <c:v>0.15307884391766402</c:v>
                </c:pt>
                <c:pt idx="75">
                  <c:v>0.13569992018261479</c:v>
                </c:pt>
                <c:pt idx="76">
                  <c:v>0.11860824479105236</c:v>
                </c:pt>
                <c:pt idx="77">
                  <c:v>0.10179906994546428</c:v>
                </c:pt>
                <c:pt idx="78">
                  <c:v>8.5267726322531434E-2</c:v>
                </c:pt>
                <c:pt idx="79">
                  <c:v>6.9009621776062513E-2</c:v>
                </c:pt>
                <c:pt idx="80">
                  <c:v>5.3020240061362411E-2</c:v>
                </c:pt>
                <c:pt idx="81">
                  <c:v>3.7295139580696635E-2</c:v>
                </c:pt>
                <c:pt idx="82">
                  <c:v>2.1829952149485798E-2</c:v>
                </c:pt>
                <c:pt idx="83">
                  <c:v>6.620381782889595E-3</c:v>
                </c:pt>
                <c:pt idx="84">
                  <c:v>-8.3377964975501762E-3</c:v>
                </c:pt>
                <c:pt idx="85">
                  <c:v>-2.3048737837536137E-2</c:v>
                </c:pt>
                <c:pt idx="86">
                  <c:v>-3.7516528704256924E-2</c:v>
                </c:pt>
                <c:pt idx="87">
                  <c:v>-5.1745188021538269E-2</c:v>
                </c:pt>
                <c:pt idx="88">
                  <c:v>-6.573866828623709E-2</c:v>
                </c:pt>
                <c:pt idx="89">
                  <c:v>-7.9500856666184561E-2</c:v>
                </c:pt>
                <c:pt idx="90">
                  <c:v>-9.303557607997881E-2</c:v>
                </c:pt>
                <c:pt idx="91">
                  <c:v>-0.10634658625893101</c:v>
                </c:pt>
                <c:pt idx="92">
                  <c:v>-0.11943758479145838</c:v>
                </c:pt>
                <c:pt idx="93">
                  <c:v>-0.13231220815022082</c:v>
                </c:pt>
                <c:pt idx="94">
                  <c:v>-0.14497403270226794</c:v>
                </c:pt>
                <c:pt idx="95">
                  <c:v>-0.15742657570250351</c:v>
                </c:pt>
                <c:pt idx="96">
                  <c:v>-0.16967329627072258</c:v>
                </c:pt>
                <c:pt idx="97">
                  <c:v>-0.18171759635249574</c:v>
                </c:pt>
                <c:pt idx="98">
                  <c:v>-0.19356282166418071</c:v>
                </c:pt>
                <c:pt idx="99">
                  <c:v>-0.20521226262230829</c:v>
                </c:pt>
                <c:pt idx="100">
                  <c:v>-0.21666915525760766</c:v>
                </c:pt>
                <c:pt idx="101">
                  <c:v>-0.22793668211392326</c:v>
                </c:pt>
                <c:pt idx="102">
                  <c:v>-0.23901797313227746</c:v>
                </c:pt>
                <c:pt idx="103">
                  <c:v>-0.24991610652031904</c:v>
                </c:pt>
                <c:pt idx="104">
                  <c:v>-0.26063410960739875</c:v>
                </c:pt>
                <c:pt idx="105">
                  <c:v>-0.27117495968551353</c:v>
                </c:pt>
                <c:pt idx="106">
                  <c:v>-0.2815415848363525</c:v>
                </c:pt>
                <c:pt idx="107">
                  <c:v>-0.29173686474467164</c:v>
                </c:pt>
                <c:pt idx="108">
                  <c:v>-0.30176363149822549</c:v>
                </c:pt>
                <c:pt idx="109">
                  <c:v>-0.3116246703744725</c:v>
                </c:pt>
                <c:pt idx="110">
                  <c:v>-0.32132272061428724</c:v>
                </c:pt>
                <c:pt idx="111">
                  <c:v>-0.33086047618287218</c:v>
                </c:pt>
                <c:pt idx="112">
                  <c:v>-0.3402405865181044</c:v>
                </c:pt>
                <c:pt idx="113">
                  <c:v>-0.34946565726650158</c:v>
                </c:pt>
                <c:pt idx="114">
                  <c:v>-0.3585382510070354</c:v>
                </c:pt>
                <c:pt idx="115">
                  <c:v>-0.36746088796297105</c:v>
                </c:pt>
                <c:pt idx="116">
                  <c:v>-0.3762360467019481</c:v>
                </c:pt>
                <c:pt idx="117">
                  <c:v>-0.38486616482448488</c:v>
                </c:pt>
                <c:pt idx="118">
                  <c:v>-0.39335363964110837</c:v>
                </c:pt>
                <c:pt idx="119">
                  <c:v>-0.40170082883828728</c:v>
                </c:pt>
                <c:pt idx="120">
                  <c:v>-0.4099100511333611</c:v>
                </c:pt>
                <c:pt idx="121">
                  <c:v>-0.41798358691864257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79C-400A-8B55-E136BF11D810}"/>
            </c:ext>
          </c:extLst>
        </c:ser>
        <c:ser>
          <c:idx val="11"/>
          <c:order val="11"/>
          <c:spPr>
            <a:ln w="1587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#REF!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0.13333333333333341</c:v>
                </c:pt>
                <c:pt idx="3">
                  <c:v>0.26666666666666738</c:v>
                </c:pt>
                <c:pt idx="4">
                  <c:v>0.4</c:v>
                </c:pt>
                <c:pt idx="5">
                  <c:v>0.53333333333333333</c:v>
                </c:pt>
                <c:pt idx="6">
                  <c:v>0.66666666666666663</c:v>
                </c:pt>
                <c:pt idx="7">
                  <c:v>0.8</c:v>
                </c:pt>
                <c:pt idx="8">
                  <c:v>0.93333333333333335</c:v>
                </c:pt>
                <c:pt idx="9">
                  <c:v>1.0666666666666667</c:v>
                </c:pt>
                <c:pt idx="10">
                  <c:v>1.2</c:v>
                </c:pt>
                <c:pt idx="11">
                  <c:v>1.3333333333333333</c:v>
                </c:pt>
                <c:pt idx="12">
                  <c:v>1.4666666666666666</c:v>
                </c:pt>
                <c:pt idx="13">
                  <c:v>1.6</c:v>
                </c:pt>
                <c:pt idx="14">
                  <c:v>1.7333333333333334</c:v>
                </c:pt>
                <c:pt idx="15">
                  <c:v>1.8666666666666667</c:v>
                </c:pt>
                <c:pt idx="16">
                  <c:v>2</c:v>
                </c:pt>
                <c:pt idx="17">
                  <c:v>2.1333333333333342</c:v>
                </c:pt>
                <c:pt idx="18">
                  <c:v>2.2666666666666666</c:v>
                </c:pt>
                <c:pt idx="19">
                  <c:v>2.4</c:v>
                </c:pt>
                <c:pt idx="20">
                  <c:v>2.5333333333333332</c:v>
                </c:pt>
                <c:pt idx="21">
                  <c:v>2.6666666666666665</c:v>
                </c:pt>
                <c:pt idx="22">
                  <c:v>2.8</c:v>
                </c:pt>
                <c:pt idx="23">
                  <c:v>2.9333333333333331</c:v>
                </c:pt>
                <c:pt idx="24">
                  <c:v>3.0666666666666669</c:v>
                </c:pt>
                <c:pt idx="25">
                  <c:v>3.2</c:v>
                </c:pt>
                <c:pt idx="26">
                  <c:v>3.3333333333333335</c:v>
                </c:pt>
                <c:pt idx="27">
                  <c:v>3.4666666666666668</c:v>
                </c:pt>
                <c:pt idx="28">
                  <c:v>3.6</c:v>
                </c:pt>
                <c:pt idx="29">
                  <c:v>3.7333333333333352</c:v>
                </c:pt>
                <c:pt idx="30">
                  <c:v>3.8666666666666667</c:v>
                </c:pt>
                <c:pt idx="31">
                  <c:v>4</c:v>
                </c:pt>
                <c:pt idx="32">
                  <c:v>4.1333333333333462</c:v>
                </c:pt>
                <c:pt idx="33">
                  <c:v>4.2666666666666684</c:v>
                </c:pt>
                <c:pt idx="34">
                  <c:v>4.4000000000000004</c:v>
                </c:pt>
                <c:pt idx="35">
                  <c:v>4.5333333333333492</c:v>
                </c:pt>
                <c:pt idx="36">
                  <c:v>4.666666666666667</c:v>
                </c:pt>
                <c:pt idx="37">
                  <c:v>4.8</c:v>
                </c:pt>
                <c:pt idx="38">
                  <c:v>4.933333333333354</c:v>
                </c:pt>
                <c:pt idx="39">
                  <c:v>5.0666666666666664</c:v>
                </c:pt>
                <c:pt idx="40">
                  <c:v>5.2</c:v>
                </c:pt>
                <c:pt idx="41">
                  <c:v>5.3333333333333472</c:v>
                </c:pt>
                <c:pt idx="42">
                  <c:v>5.4666666666666694</c:v>
                </c:pt>
                <c:pt idx="43">
                  <c:v>5.6</c:v>
                </c:pt>
                <c:pt idx="44">
                  <c:v>5.7333333333333512</c:v>
                </c:pt>
                <c:pt idx="45">
                  <c:v>5.8666666666666663</c:v>
                </c:pt>
                <c:pt idx="46">
                  <c:v>6</c:v>
                </c:pt>
                <c:pt idx="47">
                  <c:v>6.1333333333333462</c:v>
                </c:pt>
                <c:pt idx="48">
                  <c:v>6.2666666666666684</c:v>
                </c:pt>
                <c:pt idx="49">
                  <c:v>6.4</c:v>
                </c:pt>
                <c:pt idx="50">
                  <c:v>6.5333333333333492</c:v>
                </c:pt>
                <c:pt idx="51">
                  <c:v>6.666666666666667</c:v>
                </c:pt>
                <c:pt idx="52">
                  <c:v>6.8</c:v>
                </c:pt>
                <c:pt idx="53">
                  <c:v>6.933333333333354</c:v>
                </c:pt>
                <c:pt idx="54">
                  <c:v>7.0666666666666664</c:v>
                </c:pt>
                <c:pt idx="55">
                  <c:v>7.2</c:v>
                </c:pt>
                <c:pt idx="56">
                  <c:v>7.3333333333333472</c:v>
                </c:pt>
                <c:pt idx="57">
                  <c:v>7.4666666666666694</c:v>
                </c:pt>
                <c:pt idx="58">
                  <c:v>7.6</c:v>
                </c:pt>
                <c:pt idx="59">
                  <c:v>7.7333333333333512</c:v>
                </c:pt>
                <c:pt idx="60">
                  <c:v>7.8666666666666663</c:v>
                </c:pt>
                <c:pt idx="61">
                  <c:v>8</c:v>
                </c:pt>
                <c:pt idx="62">
                  <c:v>8.1333333333333329</c:v>
                </c:pt>
                <c:pt idx="63">
                  <c:v>8.2666666666666728</c:v>
                </c:pt>
                <c:pt idx="64">
                  <c:v>8.4</c:v>
                </c:pt>
                <c:pt idx="65">
                  <c:v>8.5333333333333332</c:v>
                </c:pt>
                <c:pt idx="66">
                  <c:v>8.6666666666666767</c:v>
                </c:pt>
                <c:pt idx="67">
                  <c:v>8.8000000000000007</c:v>
                </c:pt>
                <c:pt idx="68">
                  <c:v>8.9333333333333336</c:v>
                </c:pt>
                <c:pt idx="69">
                  <c:v>9.0666666666666949</c:v>
                </c:pt>
                <c:pt idx="70">
                  <c:v>9.2000000000000011</c:v>
                </c:pt>
                <c:pt idx="71">
                  <c:v>9.3333333333333357</c:v>
                </c:pt>
                <c:pt idx="72">
                  <c:v>9.4666666666667023</c:v>
                </c:pt>
                <c:pt idx="73">
                  <c:v>9.6</c:v>
                </c:pt>
                <c:pt idx="74">
                  <c:v>9.7333333333333183</c:v>
                </c:pt>
                <c:pt idx="75">
                  <c:v>9.8666666666667027</c:v>
                </c:pt>
                <c:pt idx="76">
                  <c:v>10</c:v>
                </c:pt>
                <c:pt idx="77">
                  <c:v>10.133333333333333</c:v>
                </c:pt>
                <c:pt idx="78">
                  <c:v>10.266666666666676</c:v>
                </c:pt>
                <c:pt idx="79">
                  <c:v>10.4</c:v>
                </c:pt>
                <c:pt idx="80">
                  <c:v>10.533333333333333</c:v>
                </c:pt>
                <c:pt idx="81">
                  <c:v>10.666666666666691</c:v>
                </c:pt>
                <c:pt idx="82">
                  <c:v>10.8</c:v>
                </c:pt>
                <c:pt idx="83">
                  <c:v>10.933333333333334</c:v>
                </c:pt>
                <c:pt idx="84">
                  <c:v>11.066666666666698</c:v>
                </c:pt>
                <c:pt idx="85">
                  <c:v>11.2</c:v>
                </c:pt>
                <c:pt idx="86">
                  <c:v>11.333333333333334</c:v>
                </c:pt>
                <c:pt idx="87">
                  <c:v>11.466666666666702</c:v>
                </c:pt>
                <c:pt idx="88">
                  <c:v>11.6</c:v>
                </c:pt>
                <c:pt idx="89">
                  <c:v>11.733333333333333</c:v>
                </c:pt>
                <c:pt idx="90">
                  <c:v>11.866666666666708</c:v>
                </c:pt>
                <c:pt idx="91">
                  <c:v>12</c:v>
                </c:pt>
                <c:pt idx="92">
                  <c:v>12.133333333333333</c:v>
                </c:pt>
                <c:pt idx="93">
                  <c:v>12.266666666666676</c:v>
                </c:pt>
                <c:pt idx="94">
                  <c:v>12.4</c:v>
                </c:pt>
                <c:pt idx="95">
                  <c:v>12.533333333333333</c:v>
                </c:pt>
                <c:pt idx="96">
                  <c:v>12.666666666666691</c:v>
                </c:pt>
                <c:pt idx="97">
                  <c:v>12.8</c:v>
                </c:pt>
                <c:pt idx="98">
                  <c:v>12.933333333333334</c:v>
                </c:pt>
                <c:pt idx="99">
                  <c:v>13.066666666666698</c:v>
                </c:pt>
                <c:pt idx="100">
                  <c:v>13.2</c:v>
                </c:pt>
                <c:pt idx="101">
                  <c:v>13.333333333333334</c:v>
                </c:pt>
                <c:pt idx="102">
                  <c:v>13.466666666666702</c:v>
                </c:pt>
                <c:pt idx="103">
                  <c:v>13.6</c:v>
                </c:pt>
                <c:pt idx="104">
                  <c:v>13.733333333333333</c:v>
                </c:pt>
                <c:pt idx="105">
                  <c:v>13.866666666666708</c:v>
                </c:pt>
                <c:pt idx="106">
                  <c:v>14</c:v>
                </c:pt>
                <c:pt idx="107">
                  <c:v>14.133333333333333</c:v>
                </c:pt>
                <c:pt idx="108">
                  <c:v>14.266666666666676</c:v>
                </c:pt>
                <c:pt idx="109">
                  <c:v>14.4</c:v>
                </c:pt>
                <c:pt idx="110">
                  <c:v>14.533333333333333</c:v>
                </c:pt>
                <c:pt idx="111">
                  <c:v>14.666666666666691</c:v>
                </c:pt>
                <c:pt idx="112">
                  <c:v>14.8</c:v>
                </c:pt>
                <c:pt idx="113">
                  <c:v>14.933333333333334</c:v>
                </c:pt>
                <c:pt idx="114">
                  <c:v>15.066666666666698</c:v>
                </c:pt>
                <c:pt idx="115">
                  <c:v>15.2</c:v>
                </c:pt>
                <c:pt idx="116">
                  <c:v>15.333333333333334</c:v>
                </c:pt>
                <c:pt idx="117">
                  <c:v>15.466666666666702</c:v>
                </c:pt>
                <c:pt idx="118">
                  <c:v>15.6</c:v>
                </c:pt>
                <c:pt idx="119">
                  <c:v>15.733333333333333</c:v>
                </c:pt>
                <c:pt idx="120">
                  <c:v>15.866666666666708</c:v>
                </c:pt>
                <c:pt idx="121">
                  <c:v>16</c:v>
                </c:pt>
              </c:numCache>
            </c:numRef>
          </c:xVal>
          <c:yVal>
            <c:numRef>
              <c:f>#REF!</c:f>
            </c:numRef>
          </c:yVal>
          <c:smooth val="1"/>
          <c:extLst>
            <c:ext xmlns:c16="http://schemas.microsoft.com/office/drawing/2014/chart" uri="{C3380CC4-5D6E-409C-BE32-E72D297353CC}">
              <c16:uniqueId val="{0000000B-F79C-400A-8B55-E136BF11D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67520"/>
        <c:axId val="118755712"/>
      </c:scatterChart>
      <c:valAx>
        <c:axId val="118667520"/>
        <c:scaling>
          <c:orientation val="minMax"/>
          <c:max val="16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Corriente  de  descarga I</a:t>
                </a:r>
                <a:r>
                  <a:rPr lang="en-US" sz="1100" baseline="-25000"/>
                  <a:t>d</a:t>
                </a:r>
                <a:r>
                  <a:rPr lang="en-US" sz="1100" baseline="0"/>
                  <a:t> </a:t>
                </a:r>
                <a:r>
                  <a:rPr lang="en-US" sz="1100"/>
                  <a:t>[A]</a:t>
                </a:r>
              </a:p>
            </c:rich>
          </c:tx>
          <c:layout>
            <c:manualLayout>
              <c:xMode val="edge"/>
              <c:yMode val="edge"/>
              <c:x val="0.37558188838024148"/>
              <c:y val="0.923278449736292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8755712"/>
        <c:crossesAt val="-2"/>
        <c:crossBetween val="midCat"/>
        <c:majorUnit val="1"/>
        <c:minorUnit val="0.4"/>
      </c:valAx>
      <c:valAx>
        <c:axId val="118755712"/>
        <c:scaling>
          <c:orientation val="minMax"/>
          <c:max val="12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s-ES" sz="1100"/>
                  <a:t>Capacidad útil Q</a:t>
                </a:r>
                <a:r>
                  <a:rPr lang="es-ES" sz="1100" baseline="-25000"/>
                  <a:t>u</a:t>
                </a:r>
                <a:r>
                  <a:rPr lang="es-ES" sz="1100"/>
                  <a:t> [Ah]</a:t>
                </a:r>
              </a:p>
            </c:rich>
          </c:tx>
          <c:layout>
            <c:manualLayout>
              <c:xMode val="edge"/>
              <c:yMode val="edge"/>
              <c:x val="9.2681437394152525E-3"/>
              <c:y val="0.3405750872118039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8667520"/>
        <c:crosses val="autoZero"/>
        <c:crossBetween val="midCat"/>
        <c:majorUnit val="1"/>
        <c:minorUnit val="2.0000000000000011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6046762556420705"/>
          <c:y val="0.46747792191745824"/>
          <c:w val="0.34712701614642144"/>
          <c:h val="0.27006181894156212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289" l="0.70000000000000062" r="0.70000000000000062" t="0.75000000000000289" header="0.30000000000000032" footer="0.30000000000000032"/>
    <c:pageSetup paperSize="9" orientation="landscape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 b="1" i="0" baseline="0">
                <a:effectLst/>
              </a:rPr>
              <a:t>Curva de capacidad a corriente constante 0 a 6 horas</a:t>
            </a:r>
            <a:endParaRPr lang="es-CL" sz="1400">
              <a:effectLst/>
            </a:endParaRPr>
          </a:p>
          <a:p>
            <a:pPr>
              <a:defRPr/>
            </a:pPr>
            <a:r>
              <a:rPr lang="es-ES" sz="1400" b="1" i="0" baseline="0">
                <a:effectLst/>
              </a:rPr>
              <a:t>acumulador de litio Worley Parsons SLPB 68106100</a:t>
            </a:r>
            <a:endParaRPr lang="es-CL" sz="1400">
              <a:effectLst/>
            </a:endParaRPr>
          </a:p>
        </c:rich>
      </c:tx>
      <c:layout>
        <c:manualLayout>
          <c:xMode val="edge"/>
          <c:yMode val="edge"/>
          <c:x val="0.18487200732483244"/>
          <c:y val="3.341687552213867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547029660508123"/>
          <c:y val="0.13017421832177617"/>
          <c:w val="0.86217676221844863"/>
          <c:h val="0.7509604209921521"/>
        </c:manualLayout>
      </c:layout>
      <c:scatterChart>
        <c:scatterStyle val="smoothMarker"/>
        <c:varyColors val="0"/>
        <c:ser>
          <c:idx val="0"/>
          <c:order val="0"/>
          <c:tx>
            <c:v>Id  =  1,5 [A]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parámetros'!$BK$5:$BK$126</c:f>
              <c:numCache>
                <c:formatCode>0.00</c:formatCode>
                <c:ptCount val="122"/>
                <c:pt idx="0">
                  <c:v>4.2</c:v>
                </c:pt>
                <c:pt idx="1">
                  <c:v>4.1812500000000004</c:v>
                </c:pt>
                <c:pt idx="2">
                  <c:v>4.1811864836424562</c:v>
                </c:pt>
                <c:pt idx="3">
                  <c:v>4.1811218270780293</c:v>
                </c:pt>
                <c:pt idx="4">
                  <c:v>4.181055999326202</c:v>
                </c:pt>
                <c:pt idx="5">
                  <c:v>4.1809889682738364</c:v>
                </c:pt>
                <c:pt idx="6">
                  <c:v>4.1809207006229387</c:v>
                </c:pt>
                <c:pt idx="7">
                  <c:v>4.1808511618355064</c:v>
                </c:pt>
                <c:pt idx="8">
                  <c:v>4.1807803160752606</c:v>
                </c:pt>
                <c:pt idx="9">
                  <c:v>4.1807081261460679</c:v>
                </c:pt>
                <c:pt idx="10">
                  <c:v>4.1806345534268177</c:v>
                </c:pt>
                <c:pt idx="11">
                  <c:v>4.1805595578025265</c:v>
                </c:pt>
                <c:pt idx="12">
                  <c:v>4.1804830975914031</c:v>
                </c:pt>
                <c:pt idx="13">
                  <c:v>4.1804051294675988</c:v>
                </c:pt>
                <c:pt idx="14">
                  <c:v>4.1803256083793396</c:v>
                </c:pt>
                <c:pt idx="15">
                  <c:v>4.1802444874621232</c:v>
                </c:pt>
                <c:pt idx="16">
                  <c:v>4.1801617179466186</c:v>
                </c:pt>
                <c:pt idx="17">
                  <c:v>4.1800772490608926</c:v>
                </c:pt>
                <c:pt idx="18">
                  <c:v>4.1799910279265555</c:v>
                </c:pt>
                <c:pt idx="19">
                  <c:v>4.1799029994483723</c:v>
                </c:pt>
                <c:pt idx="20">
                  <c:v>4.1798131061968622</c:v>
                </c:pt>
                <c:pt idx="21">
                  <c:v>4.1797212882833517</c:v>
                </c:pt>
                <c:pt idx="22">
                  <c:v>4.1796274832269207</c:v>
                </c:pt>
                <c:pt idx="23">
                  <c:v>4.1795316258126141</c:v>
                </c:pt>
                <c:pt idx="24">
                  <c:v>4.1794336479402387</c:v>
                </c:pt>
                <c:pt idx="25">
                  <c:v>4.1793334784630254</c:v>
                </c:pt>
                <c:pt idx="26">
                  <c:v>4.1792310430153288</c:v>
                </c:pt>
                <c:pt idx="27">
                  <c:v>4.1791262638285076</c:v>
                </c:pt>
                <c:pt idx="28">
                  <c:v>4.1790190595340206</c:v>
                </c:pt>
                <c:pt idx="29">
                  <c:v>4.1789093449526895</c:v>
                </c:pt>
                <c:pt idx="30">
                  <c:v>4.1787970308689797</c:v>
                </c:pt>
                <c:pt idx="31">
                  <c:v>4.178682023789051</c:v>
                </c:pt>
                <c:pt idx="32">
                  <c:v>4.1785642256811855</c:v>
                </c:pt>
                <c:pt idx="33">
                  <c:v>4.1784435336970915</c:v>
                </c:pt>
                <c:pt idx="34">
                  <c:v>4.1783198398724108</c:v>
                </c:pt>
                <c:pt idx="35">
                  <c:v>4.1781930308045956</c:v>
                </c:pt>
                <c:pt idx="36">
                  <c:v>4.1780629873061379</c:v>
                </c:pt>
                <c:pt idx="37">
                  <c:v>4.1779295840309212</c:v>
                </c:pt>
                <c:pt idx="38">
                  <c:v>4.1777926890712376</c:v>
                </c:pt>
                <c:pt idx="39">
                  <c:v>4.1776521635227324</c:v>
                </c:pt>
                <c:pt idx="40">
                  <c:v>4.1775078610142788</c:v>
                </c:pt>
                <c:pt idx="41">
                  <c:v>4.1773596271994258</c:v>
                </c:pt>
                <c:pt idx="42">
                  <c:v>4.177207299205703</c:v>
                </c:pt>
                <c:pt idx="43">
                  <c:v>4.1770507050376668</c:v>
                </c:pt>
                <c:pt idx="44">
                  <c:v>4.1768896629290664</c:v>
                </c:pt>
                <c:pt idx="45">
                  <c:v>4.1767239806390206</c:v>
                </c:pt>
                <c:pt idx="46">
                  <c:v>4.1765534546864602</c:v>
                </c:pt>
                <c:pt idx="47">
                  <c:v>4.176377869516438</c:v>
                </c:pt>
                <c:pt idx="48">
                  <c:v>4.1761969965911101</c:v>
                </c:pt>
                <c:pt idx="49">
                  <c:v>4.176010593397347</c:v>
                </c:pt>
                <c:pt idx="50">
                  <c:v>4.1758184023618918</c:v>
                </c:pt>
                <c:pt idx="51">
                  <c:v>4.1756201496638852</c:v>
                </c:pt>
                <c:pt idx="52">
                  <c:v>4.1754155439332177</c:v>
                </c:pt>
                <c:pt idx="53">
                  <c:v>4.1752042748217182</c:v>
                </c:pt>
                <c:pt idx="54">
                  <c:v>4.1749860114324369</c:v>
                </c:pt>
                <c:pt idx="55">
                  <c:v>4.1747604005902961</c:v>
                </c:pt>
                <c:pt idx="56">
                  <c:v>4.1745270649351092</c:v>
                </c:pt>
                <c:pt idx="57">
                  <c:v>4.1742856008153026</c:v>
                </c:pt>
                <c:pt idx="58">
                  <c:v>4.1740355759576158</c:v>
                </c:pt>
                <c:pt idx="59">
                  <c:v>4.1737765268844731</c:v>
                </c:pt>
                <c:pt idx="60">
                  <c:v>4.173507956046576</c:v>
                </c:pt>
                <c:pt idx="61">
                  <c:v>4.1732293286333784</c:v>
                </c:pt>
                <c:pt idx="62">
                  <c:v>4.1729400690184386</c:v>
                </c:pt>
                <c:pt idx="63">
                  <c:v>4.1726395567899299</c:v>
                </c:pt>
                <c:pt idx="64">
                  <c:v>4.1723271223086993</c:v>
                </c:pt>
                <c:pt idx="65">
                  <c:v>4.1720020417269543</c:v>
                </c:pt>
                <c:pt idx="66">
                  <c:v>4.1716635313895845</c:v>
                </c:pt>
                <c:pt idx="67">
                  <c:v>4.1713107415269661</c:v>
                </c:pt>
                <c:pt idx="68">
                  <c:v>4.1709427491323972</c:v>
                </c:pt>
                <c:pt idx="69">
                  <c:v>4.1705585498984625</c:v>
                </c:pt>
                <c:pt idx="70">
                  <c:v>4.1701570490640254</c:v>
                </c:pt>
                <c:pt idx="71">
                  <c:v>4.1697370509961678</c:v>
                </c:pt>
                <c:pt idx="72">
                  <c:v>4.1692972472982932</c:v>
                </c:pt>
                <c:pt idx="73">
                  <c:v>4.168836203195271</c:v>
                </c:pt>
                <c:pt idx="74">
                  <c:v>4.1683523418971626</c:v>
                </c:pt>
                <c:pt idx="75">
                  <c:v>4.1678439265825276</c:v>
                </c:pt>
                <c:pt idx="76">
                  <c:v>4.1673090395674821</c:v>
                </c:pt>
                <c:pt idx="77">
                  <c:v>4.166745558133985</c:v>
                </c:pt>
                <c:pt idx="78">
                  <c:v>4.1661511263750679</c:v>
                </c:pt>
                <c:pt idx="79">
                  <c:v>4.1655231222697049</c:v>
                </c:pt>
                <c:pt idx="80">
                  <c:v>4.1648586190169112</c:v>
                </c:pt>
                <c:pt idx="81">
                  <c:v>4.1641543394263723</c:v>
                </c:pt>
                <c:pt idx="82">
                  <c:v>4.1634066018660185</c:v>
                </c:pt>
                <c:pt idx="83">
                  <c:v>4.162611255885043</c:v>
                </c:pt>
                <c:pt idx="84">
                  <c:v>4.1617636051359579</c:v>
                </c:pt>
                <c:pt idx="85">
                  <c:v>4.160858314572855</c:v>
                </c:pt>
                <c:pt idx="86">
                  <c:v>4.1598892980519508</c:v>
                </c:pt>
                <c:pt idx="87">
                  <c:v>4.158849581329866</c:v>
                </c:pt>
                <c:pt idx="88">
                  <c:v>4.1577311339392864</c:v>
                </c:pt>
                <c:pt idx="89">
                  <c:v>4.1565246613689473</c:v>
                </c:pt>
                <c:pt idx="90">
                  <c:v>4.1552193461654312</c:v>
                </c:pt>
                <c:pt idx="91">
                  <c:v>4.1538025226847983</c:v>
                </c:pt>
                <c:pt idx="92">
                  <c:v>4.152259264770719</c:v>
                </c:pt>
                <c:pt idx="93">
                  <c:v>4.150571857893067</c:v>
                </c:pt>
                <c:pt idx="94">
                  <c:v>4.1487191161243349</c:v>
                </c:pt>
                <c:pt idx="95">
                  <c:v>4.1466754880020877</c:v>
                </c:pt>
                <c:pt idx="96">
                  <c:v>4.1444098710146742</c:v>
                </c:pt>
                <c:pt idx="97">
                  <c:v>4.1418840175703302</c:v>
                </c:pt>
                <c:pt idx="98">
                  <c:v>4.1390503582102376</c:v>
                </c:pt>
                <c:pt idx="99">
                  <c:v>4.1358489773824196</c:v>
                </c:pt>
                <c:pt idx="100">
                  <c:v>4.132203330169566</c:v>
                </c:pt>
                <c:pt idx="101">
                  <c:v>4.1280140428479877</c:v>
                </c:pt>
                <c:pt idx="102">
                  <c:v>4.1231497166142193</c:v>
                </c:pt>
                <c:pt idx="103">
                  <c:v>4.1174328962520264</c:v>
                </c:pt>
                <c:pt idx="104">
                  <c:v>4.1106179531196378</c:v>
                </c:pt>
                <c:pt idx="105">
                  <c:v>4.1023548688753193</c:v>
                </c:pt>
                <c:pt idx="106">
                  <c:v>4.0921271873002585</c:v>
                </c:pt>
                <c:pt idx="107">
                  <c:v>4.0791397381555923</c:v>
                </c:pt>
                <c:pt idx="108">
                  <c:v>4.0621012989441265</c:v>
                </c:pt>
                <c:pt idx="109">
                  <c:v>4.0387663046386706</c:v>
                </c:pt>
                <c:pt idx="110">
                  <c:v>4.0048533141362306</c:v>
                </c:pt>
                <c:pt idx="111">
                  <c:v>3.9510615937233458</c:v>
                </c:pt>
                <c:pt idx="112">
                  <c:v>3.8526662283840838</c:v>
                </c:pt>
                <c:pt idx="113">
                  <c:v>3.6148994384373627</c:v>
                </c:pt>
                <c:pt idx="114">
                  <c:v>2.2228903384835799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BA-4F07-AD10-6216EECBE723}"/>
            </c:ext>
          </c:extLst>
        </c:ser>
        <c:ser>
          <c:idx val="1"/>
          <c:order val="1"/>
          <c:tx>
            <c:v>Id  =  4,0 [A]</c:v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parámetros'!$BL$5:$BL$126</c:f>
              <c:numCache>
                <c:formatCode>0.00</c:formatCode>
                <c:ptCount val="122"/>
                <c:pt idx="0">
                  <c:v>4.2</c:v>
                </c:pt>
                <c:pt idx="1">
                  <c:v>4.1500000000000004</c:v>
                </c:pt>
                <c:pt idx="2">
                  <c:v>4.1349520592792981</c:v>
                </c:pt>
                <c:pt idx="3">
                  <c:v>4.1202884290988031</c:v>
                </c:pt>
                <c:pt idx="4">
                  <c:v>4.1059960421064474</c:v>
                </c:pt>
                <c:pt idx="5">
                  <c:v>4.0920619692856546</c:v>
                </c:pt>
                <c:pt idx="6">
                  <c:v>4.078473387376623</c:v>
                </c:pt>
                <c:pt idx="7">
                  <c:v>4.0652175426432429</c:v>
                </c:pt>
                <c:pt idx="8">
                  <c:v>4.052281710210238</c:v>
                </c:pt>
                <c:pt idx="9">
                  <c:v>4.0396531480173081</c:v>
                </c:pt>
                <c:pt idx="10">
                  <c:v>4.0273190442113664</c:v>
                </c:pt>
                <c:pt idx="11">
                  <c:v>4.0152664565098206</c:v>
                </c:pt>
                <c:pt idx="12">
                  <c:v>4.0034822416973839</c:v>
                </c:pt>
                <c:pt idx="13">
                  <c:v>3.9919529729391878</c:v>
                </c:pt>
                <c:pt idx="14">
                  <c:v>3.9806648419669628</c:v>
                </c:pt>
                <c:pt idx="15">
                  <c:v>3.9696035423715235</c:v>
                </c:pt>
                <c:pt idx="16">
                  <c:v>3.9587541291420041</c:v>
                </c:pt>
                <c:pt idx="17">
                  <c:v>3.9481008481286484</c:v>
                </c:pt>
                <c:pt idx="18">
                  <c:v>3.9376269271263569</c:v>
                </c:pt>
                <c:pt idx="19">
                  <c:v>3.927314317570151</c:v>
                </c:pt>
                <c:pt idx="20">
                  <c:v>3.9171433720925766</c:v>
                </c:pt>
                <c:pt idx="21">
                  <c:v>3.9070924379573753</c:v>
                </c:pt>
                <c:pt idx="22">
                  <c:v>3.8971373389593014</c:v>
                </c:pt>
                <c:pt idx="23">
                  <c:v>3.8872507077006451</c:v>
                </c:pt>
                <c:pt idx="24">
                  <c:v>3.877401114554142</c:v>
                </c:pt>
                <c:pt idx="25">
                  <c:v>3.8675519164434666</c:v>
                </c:pt>
                <c:pt idx="26">
                  <c:v>3.8576597134937005</c:v>
                </c:pt>
                <c:pt idx="27">
                  <c:v>3.8476722474254705</c:v>
                </c:pt>
                <c:pt idx="28">
                  <c:v>3.8375254899888951</c:v>
                </c:pt>
                <c:pt idx="29">
                  <c:v>3.8271395311465386</c:v>
                </c:pt>
                <c:pt idx="30">
                  <c:v>3.816412645937719</c:v>
                </c:pt>
                <c:pt idx="31">
                  <c:v>3.8052125224113507</c:v>
                </c:pt>
                <c:pt idx="32">
                  <c:v>3.7933629269235429</c:v>
                </c:pt>
                <c:pt idx="33">
                  <c:v>3.7806227734796281</c:v>
                </c:pt>
                <c:pt idx="34">
                  <c:v>3.7666520173344171</c:v>
                </c:pt>
                <c:pt idx="35">
                  <c:v>3.7509535596643455</c:v>
                </c:pt>
                <c:pt idx="36">
                  <c:v>3.7327688612456953</c:v>
                </c:pt>
                <c:pt idx="37">
                  <c:v>3.7108776383733275</c:v>
                </c:pt>
                <c:pt idx="38">
                  <c:v>3.683180214917547</c:v>
                </c:pt>
                <c:pt idx="39">
                  <c:v>3.6457266414985985</c:v>
                </c:pt>
                <c:pt idx="40">
                  <c:v>3.5900953623527365</c:v>
                </c:pt>
                <c:pt idx="41">
                  <c:v>3.4945540497785226</c:v>
                </c:pt>
                <c:pt idx="42">
                  <c:v>3.2805456206356598</c:v>
                </c:pt>
                <c:pt idx="43">
                  <c:v>2.2760936769935456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BA-4F07-AD10-6216EECBE723}"/>
            </c:ext>
          </c:extLst>
        </c:ser>
        <c:ser>
          <c:idx val="2"/>
          <c:order val="2"/>
          <c:tx>
            <c:v>Id  =  8,0 [A]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parámetros'!$BM$5:$BM$126</c:f>
              <c:numCache>
                <c:formatCode>0.00</c:formatCode>
                <c:ptCount val="122"/>
                <c:pt idx="0">
                  <c:v>4.2</c:v>
                </c:pt>
                <c:pt idx="1">
                  <c:v>4.0999999999999996</c:v>
                </c:pt>
                <c:pt idx="2">
                  <c:v>4.0601142983694087</c:v>
                </c:pt>
                <c:pt idx="3">
                  <c:v>4.0227951260649606</c:v>
                </c:pt>
                <c:pt idx="4">
                  <c:v>3.9878097774157992</c:v>
                </c:pt>
                <c:pt idx="5">
                  <c:v>3.9549327033530894</c:v>
                </c:pt>
                <c:pt idx="6">
                  <c:v>3.9239421697790142</c:v>
                </c:pt>
                <c:pt idx="7">
                  <c:v>3.8946160958714788</c:v>
                </c:pt>
                <c:pt idx="8">
                  <c:v>3.8667266265331008</c:v>
                </c:pt>
                <c:pt idx="9">
                  <c:v>3.8400327281151081</c:v>
                </c:pt>
                <c:pt idx="10">
                  <c:v>3.8142696366241036</c:v>
                </c:pt>
                <c:pt idx="11">
                  <c:v>3.7891331599119575</c:v>
                </c:pt>
                <c:pt idx="12">
                  <c:v>3.7642552815860815</c:v>
                </c:pt>
                <c:pt idx="13">
                  <c:v>3.7391644509128801</c:v>
                </c:pt>
                <c:pt idx="14">
                  <c:v>3.7132175431758196</c:v>
                </c:pt>
                <c:pt idx="15">
                  <c:v>3.6854761463069847</c:v>
                </c:pt>
                <c:pt idx="16">
                  <c:v>3.6544649159052658</c:v>
                </c:pt>
                <c:pt idx="17">
                  <c:v>3.6176551422128687</c:v>
                </c:pt>
                <c:pt idx="18">
                  <c:v>3.5702224400093323</c:v>
                </c:pt>
                <c:pt idx="19">
                  <c:v>3.501522121829808</c:v>
                </c:pt>
                <c:pt idx="20">
                  <c:v>3.382227852862524</c:v>
                </c:pt>
                <c:pt idx="21">
                  <c:v>3.0904574834415586</c:v>
                </c:pt>
                <c:pt idx="22">
                  <c:v>0.66368991363302499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BA-4F07-AD10-6216EECBE723}"/>
            </c:ext>
          </c:extLst>
        </c:ser>
        <c:ser>
          <c:idx val="3"/>
          <c:order val="3"/>
          <c:tx>
            <c:v>Id  =  16  [A]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parámetros'!$BN$5:$BN$126</c:f>
              <c:numCache>
                <c:formatCode>0.00</c:formatCode>
                <c:ptCount val="122"/>
                <c:pt idx="0">
                  <c:v>4.2</c:v>
                </c:pt>
                <c:pt idx="1">
                  <c:v>3.9999999999999991</c:v>
                </c:pt>
                <c:pt idx="2">
                  <c:v>3.9188417911318583</c:v>
                </c:pt>
                <c:pt idx="3">
                  <c:v>3.8461101012056238</c:v>
                </c:pt>
                <c:pt idx="4">
                  <c:v>3.7796482755892979</c:v>
                </c:pt>
                <c:pt idx="5">
                  <c:v>3.7170665920650854</c:v>
                </c:pt>
                <c:pt idx="6">
                  <c:v>3.6553285856194164</c:v>
                </c:pt>
                <c:pt idx="7">
                  <c:v>3.5898420067899686</c:v>
                </c:pt>
                <c:pt idx="8">
                  <c:v>3.5120916293044022</c:v>
                </c:pt>
                <c:pt idx="9">
                  <c:v>3.4019268991005402</c:v>
                </c:pt>
                <c:pt idx="10">
                  <c:v>3.1915702155382344</c:v>
                </c:pt>
                <c:pt idx="11">
                  <c:v>2.3882820384027115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CBA-4F07-AD10-6216EECBE723}"/>
            </c:ext>
          </c:extLst>
        </c:ser>
        <c:ser>
          <c:idx val="4"/>
          <c:order val="4"/>
          <c:tx>
            <c:v>UFin  =  3,0 [V/c]</c:v>
          </c:tx>
          <c:spPr>
            <a:ln w="1905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parámetros'!$BO$5:$BO$126</c:f>
              <c:numCache>
                <c:formatCode>0.00</c:formatCode>
                <c:ptCount val="12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BA-4F07-AD10-6216EECBE723}"/>
            </c:ext>
          </c:extLst>
        </c:ser>
        <c:ser>
          <c:idx val="5"/>
          <c:order val="5"/>
          <c:tx>
            <c:v>tn  =  1,0 [h]</c:v>
          </c:tx>
          <c:spPr>
            <a:ln w="19050">
              <a:solidFill>
                <a:schemeClr val="tx1"/>
              </a:solidFill>
              <a:prstDash val="lgDash"/>
            </a:ln>
          </c:spPr>
          <c:marker>
            <c:symbol val="none"/>
          </c:marker>
          <c:xVal>
            <c:numRef>
              <c:f>'SLPB68106100 4 parámetros'!$BJ$5:$BJ$126</c:f>
              <c:numCache>
                <c:formatCode>0.00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0.15000000000000002</c:v>
                </c:pt>
                <c:pt idx="5">
                  <c:v>0.2</c:v>
                </c:pt>
                <c:pt idx="6">
                  <c:v>0.25</c:v>
                </c:pt>
                <c:pt idx="7">
                  <c:v>0.30000000000000004</c:v>
                </c:pt>
                <c:pt idx="8">
                  <c:v>0.35</c:v>
                </c:pt>
                <c:pt idx="9">
                  <c:v>0.4</c:v>
                </c:pt>
                <c:pt idx="10">
                  <c:v>0.44999999999999996</c:v>
                </c:pt>
                <c:pt idx="11">
                  <c:v>0.5</c:v>
                </c:pt>
                <c:pt idx="12">
                  <c:v>0.54999999999999993</c:v>
                </c:pt>
                <c:pt idx="13">
                  <c:v>0.60000000000000009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0.89999999999999991</c:v>
                </c:pt>
                <c:pt idx="20">
                  <c:v>0.95</c:v>
                </c:pt>
                <c:pt idx="21">
                  <c:v>1</c:v>
                </c:pt>
                <c:pt idx="22">
                  <c:v>1.0499999999999998</c:v>
                </c:pt>
                <c:pt idx="23">
                  <c:v>1.0999999999999999</c:v>
                </c:pt>
                <c:pt idx="24">
                  <c:v>1.1500000000000001</c:v>
                </c:pt>
                <c:pt idx="25">
                  <c:v>1.2000000000000002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1.5500000000000003</c:v>
                </c:pt>
                <c:pt idx="33">
                  <c:v>1.6</c:v>
                </c:pt>
                <c:pt idx="34">
                  <c:v>1.6500000000000001</c:v>
                </c:pt>
                <c:pt idx="35">
                  <c:v>1.7</c:v>
                </c:pt>
                <c:pt idx="36">
                  <c:v>1.75</c:v>
                </c:pt>
                <c:pt idx="37">
                  <c:v>1.7999999999999998</c:v>
                </c:pt>
                <c:pt idx="38">
                  <c:v>1.85</c:v>
                </c:pt>
                <c:pt idx="39">
                  <c:v>1.9</c:v>
                </c:pt>
                <c:pt idx="40">
                  <c:v>1.9500000000000002</c:v>
                </c:pt>
                <c:pt idx="41">
                  <c:v>2</c:v>
                </c:pt>
                <c:pt idx="42">
                  <c:v>2.0499999999999998</c:v>
                </c:pt>
                <c:pt idx="43">
                  <c:v>2.0999999999999996</c:v>
                </c:pt>
                <c:pt idx="44">
                  <c:v>2.15</c:v>
                </c:pt>
                <c:pt idx="45">
                  <c:v>2.1999999999999997</c:v>
                </c:pt>
                <c:pt idx="46">
                  <c:v>2.25</c:v>
                </c:pt>
                <c:pt idx="47">
                  <c:v>2.3000000000000003</c:v>
                </c:pt>
                <c:pt idx="48">
                  <c:v>2.35</c:v>
                </c:pt>
                <c:pt idx="49">
                  <c:v>2.4000000000000004</c:v>
                </c:pt>
                <c:pt idx="50">
                  <c:v>2.4500000000000002</c:v>
                </c:pt>
                <c:pt idx="51">
                  <c:v>2.5</c:v>
                </c:pt>
                <c:pt idx="52">
                  <c:v>2.5499999999999998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2.8499999999999996</c:v>
                </c:pt>
                <c:pt idx="59">
                  <c:v>2.9</c:v>
                </c:pt>
                <c:pt idx="60">
                  <c:v>2.9499999999999997</c:v>
                </c:pt>
                <c:pt idx="61">
                  <c:v>3</c:v>
                </c:pt>
                <c:pt idx="62">
                  <c:v>3.05</c:v>
                </c:pt>
                <c:pt idx="63">
                  <c:v>3.1000000000000005</c:v>
                </c:pt>
                <c:pt idx="64">
                  <c:v>3.1500000000000004</c:v>
                </c:pt>
                <c:pt idx="65">
                  <c:v>3.2</c:v>
                </c:pt>
                <c:pt idx="66">
                  <c:v>3.25</c:v>
                </c:pt>
                <c:pt idx="67">
                  <c:v>3.3000000000000003</c:v>
                </c:pt>
                <c:pt idx="68">
                  <c:v>3.35</c:v>
                </c:pt>
                <c:pt idx="69">
                  <c:v>3.4</c:v>
                </c:pt>
                <c:pt idx="70">
                  <c:v>3.4499999999999997</c:v>
                </c:pt>
                <c:pt idx="71">
                  <c:v>3.5</c:v>
                </c:pt>
                <c:pt idx="72">
                  <c:v>3.55</c:v>
                </c:pt>
                <c:pt idx="73">
                  <c:v>3.5999999999999996</c:v>
                </c:pt>
                <c:pt idx="74">
                  <c:v>3.6499999999999995</c:v>
                </c:pt>
                <c:pt idx="75">
                  <c:v>3.7</c:v>
                </c:pt>
                <c:pt idx="76">
                  <c:v>3.75</c:v>
                </c:pt>
                <c:pt idx="77">
                  <c:v>3.8</c:v>
                </c:pt>
                <c:pt idx="78">
                  <c:v>3.8500000000000005</c:v>
                </c:pt>
                <c:pt idx="79">
                  <c:v>3.9000000000000004</c:v>
                </c:pt>
                <c:pt idx="80">
                  <c:v>3.95</c:v>
                </c:pt>
                <c:pt idx="81">
                  <c:v>4</c:v>
                </c:pt>
                <c:pt idx="82">
                  <c:v>4.0500000000000007</c:v>
                </c:pt>
                <c:pt idx="83">
                  <c:v>4.0999999999999996</c:v>
                </c:pt>
                <c:pt idx="84">
                  <c:v>4.1500000000000004</c:v>
                </c:pt>
                <c:pt idx="85">
                  <c:v>4.1999999999999993</c:v>
                </c:pt>
                <c:pt idx="86">
                  <c:v>4.25</c:v>
                </c:pt>
                <c:pt idx="87">
                  <c:v>4.3</c:v>
                </c:pt>
                <c:pt idx="88">
                  <c:v>4.3499999999999996</c:v>
                </c:pt>
                <c:pt idx="89">
                  <c:v>4.3999999999999995</c:v>
                </c:pt>
                <c:pt idx="90">
                  <c:v>4.45</c:v>
                </c:pt>
                <c:pt idx="91">
                  <c:v>4.5</c:v>
                </c:pt>
                <c:pt idx="92">
                  <c:v>4.55</c:v>
                </c:pt>
                <c:pt idx="93">
                  <c:v>4.6000000000000005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4.8000000000000007</c:v>
                </c:pt>
                <c:pt idx="98">
                  <c:v>4.8499999999999996</c:v>
                </c:pt>
                <c:pt idx="99">
                  <c:v>4.9000000000000004</c:v>
                </c:pt>
                <c:pt idx="100">
                  <c:v>4.9499999999999993</c:v>
                </c:pt>
                <c:pt idx="101">
                  <c:v>5</c:v>
                </c:pt>
                <c:pt idx="102">
                  <c:v>5.05</c:v>
                </c:pt>
                <c:pt idx="103">
                  <c:v>5.0999999999999996</c:v>
                </c:pt>
                <c:pt idx="104">
                  <c:v>5.1499999999999995</c:v>
                </c:pt>
                <c:pt idx="105">
                  <c:v>5.2</c:v>
                </c:pt>
                <c:pt idx="106">
                  <c:v>5.25</c:v>
                </c:pt>
                <c:pt idx="107">
                  <c:v>5.3</c:v>
                </c:pt>
                <c:pt idx="108">
                  <c:v>5.3500000000000005</c:v>
                </c:pt>
                <c:pt idx="109">
                  <c:v>5.4</c:v>
                </c:pt>
                <c:pt idx="110">
                  <c:v>5.45</c:v>
                </c:pt>
                <c:pt idx="111">
                  <c:v>5.5</c:v>
                </c:pt>
                <c:pt idx="112">
                  <c:v>5.5500000000000007</c:v>
                </c:pt>
                <c:pt idx="113">
                  <c:v>5.6</c:v>
                </c:pt>
                <c:pt idx="114">
                  <c:v>5.65</c:v>
                </c:pt>
                <c:pt idx="115">
                  <c:v>5.6999999999999993</c:v>
                </c:pt>
                <c:pt idx="116">
                  <c:v>5.75</c:v>
                </c:pt>
                <c:pt idx="117">
                  <c:v>5.8</c:v>
                </c:pt>
                <c:pt idx="118">
                  <c:v>5.85</c:v>
                </c:pt>
                <c:pt idx="119">
                  <c:v>5.8999999999999995</c:v>
                </c:pt>
                <c:pt idx="120">
                  <c:v>5.95</c:v>
                </c:pt>
                <c:pt idx="121">
                  <c:v>6</c:v>
                </c:pt>
              </c:numCache>
            </c:numRef>
          </c:xVal>
          <c:yVal>
            <c:numRef>
              <c:f>'SLPB68106100 4 parámetros'!$BP$5:$BP$126</c:f>
              <c:numCache>
                <c:formatCode>0.0E+00</c:formatCode>
                <c:ptCount val="122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CBA-4F07-AD10-6216EECBE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09344"/>
        <c:axId val="118811264"/>
      </c:scatterChart>
      <c:valAx>
        <c:axId val="118809344"/>
        <c:scaling>
          <c:orientation val="minMax"/>
          <c:max val="6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/>
                  <a:t>Tiempo de descarga t [h]</a:t>
                </a:r>
              </a:p>
            </c:rich>
          </c:tx>
          <c:layout>
            <c:manualLayout>
              <c:xMode val="edge"/>
              <c:yMode val="edge"/>
              <c:x val="0.39095529452261135"/>
              <c:y val="0.9410075606220866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18811264"/>
        <c:crosses val="autoZero"/>
        <c:crossBetween val="midCat"/>
        <c:majorUnit val="0.5"/>
        <c:minorUnit val="0.05"/>
      </c:valAx>
      <c:valAx>
        <c:axId val="118811264"/>
        <c:scaling>
          <c:orientation val="minMax"/>
          <c:max val="4.3"/>
          <c:min val="2.200000000000000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Tensión en bornes u</a:t>
                </a:r>
                <a:r>
                  <a:rPr lang="en-US" sz="1100" baseline="-25000"/>
                  <a:t>d</a:t>
                </a:r>
                <a:r>
                  <a:rPr lang="en-US" sz="1100"/>
                  <a:t> [V/c]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18809344"/>
        <c:crosses val="autoZero"/>
        <c:crossBetween val="midCat"/>
        <c:majorUnit val="0.2"/>
        <c:minorUnit val="0.05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42689782242489793"/>
          <c:y val="0.73483604023181315"/>
          <c:w val="0.47487708563776354"/>
          <c:h val="0.12993086390516975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79221347331585E-2"/>
          <c:y val="5.1400554097404488E-2"/>
          <c:w val="0.85099934383202103"/>
          <c:h val="0.8326195683872849"/>
        </c:manualLayout>
      </c:layout>
      <c:scatterChart>
        <c:scatterStyle val="smoothMarker"/>
        <c:varyColors val="0"/>
        <c:ser>
          <c:idx val="0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'Superficie 100 A 63'!$B$32:$B$75</c:f>
              <c:numCache>
                <c:formatCode>#,##0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  <c:pt idx="10">
                  <c:v>900</c:v>
                </c:pt>
                <c:pt idx="11">
                  <c:v>1000</c:v>
                </c:pt>
                <c:pt idx="12">
                  <c:v>1100</c:v>
                </c:pt>
                <c:pt idx="13">
                  <c:v>1200</c:v>
                </c:pt>
                <c:pt idx="14">
                  <c:v>1300</c:v>
                </c:pt>
                <c:pt idx="15">
                  <c:v>1400</c:v>
                </c:pt>
                <c:pt idx="16">
                  <c:v>1500</c:v>
                </c:pt>
                <c:pt idx="17">
                  <c:v>1600</c:v>
                </c:pt>
                <c:pt idx="18">
                  <c:v>1700</c:v>
                </c:pt>
                <c:pt idx="19">
                  <c:v>1800</c:v>
                </c:pt>
                <c:pt idx="20">
                  <c:v>1900</c:v>
                </c:pt>
                <c:pt idx="21">
                  <c:v>2000</c:v>
                </c:pt>
                <c:pt idx="22">
                  <c:v>2100</c:v>
                </c:pt>
                <c:pt idx="23">
                  <c:v>2200</c:v>
                </c:pt>
                <c:pt idx="24">
                  <c:v>2300</c:v>
                </c:pt>
                <c:pt idx="25">
                  <c:v>2400</c:v>
                </c:pt>
                <c:pt idx="26">
                  <c:v>2500</c:v>
                </c:pt>
                <c:pt idx="27">
                  <c:v>2600</c:v>
                </c:pt>
                <c:pt idx="28">
                  <c:v>2685</c:v>
                </c:pt>
                <c:pt idx="29">
                  <c:v>2700</c:v>
                </c:pt>
                <c:pt idx="30">
                  <c:v>2800</c:v>
                </c:pt>
                <c:pt idx="31">
                  <c:v>2900</c:v>
                </c:pt>
                <c:pt idx="32">
                  <c:v>3000</c:v>
                </c:pt>
                <c:pt idx="33">
                  <c:v>3100</c:v>
                </c:pt>
                <c:pt idx="34">
                  <c:v>3200</c:v>
                </c:pt>
                <c:pt idx="35">
                  <c:v>3300</c:v>
                </c:pt>
                <c:pt idx="36">
                  <c:v>3400</c:v>
                </c:pt>
                <c:pt idx="37">
                  <c:v>3500</c:v>
                </c:pt>
                <c:pt idx="38">
                  <c:v>3600</c:v>
                </c:pt>
                <c:pt idx="39">
                  <c:v>3700</c:v>
                </c:pt>
                <c:pt idx="40">
                  <c:v>3729.1666666666679</c:v>
                </c:pt>
                <c:pt idx="41">
                  <c:v>3800</c:v>
                </c:pt>
                <c:pt idx="42">
                  <c:v>3900</c:v>
                </c:pt>
                <c:pt idx="43">
                  <c:v>4000</c:v>
                </c:pt>
              </c:numCache>
            </c:numRef>
          </c:xVal>
          <c:yVal>
            <c:numRef>
              <c:f>'Superficie 100 A 63'!$C$32:$C$75</c:f>
              <c:numCache>
                <c:formatCode>#,##0.000</c:formatCode>
                <c:ptCount val="44"/>
                <c:pt idx="0">
                  <c:v>2.14</c:v>
                </c:pt>
                <c:pt idx="1">
                  <c:v>2.0308000000000002</c:v>
                </c:pt>
                <c:pt idx="2">
                  <c:v>2.0277910447761194</c:v>
                </c:pt>
                <c:pt idx="3">
                  <c:v>2.0246115702479339</c:v>
                </c:pt>
                <c:pt idx="4">
                  <c:v>2.0212466585662212</c:v>
                </c:pt>
                <c:pt idx="5">
                  <c:v>2.0176795994993744</c:v>
                </c:pt>
                <c:pt idx="6">
                  <c:v>2.013891612903226</c:v>
                </c:pt>
                <c:pt idx="7">
                  <c:v>2.0098615179760322</c:v>
                </c:pt>
                <c:pt idx="8">
                  <c:v>2.0055653370013755</c:v>
                </c:pt>
                <c:pt idx="9">
                  <c:v>2.0009758179231865</c:v>
                </c:pt>
                <c:pt idx="10">
                  <c:v>1.9960618556701031</c:v>
                </c:pt>
                <c:pt idx="11">
                  <c:v>1.990787786259542</c:v>
                </c:pt>
                <c:pt idx="12">
                  <c:v>1.9851125198098256</c:v>
                </c:pt>
                <c:pt idx="13">
                  <c:v>1.9789884678747942</c:v>
                </c:pt>
                <c:pt idx="14">
                  <c:v>1.9723602058319041</c:v>
                </c:pt>
                <c:pt idx="15">
                  <c:v>1.9651627906976745</c:v>
                </c:pt>
                <c:pt idx="16">
                  <c:v>1.9573196261682244</c:v>
                </c:pt>
                <c:pt idx="17">
                  <c:v>1.9487397260273973</c:v>
                </c:pt>
                <c:pt idx="18">
                  <c:v>1.9393141683778234</c:v>
                </c:pt>
                <c:pt idx="19">
                  <c:v>1.9289114470842332</c:v>
                </c:pt>
                <c:pt idx="20">
                  <c:v>1.9173712984054669</c:v>
                </c:pt>
                <c:pt idx="21">
                  <c:v>1.9044963855421686</c:v>
                </c:pt>
                <c:pt idx="22">
                  <c:v>1.8900409207161126</c:v>
                </c:pt>
                <c:pt idx="23">
                  <c:v>1.8736948228882835</c:v>
                </c:pt>
                <c:pt idx="24">
                  <c:v>1.8550612244897959</c:v>
                </c:pt>
                <c:pt idx="25">
                  <c:v>1.8336238244514107</c:v>
                </c:pt>
                <c:pt idx="26">
                  <c:v>1.8086983050847458</c:v>
                </c:pt>
                <c:pt idx="27">
                  <c:v>1.7793579335793359</c:v>
                </c:pt>
                <c:pt idx="28">
                  <c:v>1.7500000000000002</c:v>
                </c:pt>
                <c:pt idx="29">
                  <c:v>1.7443157894736843</c:v>
                </c:pt>
                <c:pt idx="30">
                  <c:v>1.701730941704036</c:v>
                </c:pt>
                <c:pt idx="31">
                  <c:v>1.6488743718592969</c:v>
                </c:pt>
                <c:pt idx="32">
                  <c:v>1.5815200000000005</c:v>
                </c:pt>
                <c:pt idx="33">
                  <c:v>1.492754966887418</c:v>
                </c:pt>
                <c:pt idx="34">
                  <c:v>1.3704409448818906</c:v>
                </c:pt>
                <c:pt idx="35">
                  <c:v>1.1911262135922347</c:v>
                </c:pt>
                <c:pt idx="36">
                  <c:v>0.90286075949367417</c:v>
                </c:pt>
                <c:pt idx="37">
                  <c:v>0.3630181818181899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D1-4A49-A416-EADC7B066E7E}"/>
            </c:ext>
          </c:extLst>
        </c:ser>
        <c:ser>
          <c:idx val="1"/>
          <c:order val="1"/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'Superficie 100 A 63'!$B$32:$B$75</c:f>
              <c:numCache>
                <c:formatCode>#,##0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  <c:pt idx="10">
                  <c:v>900</c:v>
                </c:pt>
                <c:pt idx="11">
                  <c:v>1000</c:v>
                </c:pt>
                <c:pt idx="12">
                  <c:v>1100</c:v>
                </c:pt>
                <c:pt idx="13">
                  <c:v>1200</c:v>
                </c:pt>
                <c:pt idx="14">
                  <c:v>1300</c:v>
                </c:pt>
                <c:pt idx="15">
                  <c:v>1400</c:v>
                </c:pt>
                <c:pt idx="16">
                  <c:v>1500</c:v>
                </c:pt>
                <c:pt idx="17">
                  <c:v>1600</c:v>
                </c:pt>
                <c:pt idx="18">
                  <c:v>1700</c:v>
                </c:pt>
                <c:pt idx="19">
                  <c:v>1800</c:v>
                </c:pt>
                <c:pt idx="20">
                  <c:v>1900</c:v>
                </c:pt>
                <c:pt idx="21">
                  <c:v>2000</c:v>
                </c:pt>
                <c:pt idx="22">
                  <c:v>2100</c:v>
                </c:pt>
                <c:pt idx="23">
                  <c:v>2200</c:v>
                </c:pt>
                <c:pt idx="24">
                  <c:v>2300</c:v>
                </c:pt>
                <c:pt idx="25">
                  <c:v>2400</c:v>
                </c:pt>
                <c:pt idx="26">
                  <c:v>2500</c:v>
                </c:pt>
                <c:pt idx="27">
                  <c:v>2600</c:v>
                </c:pt>
                <c:pt idx="28">
                  <c:v>2685</c:v>
                </c:pt>
                <c:pt idx="29">
                  <c:v>2700</c:v>
                </c:pt>
                <c:pt idx="30">
                  <c:v>2800</c:v>
                </c:pt>
                <c:pt idx="31">
                  <c:v>2900</c:v>
                </c:pt>
                <c:pt idx="32">
                  <c:v>3000</c:v>
                </c:pt>
                <c:pt idx="33">
                  <c:v>3100</c:v>
                </c:pt>
                <c:pt idx="34">
                  <c:v>3200</c:v>
                </c:pt>
                <c:pt idx="35">
                  <c:v>3300</c:v>
                </c:pt>
                <c:pt idx="36">
                  <c:v>3400</c:v>
                </c:pt>
                <c:pt idx="37">
                  <c:v>3500</c:v>
                </c:pt>
                <c:pt idx="38">
                  <c:v>3600</c:v>
                </c:pt>
                <c:pt idx="39">
                  <c:v>3700</c:v>
                </c:pt>
                <c:pt idx="40">
                  <c:v>3729.1666666666679</c:v>
                </c:pt>
                <c:pt idx="41">
                  <c:v>3800</c:v>
                </c:pt>
                <c:pt idx="42">
                  <c:v>3900</c:v>
                </c:pt>
                <c:pt idx="43">
                  <c:v>4000</c:v>
                </c:pt>
              </c:numCache>
            </c:numRef>
          </c:xVal>
          <c:yVal>
            <c:numRef>
              <c:f>'Superficie 100 A 63'!$D$32:$D$75</c:f>
              <c:numCache>
                <c:formatCode>#,##0.000</c:formatCode>
                <c:ptCount val="44"/>
                <c:pt idx="0">
                  <c:v>2.14</c:v>
                </c:pt>
                <c:pt idx="1">
                  <c:v>2.0637430167597768</c:v>
                </c:pt>
                <c:pt idx="2">
                  <c:v>2.0616417910447762</c:v>
                </c:pt>
                <c:pt idx="3">
                  <c:v>2.0594214876033057</c:v>
                </c:pt>
                <c:pt idx="4">
                  <c:v>2.0570716889428917</c:v>
                </c:pt>
                <c:pt idx="5">
                  <c:v>2.0545807259073845</c:v>
                </c:pt>
                <c:pt idx="6">
                  <c:v>2.0519354838709676</c:v>
                </c:pt>
                <c:pt idx="7">
                  <c:v>2.0491211717709721</c:v>
                </c:pt>
                <c:pt idx="8">
                  <c:v>2.046121045392022</c:v>
                </c:pt>
                <c:pt idx="9">
                  <c:v>2.0429160739687058</c:v>
                </c:pt>
                <c:pt idx="10">
                  <c:v>2.0394845360824743</c:v>
                </c:pt>
                <c:pt idx="11">
                  <c:v>2.0358015267175573</c:v>
                </c:pt>
                <c:pt idx="12">
                  <c:v>2.0318383518225041</c:v>
                </c:pt>
                <c:pt idx="13">
                  <c:v>2.0275617792421747</c:v>
                </c:pt>
                <c:pt idx="14">
                  <c:v>2.022933104631218</c:v>
                </c:pt>
                <c:pt idx="15">
                  <c:v>2.017906976744186</c:v>
                </c:pt>
                <c:pt idx="16">
                  <c:v>2.0124299065420561</c:v>
                </c:pt>
                <c:pt idx="17">
                  <c:v>2.0064383561643835</c:v>
                </c:pt>
                <c:pt idx="18">
                  <c:v>1.9998562628336756</c:v>
                </c:pt>
                <c:pt idx="19">
                  <c:v>1.9925917926565875</c:v>
                </c:pt>
                <c:pt idx="20">
                  <c:v>1.9845330296127563</c:v>
                </c:pt>
                <c:pt idx="21">
                  <c:v>1.9755421686746988</c:v>
                </c:pt>
                <c:pt idx="22">
                  <c:v>1.965447570332481</c:v>
                </c:pt>
                <c:pt idx="23">
                  <c:v>1.954032697547684</c:v>
                </c:pt>
                <c:pt idx="24">
                  <c:v>1.9410204081632654</c:v>
                </c:pt>
                <c:pt idx="25">
                  <c:v>1.9260501567398121</c:v>
                </c:pt>
                <c:pt idx="26">
                  <c:v>1.9086440677966103</c:v>
                </c:pt>
                <c:pt idx="27">
                  <c:v>1.8881549815498155</c:v>
                </c:pt>
                <c:pt idx="28">
                  <c:v>1.8676536312849163</c:v>
                </c:pt>
                <c:pt idx="29">
                  <c:v>1.8636842105263158</c:v>
                </c:pt>
                <c:pt idx="30">
                  <c:v>1.8339461883408075</c:v>
                </c:pt>
                <c:pt idx="31">
                  <c:v>1.7970351758793972</c:v>
                </c:pt>
                <c:pt idx="32">
                  <c:v>1.7500000000000004</c:v>
                </c:pt>
                <c:pt idx="33">
                  <c:v>1.6880132450331131</c:v>
                </c:pt>
                <c:pt idx="34">
                  <c:v>1.602598425196851</c:v>
                </c:pt>
                <c:pt idx="35">
                  <c:v>1.4773786407767002</c:v>
                </c:pt>
                <c:pt idx="36">
                  <c:v>1.276075949367091</c:v>
                </c:pt>
                <c:pt idx="37">
                  <c:v>0.89909090909091471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D1-4A49-A416-EADC7B066E7E}"/>
            </c:ext>
          </c:extLst>
        </c:ser>
        <c:ser>
          <c:idx val="2"/>
          <c:order val="2"/>
          <c:spPr>
            <a:ln w="1905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'Superficie 100 A 63'!$B$32:$B$75</c:f>
              <c:numCache>
                <c:formatCode>#,##0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  <c:pt idx="10">
                  <c:v>900</c:v>
                </c:pt>
                <c:pt idx="11">
                  <c:v>1000</c:v>
                </c:pt>
                <c:pt idx="12">
                  <c:v>1100</c:v>
                </c:pt>
                <c:pt idx="13">
                  <c:v>1200</c:v>
                </c:pt>
                <c:pt idx="14">
                  <c:v>1300</c:v>
                </c:pt>
                <c:pt idx="15">
                  <c:v>1400</c:v>
                </c:pt>
                <c:pt idx="16">
                  <c:v>1500</c:v>
                </c:pt>
                <c:pt idx="17">
                  <c:v>1600</c:v>
                </c:pt>
                <c:pt idx="18">
                  <c:v>1700</c:v>
                </c:pt>
                <c:pt idx="19">
                  <c:v>1800</c:v>
                </c:pt>
                <c:pt idx="20">
                  <c:v>1900</c:v>
                </c:pt>
                <c:pt idx="21">
                  <c:v>2000</c:v>
                </c:pt>
                <c:pt idx="22">
                  <c:v>2100</c:v>
                </c:pt>
                <c:pt idx="23">
                  <c:v>2200</c:v>
                </c:pt>
                <c:pt idx="24">
                  <c:v>2300</c:v>
                </c:pt>
                <c:pt idx="25">
                  <c:v>2400</c:v>
                </c:pt>
                <c:pt idx="26">
                  <c:v>2500</c:v>
                </c:pt>
                <c:pt idx="27">
                  <c:v>2600</c:v>
                </c:pt>
                <c:pt idx="28">
                  <c:v>2685</c:v>
                </c:pt>
                <c:pt idx="29">
                  <c:v>2700</c:v>
                </c:pt>
                <c:pt idx="30">
                  <c:v>2800</c:v>
                </c:pt>
                <c:pt idx="31">
                  <c:v>2900</c:v>
                </c:pt>
                <c:pt idx="32">
                  <c:v>3000</c:v>
                </c:pt>
                <c:pt idx="33">
                  <c:v>3100</c:v>
                </c:pt>
                <c:pt idx="34">
                  <c:v>3200</c:v>
                </c:pt>
                <c:pt idx="35">
                  <c:v>3300</c:v>
                </c:pt>
                <c:pt idx="36">
                  <c:v>3400</c:v>
                </c:pt>
                <c:pt idx="37">
                  <c:v>3500</c:v>
                </c:pt>
                <c:pt idx="38">
                  <c:v>3600</c:v>
                </c:pt>
                <c:pt idx="39">
                  <c:v>3700</c:v>
                </c:pt>
                <c:pt idx="40">
                  <c:v>3729.1666666666679</c:v>
                </c:pt>
                <c:pt idx="41">
                  <c:v>3800</c:v>
                </c:pt>
                <c:pt idx="42">
                  <c:v>3900</c:v>
                </c:pt>
                <c:pt idx="43">
                  <c:v>4000</c:v>
                </c:pt>
              </c:numCache>
            </c:numRef>
          </c:xVal>
          <c:yVal>
            <c:numRef>
              <c:f>'Superficie 100 A 63'!$E$32:$E$75</c:f>
              <c:numCache>
                <c:formatCode>0.00</c:formatCode>
                <c:ptCount val="44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D1-4A49-A416-EADC7B066E7E}"/>
            </c:ext>
          </c:extLst>
        </c:ser>
        <c:ser>
          <c:idx val="3"/>
          <c:order val="3"/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'Superficie 100 A 63'!$B$32:$B$75</c:f>
              <c:numCache>
                <c:formatCode>#,##0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  <c:pt idx="10">
                  <c:v>900</c:v>
                </c:pt>
                <c:pt idx="11">
                  <c:v>1000</c:v>
                </c:pt>
                <c:pt idx="12">
                  <c:v>1100</c:v>
                </c:pt>
                <c:pt idx="13">
                  <c:v>1200</c:v>
                </c:pt>
                <c:pt idx="14">
                  <c:v>1300</c:v>
                </c:pt>
                <c:pt idx="15">
                  <c:v>1400</c:v>
                </c:pt>
                <c:pt idx="16">
                  <c:v>1500</c:v>
                </c:pt>
                <c:pt idx="17">
                  <c:v>1600</c:v>
                </c:pt>
                <c:pt idx="18">
                  <c:v>1700</c:v>
                </c:pt>
                <c:pt idx="19">
                  <c:v>1800</c:v>
                </c:pt>
                <c:pt idx="20">
                  <c:v>1900</c:v>
                </c:pt>
                <c:pt idx="21">
                  <c:v>2000</c:v>
                </c:pt>
                <c:pt idx="22">
                  <c:v>2100</c:v>
                </c:pt>
                <c:pt idx="23">
                  <c:v>2200</c:v>
                </c:pt>
                <c:pt idx="24">
                  <c:v>2300</c:v>
                </c:pt>
                <c:pt idx="25">
                  <c:v>2400</c:v>
                </c:pt>
                <c:pt idx="26">
                  <c:v>2500</c:v>
                </c:pt>
                <c:pt idx="27">
                  <c:v>2600</c:v>
                </c:pt>
                <c:pt idx="28">
                  <c:v>2685</c:v>
                </c:pt>
                <c:pt idx="29">
                  <c:v>2700</c:v>
                </c:pt>
                <c:pt idx="30">
                  <c:v>2800</c:v>
                </c:pt>
                <c:pt idx="31">
                  <c:v>2900</c:v>
                </c:pt>
                <c:pt idx="32">
                  <c:v>3000</c:v>
                </c:pt>
                <c:pt idx="33">
                  <c:v>3100</c:v>
                </c:pt>
                <c:pt idx="34">
                  <c:v>3200</c:v>
                </c:pt>
                <c:pt idx="35">
                  <c:v>3300</c:v>
                </c:pt>
                <c:pt idx="36">
                  <c:v>3400</c:v>
                </c:pt>
                <c:pt idx="37">
                  <c:v>3500</c:v>
                </c:pt>
                <c:pt idx="38">
                  <c:v>3600</c:v>
                </c:pt>
                <c:pt idx="39">
                  <c:v>3700</c:v>
                </c:pt>
                <c:pt idx="40">
                  <c:v>3729.1666666666679</c:v>
                </c:pt>
                <c:pt idx="41">
                  <c:v>3800</c:v>
                </c:pt>
                <c:pt idx="42">
                  <c:v>3900</c:v>
                </c:pt>
                <c:pt idx="43">
                  <c:v>4000</c:v>
                </c:pt>
              </c:numCache>
            </c:numRef>
          </c:xVal>
          <c:yVal>
            <c:numRef>
              <c:f>'Superficie 100 A 63'!$F$32:$F$75</c:f>
              <c:numCache>
                <c:formatCode>#,##0</c:formatCode>
                <c:ptCount val="44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D1-4A49-A416-EADC7B06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2048"/>
        <c:axId val="118963584"/>
      </c:scatterChart>
      <c:valAx>
        <c:axId val="118962048"/>
        <c:scaling>
          <c:orientation val="minMax"/>
          <c:max val="4000"/>
          <c:min val="0"/>
        </c:scaling>
        <c:delete val="0"/>
        <c:axPos val="b"/>
        <c:majorGridlines/>
        <c:minorGridlines/>
        <c:numFmt formatCode="#,##0" sourceLinked="1"/>
        <c:majorTickMark val="out"/>
        <c:minorTickMark val="none"/>
        <c:tickLblPos val="nextTo"/>
        <c:crossAx val="118963584"/>
        <c:crosses val="autoZero"/>
        <c:crossBetween val="midCat"/>
        <c:majorUnit val="500"/>
        <c:minorUnit val="100"/>
      </c:valAx>
      <c:valAx>
        <c:axId val="118963584"/>
        <c:scaling>
          <c:orientation val="minMax"/>
          <c:max val="2.5"/>
          <c:min val="0"/>
        </c:scaling>
        <c:delete val="0"/>
        <c:axPos val="l"/>
        <c:majorGridlines/>
        <c:minorGridlines/>
        <c:numFmt formatCode="#,##0.00" sourceLinked="0"/>
        <c:majorTickMark val="out"/>
        <c:minorTickMark val="none"/>
        <c:tickLblPos val="nextTo"/>
        <c:crossAx val="118962048"/>
        <c:crosses val="autoZero"/>
        <c:crossBetween val="midCat"/>
        <c:majorUnit val="0.5"/>
        <c:minorUnit val="0.1"/>
      </c:valAx>
    </c:plotArea>
    <c:legend>
      <c:legendPos val="r"/>
      <c:layout>
        <c:manualLayout>
          <c:xMode val="edge"/>
          <c:yMode val="edge"/>
          <c:x val="0.41304111986001746"/>
          <c:y val="0.51369677748614762"/>
          <c:w val="0.13228366148831397"/>
          <c:h val="0.2036793508952927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Factor de corrección de la capacidad con la temperatura</a:t>
            </a:r>
          </a:p>
        </c:rich>
      </c:tx>
      <c:layout>
        <c:manualLayout>
          <c:xMode val="edge"/>
          <c:yMode val="edge"/>
          <c:x val="0.1589444444444444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3172003499562554"/>
          <c:y val="0.19990740740740739"/>
          <c:w val="0.82591644794400698"/>
          <c:h val="0.64081802274715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'corrección temperatura'!$D$1</c:f>
              <c:strCache>
                <c:ptCount val="1"/>
                <c:pt idx="0">
                  <c:v>Según autor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'corrección temperatura'!$B$2:$B$567</c:f>
              <c:numCache>
                <c:formatCode>General</c:formatCode>
                <c:ptCount val="566"/>
                <c:pt idx="0">
                  <c:v>-5</c:v>
                </c:pt>
                <c:pt idx="1">
                  <c:v>-4.9000000000000004</c:v>
                </c:pt>
                <c:pt idx="2">
                  <c:v>-4.8000000000000007</c:v>
                </c:pt>
                <c:pt idx="3">
                  <c:v>-4.7000000000000011</c:v>
                </c:pt>
                <c:pt idx="4">
                  <c:v>-4.6000000000000014</c:v>
                </c:pt>
                <c:pt idx="5">
                  <c:v>-4.5000000000000018</c:v>
                </c:pt>
                <c:pt idx="6">
                  <c:v>-4.4000000000000021</c:v>
                </c:pt>
                <c:pt idx="7">
                  <c:v>-4.3000000000000025</c:v>
                </c:pt>
                <c:pt idx="8">
                  <c:v>-4.2000000000000028</c:v>
                </c:pt>
                <c:pt idx="9">
                  <c:v>-4.1000000000000032</c:v>
                </c:pt>
                <c:pt idx="10">
                  <c:v>-4.0000000000000036</c:v>
                </c:pt>
                <c:pt idx="11">
                  <c:v>-3.9000000000000035</c:v>
                </c:pt>
                <c:pt idx="12">
                  <c:v>-3.8000000000000034</c:v>
                </c:pt>
                <c:pt idx="13">
                  <c:v>-3.7000000000000033</c:v>
                </c:pt>
                <c:pt idx="14">
                  <c:v>-3.6000000000000032</c:v>
                </c:pt>
                <c:pt idx="15">
                  <c:v>-3.5000000000000031</c:v>
                </c:pt>
                <c:pt idx="16">
                  <c:v>-3.400000000000003</c:v>
                </c:pt>
                <c:pt idx="17">
                  <c:v>-3.3000000000000029</c:v>
                </c:pt>
                <c:pt idx="18">
                  <c:v>-3.2000000000000028</c:v>
                </c:pt>
                <c:pt idx="19">
                  <c:v>-3.1000000000000028</c:v>
                </c:pt>
                <c:pt idx="20">
                  <c:v>-3.0000000000000027</c:v>
                </c:pt>
                <c:pt idx="21">
                  <c:v>-2.9000000000000026</c:v>
                </c:pt>
                <c:pt idx="22">
                  <c:v>-2.8000000000000025</c:v>
                </c:pt>
                <c:pt idx="23">
                  <c:v>-2.7000000000000024</c:v>
                </c:pt>
                <c:pt idx="24">
                  <c:v>-2.6000000000000023</c:v>
                </c:pt>
                <c:pt idx="25">
                  <c:v>-2.5000000000000022</c:v>
                </c:pt>
                <c:pt idx="26">
                  <c:v>-2.4000000000000021</c:v>
                </c:pt>
                <c:pt idx="27">
                  <c:v>-2.300000000000002</c:v>
                </c:pt>
                <c:pt idx="28">
                  <c:v>-2.200000000000002</c:v>
                </c:pt>
                <c:pt idx="29">
                  <c:v>-2.1000000000000019</c:v>
                </c:pt>
                <c:pt idx="30">
                  <c:v>-2.0000000000000018</c:v>
                </c:pt>
                <c:pt idx="31">
                  <c:v>-1.9000000000000017</c:v>
                </c:pt>
                <c:pt idx="32">
                  <c:v>-1.8000000000000016</c:v>
                </c:pt>
                <c:pt idx="33">
                  <c:v>-1.7000000000000015</c:v>
                </c:pt>
                <c:pt idx="34">
                  <c:v>-1.6000000000000014</c:v>
                </c:pt>
                <c:pt idx="35">
                  <c:v>-1.5000000000000013</c:v>
                </c:pt>
                <c:pt idx="36">
                  <c:v>-1.4000000000000012</c:v>
                </c:pt>
                <c:pt idx="37">
                  <c:v>-1.3000000000000012</c:v>
                </c:pt>
                <c:pt idx="38">
                  <c:v>-1.2000000000000011</c:v>
                </c:pt>
                <c:pt idx="39">
                  <c:v>-1.100000000000001</c:v>
                </c:pt>
                <c:pt idx="40">
                  <c:v>-1.0000000000000009</c:v>
                </c:pt>
                <c:pt idx="41">
                  <c:v>-0.90000000000000091</c:v>
                </c:pt>
                <c:pt idx="42">
                  <c:v>-0.80000000000000093</c:v>
                </c:pt>
                <c:pt idx="43">
                  <c:v>-0.70000000000000095</c:v>
                </c:pt>
                <c:pt idx="44">
                  <c:v>-0.60000000000000098</c:v>
                </c:pt>
                <c:pt idx="45">
                  <c:v>-0.500000000000001</c:v>
                </c:pt>
                <c:pt idx="46">
                  <c:v>-0.40000000000000102</c:v>
                </c:pt>
                <c:pt idx="47">
                  <c:v>-0.30000000000000104</c:v>
                </c:pt>
                <c:pt idx="48">
                  <c:v>-0.20000000000000104</c:v>
                </c:pt>
                <c:pt idx="49">
                  <c:v>-0.10000000000000103</c:v>
                </c:pt>
                <c:pt idx="50">
                  <c:v>0</c:v>
                </c:pt>
                <c:pt idx="51">
                  <c:v>0.1</c:v>
                </c:pt>
                <c:pt idx="52">
                  <c:v>0.2</c:v>
                </c:pt>
                <c:pt idx="53">
                  <c:v>0.30000000000000004</c:v>
                </c:pt>
                <c:pt idx="54">
                  <c:v>0.4</c:v>
                </c:pt>
                <c:pt idx="55">
                  <c:v>0.5</c:v>
                </c:pt>
                <c:pt idx="56">
                  <c:v>0.6</c:v>
                </c:pt>
                <c:pt idx="57">
                  <c:v>0.7</c:v>
                </c:pt>
                <c:pt idx="58">
                  <c:v>0.79999999999999993</c:v>
                </c:pt>
                <c:pt idx="59">
                  <c:v>0.89999999999999991</c:v>
                </c:pt>
                <c:pt idx="60">
                  <c:v>0.99999999999999989</c:v>
                </c:pt>
                <c:pt idx="61">
                  <c:v>1.0999999999999999</c:v>
                </c:pt>
                <c:pt idx="62">
                  <c:v>1.2</c:v>
                </c:pt>
                <c:pt idx="63">
                  <c:v>1.3</c:v>
                </c:pt>
                <c:pt idx="64">
                  <c:v>1.4000000000000001</c:v>
                </c:pt>
                <c:pt idx="65">
                  <c:v>1.5000000000000002</c:v>
                </c:pt>
                <c:pt idx="66">
                  <c:v>1.6000000000000003</c:v>
                </c:pt>
                <c:pt idx="67">
                  <c:v>1.7000000000000004</c:v>
                </c:pt>
                <c:pt idx="68">
                  <c:v>1.8000000000000005</c:v>
                </c:pt>
                <c:pt idx="69">
                  <c:v>1.9000000000000006</c:v>
                </c:pt>
                <c:pt idx="70">
                  <c:v>2.0000000000000004</c:v>
                </c:pt>
                <c:pt idx="71">
                  <c:v>2.1000000000000005</c:v>
                </c:pt>
                <c:pt idx="72">
                  <c:v>2.2000000000000006</c:v>
                </c:pt>
                <c:pt idx="73">
                  <c:v>2.3000000000000007</c:v>
                </c:pt>
                <c:pt idx="74">
                  <c:v>2.4000000000000008</c:v>
                </c:pt>
                <c:pt idx="75">
                  <c:v>2.5000000000000009</c:v>
                </c:pt>
                <c:pt idx="76">
                  <c:v>2.600000000000001</c:v>
                </c:pt>
                <c:pt idx="77">
                  <c:v>2.7000000000000011</c:v>
                </c:pt>
                <c:pt idx="78">
                  <c:v>2.8000000000000012</c:v>
                </c:pt>
                <c:pt idx="79">
                  <c:v>2.9000000000000012</c:v>
                </c:pt>
                <c:pt idx="80">
                  <c:v>3.0000000000000013</c:v>
                </c:pt>
                <c:pt idx="81">
                  <c:v>3.1000000000000014</c:v>
                </c:pt>
                <c:pt idx="82">
                  <c:v>3.2000000000000015</c:v>
                </c:pt>
                <c:pt idx="83">
                  <c:v>3.3000000000000016</c:v>
                </c:pt>
                <c:pt idx="84">
                  <c:v>3.4000000000000017</c:v>
                </c:pt>
                <c:pt idx="85">
                  <c:v>3.5000000000000018</c:v>
                </c:pt>
                <c:pt idx="86">
                  <c:v>3.6000000000000019</c:v>
                </c:pt>
                <c:pt idx="87">
                  <c:v>3.700000000000002</c:v>
                </c:pt>
                <c:pt idx="88">
                  <c:v>3.800000000000002</c:v>
                </c:pt>
                <c:pt idx="89">
                  <c:v>3.9000000000000021</c:v>
                </c:pt>
                <c:pt idx="90">
                  <c:v>4.0000000000000018</c:v>
                </c:pt>
                <c:pt idx="91">
                  <c:v>4.1000000000000014</c:v>
                </c:pt>
                <c:pt idx="92">
                  <c:v>4.2000000000000011</c:v>
                </c:pt>
                <c:pt idx="93">
                  <c:v>4.3000000000000007</c:v>
                </c:pt>
                <c:pt idx="94">
                  <c:v>4.4000000000000004</c:v>
                </c:pt>
                <c:pt idx="95">
                  <c:v>4.5</c:v>
                </c:pt>
                <c:pt idx="96">
                  <c:v>4.5999999999999996</c:v>
                </c:pt>
                <c:pt idx="97">
                  <c:v>4.6999999999999993</c:v>
                </c:pt>
                <c:pt idx="98">
                  <c:v>4.7999999999999989</c:v>
                </c:pt>
                <c:pt idx="99">
                  <c:v>4.8999999999999986</c:v>
                </c:pt>
                <c:pt idx="100">
                  <c:v>4.9999999999999982</c:v>
                </c:pt>
                <c:pt idx="101">
                  <c:v>5.0999999999999979</c:v>
                </c:pt>
                <c:pt idx="102">
                  <c:v>5.1999999999999975</c:v>
                </c:pt>
                <c:pt idx="103">
                  <c:v>5.2999999999999972</c:v>
                </c:pt>
                <c:pt idx="104">
                  <c:v>5.3999999999999968</c:v>
                </c:pt>
                <c:pt idx="105">
                  <c:v>5.4999999999999964</c:v>
                </c:pt>
                <c:pt idx="106">
                  <c:v>5.5999999999999961</c:v>
                </c:pt>
                <c:pt idx="107">
                  <c:v>5.6999999999999957</c:v>
                </c:pt>
                <c:pt idx="108">
                  <c:v>5.7999999999999954</c:v>
                </c:pt>
                <c:pt idx="109">
                  <c:v>5.899999999999995</c:v>
                </c:pt>
                <c:pt idx="110">
                  <c:v>5.9999999999999947</c:v>
                </c:pt>
                <c:pt idx="111">
                  <c:v>6.0999999999999943</c:v>
                </c:pt>
                <c:pt idx="112">
                  <c:v>6.199999999999994</c:v>
                </c:pt>
                <c:pt idx="113">
                  <c:v>6.2999999999999936</c:v>
                </c:pt>
                <c:pt idx="114">
                  <c:v>6.3999999999999932</c:v>
                </c:pt>
                <c:pt idx="115">
                  <c:v>6.4999999999999929</c:v>
                </c:pt>
                <c:pt idx="116">
                  <c:v>6.5999999999999925</c:v>
                </c:pt>
                <c:pt idx="117">
                  <c:v>6.6999999999999922</c:v>
                </c:pt>
                <c:pt idx="118">
                  <c:v>6.7999999999999918</c:v>
                </c:pt>
                <c:pt idx="119">
                  <c:v>6.8999999999999915</c:v>
                </c:pt>
                <c:pt idx="120">
                  <c:v>6.9999999999999911</c:v>
                </c:pt>
                <c:pt idx="121">
                  <c:v>7.0999999999999908</c:v>
                </c:pt>
                <c:pt idx="122">
                  <c:v>7.1999999999999904</c:v>
                </c:pt>
                <c:pt idx="123">
                  <c:v>7.2999999999999901</c:v>
                </c:pt>
                <c:pt idx="124">
                  <c:v>7.3999999999999897</c:v>
                </c:pt>
                <c:pt idx="125">
                  <c:v>7.4999999999999893</c:v>
                </c:pt>
                <c:pt idx="126">
                  <c:v>7.599999999999989</c:v>
                </c:pt>
                <c:pt idx="127">
                  <c:v>7.6999999999999886</c:v>
                </c:pt>
                <c:pt idx="128">
                  <c:v>7.7999999999999883</c:v>
                </c:pt>
                <c:pt idx="129">
                  <c:v>7.8999999999999879</c:v>
                </c:pt>
                <c:pt idx="130">
                  <c:v>7.9999999999999876</c:v>
                </c:pt>
                <c:pt idx="131">
                  <c:v>8.0999999999999872</c:v>
                </c:pt>
                <c:pt idx="132">
                  <c:v>8.1999999999999869</c:v>
                </c:pt>
                <c:pt idx="133">
                  <c:v>8.2999999999999865</c:v>
                </c:pt>
                <c:pt idx="134">
                  <c:v>8.3999999999999861</c:v>
                </c:pt>
                <c:pt idx="135">
                  <c:v>8.4999999999999858</c:v>
                </c:pt>
                <c:pt idx="136">
                  <c:v>8.5999999999999854</c:v>
                </c:pt>
                <c:pt idx="137">
                  <c:v>8.6999999999999851</c:v>
                </c:pt>
                <c:pt idx="138">
                  <c:v>8.7999999999999847</c:v>
                </c:pt>
                <c:pt idx="139">
                  <c:v>8.8999999999999844</c:v>
                </c:pt>
                <c:pt idx="140">
                  <c:v>8.999999999999984</c:v>
                </c:pt>
                <c:pt idx="141">
                  <c:v>9.0999999999999837</c:v>
                </c:pt>
                <c:pt idx="142">
                  <c:v>9.1999999999999833</c:v>
                </c:pt>
                <c:pt idx="143">
                  <c:v>9.2999999999999829</c:v>
                </c:pt>
                <c:pt idx="144">
                  <c:v>9.3999999999999826</c:v>
                </c:pt>
                <c:pt idx="145">
                  <c:v>9.4999999999999822</c:v>
                </c:pt>
                <c:pt idx="146">
                  <c:v>9.5999999999999819</c:v>
                </c:pt>
                <c:pt idx="147">
                  <c:v>9.6999999999999815</c:v>
                </c:pt>
                <c:pt idx="148">
                  <c:v>9.7999999999999812</c:v>
                </c:pt>
                <c:pt idx="149">
                  <c:v>9.8999999999999808</c:v>
                </c:pt>
                <c:pt idx="150">
                  <c:v>9.9999999999999805</c:v>
                </c:pt>
                <c:pt idx="151">
                  <c:v>10.09999999999998</c:v>
                </c:pt>
                <c:pt idx="152">
                  <c:v>10.19999999999998</c:v>
                </c:pt>
                <c:pt idx="153">
                  <c:v>10.299999999999979</c:v>
                </c:pt>
                <c:pt idx="154">
                  <c:v>10.399999999999979</c:v>
                </c:pt>
                <c:pt idx="155">
                  <c:v>10.499999999999979</c:v>
                </c:pt>
                <c:pt idx="156">
                  <c:v>10.599999999999978</c:v>
                </c:pt>
                <c:pt idx="157">
                  <c:v>10.699999999999978</c:v>
                </c:pt>
                <c:pt idx="158">
                  <c:v>10.799999999999978</c:v>
                </c:pt>
                <c:pt idx="159">
                  <c:v>10.899999999999977</c:v>
                </c:pt>
                <c:pt idx="160">
                  <c:v>10.999999999999977</c:v>
                </c:pt>
                <c:pt idx="161">
                  <c:v>11.099999999999977</c:v>
                </c:pt>
                <c:pt idx="162">
                  <c:v>11.199999999999976</c:v>
                </c:pt>
                <c:pt idx="163">
                  <c:v>11.299999999999976</c:v>
                </c:pt>
                <c:pt idx="164">
                  <c:v>11.399999999999975</c:v>
                </c:pt>
                <c:pt idx="165">
                  <c:v>11.499999999999975</c:v>
                </c:pt>
                <c:pt idx="166">
                  <c:v>11.599999999999975</c:v>
                </c:pt>
                <c:pt idx="167">
                  <c:v>11.699999999999974</c:v>
                </c:pt>
                <c:pt idx="168">
                  <c:v>11.799999999999974</c:v>
                </c:pt>
                <c:pt idx="169">
                  <c:v>11.899999999999974</c:v>
                </c:pt>
                <c:pt idx="170">
                  <c:v>11.999999999999973</c:v>
                </c:pt>
                <c:pt idx="171">
                  <c:v>12.099999999999973</c:v>
                </c:pt>
                <c:pt idx="172">
                  <c:v>12.199999999999973</c:v>
                </c:pt>
                <c:pt idx="173">
                  <c:v>12.299999999999972</c:v>
                </c:pt>
                <c:pt idx="174">
                  <c:v>12.399999999999972</c:v>
                </c:pt>
                <c:pt idx="175">
                  <c:v>12.499999999999972</c:v>
                </c:pt>
                <c:pt idx="176">
                  <c:v>12.599999999999971</c:v>
                </c:pt>
                <c:pt idx="177">
                  <c:v>12.699999999999971</c:v>
                </c:pt>
                <c:pt idx="178">
                  <c:v>12.799999999999971</c:v>
                </c:pt>
                <c:pt idx="179">
                  <c:v>12.89999999999997</c:v>
                </c:pt>
                <c:pt idx="180">
                  <c:v>12.99999999999997</c:v>
                </c:pt>
                <c:pt idx="181">
                  <c:v>13.099999999999969</c:v>
                </c:pt>
                <c:pt idx="182">
                  <c:v>13.199999999999969</c:v>
                </c:pt>
                <c:pt idx="183">
                  <c:v>13.299999999999969</c:v>
                </c:pt>
                <c:pt idx="184">
                  <c:v>13.399999999999968</c:v>
                </c:pt>
                <c:pt idx="185">
                  <c:v>13.499999999999968</c:v>
                </c:pt>
                <c:pt idx="186">
                  <c:v>13.599999999999968</c:v>
                </c:pt>
                <c:pt idx="187">
                  <c:v>13.699999999999967</c:v>
                </c:pt>
                <c:pt idx="188">
                  <c:v>13.799999999999967</c:v>
                </c:pt>
                <c:pt idx="189">
                  <c:v>13.899999999999967</c:v>
                </c:pt>
                <c:pt idx="190">
                  <c:v>13.999999999999966</c:v>
                </c:pt>
                <c:pt idx="191">
                  <c:v>14.099999999999966</c:v>
                </c:pt>
                <c:pt idx="192">
                  <c:v>14.199999999999966</c:v>
                </c:pt>
                <c:pt idx="193">
                  <c:v>14.299999999999965</c:v>
                </c:pt>
                <c:pt idx="194">
                  <c:v>14.399999999999965</c:v>
                </c:pt>
                <c:pt idx="195">
                  <c:v>14.499999999999964</c:v>
                </c:pt>
                <c:pt idx="196">
                  <c:v>14.599999999999964</c:v>
                </c:pt>
                <c:pt idx="197">
                  <c:v>14.699999999999964</c:v>
                </c:pt>
                <c:pt idx="198">
                  <c:v>14.799999999999963</c:v>
                </c:pt>
                <c:pt idx="199">
                  <c:v>14.899999999999963</c:v>
                </c:pt>
                <c:pt idx="200">
                  <c:v>14.999999999999963</c:v>
                </c:pt>
                <c:pt idx="201">
                  <c:v>15.099999999999962</c:v>
                </c:pt>
                <c:pt idx="202">
                  <c:v>15.199999999999962</c:v>
                </c:pt>
                <c:pt idx="203">
                  <c:v>15.299999999999962</c:v>
                </c:pt>
                <c:pt idx="204">
                  <c:v>15.399999999999961</c:v>
                </c:pt>
                <c:pt idx="205">
                  <c:v>15.499999999999961</c:v>
                </c:pt>
                <c:pt idx="206">
                  <c:v>15.599999999999961</c:v>
                </c:pt>
                <c:pt idx="207">
                  <c:v>15.69999999999996</c:v>
                </c:pt>
                <c:pt idx="208">
                  <c:v>15.79999999999996</c:v>
                </c:pt>
                <c:pt idx="209">
                  <c:v>15.899999999999959</c:v>
                </c:pt>
                <c:pt idx="210">
                  <c:v>15.999999999999959</c:v>
                </c:pt>
                <c:pt idx="211">
                  <c:v>16.099999999999959</c:v>
                </c:pt>
                <c:pt idx="212">
                  <c:v>16.19999999999996</c:v>
                </c:pt>
                <c:pt idx="213">
                  <c:v>16.299999999999962</c:v>
                </c:pt>
                <c:pt idx="214">
                  <c:v>16.399999999999963</c:v>
                </c:pt>
                <c:pt idx="215">
                  <c:v>16.499999999999964</c:v>
                </c:pt>
                <c:pt idx="216">
                  <c:v>16.599999999999966</c:v>
                </c:pt>
                <c:pt idx="217">
                  <c:v>16.699999999999967</c:v>
                </c:pt>
                <c:pt idx="218">
                  <c:v>16.799999999999969</c:v>
                </c:pt>
                <c:pt idx="219">
                  <c:v>16.89999999999997</c:v>
                </c:pt>
                <c:pt idx="220">
                  <c:v>16.999999999999972</c:v>
                </c:pt>
                <c:pt idx="221">
                  <c:v>17.099999999999973</c:v>
                </c:pt>
                <c:pt idx="222">
                  <c:v>17.199999999999974</c:v>
                </c:pt>
                <c:pt idx="223">
                  <c:v>17.299999999999976</c:v>
                </c:pt>
                <c:pt idx="224">
                  <c:v>17.399999999999977</c:v>
                </c:pt>
                <c:pt idx="225">
                  <c:v>17.499999999999979</c:v>
                </c:pt>
                <c:pt idx="226">
                  <c:v>17.59999999999998</c:v>
                </c:pt>
                <c:pt idx="227">
                  <c:v>17.699999999999982</c:v>
                </c:pt>
                <c:pt idx="228">
                  <c:v>17.799999999999983</c:v>
                </c:pt>
                <c:pt idx="229">
                  <c:v>17.899999999999984</c:v>
                </c:pt>
                <c:pt idx="230">
                  <c:v>17.999999999999986</c:v>
                </c:pt>
                <c:pt idx="231">
                  <c:v>18.099999999999987</c:v>
                </c:pt>
                <c:pt idx="232">
                  <c:v>18.199999999999989</c:v>
                </c:pt>
                <c:pt idx="233">
                  <c:v>18.29999999999999</c:v>
                </c:pt>
                <c:pt idx="234">
                  <c:v>18.399999999999991</c:v>
                </c:pt>
                <c:pt idx="235">
                  <c:v>18.499999999999993</c:v>
                </c:pt>
                <c:pt idx="236">
                  <c:v>18.599999999999994</c:v>
                </c:pt>
                <c:pt idx="237">
                  <c:v>18.699999999999996</c:v>
                </c:pt>
                <c:pt idx="238">
                  <c:v>18.799999999999997</c:v>
                </c:pt>
                <c:pt idx="239">
                  <c:v>18.899999999999999</c:v>
                </c:pt>
                <c:pt idx="240">
                  <c:v>19</c:v>
                </c:pt>
                <c:pt idx="241">
                  <c:v>19.100000000000001</c:v>
                </c:pt>
                <c:pt idx="242">
                  <c:v>19.200000000000003</c:v>
                </c:pt>
                <c:pt idx="243">
                  <c:v>19.300000000000004</c:v>
                </c:pt>
                <c:pt idx="244">
                  <c:v>19.400000000000006</c:v>
                </c:pt>
                <c:pt idx="245">
                  <c:v>19.500000000000007</c:v>
                </c:pt>
                <c:pt idx="246">
                  <c:v>19.600000000000009</c:v>
                </c:pt>
                <c:pt idx="247">
                  <c:v>19.70000000000001</c:v>
                </c:pt>
                <c:pt idx="248">
                  <c:v>19.800000000000011</c:v>
                </c:pt>
                <c:pt idx="249">
                  <c:v>19.900000000000013</c:v>
                </c:pt>
                <c:pt idx="250">
                  <c:v>20.000000000000014</c:v>
                </c:pt>
                <c:pt idx="251">
                  <c:v>20.100000000000016</c:v>
                </c:pt>
                <c:pt idx="252">
                  <c:v>20.200000000000017</c:v>
                </c:pt>
                <c:pt idx="253">
                  <c:v>20.300000000000018</c:v>
                </c:pt>
                <c:pt idx="254">
                  <c:v>20.40000000000002</c:v>
                </c:pt>
                <c:pt idx="255">
                  <c:v>20.500000000000021</c:v>
                </c:pt>
                <c:pt idx="256">
                  <c:v>20.600000000000023</c:v>
                </c:pt>
                <c:pt idx="257">
                  <c:v>20.700000000000024</c:v>
                </c:pt>
                <c:pt idx="258">
                  <c:v>20.800000000000026</c:v>
                </c:pt>
                <c:pt idx="259">
                  <c:v>20.900000000000027</c:v>
                </c:pt>
                <c:pt idx="260">
                  <c:v>21.000000000000028</c:v>
                </c:pt>
                <c:pt idx="261">
                  <c:v>21.10000000000003</c:v>
                </c:pt>
                <c:pt idx="262">
                  <c:v>21.200000000000031</c:v>
                </c:pt>
                <c:pt idx="263">
                  <c:v>21.300000000000033</c:v>
                </c:pt>
                <c:pt idx="264">
                  <c:v>21.400000000000034</c:v>
                </c:pt>
                <c:pt idx="265">
                  <c:v>21.500000000000036</c:v>
                </c:pt>
                <c:pt idx="266">
                  <c:v>21.600000000000037</c:v>
                </c:pt>
                <c:pt idx="267">
                  <c:v>21.700000000000038</c:v>
                </c:pt>
                <c:pt idx="268">
                  <c:v>21.80000000000004</c:v>
                </c:pt>
                <c:pt idx="269">
                  <c:v>21.900000000000041</c:v>
                </c:pt>
                <c:pt idx="270">
                  <c:v>22.000000000000043</c:v>
                </c:pt>
                <c:pt idx="271">
                  <c:v>22.100000000000044</c:v>
                </c:pt>
                <c:pt idx="272">
                  <c:v>22.200000000000045</c:v>
                </c:pt>
                <c:pt idx="273">
                  <c:v>22.300000000000047</c:v>
                </c:pt>
                <c:pt idx="274">
                  <c:v>22.400000000000048</c:v>
                </c:pt>
                <c:pt idx="275">
                  <c:v>22.50000000000005</c:v>
                </c:pt>
                <c:pt idx="276">
                  <c:v>22.600000000000051</c:v>
                </c:pt>
                <c:pt idx="277">
                  <c:v>22.700000000000053</c:v>
                </c:pt>
                <c:pt idx="278">
                  <c:v>22.800000000000054</c:v>
                </c:pt>
                <c:pt idx="279">
                  <c:v>22.900000000000055</c:v>
                </c:pt>
                <c:pt idx="280">
                  <c:v>23.000000000000057</c:v>
                </c:pt>
                <c:pt idx="281">
                  <c:v>23.100000000000058</c:v>
                </c:pt>
                <c:pt idx="282">
                  <c:v>23.20000000000006</c:v>
                </c:pt>
                <c:pt idx="283">
                  <c:v>23.300000000000061</c:v>
                </c:pt>
                <c:pt idx="284">
                  <c:v>23.400000000000063</c:v>
                </c:pt>
                <c:pt idx="285">
                  <c:v>23.500000000000064</c:v>
                </c:pt>
                <c:pt idx="286">
                  <c:v>23.600000000000065</c:v>
                </c:pt>
                <c:pt idx="287">
                  <c:v>23.700000000000067</c:v>
                </c:pt>
                <c:pt idx="288">
                  <c:v>23.800000000000068</c:v>
                </c:pt>
                <c:pt idx="289">
                  <c:v>23.90000000000007</c:v>
                </c:pt>
                <c:pt idx="290">
                  <c:v>24.000000000000071</c:v>
                </c:pt>
                <c:pt idx="291">
                  <c:v>24.100000000000072</c:v>
                </c:pt>
                <c:pt idx="292">
                  <c:v>24.200000000000074</c:v>
                </c:pt>
                <c:pt idx="293">
                  <c:v>24.300000000000075</c:v>
                </c:pt>
                <c:pt idx="294">
                  <c:v>24.400000000000077</c:v>
                </c:pt>
                <c:pt idx="295">
                  <c:v>24.500000000000078</c:v>
                </c:pt>
                <c:pt idx="296">
                  <c:v>24.60000000000008</c:v>
                </c:pt>
                <c:pt idx="297">
                  <c:v>24.700000000000081</c:v>
                </c:pt>
                <c:pt idx="298">
                  <c:v>24.800000000000082</c:v>
                </c:pt>
                <c:pt idx="299">
                  <c:v>24.900000000000084</c:v>
                </c:pt>
                <c:pt idx="300">
                  <c:v>25.000000000000085</c:v>
                </c:pt>
                <c:pt idx="301">
                  <c:v>25.100000000000087</c:v>
                </c:pt>
                <c:pt idx="302">
                  <c:v>25.200000000000088</c:v>
                </c:pt>
                <c:pt idx="303">
                  <c:v>25.30000000000009</c:v>
                </c:pt>
                <c:pt idx="304">
                  <c:v>25.400000000000091</c:v>
                </c:pt>
                <c:pt idx="305">
                  <c:v>25.500000000000092</c:v>
                </c:pt>
                <c:pt idx="306">
                  <c:v>25.600000000000094</c:v>
                </c:pt>
                <c:pt idx="307">
                  <c:v>25.700000000000095</c:v>
                </c:pt>
                <c:pt idx="308">
                  <c:v>25.800000000000097</c:v>
                </c:pt>
                <c:pt idx="309">
                  <c:v>25.900000000000098</c:v>
                </c:pt>
                <c:pt idx="310">
                  <c:v>26.000000000000099</c:v>
                </c:pt>
                <c:pt idx="311">
                  <c:v>26.100000000000101</c:v>
                </c:pt>
                <c:pt idx="312">
                  <c:v>26.200000000000102</c:v>
                </c:pt>
                <c:pt idx="313">
                  <c:v>26.300000000000104</c:v>
                </c:pt>
                <c:pt idx="314">
                  <c:v>26.400000000000105</c:v>
                </c:pt>
                <c:pt idx="315">
                  <c:v>26.500000000000107</c:v>
                </c:pt>
                <c:pt idx="316">
                  <c:v>26.600000000000108</c:v>
                </c:pt>
                <c:pt idx="317">
                  <c:v>26.700000000000109</c:v>
                </c:pt>
                <c:pt idx="318">
                  <c:v>26.800000000000111</c:v>
                </c:pt>
                <c:pt idx="319">
                  <c:v>26.900000000000112</c:v>
                </c:pt>
                <c:pt idx="320">
                  <c:v>27.000000000000114</c:v>
                </c:pt>
                <c:pt idx="321">
                  <c:v>27.100000000000115</c:v>
                </c:pt>
                <c:pt idx="322">
                  <c:v>27.200000000000117</c:v>
                </c:pt>
                <c:pt idx="323">
                  <c:v>27.300000000000118</c:v>
                </c:pt>
                <c:pt idx="324">
                  <c:v>27.400000000000119</c:v>
                </c:pt>
                <c:pt idx="325">
                  <c:v>27.500000000000121</c:v>
                </c:pt>
                <c:pt idx="326">
                  <c:v>27.600000000000122</c:v>
                </c:pt>
                <c:pt idx="327">
                  <c:v>27.700000000000124</c:v>
                </c:pt>
                <c:pt idx="328">
                  <c:v>27.800000000000125</c:v>
                </c:pt>
                <c:pt idx="329">
                  <c:v>27.900000000000126</c:v>
                </c:pt>
                <c:pt idx="330">
                  <c:v>28.000000000000128</c:v>
                </c:pt>
                <c:pt idx="331">
                  <c:v>28.100000000000129</c:v>
                </c:pt>
                <c:pt idx="332">
                  <c:v>28.200000000000131</c:v>
                </c:pt>
                <c:pt idx="333">
                  <c:v>28.300000000000132</c:v>
                </c:pt>
                <c:pt idx="334">
                  <c:v>28.400000000000134</c:v>
                </c:pt>
                <c:pt idx="335">
                  <c:v>28.500000000000135</c:v>
                </c:pt>
                <c:pt idx="336">
                  <c:v>28.600000000000136</c:v>
                </c:pt>
                <c:pt idx="337">
                  <c:v>28.700000000000138</c:v>
                </c:pt>
                <c:pt idx="338">
                  <c:v>28.800000000000139</c:v>
                </c:pt>
                <c:pt idx="339">
                  <c:v>28.900000000000141</c:v>
                </c:pt>
                <c:pt idx="340">
                  <c:v>29.000000000000142</c:v>
                </c:pt>
                <c:pt idx="341">
                  <c:v>29.100000000000144</c:v>
                </c:pt>
                <c:pt idx="342">
                  <c:v>29.200000000000145</c:v>
                </c:pt>
                <c:pt idx="343">
                  <c:v>29.300000000000146</c:v>
                </c:pt>
                <c:pt idx="344">
                  <c:v>29.400000000000148</c:v>
                </c:pt>
                <c:pt idx="345">
                  <c:v>29.500000000000149</c:v>
                </c:pt>
                <c:pt idx="346">
                  <c:v>29.600000000000151</c:v>
                </c:pt>
                <c:pt idx="347">
                  <c:v>29.700000000000152</c:v>
                </c:pt>
                <c:pt idx="348">
                  <c:v>29.800000000000153</c:v>
                </c:pt>
                <c:pt idx="349">
                  <c:v>29.900000000000155</c:v>
                </c:pt>
                <c:pt idx="350">
                  <c:v>30.000000000000156</c:v>
                </c:pt>
                <c:pt idx="351">
                  <c:v>30.100000000000158</c:v>
                </c:pt>
                <c:pt idx="352">
                  <c:v>30.200000000000159</c:v>
                </c:pt>
                <c:pt idx="353">
                  <c:v>30.300000000000161</c:v>
                </c:pt>
                <c:pt idx="354">
                  <c:v>30.400000000000162</c:v>
                </c:pt>
                <c:pt idx="355">
                  <c:v>30.500000000000163</c:v>
                </c:pt>
                <c:pt idx="356">
                  <c:v>30.600000000000165</c:v>
                </c:pt>
                <c:pt idx="357">
                  <c:v>30.700000000000166</c:v>
                </c:pt>
                <c:pt idx="358">
                  <c:v>30.800000000000168</c:v>
                </c:pt>
                <c:pt idx="359">
                  <c:v>30.900000000000169</c:v>
                </c:pt>
                <c:pt idx="360">
                  <c:v>31.000000000000171</c:v>
                </c:pt>
                <c:pt idx="361">
                  <c:v>31.100000000000172</c:v>
                </c:pt>
                <c:pt idx="362">
                  <c:v>31.200000000000173</c:v>
                </c:pt>
                <c:pt idx="363">
                  <c:v>31.300000000000175</c:v>
                </c:pt>
                <c:pt idx="364">
                  <c:v>31.400000000000176</c:v>
                </c:pt>
                <c:pt idx="365">
                  <c:v>31.500000000000178</c:v>
                </c:pt>
                <c:pt idx="366">
                  <c:v>31.600000000000179</c:v>
                </c:pt>
                <c:pt idx="367">
                  <c:v>31.70000000000018</c:v>
                </c:pt>
                <c:pt idx="368">
                  <c:v>31.800000000000182</c:v>
                </c:pt>
                <c:pt idx="369">
                  <c:v>31.900000000000183</c:v>
                </c:pt>
                <c:pt idx="370">
                  <c:v>32.000000000000185</c:v>
                </c:pt>
                <c:pt idx="371">
                  <c:v>32.100000000000186</c:v>
                </c:pt>
                <c:pt idx="372">
                  <c:v>32.200000000000188</c:v>
                </c:pt>
                <c:pt idx="373">
                  <c:v>32.300000000000189</c:v>
                </c:pt>
                <c:pt idx="374">
                  <c:v>32.40000000000019</c:v>
                </c:pt>
                <c:pt idx="375">
                  <c:v>32.500000000000192</c:v>
                </c:pt>
                <c:pt idx="376">
                  <c:v>32.600000000000193</c:v>
                </c:pt>
                <c:pt idx="377">
                  <c:v>32.700000000000195</c:v>
                </c:pt>
                <c:pt idx="378">
                  <c:v>32.800000000000196</c:v>
                </c:pt>
                <c:pt idx="379">
                  <c:v>32.900000000000198</c:v>
                </c:pt>
                <c:pt idx="380">
                  <c:v>33.000000000000199</c:v>
                </c:pt>
                <c:pt idx="381">
                  <c:v>33.1000000000002</c:v>
                </c:pt>
                <c:pt idx="382">
                  <c:v>33.200000000000202</c:v>
                </c:pt>
                <c:pt idx="383">
                  <c:v>33.300000000000203</c:v>
                </c:pt>
                <c:pt idx="384">
                  <c:v>33.400000000000205</c:v>
                </c:pt>
                <c:pt idx="385">
                  <c:v>33.500000000000206</c:v>
                </c:pt>
                <c:pt idx="386">
                  <c:v>33.600000000000207</c:v>
                </c:pt>
                <c:pt idx="387">
                  <c:v>33.700000000000209</c:v>
                </c:pt>
                <c:pt idx="388">
                  <c:v>33.80000000000021</c:v>
                </c:pt>
                <c:pt idx="389">
                  <c:v>33.900000000000212</c:v>
                </c:pt>
                <c:pt idx="390">
                  <c:v>34.000000000000213</c:v>
                </c:pt>
                <c:pt idx="391">
                  <c:v>34.100000000000215</c:v>
                </c:pt>
                <c:pt idx="392">
                  <c:v>34.200000000000216</c:v>
                </c:pt>
                <c:pt idx="393">
                  <c:v>34.300000000000217</c:v>
                </c:pt>
                <c:pt idx="394">
                  <c:v>34.400000000000219</c:v>
                </c:pt>
                <c:pt idx="395">
                  <c:v>34.50000000000022</c:v>
                </c:pt>
                <c:pt idx="396">
                  <c:v>34.600000000000222</c:v>
                </c:pt>
                <c:pt idx="397">
                  <c:v>34.700000000000223</c:v>
                </c:pt>
                <c:pt idx="398">
                  <c:v>34.800000000000225</c:v>
                </c:pt>
                <c:pt idx="399">
                  <c:v>34.900000000000226</c:v>
                </c:pt>
                <c:pt idx="400">
                  <c:v>35.000000000000227</c:v>
                </c:pt>
                <c:pt idx="401">
                  <c:v>35.100000000000229</c:v>
                </c:pt>
                <c:pt idx="402">
                  <c:v>35.20000000000023</c:v>
                </c:pt>
                <c:pt idx="403">
                  <c:v>35.300000000000232</c:v>
                </c:pt>
                <c:pt idx="404">
                  <c:v>35.400000000000233</c:v>
                </c:pt>
                <c:pt idx="405">
                  <c:v>35.500000000000234</c:v>
                </c:pt>
                <c:pt idx="406">
                  <c:v>35.600000000000236</c:v>
                </c:pt>
                <c:pt idx="407">
                  <c:v>35.700000000000237</c:v>
                </c:pt>
                <c:pt idx="408">
                  <c:v>35.800000000000239</c:v>
                </c:pt>
                <c:pt idx="409">
                  <c:v>35.90000000000024</c:v>
                </c:pt>
                <c:pt idx="410">
                  <c:v>36.000000000000242</c:v>
                </c:pt>
                <c:pt idx="411">
                  <c:v>36.100000000000243</c:v>
                </c:pt>
                <c:pt idx="412">
                  <c:v>36.200000000000244</c:v>
                </c:pt>
                <c:pt idx="413">
                  <c:v>36.300000000000246</c:v>
                </c:pt>
                <c:pt idx="414">
                  <c:v>36.400000000000247</c:v>
                </c:pt>
                <c:pt idx="415">
                  <c:v>36.500000000000249</c:v>
                </c:pt>
                <c:pt idx="416">
                  <c:v>36.60000000000025</c:v>
                </c:pt>
                <c:pt idx="417">
                  <c:v>36.700000000000252</c:v>
                </c:pt>
                <c:pt idx="418">
                  <c:v>36.800000000000253</c:v>
                </c:pt>
                <c:pt idx="419">
                  <c:v>36.900000000000254</c:v>
                </c:pt>
                <c:pt idx="420">
                  <c:v>37.000000000000256</c:v>
                </c:pt>
                <c:pt idx="421">
                  <c:v>37.100000000000257</c:v>
                </c:pt>
                <c:pt idx="422">
                  <c:v>37.200000000000259</c:v>
                </c:pt>
                <c:pt idx="423">
                  <c:v>37.30000000000026</c:v>
                </c:pt>
                <c:pt idx="424">
                  <c:v>37.400000000000261</c:v>
                </c:pt>
                <c:pt idx="425">
                  <c:v>37.500000000000263</c:v>
                </c:pt>
                <c:pt idx="426">
                  <c:v>37.600000000000264</c:v>
                </c:pt>
                <c:pt idx="427">
                  <c:v>37.700000000000266</c:v>
                </c:pt>
                <c:pt idx="428">
                  <c:v>37.800000000000267</c:v>
                </c:pt>
                <c:pt idx="429">
                  <c:v>37.900000000000269</c:v>
                </c:pt>
                <c:pt idx="430">
                  <c:v>38.00000000000027</c:v>
                </c:pt>
                <c:pt idx="431">
                  <c:v>38.100000000000271</c:v>
                </c:pt>
                <c:pt idx="432">
                  <c:v>38.200000000000273</c:v>
                </c:pt>
                <c:pt idx="433">
                  <c:v>38.300000000000274</c:v>
                </c:pt>
                <c:pt idx="434">
                  <c:v>38.400000000000276</c:v>
                </c:pt>
                <c:pt idx="435">
                  <c:v>38.500000000000277</c:v>
                </c:pt>
                <c:pt idx="436">
                  <c:v>38.600000000000279</c:v>
                </c:pt>
                <c:pt idx="437">
                  <c:v>38.70000000000028</c:v>
                </c:pt>
                <c:pt idx="438">
                  <c:v>38.800000000000281</c:v>
                </c:pt>
                <c:pt idx="439">
                  <c:v>38.900000000000283</c:v>
                </c:pt>
                <c:pt idx="440">
                  <c:v>39.000000000000284</c:v>
                </c:pt>
                <c:pt idx="441">
                  <c:v>39.100000000000286</c:v>
                </c:pt>
                <c:pt idx="442">
                  <c:v>39.200000000000287</c:v>
                </c:pt>
                <c:pt idx="443">
                  <c:v>39.300000000000288</c:v>
                </c:pt>
                <c:pt idx="444">
                  <c:v>39.40000000000029</c:v>
                </c:pt>
                <c:pt idx="445">
                  <c:v>39.500000000000291</c:v>
                </c:pt>
                <c:pt idx="446">
                  <c:v>39.600000000000293</c:v>
                </c:pt>
                <c:pt idx="447">
                  <c:v>39.700000000000294</c:v>
                </c:pt>
                <c:pt idx="448">
                  <c:v>39.800000000000296</c:v>
                </c:pt>
                <c:pt idx="449">
                  <c:v>39.900000000000297</c:v>
                </c:pt>
                <c:pt idx="450">
                  <c:v>40.000000000000298</c:v>
                </c:pt>
                <c:pt idx="451">
                  <c:v>40.1000000000003</c:v>
                </c:pt>
                <c:pt idx="452">
                  <c:v>40.200000000000301</c:v>
                </c:pt>
                <c:pt idx="453">
                  <c:v>40.300000000000303</c:v>
                </c:pt>
                <c:pt idx="454">
                  <c:v>40.400000000000304</c:v>
                </c:pt>
                <c:pt idx="455">
                  <c:v>40.500000000000306</c:v>
                </c:pt>
                <c:pt idx="456">
                  <c:v>40.600000000000307</c:v>
                </c:pt>
                <c:pt idx="457">
                  <c:v>40.700000000000308</c:v>
                </c:pt>
                <c:pt idx="458">
                  <c:v>40.80000000000031</c:v>
                </c:pt>
                <c:pt idx="459">
                  <c:v>40.900000000000311</c:v>
                </c:pt>
                <c:pt idx="460">
                  <c:v>41.000000000000313</c:v>
                </c:pt>
                <c:pt idx="461">
                  <c:v>41.100000000000314</c:v>
                </c:pt>
                <c:pt idx="462">
                  <c:v>41.200000000000315</c:v>
                </c:pt>
                <c:pt idx="463">
                  <c:v>41.300000000000317</c:v>
                </c:pt>
                <c:pt idx="464">
                  <c:v>41.400000000000318</c:v>
                </c:pt>
                <c:pt idx="465">
                  <c:v>41.50000000000032</c:v>
                </c:pt>
                <c:pt idx="466">
                  <c:v>41.600000000000321</c:v>
                </c:pt>
                <c:pt idx="467">
                  <c:v>41.700000000000323</c:v>
                </c:pt>
                <c:pt idx="468">
                  <c:v>41.800000000000324</c:v>
                </c:pt>
                <c:pt idx="469">
                  <c:v>41.900000000000325</c:v>
                </c:pt>
                <c:pt idx="470">
                  <c:v>42.000000000000327</c:v>
                </c:pt>
                <c:pt idx="471">
                  <c:v>42.100000000000328</c:v>
                </c:pt>
                <c:pt idx="472">
                  <c:v>42.20000000000033</c:v>
                </c:pt>
                <c:pt idx="473">
                  <c:v>42.300000000000331</c:v>
                </c:pt>
                <c:pt idx="474">
                  <c:v>42.400000000000333</c:v>
                </c:pt>
                <c:pt idx="475">
                  <c:v>42.500000000000334</c:v>
                </c:pt>
                <c:pt idx="476">
                  <c:v>42.600000000000335</c:v>
                </c:pt>
                <c:pt idx="477">
                  <c:v>42.700000000000337</c:v>
                </c:pt>
                <c:pt idx="478">
                  <c:v>42.800000000000338</c:v>
                </c:pt>
                <c:pt idx="479">
                  <c:v>42.90000000000034</c:v>
                </c:pt>
                <c:pt idx="480">
                  <c:v>43.000000000000341</c:v>
                </c:pt>
                <c:pt idx="481">
                  <c:v>43.100000000000342</c:v>
                </c:pt>
                <c:pt idx="482">
                  <c:v>43.200000000000344</c:v>
                </c:pt>
                <c:pt idx="483">
                  <c:v>43.300000000000345</c:v>
                </c:pt>
                <c:pt idx="484">
                  <c:v>43.400000000000347</c:v>
                </c:pt>
                <c:pt idx="485">
                  <c:v>43.500000000000348</c:v>
                </c:pt>
                <c:pt idx="486">
                  <c:v>43.60000000000035</c:v>
                </c:pt>
                <c:pt idx="487">
                  <c:v>43.700000000000351</c:v>
                </c:pt>
                <c:pt idx="488">
                  <c:v>43.800000000000352</c:v>
                </c:pt>
                <c:pt idx="489">
                  <c:v>43.900000000000354</c:v>
                </c:pt>
                <c:pt idx="490">
                  <c:v>44.000000000000355</c:v>
                </c:pt>
                <c:pt idx="491">
                  <c:v>44.100000000000357</c:v>
                </c:pt>
                <c:pt idx="492">
                  <c:v>44.200000000000358</c:v>
                </c:pt>
                <c:pt idx="493">
                  <c:v>44.30000000000036</c:v>
                </c:pt>
                <c:pt idx="494">
                  <c:v>44.400000000000361</c:v>
                </c:pt>
                <c:pt idx="495">
                  <c:v>44.500000000000362</c:v>
                </c:pt>
                <c:pt idx="496">
                  <c:v>44.600000000000364</c:v>
                </c:pt>
                <c:pt idx="497">
                  <c:v>44.700000000000365</c:v>
                </c:pt>
                <c:pt idx="498">
                  <c:v>44.800000000000367</c:v>
                </c:pt>
                <c:pt idx="499">
                  <c:v>44.900000000000368</c:v>
                </c:pt>
                <c:pt idx="500">
                  <c:v>45.000000000000369</c:v>
                </c:pt>
                <c:pt idx="501">
                  <c:v>45.100000000000371</c:v>
                </c:pt>
                <c:pt idx="502">
                  <c:v>45.200000000000372</c:v>
                </c:pt>
                <c:pt idx="503">
                  <c:v>45.300000000000374</c:v>
                </c:pt>
                <c:pt idx="504">
                  <c:v>45.400000000000375</c:v>
                </c:pt>
                <c:pt idx="505">
                  <c:v>45.500000000000377</c:v>
                </c:pt>
                <c:pt idx="506">
                  <c:v>45.600000000000378</c:v>
                </c:pt>
                <c:pt idx="507">
                  <c:v>45.700000000000379</c:v>
                </c:pt>
                <c:pt idx="508">
                  <c:v>45.800000000000381</c:v>
                </c:pt>
                <c:pt idx="509">
                  <c:v>45.900000000000382</c:v>
                </c:pt>
                <c:pt idx="510">
                  <c:v>46.000000000000384</c:v>
                </c:pt>
                <c:pt idx="511">
                  <c:v>46.100000000000385</c:v>
                </c:pt>
                <c:pt idx="512">
                  <c:v>46.200000000000387</c:v>
                </c:pt>
                <c:pt idx="513">
                  <c:v>46.300000000000388</c:v>
                </c:pt>
                <c:pt idx="514">
                  <c:v>46.400000000000389</c:v>
                </c:pt>
                <c:pt idx="515">
                  <c:v>46.500000000000391</c:v>
                </c:pt>
                <c:pt idx="516">
                  <c:v>46.600000000000392</c:v>
                </c:pt>
                <c:pt idx="517">
                  <c:v>46.700000000000394</c:v>
                </c:pt>
                <c:pt idx="518">
                  <c:v>46.800000000000395</c:v>
                </c:pt>
                <c:pt idx="519">
                  <c:v>46.900000000000396</c:v>
                </c:pt>
                <c:pt idx="520">
                  <c:v>47.000000000000398</c:v>
                </c:pt>
                <c:pt idx="521">
                  <c:v>47.100000000000399</c:v>
                </c:pt>
                <c:pt idx="522">
                  <c:v>47.200000000000401</c:v>
                </c:pt>
                <c:pt idx="523">
                  <c:v>47.300000000000402</c:v>
                </c:pt>
                <c:pt idx="524">
                  <c:v>47.400000000000404</c:v>
                </c:pt>
                <c:pt idx="525">
                  <c:v>47.500000000000405</c:v>
                </c:pt>
                <c:pt idx="526">
                  <c:v>47.600000000000406</c:v>
                </c:pt>
                <c:pt idx="527">
                  <c:v>47.700000000000408</c:v>
                </c:pt>
                <c:pt idx="528">
                  <c:v>47.800000000000409</c:v>
                </c:pt>
                <c:pt idx="529">
                  <c:v>47.900000000000411</c:v>
                </c:pt>
                <c:pt idx="530">
                  <c:v>48.000000000000412</c:v>
                </c:pt>
                <c:pt idx="531">
                  <c:v>48.100000000000414</c:v>
                </c:pt>
                <c:pt idx="532">
                  <c:v>48.200000000000415</c:v>
                </c:pt>
                <c:pt idx="533">
                  <c:v>48.300000000000416</c:v>
                </c:pt>
                <c:pt idx="534">
                  <c:v>48.400000000000418</c:v>
                </c:pt>
                <c:pt idx="535">
                  <c:v>48.500000000000419</c:v>
                </c:pt>
                <c:pt idx="536">
                  <c:v>48.600000000000421</c:v>
                </c:pt>
                <c:pt idx="537">
                  <c:v>48.700000000000422</c:v>
                </c:pt>
                <c:pt idx="538">
                  <c:v>48.800000000000423</c:v>
                </c:pt>
                <c:pt idx="539">
                  <c:v>48.900000000000425</c:v>
                </c:pt>
                <c:pt idx="540">
                  <c:v>49.000000000000426</c:v>
                </c:pt>
                <c:pt idx="541">
                  <c:v>49.100000000000428</c:v>
                </c:pt>
                <c:pt idx="542">
                  <c:v>49.200000000000429</c:v>
                </c:pt>
                <c:pt idx="543">
                  <c:v>49.300000000000431</c:v>
                </c:pt>
                <c:pt idx="544">
                  <c:v>49.400000000000432</c:v>
                </c:pt>
                <c:pt idx="545">
                  <c:v>49.500000000000433</c:v>
                </c:pt>
                <c:pt idx="546">
                  <c:v>49.600000000000435</c:v>
                </c:pt>
                <c:pt idx="547">
                  <c:v>49.700000000000436</c:v>
                </c:pt>
                <c:pt idx="548">
                  <c:v>49.800000000000438</c:v>
                </c:pt>
                <c:pt idx="549">
                  <c:v>49.900000000000439</c:v>
                </c:pt>
                <c:pt idx="550">
                  <c:v>50.000000000000441</c:v>
                </c:pt>
              </c:numCache>
            </c:numRef>
          </c:xVal>
          <c:yVal>
            <c:numRef>
              <c:f>'corrección temperatura'!$D$2:$D$567</c:f>
              <c:numCache>
                <c:formatCode>General</c:formatCode>
                <c:ptCount val="566"/>
                <c:pt idx="0">
                  <c:v>0.6245534457241908</c:v>
                </c:pt>
                <c:pt idx="1">
                  <c:v>0.62611670851598167</c:v>
                </c:pt>
                <c:pt idx="2">
                  <c:v>0.62767921021044615</c:v>
                </c:pt>
                <c:pt idx="3">
                  <c:v>0.6292409311239302</c:v>
                </c:pt>
                <c:pt idx="4">
                  <c:v>0.63080185162775237</c:v>
                </c:pt>
                <c:pt idx="5">
                  <c:v>0.63236195214913038</c:v>
                </c:pt>
                <c:pt idx="6">
                  <c:v>0.6339212131720815</c:v>
                </c:pt>
                <c:pt idx="7">
                  <c:v>0.63547961523832786</c:v>
                </c:pt>
                <c:pt idx="8">
                  <c:v>0.63703713894819636</c:v>
                </c:pt>
                <c:pt idx="9">
                  <c:v>0.63859376496150044</c:v>
                </c:pt>
                <c:pt idx="10">
                  <c:v>0.64014947399842592</c:v>
                </c:pt>
                <c:pt idx="11">
                  <c:v>0.64170424684040306</c:v>
                </c:pt>
                <c:pt idx="12">
                  <c:v>0.64325806433097388</c:v>
                </c:pt>
                <c:pt idx="13">
                  <c:v>0.64481090737665425</c:v>
                </c:pt>
                <c:pt idx="14">
                  <c:v>0.64636275694778189</c:v>
                </c:pt>
                <c:pt idx="15">
                  <c:v>0.64791359407936577</c:v>
                </c:pt>
                <c:pt idx="16">
                  <c:v>0.64946339987192026</c:v>
                </c:pt>
                <c:pt idx="17">
                  <c:v>0.65101215549229541</c:v>
                </c:pt>
                <c:pt idx="18">
                  <c:v>0.65255984217450125</c:v>
                </c:pt>
                <c:pt idx="19">
                  <c:v>0.6541064412205192</c:v>
                </c:pt>
                <c:pt idx="20">
                  <c:v>0.65565193400111088</c:v>
                </c:pt>
                <c:pt idx="21">
                  <c:v>0.65719630195661549</c:v>
                </c:pt>
                <c:pt idx="22">
                  <c:v>0.65873952659774127</c:v>
                </c:pt>
                <c:pt idx="23">
                  <c:v>0.66028158950634874</c:v>
                </c:pt>
                <c:pt idx="24">
                  <c:v>0.66182247233622415</c:v>
                </c:pt>
                <c:pt idx="25">
                  <c:v>0.66336215681385013</c:v>
                </c:pt>
                <c:pt idx="26">
                  <c:v>0.66490062473915756</c:v>
                </c:pt>
                <c:pt idx="27">
                  <c:v>0.66643785798628197</c:v>
                </c:pt>
                <c:pt idx="28">
                  <c:v>0.66797383850430581</c:v>
                </c:pt>
                <c:pt idx="29">
                  <c:v>0.6695085483179859</c:v>
                </c:pt>
                <c:pt idx="30">
                  <c:v>0.6710419695284886</c:v>
                </c:pt>
                <c:pt idx="31">
                  <c:v>0.67257408431409915</c:v>
                </c:pt>
                <c:pt idx="32">
                  <c:v>0.67410487493093152</c:v>
                </c:pt>
                <c:pt idx="33">
                  <c:v>0.67563432371363552</c:v>
                </c:pt>
                <c:pt idx="34">
                  <c:v>0.67716241307607961</c:v>
                </c:pt>
                <c:pt idx="35">
                  <c:v>0.67868912551204053</c:v>
                </c:pt>
                <c:pt idx="36">
                  <c:v>0.6802144435958738</c:v>
                </c:pt>
                <c:pt idx="37">
                  <c:v>0.68173834998318206</c:v>
                </c:pt>
                <c:pt idx="38">
                  <c:v>0.68326082741147276</c:v>
                </c:pt>
                <c:pt idx="39">
                  <c:v>0.68478185870080444</c:v>
                </c:pt>
                <c:pt idx="40">
                  <c:v>0.68630142675442962</c:v>
                </c:pt>
                <c:pt idx="41">
                  <c:v>0.68781951455942214</c:v>
                </c:pt>
                <c:pt idx="42">
                  <c:v>0.68933610518730271</c:v>
                </c:pt>
                <c:pt idx="43">
                  <c:v>0.69085118179465188</c:v>
                </c:pt>
                <c:pt idx="44">
                  <c:v>0.69236472762371115</c:v>
                </c:pt>
                <c:pt idx="45">
                  <c:v>0.69387672600298589</c:v>
                </c:pt>
                <c:pt idx="46">
                  <c:v>0.69538716034782233</c:v>
                </c:pt>
                <c:pt idx="47">
                  <c:v>0.69689601416099223</c:v>
                </c:pt>
                <c:pt idx="48">
                  <c:v>0.6984032710332625</c:v>
                </c:pt>
                <c:pt idx="49">
                  <c:v>0.69990891464394722</c:v>
                </c:pt>
                <c:pt idx="50">
                  <c:v>0.7014129287614691</c:v>
                </c:pt>
                <c:pt idx="51">
                  <c:v>0.70291529724389157</c:v>
                </c:pt>
                <c:pt idx="52">
                  <c:v>0.7044160040394557</c:v>
                </c:pt>
                <c:pt idx="53">
                  <c:v>0.70591503318710624</c:v>
                </c:pt>
                <c:pt idx="54">
                  <c:v>0.70741236881700087</c:v>
                </c:pt>
                <c:pt idx="55">
                  <c:v>0.70890799515102043</c:v>
                </c:pt>
                <c:pt idx="56">
                  <c:v>0.71040189650326113</c:v>
                </c:pt>
                <c:pt idx="57">
                  <c:v>0.71189405728052413</c:v>
                </c:pt>
                <c:pt idx="58">
                  <c:v>0.71338446198279426</c:v>
                </c:pt>
                <c:pt idx="59">
                  <c:v>0.7148730952037059</c:v>
                </c:pt>
                <c:pt idx="60">
                  <c:v>0.71635994163100714</c:v>
                </c:pt>
                <c:pt idx="61">
                  <c:v>0.71784498604700564</c:v>
                </c:pt>
                <c:pt idx="62">
                  <c:v>0.71932821332901287</c:v>
                </c:pt>
                <c:pt idx="63">
                  <c:v>0.72080960844977726</c:v>
                </c:pt>
                <c:pt idx="64">
                  <c:v>0.72228915647790404</c:v>
                </c:pt>
                <c:pt idx="65">
                  <c:v>0.72376684257827451</c:v>
                </c:pt>
                <c:pt idx="66">
                  <c:v>0.72524265201244342</c:v>
                </c:pt>
                <c:pt idx="67">
                  <c:v>0.72671657013904067</c:v>
                </c:pt>
                <c:pt idx="68">
                  <c:v>0.72818858241415918</c:v>
                </c:pt>
                <c:pt idx="69">
                  <c:v>0.72965867439172261</c:v>
                </c:pt>
                <c:pt idx="70">
                  <c:v>0.73112683172386672</c:v>
                </c:pt>
                <c:pt idx="71">
                  <c:v>0.73259304016128901</c:v>
                </c:pt>
                <c:pt idx="72">
                  <c:v>0.73405728555359961</c:v>
                </c:pt>
                <c:pt idx="73">
                  <c:v>0.73551955384966961</c:v>
                </c:pt>
                <c:pt idx="74">
                  <c:v>0.73697983109795173</c:v>
                </c:pt>
                <c:pt idx="75">
                  <c:v>0.73843810344681415</c:v>
                </c:pt>
                <c:pt idx="76">
                  <c:v>0.73989435714484564</c:v>
                </c:pt>
                <c:pt idx="77">
                  <c:v>0.74134857854116265</c:v>
                </c:pt>
                <c:pt idx="78">
                  <c:v>0.74280075408570978</c:v>
                </c:pt>
                <c:pt idx="79">
                  <c:v>0.74425087032953796</c:v>
                </c:pt>
                <c:pt idx="80">
                  <c:v>0.74569891392508902</c:v>
                </c:pt>
                <c:pt idx="81">
                  <c:v>0.74714487162645982</c:v>
                </c:pt>
                <c:pt idx="82">
                  <c:v>0.74858873028966377</c:v>
                </c:pt>
                <c:pt idx="83">
                  <c:v>0.75003047687288227</c:v>
                </c:pt>
                <c:pt idx="84">
                  <c:v>0.75147009843670387</c:v>
                </c:pt>
                <c:pt idx="85">
                  <c:v>0.75290758214436038</c:v>
                </c:pt>
                <c:pt idx="86">
                  <c:v>0.75434291526194763</c:v>
                </c:pt>
                <c:pt idx="87">
                  <c:v>0.7557760851586427</c:v>
                </c:pt>
                <c:pt idx="88">
                  <c:v>0.75720707930691022</c:v>
                </c:pt>
                <c:pt idx="89">
                  <c:v>0.75863588528269787</c:v>
                </c:pt>
                <c:pt idx="90">
                  <c:v>0.76006249076562993</c:v>
                </c:pt>
                <c:pt idx="91">
                  <c:v>0.76148688353918048</c:v>
                </c:pt>
                <c:pt idx="92">
                  <c:v>0.76290905149084964</c:v>
                </c:pt>
                <c:pt idx="93">
                  <c:v>0.76432898261232807</c:v>
                </c:pt>
                <c:pt idx="94">
                  <c:v>0.76574666499964272</c:v>
                </c:pt>
                <c:pt idx="95">
                  <c:v>0.76716208685331388</c:v>
                </c:pt>
                <c:pt idx="96">
                  <c:v>0.76857523647848236</c:v>
                </c:pt>
                <c:pt idx="97">
                  <c:v>0.76998610228504105</c:v>
                </c:pt>
                <c:pt idx="98">
                  <c:v>0.77139467278775953</c:v>
                </c:pt>
                <c:pt idx="99">
                  <c:v>0.77280093660638782</c:v>
                </c:pt>
                <c:pt idx="100">
                  <c:v>0.77420488246576635</c:v>
                </c:pt>
                <c:pt idx="101">
                  <c:v>0.77560649919591607</c:v>
                </c:pt>
                <c:pt idx="102">
                  <c:v>0.77700577573212615</c:v>
                </c:pt>
                <c:pt idx="103">
                  <c:v>0.77840270111503551</c:v>
                </c:pt>
                <c:pt idx="104">
                  <c:v>0.77979726449069731</c:v>
                </c:pt>
                <c:pt idx="105">
                  <c:v>0.78118945511064564</c:v>
                </c:pt>
                <c:pt idx="106">
                  <c:v>0.78257926233194541</c:v>
                </c:pt>
                <c:pt idx="107">
                  <c:v>0.78396667561723965</c:v>
                </c:pt>
                <c:pt idx="108">
                  <c:v>0.78535168453478843</c:v>
                </c:pt>
                <c:pt idx="109">
                  <c:v>0.78673427875849455</c:v>
                </c:pt>
                <c:pt idx="110">
                  <c:v>0.78811444806793063</c:v>
                </c:pt>
                <c:pt idx="111">
                  <c:v>0.78949218234834573</c:v>
                </c:pt>
                <c:pt idx="112">
                  <c:v>0.7908674715906765</c:v>
                </c:pt>
                <c:pt idx="113">
                  <c:v>0.79224030589154615</c:v>
                </c:pt>
                <c:pt idx="114">
                  <c:v>0.79361067545324671</c:v>
                </c:pt>
                <c:pt idx="115">
                  <c:v>0.79497857058373245</c:v>
                </c:pt>
                <c:pt idx="116">
                  <c:v>0.79634398169658516</c:v>
                </c:pt>
                <c:pt idx="117">
                  <c:v>0.79770689931098804</c:v>
                </c:pt>
                <c:pt idx="118">
                  <c:v>0.79906731405168141</c:v>
                </c:pt>
                <c:pt idx="119">
                  <c:v>0.80042521664891664</c:v>
                </c:pt>
                <c:pt idx="120">
                  <c:v>0.80178059793840195</c:v>
                </c:pt>
                <c:pt idx="121">
                  <c:v>0.80313344886123617</c:v>
                </c:pt>
                <c:pt idx="122">
                  <c:v>0.80448376046384362</c:v>
                </c:pt>
                <c:pt idx="123">
                  <c:v>0.80583152389789359</c:v>
                </c:pt>
                <c:pt idx="124">
                  <c:v>0.80717673042021587</c:v>
                </c:pt>
                <c:pt idx="125">
                  <c:v>0.80851937139271213</c:v>
                </c:pt>
                <c:pt idx="126">
                  <c:v>0.8098594382822536</c:v>
                </c:pt>
                <c:pt idx="127">
                  <c:v>0.81119692266057863</c:v>
                </c:pt>
                <c:pt idx="128">
                  <c:v>0.81253181620417758</c:v>
                </c:pt>
                <c:pt idx="129">
                  <c:v>0.81386411069417341</c:v>
                </c:pt>
                <c:pt idx="130">
                  <c:v>0.81519379801619862</c:v>
                </c:pt>
                <c:pt idx="131">
                  <c:v>0.81652087016025576</c:v>
                </c:pt>
                <c:pt idx="132">
                  <c:v>0.8178453192205859</c:v>
                </c:pt>
                <c:pt idx="133">
                  <c:v>0.81916713739551206</c:v>
                </c:pt>
                <c:pt idx="134">
                  <c:v>0.82048631698729291</c:v>
                </c:pt>
                <c:pt idx="135">
                  <c:v>0.82180285040196355</c:v>
                </c:pt>
                <c:pt idx="136">
                  <c:v>0.82311673014916209</c:v>
                </c:pt>
                <c:pt idx="137">
                  <c:v>0.82442794884196624</c:v>
                </c:pt>
                <c:pt idx="138">
                  <c:v>0.82573649919670655</c:v>
                </c:pt>
                <c:pt idx="139">
                  <c:v>0.82704237403278302</c:v>
                </c:pt>
                <c:pt idx="140">
                  <c:v>0.82834556627247824</c:v>
                </c:pt>
                <c:pt idx="141">
                  <c:v>0.82964606894075188</c:v>
                </c:pt>
                <c:pt idx="142">
                  <c:v>0.83094387516504331</c:v>
                </c:pt>
                <c:pt idx="143">
                  <c:v>0.83223897817505676</c:v>
                </c:pt>
                <c:pt idx="144">
                  <c:v>0.83353137130254962</c:v>
                </c:pt>
                <c:pt idx="145">
                  <c:v>0.8348210479811069</c:v>
                </c:pt>
                <c:pt idx="146">
                  <c:v>0.8361080017459156</c:v>
                </c:pt>
                <c:pt idx="147">
                  <c:v>0.83739222623353105</c:v>
                </c:pt>
                <c:pt idx="148">
                  <c:v>0.83867371518163658</c:v>
                </c:pt>
                <c:pt idx="149">
                  <c:v>0.83995246242880217</c:v>
                </c:pt>
                <c:pt idx="150">
                  <c:v>0.84122846191422807</c:v>
                </c:pt>
                <c:pt idx="151">
                  <c:v>0.84250170767749288</c:v>
                </c:pt>
                <c:pt idx="152">
                  <c:v>0.84377219385829427</c:v>
                </c:pt>
                <c:pt idx="153">
                  <c:v>0.84503991469617523</c:v>
                </c:pt>
                <c:pt idx="154">
                  <c:v>0.84630486453025999</c:v>
                </c:pt>
                <c:pt idx="155">
                  <c:v>0.84756703779897102</c:v>
                </c:pt>
                <c:pt idx="156">
                  <c:v>0.84882642903974648</c:v>
                </c:pt>
                <c:pt idx="157">
                  <c:v>0.85008303288875908</c:v>
                </c:pt>
                <c:pt idx="158">
                  <c:v>0.85133684408061483</c:v>
                </c:pt>
                <c:pt idx="159">
                  <c:v>0.85258785744806165</c:v>
                </c:pt>
                <c:pt idx="160">
                  <c:v>0.85383606792168321</c:v>
                </c:pt>
                <c:pt idx="161">
                  <c:v>0.85508147052959349</c:v>
                </c:pt>
                <c:pt idx="162">
                  <c:v>0.85632406039712428</c:v>
                </c:pt>
                <c:pt idx="163">
                  <c:v>0.85756383274650705</c:v>
                </c:pt>
                <c:pt idx="164">
                  <c:v>0.8588007828965537</c:v>
                </c:pt>
                <c:pt idx="165">
                  <c:v>0.86003490626232848</c:v>
                </c:pt>
                <c:pt idx="166">
                  <c:v>0.86126619835481744</c:v>
                </c:pt>
                <c:pt idx="167">
                  <c:v>0.86249465478059539</c:v>
                </c:pt>
                <c:pt idx="168">
                  <c:v>0.86372027124148365</c:v>
                </c:pt>
                <c:pt idx="169">
                  <c:v>0.86494304353421059</c:v>
                </c:pt>
                <c:pt idx="170">
                  <c:v>0.86616296755005751</c:v>
                </c:pt>
                <c:pt idx="171">
                  <c:v>0.86738003927451135</c:v>
                </c:pt>
                <c:pt idx="172">
                  <c:v>0.86859425478690921</c:v>
                </c:pt>
                <c:pt idx="173">
                  <c:v>0.86980561026007197</c:v>
                </c:pt>
                <c:pt idx="174">
                  <c:v>0.87101410195994888</c:v>
                </c:pt>
                <c:pt idx="175">
                  <c:v>0.87221972624524191</c:v>
                </c:pt>
                <c:pt idx="176">
                  <c:v>0.87342247956703556</c:v>
                </c:pt>
                <c:pt idx="177">
                  <c:v>0.87462235846842629</c:v>
                </c:pt>
                <c:pt idx="178">
                  <c:v>0.87581935958413581</c:v>
                </c:pt>
                <c:pt idx="179">
                  <c:v>0.87701347964013332</c:v>
                </c:pt>
                <c:pt idx="180">
                  <c:v>0.87820471545324597</c:v>
                </c:pt>
                <c:pt idx="181">
                  <c:v>0.8793930639307711</c:v>
                </c:pt>
                <c:pt idx="182">
                  <c:v>0.88057852207008069</c:v>
                </c:pt>
                <c:pt idx="183">
                  <c:v>0.88176108695822508</c:v>
                </c:pt>
                <c:pt idx="184">
                  <c:v>0.88294075577153486</c:v>
                </c:pt>
                <c:pt idx="185">
                  <c:v>0.88411752577521363</c:v>
                </c:pt>
                <c:pt idx="186">
                  <c:v>0.88529139432293535</c:v>
                </c:pt>
                <c:pt idx="187">
                  <c:v>0.8864623588564321</c:v>
                </c:pt>
                <c:pt idx="188">
                  <c:v>0.88763041690508171</c:v>
                </c:pt>
                <c:pt idx="189">
                  <c:v>0.88879556608549393</c:v>
                </c:pt>
                <c:pt idx="190">
                  <c:v>0.8899578041010886</c:v>
                </c:pt>
                <c:pt idx="191">
                  <c:v>0.89111712874167959</c:v>
                </c:pt>
                <c:pt idx="192">
                  <c:v>0.89227353788304287</c:v>
                </c:pt>
                <c:pt idx="193">
                  <c:v>0.8934270294864961</c:v>
                </c:pt>
                <c:pt idx="194">
                  <c:v>0.894577601598468</c:v>
                </c:pt>
                <c:pt idx="195">
                  <c:v>0.89572525235006195</c:v>
                </c:pt>
                <c:pt idx="196">
                  <c:v>0.89686997995662798</c:v>
                </c:pt>
                <c:pt idx="197">
                  <c:v>0.89801178271731974</c:v>
                </c:pt>
                <c:pt idx="198">
                  <c:v>0.89915065901465641</c:v>
                </c:pt>
                <c:pt idx="199">
                  <c:v>0.90028660731408494</c:v>
                </c:pt>
                <c:pt idx="200">
                  <c:v>0.90141962616352933</c:v>
                </c:pt>
                <c:pt idx="201">
                  <c:v>0.9025497141929496</c:v>
                </c:pt>
                <c:pt idx="202">
                  <c:v>0.90367687011388997</c:v>
                </c:pt>
                <c:pt idx="203">
                  <c:v>0.90480109271902964</c:v>
                </c:pt>
                <c:pt idx="204">
                  <c:v>0.9059223808817306</c:v>
                </c:pt>
                <c:pt idx="205">
                  <c:v>0.9070407335555809</c:v>
                </c:pt>
                <c:pt idx="206">
                  <c:v>0.90815614977394077</c:v>
                </c:pt>
                <c:pt idx="207">
                  <c:v>0.90926862864948155</c:v>
                </c:pt>
                <c:pt idx="208">
                  <c:v>0.91037816937372884</c:v>
                </c:pt>
                <c:pt idx="209">
                  <c:v>0.91148477121659555</c:v>
                </c:pt>
                <c:pt idx="210">
                  <c:v>0.91258843352592278</c:v>
                </c:pt>
                <c:pt idx="211">
                  <c:v>0.91368915572701415</c:v>
                </c:pt>
                <c:pt idx="212">
                  <c:v>0.91478693732216454</c:v>
                </c:pt>
                <c:pt idx="213">
                  <c:v>0.91588177789019853</c:v>
                </c:pt>
                <c:pt idx="214">
                  <c:v>0.91697367708599486</c:v>
                </c:pt>
                <c:pt idx="215">
                  <c:v>0.91806263464001636</c:v>
                </c:pt>
                <c:pt idx="216">
                  <c:v>0.91914865035784188</c:v>
                </c:pt>
                <c:pt idx="217">
                  <c:v>0.92023172411968646</c:v>
                </c:pt>
                <c:pt idx="218">
                  <c:v>0.92131185587992825</c:v>
                </c:pt>
                <c:pt idx="219">
                  <c:v>0.92238904566663582</c:v>
                </c:pt>
                <c:pt idx="220">
                  <c:v>0.9234632935810857</c:v>
                </c:pt>
                <c:pt idx="221">
                  <c:v>0.92453459979728558</c:v>
                </c:pt>
                <c:pt idx="222">
                  <c:v>0.9256029645614976</c:v>
                </c:pt>
                <c:pt idx="223">
                  <c:v>0.92666838819175412</c:v>
                </c:pt>
                <c:pt idx="224">
                  <c:v>0.92773087107737917</c:v>
                </c:pt>
                <c:pt idx="225">
                  <c:v>0.92879041367850423</c:v>
                </c:pt>
                <c:pt idx="226">
                  <c:v>0.92984701652558666</c:v>
                </c:pt>
                <c:pt idx="227">
                  <c:v>0.9309006802189258</c:v>
                </c:pt>
                <c:pt idx="228">
                  <c:v>0.93195140542817823</c:v>
                </c:pt>
                <c:pt idx="229">
                  <c:v>0.93299919289187272</c:v>
                </c:pt>
                <c:pt idx="230">
                  <c:v>0.93404404341692437</c:v>
                </c:pt>
                <c:pt idx="231">
                  <c:v>0.93508595787814885</c:v>
                </c:pt>
                <c:pt idx="232">
                  <c:v>0.93612493721777579</c:v>
                </c:pt>
                <c:pt idx="233">
                  <c:v>0.9371609824449606</c:v>
                </c:pt>
                <c:pt idx="234">
                  <c:v>0.93819409463529746</c:v>
                </c:pt>
                <c:pt idx="235">
                  <c:v>0.93922427493033245</c:v>
                </c:pt>
                <c:pt idx="236">
                  <c:v>0.94025152453707295</c:v>
                </c:pt>
                <c:pt idx="237">
                  <c:v>0.94127584472750048</c:v>
                </c:pt>
                <c:pt idx="238">
                  <c:v>0.94229723683808286</c:v>
                </c:pt>
                <c:pt idx="239">
                  <c:v>0.9433157022692823</c:v>
                </c:pt>
                <c:pt idx="240">
                  <c:v>0.94433124248507139</c:v>
                </c:pt>
                <c:pt idx="241">
                  <c:v>0.94534385901243723</c:v>
                </c:pt>
                <c:pt idx="242">
                  <c:v>0.94635355344089722</c:v>
                </c:pt>
                <c:pt idx="243">
                  <c:v>0.94736032742200926</c:v>
                </c:pt>
                <c:pt idx="244">
                  <c:v>0.9483641826688799</c:v>
                </c:pt>
                <c:pt idx="245">
                  <c:v>0.94936512095567971</c:v>
                </c:pt>
                <c:pt idx="246">
                  <c:v>0.95036314411714917</c:v>
                </c:pt>
                <c:pt idx="247">
                  <c:v>0.95135825404811292</c:v>
                </c:pt>
                <c:pt idx="248">
                  <c:v>0.9523504527029929</c:v>
                </c:pt>
                <c:pt idx="249">
                  <c:v>0.95333974209531536</c:v>
                </c:pt>
                <c:pt idx="250">
                  <c:v>0.95432612429722574</c:v>
                </c:pt>
                <c:pt idx="251">
                  <c:v>0.95530960143900312</c:v>
                </c:pt>
                <c:pt idx="252">
                  <c:v>0.95629017570856756</c:v>
                </c:pt>
                <c:pt idx="253">
                  <c:v>0.95726784935099685</c:v>
                </c:pt>
                <c:pt idx="254">
                  <c:v>0.95824262466804155</c:v>
                </c:pt>
                <c:pt idx="255">
                  <c:v>0.95921450401763342</c:v>
                </c:pt>
                <c:pt idx="256">
                  <c:v>0.96018348981340695</c:v>
                </c:pt>
                <c:pt idx="257">
                  <c:v>0.96114958452420907</c:v>
                </c:pt>
                <c:pt idx="258">
                  <c:v>0.96211279067361632</c:v>
                </c:pt>
                <c:pt idx="259">
                  <c:v>0.96307311083945446</c:v>
                </c:pt>
                <c:pt idx="260">
                  <c:v>0.96403054765331042</c:v>
                </c:pt>
                <c:pt idx="261">
                  <c:v>0.9649851038000542</c:v>
                </c:pt>
                <c:pt idx="262">
                  <c:v>0.96593678201735522</c:v>
                </c:pt>
                <c:pt idx="263">
                  <c:v>0.96688558509520195</c:v>
                </c:pt>
                <c:pt idx="264">
                  <c:v>0.96783151587542349</c:v>
                </c:pt>
                <c:pt idx="265">
                  <c:v>0.96877457725120808</c:v>
                </c:pt>
                <c:pt idx="266">
                  <c:v>0.96971477216662672</c:v>
                </c:pt>
                <c:pt idx="267">
                  <c:v>0.97065210361615628</c:v>
                </c:pt>
                <c:pt idx="268">
                  <c:v>0.9715865746442014</c:v>
                </c:pt>
                <c:pt idx="269">
                  <c:v>0.97251818834462023</c:v>
                </c:pt>
                <c:pt idx="270">
                  <c:v>0.9734469478602511</c:v>
                </c:pt>
                <c:pt idx="271">
                  <c:v>0.97437285638243709</c:v>
                </c:pt>
                <c:pt idx="272">
                  <c:v>0.97529591715055586</c:v>
                </c:pt>
                <c:pt idx="273">
                  <c:v>0.9762161334515469</c:v>
                </c:pt>
                <c:pt idx="274">
                  <c:v>0.97713350861944226</c:v>
                </c:pt>
                <c:pt idx="275">
                  <c:v>0.97804804603489892</c:v>
                </c:pt>
                <c:pt idx="276">
                  <c:v>0.97895974912472816</c:v>
                </c:pt>
                <c:pt idx="277">
                  <c:v>0.97986862136143327</c:v>
                </c:pt>
                <c:pt idx="278">
                  <c:v>0.9807746662627399</c:v>
                </c:pt>
                <c:pt idx="279">
                  <c:v>0.98167788739113426</c:v>
                </c:pt>
                <c:pt idx="280">
                  <c:v>0.98257828835340311</c:v>
                </c:pt>
                <c:pt idx="281">
                  <c:v>0.98347587280016657</c:v>
                </c:pt>
                <c:pt idx="282">
                  <c:v>0.98437064442542255</c:v>
                </c:pt>
                <c:pt idx="283">
                  <c:v>0.98526260696608847</c:v>
                </c:pt>
                <c:pt idx="284">
                  <c:v>0.98615176420154027</c:v>
                </c:pt>
                <c:pt idx="285">
                  <c:v>0.98703811995315915</c:v>
                </c:pt>
                <c:pt idx="286">
                  <c:v>0.98792167808387921</c:v>
                </c:pt>
                <c:pt idx="287">
                  <c:v>0.98880244249772886</c:v>
                </c:pt>
                <c:pt idx="288">
                  <c:v>0.98968041713938604</c:v>
                </c:pt>
                <c:pt idx="289">
                  <c:v>0.99055560599372316</c:v>
                </c:pt>
                <c:pt idx="290">
                  <c:v>0.9914280130853601</c:v>
                </c:pt>
                <c:pt idx="291">
                  <c:v>0.9922976424782205</c:v>
                </c:pt>
                <c:pt idx="292">
                  <c:v>0.99316449827508158</c:v>
                </c:pt>
                <c:pt idx="293">
                  <c:v>0.99402858461713428</c:v>
                </c:pt>
                <c:pt idx="294">
                  <c:v>0.99488990568353919</c:v>
                </c:pt>
                <c:pt idx="295">
                  <c:v>0.99574846569098674</c:v>
                </c:pt>
                <c:pt idx="296">
                  <c:v>0.99660426889325937</c:v>
                </c:pt>
                <c:pt idx="297">
                  <c:v>0.99745731958079298</c:v>
                </c:pt>
                <c:pt idx="298">
                  <c:v>0.99830762208024193</c:v>
                </c:pt>
                <c:pt idx="299">
                  <c:v>0.99915518075404697</c:v>
                </c:pt>
                <c:pt idx="300">
                  <c:v>1.0000000000000011</c:v>
                </c:pt>
                <c:pt idx="301">
                  <c:v>1.0008420842508194</c:v>
                </c:pt>
                <c:pt idx="302">
                  <c:v>1.0016814379737142</c:v>
                </c:pt>
                <c:pt idx="303">
                  <c:v>1.0025180656699628</c:v>
                </c:pt>
                <c:pt idx="304">
                  <c:v>1.003351971874489</c:v>
                </c:pt>
                <c:pt idx="305">
                  <c:v>1.0041831611554342</c:v>
                </c:pt>
                <c:pt idx="306">
                  <c:v>1.0050116381137382</c:v>
                </c:pt>
                <c:pt idx="307">
                  <c:v>1.005837407382723</c:v>
                </c:pt>
                <c:pt idx="308">
                  <c:v>1.0066604736276707</c:v>
                </c:pt>
                <c:pt idx="309">
                  <c:v>1.007480841545412</c:v>
                </c:pt>
                <c:pt idx="310">
                  <c:v>1.0082985158639077</c:v>
                </c:pt>
                <c:pt idx="311">
                  <c:v>1.0091135013418417</c:v>
                </c:pt>
                <c:pt idx="312">
                  <c:v>1.0099258027682083</c:v>
                </c:pt>
                <c:pt idx="313">
                  <c:v>1.0107354249619045</c:v>
                </c:pt>
                <c:pt idx="314">
                  <c:v>1.0115423727713249</c:v>
                </c:pt>
                <c:pt idx="315">
                  <c:v>1.0123466510739576</c:v>
                </c:pt>
                <c:pt idx="316">
                  <c:v>1.0131482647759811</c:v>
                </c:pt>
                <c:pt idx="317">
                  <c:v>1.0139472188118643</c:v>
                </c:pt>
                <c:pt idx="318">
                  <c:v>1.0147435181439695</c:v>
                </c:pt>
                <c:pt idx="319">
                  <c:v>1.0155371677621545</c:v>
                </c:pt>
                <c:pt idx="320">
                  <c:v>1.0163281726833813</c:v>
                </c:pt>
                <c:pt idx="321">
                  <c:v>1.0171165379513203</c:v>
                </c:pt>
                <c:pt idx="322">
                  <c:v>1.0179022686359629</c:v>
                </c:pt>
                <c:pt idx="323">
                  <c:v>1.0186853698332323</c:v>
                </c:pt>
                <c:pt idx="324">
                  <c:v>1.0194658466645978</c:v>
                </c:pt>
                <c:pt idx="325">
                  <c:v>1.0202437042766921</c:v>
                </c:pt>
                <c:pt idx="326">
                  <c:v>1.0210189478409262</c:v>
                </c:pt>
                <c:pt idx="327">
                  <c:v>1.0217915825531134</c:v>
                </c:pt>
                <c:pt idx="328">
                  <c:v>1.0225616136330886</c:v>
                </c:pt>
                <c:pt idx="329">
                  <c:v>1.0233290463243345</c:v>
                </c:pt>
                <c:pt idx="330">
                  <c:v>1.0240938858936064</c:v>
                </c:pt>
                <c:pt idx="331">
                  <c:v>1.0248561376305643</c:v>
                </c:pt>
                <c:pt idx="332">
                  <c:v>1.0256158068473984</c:v>
                </c:pt>
                <c:pt idx="333">
                  <c:v>1.0263728988784659</c:v>
                </c:pt>
                <c:pt idx="334">
                  <c:v>1.0271274190799247</c:v>
                </c:pt>
                <c:pt idx="335">
                  <c:v>1.0278793728293696</c:v>
                </c:pt>
                <c:pt idx="336">
                  <c:v>1.0286287655254736</c:v>
                </c:pt>
                <c:pt idx="337">
                  <c:v>1.0293756025876266</c:v>
                </c:pt>
                <c:pt idx="338">
                  <c:v>1.0301198894555803</c:v>
                </c:pt>
                <c:pt idx="339">
                  <c:v>1.0308616315890959</c:v>
                </c:pt>
                <c:pt idx="340">
                  <c:v>1.0316008344675855</c:v>
                </c:pt>
                <c:pt idx="341">
                  <c:v>1.0323375035897708</c:v>
                </c:pt>
                <c:pt idx="342">
                  <c:v>1.0330716444733274</c:v>
                </c:pt>
                <c:pt idx="343">
                  <c:v>1.0338032626545433</c:v>
                </c:pt>
                <c:pt idx="344">
                  <c:v>1.0345323636879751</c:v>
                </c:pt>
                <c:pt idx="345">
                  <c:v>1.0352589531461056</c:v>
                </c:pt>
                <c:pt idx="346">
                  <c:v>1.0359830366190026</c:v>
                </c:pt>
                <c:pt idx="347">
                  <c:v>1.0367046197139873</c:v>
                </c:pt>
                <c:pt idx="348">
                  <c:v>1.0374237080552946</c:v>
                </c:pt>
                <c:pt idx="349">
                  <c:v>1.0381403072837416</c:v>
                </c:pt>
                <c:pt idx="350">
                  <c:v>1.038854423056399</c:v>
                </c:pt>
                <c:pt idx="351">
                  <c:v>1.03956606104626</c:v>
                </c:pt>
                <c:pt idx="352">
                  <c:v>1.0402752269419158</c:v>
                </c:pt>
                <c:pt idx="353">
                  <c:v>1.040981926447232</c:v>
                </c:pt>
                <c:pt idx="354">
                  <c:v>1.0416861652810245</c:v>
                </c:pt>
                <c:pt idx="355">
                  <c:v>1.042387949176744</c:v>
                </c:pt>
                <c:pt idx="356">
                  <c:v>1.043087283882155</c:v>
                </c:pt>
                <c:pt idx="357">
                  <c:v>1.0437841751590213</c:v>
                </c:pt>
                <c:pt idx="358">
                  <c:v>1.0444786287827943</c:v>
                </c:pt>
                <c:pt idx="359">
                  <c:v>1.0451706505423008</c:v>
                </c:pt>
                <c:pt idx="360">
                  <c:v>1.0458602462394371</c:v>
                </c:pt>
                <c:pt idx="361">
                  <c:v>1.0465474216888575</c:v>
                </c:pt>
                <c:pt idx="362">
                  <c:v>1.0472321827176752</c:v>
                </c:pt>
                <c:pt idx="363">
                  <c:v>1.0479145351651571</c:v>
                </c:pt>
                <c:pt idx="364">
                  <c:v>1.0485944848824253</c:v>
                </c:pt>
                <c:pt idx="365">
                  <c:v>1.0492720377321585</c:v>
                </c:pt>
                <c:pt idx="366">
                  <c:v>1.0499471995882981</c:v>
                </c:pt>
                <c:pt idx="367">
                  <c:v>1.0506199763357522</c:v>
                </c:pt>
                <c:pt idx="368">
                  <c:v>1.0512903738701085</c:v>
                </c:pt>
                <c:pt idx="369">
                  <c:v>1.0519583980973395</c:v>
                </c:pt>
                <c:pt idx="370">
                  <c:v>1.0526240549335208</c:v>
                </c:pt>
                <c:pt idx="371">
                  <c:v>1.0532873503045455</c:v>
                </c:pt>
                <c:pt idx="372">
                  <c:v>1.0539482901458388</c:v>
                </c:pt>
                <c:pt idx="373">
                  <c:v>1.0546068804020821</c:v>
                </c:pt>
                <c:pt idx="374">
                  <c:v>1.055263127026931</c:v>
                </c:pt>
                <c:pt idx="375">
                  <c:v>1.0559170359827401</c:v>
                </c:pt>
                <c:pt idx="376">
                  <c:v>1.0565686132402918</c:v>
                </c:pt>
                <c:pt idx="377">
                  <c:v>1.057217864778522</c:v>
                </c:pt>
                <c:pt idx="378">
                  <c:v>1.0578647965842496</c:v>
                </c:pt>
                <c:pt idx="379">
                  <c:v>1.0585094146519136</c:v>
                </c:pt>
                <c:pt idx="380">
                  <c:v>1.0591517249833033</c:v>
                </c:pt>
                <c:pt idx="381">
                  <c:v>1.0597917335872957</c:v>
                </c:pt>
                <c:pt idx="382">
                  <c:v>1.060429446479598</c:v>
                </c:pt>
                <c:pt idx="383">
                  <c:v>1.0610648696824845</c:v>
                </c:pt>
                <c:pt idx="384">
                  <c:v>1.0616980092245432</c:v>
                </c:pt>
                <c:pt idx="385">
                  <c:v>1.0623288711404177</c:v>
                </c:pt>
                <c:pt idx="386">
                  <c:v>1.0629574614705586</c:v>
                </c:pt>
                <c:pt idx="387">
                  <c:v>1.0635837862609689</c:v>
                </c:pt>
                <c:pt idx="388">
                  <c:v>1.0642078515629594</c:v>
                </c:pt>
                <c:pt idx="389">
                  <c:v>1.0648296634329004</c:v>
                </c:pt>
                <c:pt idx="390">
                  <c:v>1.0654492279319778</c:v>
                </c:pt>
                <c:pt idx="391">
                  <c:v>1.0660665511259515</c:v>
                </c:pt>
                <c:pt idx="392">
                  <c:v>1.0666816390849145</c:v>
                </c:pt>
                <c:pt idx="393">
                  <c:v>1.0672944978830561</c:v>
                </c:pt>
                <c:pt idx="394">
                  <c:v>1.0679051335984249</c:v>
                </c:pt>
                <c:pt idx="395">
                  <c:v>1.068513552312697</c:v>
                </c:pt>
                <c:pt idx="396">
                  <c:v>1.0691197601109412</c:v>
                </c:pt>
                <c:pt idx="397">
                  <c:v>1.0697237630813918</c:v>
                </c:pt>
                <c:pt idx="398">
                  <c:v>1.0703255673152199</c:v>
                </c:pt>
                <c:pt idx="399">
                  <c:v>1.0709251789063072</c:v>
                </c:pt>
                <c:pt idx="400">
                  <c:v>1.0715226039510248</c:v>
                </c:pt>
                <c:pt idx="401">
                  <c:v>1.0721178485480083</c:v>
                </c:pt>
                <c:pt idx="402">
                  <c:v>1.0727109187979402</c:v>
                </c:pt>
                <c:pt idx="403">
                  <c:v>1.0733018208033323</c:v>
                </c:pt>
                <c:pt idx="404">
                  <c:v>1.0738905606683087</c:v>
                </c:pt>
                <c:pt idx="405">
                  <c:v>1.0744771444983954</c:v>
                </c:pt>
                <c:pt idx="406">
                  <c:v>1.0750615784003041</c:v>
                </c:pt>
                <c:pt idx="407">
                  <c:v>1.0756438684817262</c:v>
                </c:pt>
                <c:pt idx="408">
                  <c:v>1.0762240208511242</c:v>
                </c:pt>
                <c:pt idx="409">
                  <c:v>1.0768020416175246</c:v>
                </c:pt>
                <c:pt idx="410">
                  <c:v>1.0773779368903156</c:v>
                </c:pt>
                <c:pt idx="411">
                  <c:v>1.0779517127790457</c:v>
                </c:pt>
                <c:pt idx="412">
                  <c:v>1.0785233753932222</c:v>
                </c:pt>
                <c:pt idx="413">
                  <c:v>1.079092930842114</c:v>
                </c:pt>
                <c:pt idx="414">
                  <c:v>1.0796603852345572</c:v>
                </c:pt>
                <c:pt idx="415">
                  <c:v>1.0802257446787566</c:v>
                </c:pt>
                <c:pt idx="416">
                  <c:v>1.0807890152820989</c:v>
                </c:pt>
                <c:pt idx="417">
                  <c:v>1.0813502031509588</c:v>
                </c:pt>
                <c:pt idx="418">
                  <c:v>1.0819093143905107</c:v>
                </c:pt>
                <c:pt idx="419">
                  <c:v>1.0824663551045446</c:v>
                </c:pt>
                <c:pt idx="420">
                  <c:v>1.0830213313952792</c:v>
                </c:pt>
                <c:pt idx="421">
                  <c:v>1.0835742493631793</c:v>
                </c:pt>
                <c:pt idx="422">
                  <c:v>1.0841251151067754</c:v>
                </c:pt>
                <c:pt idx="423">
                  <c:v>1.0846739347224843</c:v>
                </c:pt>
                <c:pt idx="424">
                  <c:v>1.0852207143044328</c:v>
                </c:pt>
                <c:pt idx="425">
                  <c:v>1.0857654599442803</c:v>
                </c:pt>
                <c:pt idx="426">
                  <c:v>1.086308177731047</c:v>
                </c:pt>
                <c:pt idx="427">
                  <c:v>1.0868488737509407</c:v>
                </c:pt>
                <c:pt idx="428">
                  <c:v>1.0873875540871876</c:v>
                </c:pt>
                <c:pt idx="429">
                  <c:v>1.0879242248198637</c:v>
                </c:pt>
                <c:pt idx="430">
                  <c:v>1.0884588920257297</c:v>
                </c:pt>
                <c:pt idx="431">
                  <c:v>1.0889915617780634</c:v>
                </c:pt>
                <c:pt idx="432">
                  <c:v>1.0895222401464992</c:v>
                </c:pt>
                <c:pt idx="433">
                  <c:v>1.0900509331968664</c:v>
                </c:pt>
                <c:pt idx="434">
                  <c:v>1.0905776469910295</c:v>
                </c:pt>
                <c:pt idx="435">
                  <c:v>1.0911023875867314</c:v>
                </c:pt>
                <c:pt idx="436">
                  <c:v>1.091625161037435</c:v>
                </c:pt>
                <c:pt idx="437">
                  <c:v>1.0921459733921732</c:v>
                </c:pt>
                <c:pt idx="438">
                  <c:v>1.0926648306953917</c:v>
                </c:pt>
                <c:pt idx="439">
                  <c:v>1.093181738986801</c:v>
                </c:pt>
                <c:pt idx="440">
                  <c:v>1.0936967043012278</c:v>
                </c:pt>
                <c:pt idx="441">
                  <c:v>1.0942097326684652</c:v>
                </c:pt>
                <c:pt idx="442">
                  <c:v>1.0947208301131286</c:v>
                </c:pt>
                <c:pt idx="443">
                  <c:v>1.0952300026545121</c:v>
                </c:pt>
                <c:pt idx="444">
                  <c:v>1.0957372563064431</c:v>
                </c:pt>
                <c:pt idx="445">
                  <c:v>1.0962425970771452</c:v>
                </c:pt>
                <c:pt idx="446">
                  <c:v>1.0967460309690975</c:v>
                </c:pt>
                <c:pt idx="447">
                  <c:v>1.0972475639788959</c:v>
                </c:pt>
                <c:pt idx="448">
                  <c:v>1.0977472020971191</c:v>
                </c:pt>
                <c:pt idx="449">
                  <c:v>1.0982449513081938</c:v>
                </c:pt>
                <c:pt idx="450">
                  <c:v>1.0987408175902595</c:v>
                </c:pt>
                <c:pt idx="451">
                  <c:v>1.0992348069150422</c:v>
                </c:pt>
                <c:pt idx="452">
                  <c:v>1.0997269252477204</c:v>
                </c:pt>
                <c:pt idx="453">
                  <c:v>1.1002171785467996</c:v>
                </c:pt>
                <c:pt idx="454">
                  <c:v>1.100705572763985</c:v>
                </c:pt>
                <c:pt idx="455">
                  <c:v>1.1011921138440564</c:v>
                </c:pt>
                <c:pt idx="456">
                  <c:v>1.1016768077247459</c:v>
                </c:pt>
                <c:pt idx="457">
                  <c:v>1.1021596603366146</c:v>
                </c:pt>
                <c:pt idx="458">
                  <c:v>1.1026406776029336</c:v>
                </c:pt>
                <c:pt idx="459">
                  <c:v>1.1031198654395655</c:v>
                </c:pt>
                <c:pt idx="460">
                  <c:v>1.1035972297548453</c:v>
                </c:pt>
                <c:pt idx="461">
                  <c:v>1.1040727764494656</c:v>
                </c:pt>
                <c:pt idx="462">
                  <c:v>1.1045465114163635</c:v>
                </c:pt>
                <c:pt idx="463">
                  <c:v>1.1050184405406058</c:v>
                </c:pt>
                <c:pt idx="464">
                  <c:v>1.1054885696992796</c:v>
                </c:pt>
                <c:pt idx="465">
                  <c:v>1.10595690476138</c:v>
                </c:pt>
                <c:pt idx="466">
                  <c:v>1.1064234515877038</c:v>
                </c:pt>
                <c:pt idx="467">
                  <c:v>1.1068882160307416</c:v>
                </c:pt>
                <c:pt idx="468">
                  <c:v>1.1073512039345714</c:v>
                </c:pt>
                <c:pt idx="469">
                  <c:v>1.1078124211347569</c:v>
                </c:pt>
                <c:pt idx="470">
                  <c:v>1.1082718734582415</c:v>
                </c:pt>
                <c:pt idx="471">
                  <c:v>1.1087295667232495</c:v>
                </c:pt>
                <c:pt idx="472">
                  <c:v>1.1091855067391843</c:v>
                </c:pt>
                <c:pt idx="473">
                  <c:v>1.1096396993065309</c:v>
                </c:pt>
                <c:pt idx="474">
                  <c:v>1.110092150216758</c:v>
                </c:pt>
                <c:pt idx="475">
                  <c:v>1.1105428652522231</c:v>
                </c:pt>
                <c:pt idx="476">
                  <c:v>1.1109918501860765</c:v>
                </c:pt>
                <c:pt idx="477">
                  <c:v>1.1114391107821688</c:v>
                </c:pt>
                <c:pt idx="478">
                  <c:v>1.1118846527949595</c:v>
                </c:pt>
                <c:pt idx="479">
                  <c:v>1.1123284819694252</c:v>
                </c:pt>
                <c:pt idx="480">
                  <c:v>1.1127706040409722</c:v>
                </c:pt>
                <c:pt idx="481">
                  <c:v>1.1132110247353462</c:v>
                </c:pt>
                <c:pt idx="482">
                  <c:v>1.1136497497685471</c:v>
                </c:pt>
                <c:pt idx="483">
                  <c:v>1.1140867848467444</c:v>
                </c:pt>
                <c:pt idx="484">
                  <c:v>1.1145221356661901</c:v>
                </c:pt>
                <c:pt idx="485">
                  <c:v>1.1149558079131399</c:v>
                </c:pt>
                <c:pt idx="486">
                  <c:v>1.1153878072637677</c:v>
                </c:pt>
                <c:pt idx="487">
                  <c:v>1.1158181393840878</c:v>
                </c:pt>
                <c:pt idx="488">
                  <c:v>1.1162468099298757</c:v>
                </c:pt>
                <c:pt idx="489">
                  <c:v>1.1166738245465881</c:v>
                </c:pt>
                <c:pt idx="490">
                  <c:v>1.1170991888692881</c:v>
                </c:pt>
                <c:pt idx="491">
                  <c:v>1.1175229085225693</c:v>
                </c:pt>
                <c:pt idx="492">
                  <c:v>1.1179449891204818</c:v>
                </c:pt>
                <c:pt idx="493">
                  <c:v>1.1183654362664579</c:v>
                </c:pt>
                <c:pt idx="494">
                  <c:v>1.1187842555532423</c:v>
                </c:pt>
                <c:pt idx="495">
                  <c:v>1.1192014525628187</c:v>
                </c:pt>
                <c:pt idx="496">
                  <c:v>1.1196170328663428</c:v>
                </c:pt>
                <c:pt idx="497">
                  <c:v>1.1200310020240716</c:v>
                </c:pt>
                <c:pt idx="498">
                  <c:v>1.1204433655852977</c:v>
                </c:pt>
                <c:pt idx="499">
                  <c:v>1.120854129088283</c:v>
                </c:pt>
                <c:pt idx="500">
                  <c:v>1.1212632980601924</c:v>
                </c:pt>
                <c:pt idx="501">
                  <c:v>1.1216708780170321</c:v>
                </c:pt>
                <c:pt idx="502">
                  <c:v>1.1220768744635838</c:v>
                </c:pt>
                <c:pt idx="503">
                  <c:v>1.1224812928933456</c:v>
                </c:pt>
                <c:pt idx="504">
                  <c:v>1.1228841387884712</c:v>
                </c:pt>
                <c:pt idx="505">
                  <c:v>1.1232854176197078</c:v>
                </c:pt>
                <c:pt idx="506">
                  <c:v>1.1236851348463406</c:v>
                </c:pt>
                <c:pt idx="507">
                  <c:v>1.1240832959161338</c:v>
                </c:pt>
                <c:pt idx="508">
                  <c:v>1.1244799062652746</c:v>
                </c:pt>
                <c:pt idx="509">
                  <c:v>1.1248749713183182</c:v>
                </c:pt>
                <c:pt idx="510">
                  <c:v>1.1252684964881332</c:v>
                </c:pt>
                <c:pt idx="511">
                  <c:v>1.1256604871758473</c:v>
                </c:pt>
                <c:pt idx="512">
                  <c:v>1.1260509487707984</c:v>
                </c:pt>
                <c:pt idx="513">
                  <c:v>1.1264398866504786</c:v>
                </c:pt>
                <c:pt idx="514">
                  <c:v>1.1268273061804877</c:v>
                </c:pt>
                <c:pt idx="515">
                  <c:v>1.1272132127144829</c:v>
                </c:pt>
                <c:pt idx="516">
                  <c:v>1.12759761159413</c:v>
                </c:pt>
                <c:pt idx="517">
                  <c:v>1.1279805081490568</c:v>
                </c:pt>
                <c:pt idx="518">
                  <c:v>1.1283619076968063</c:v>
                </c:pt>
                <c:pt idx="519">
                  <c:v>1.1287418155427908</c:v>
                </c:pt>
                <c:pt idx="520">
                  <c:v>1.1291202369802495</c:v>
                </c:pt>
                <c:pt idx="521">
                  <c:v>1.1294971772902034</c:v>
                </c:pt>
                <c:pt idx="522">
                  <c:v>1.1298726417414127</c:v>
                </c:pt>
                <c:pt idx="523">
                  <c:v>1.130246635590336</c:v>
                </c:pt>
                <c:pt idx="524">
                  <c:v>1.1306191640810899</c:v>
                </c:pt>
                <c:pt idx="525">
                  <c:v>1.1309902324454064</c:v>
                </c:pt>
                <c:pt idx="526">
                  <c:v>1.1313598459025991</c:v>
                </c:pt>
                <c:pt idx="527">
                  <c:v>1.1317280096595201</c:v>
                </c:pt>
                <c:pt idx="528">
                  <c:v>1.132094728910527</c:v>
                </c:pt>
                <c:pt idx="529">
                  <c:v>1.132460008837443</c:v>
                </c:pt>
                <c:pt idx="530">
                  <c:v>1.1328238546095237</c:v>
                </c:pt>
                <c:pt idx="531">
                  <c:v>1.1331862713834238</c:v>
                </c:pt>
                <c:pt idx="532">
                  <c:v>1.1335472643031601</c:v>
                </c:pt>
                <c:pt idx="533">
                  <c:v>1.1339068385000814</c:v>
                </c:pt>
                <c:pt idx="534">
                  <c:v>1.1342649990928357</c:v>
                </c:pt>
                <c:pt idx="535">
                  <c:v>1.1346217511873387</c:v>
                </c:pt>
                <c:pt idx="536">
                  <c:v>1.1349770998767439</c:v>
                </c:pt>
                <c:pt idx="537">
                  <c:v>1.1353310502414127</c:v>
                </c:pt>
                <c:pt idx="538">
                  <c:v>1.1356836073488865</c:v>
                </c:pt>
                <c:pt idx="539">
                  <c:v>1.1360347762538585</c:v>
                </c:pt>
                <c:pt idx="540">
                  <c:v>1.1363845619981459</c:v>
                </c:pt>
                <c:pt idx="541">
                  <c:v>1.1367329696106643</c:v>
                </c:pt>
                <c:pt idx="542">
                  <c:v>1.1370800041074018</c:v>
                </c:pt>
                <c:pt idx="543">
                  <c:v>1.1374256704913943</c:v>
                </c:pt>
                <c:pt idx="544">
                  <c:v>1.1377699737527023</c:v>
                </c:pt>
                <c:pt idx="545">
                  <c:v>1.1381129188683856</c:v>
                </c:pt>
                <c:pt idx="546">
                  <c:v>1.1384545108024835</c:v>
                </c:pt>
                <c:pt idx="547">
                  <c:v>1.1387947545059907</c:v>
                </c:pt>
                <c:pt idx="548">
                  <c:v>1.1391336549168367</c:v>
                </c:pt>
                <c:pt idx="549">
                  <c:v>1.1394712169598671</c:v>
                </c:pt>
                <c:pt idx="550">
                  <c:v>1.1398074455468219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8-485D-8C53-A8BC63FDAF4D}"/>
            </c:ext>
          </c:extLst>
        </c:ser>
        <c:ser>
          <c:idx val="1"/>
          <c:order val="1"/>
          <c:tx>
            <c:strRef>
              <c:f>'corrección temperatura'!$E$1</c:f>
              <c:strCache>
                <c:ptCount val="1"/>
                <c:pt idx="0">
                  <c:v>Tabla IEEE std 450 - 1987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6350">
                <a:solidFill>
                  <a:schemeClr val="accent2"/>
                </a:solidFill>
              </a:ln>
              <a:effectLst/>
            </c:spPr>
          </c:marker>
          <c:xVal>
            <c:numRef>
              <c:f>'corrección temperatura'!$B$2:$B$567</c:f>
              <c:numCache>
                <c:formatCode>General</c:formatCode>
                <c:ptCount val="566"/>
                <c:pt idx="0">
                  <c:v>-5</c:v>
                </c:pt>
                <c:pt idx="1">
                  <c:v>-4.9000000000000004</c:v>
                </c:pt>
                <c:pt idx="2">
                  <c:v>-4.8000000000000007</c:v>
                </c:pt>
                <c:pt idx="3">
                  <c:v>-4.7000000000000011</c:v>
                </c:pt>
                <c:pt idx="4">
                  <c:v>-4.6000000000000014</c:v>
                </c:pt>
                <c:pt idx="5">
                  <c:v>-4.5000000000000018</c:v>
                </c:pt>
                <c:pt idx="6">
                  <c:v>-4.4000000000000021</c:v>
                </c:pt>
                <c:pt idx="7">
                  <c:v>-4.3000000000000025</c:v>
                </c:pt>
                <c:pt idx="8">
                  <c:v>-4.2000000000000028</c:v>
                </c:pt>
                <c:pt idx="9">
                  <c:v>-4.1000000000000032</c:v>
                </c:pt>
                <c:pt idx="10">
                  <c:v>-4.0000000000000036</c:v>
                </c:pt>
                <c:pt idx="11">
                  <c:v>-3.9000000000000035</c:v>
                </c:pt>
                <c:pt idx="12">
                  <c:v>-3.8000000000000034</c:v>
                </c:pt>
                <c:pt idx="13">
                  <c:v>-3.7000000000000033</c:v>
                </c:pt>
                <c:pt idx="14">
                  <c:v>-3.6000000000000032</c:v>
                </c:pt>
                <c:pt idx="15">
                  <c:v>-3.5000000000000031</c:v>
                </c:pt>
                <c:pt idx="16">
                  <c:v>-3.400000000000003</c:v>
                </c:pt>
                <c:pt idx="17">
                  <c:v>-3.3000000000000029</c:v>
                </c:pt>
                <c:pt idx="18">
                  <c:v>-3.2000000000000028</c:v>
                </c:pt>
                <c:pt idx="19">
                  <c:v>-3.1000000000000028</c:v>
                </c:pt>
                <c:pt idx="20">
                  <c:v>-3.0000000000000027</c:v>
                </c:pt>
                <c:pt idx="21">
                  <c:v>-2.9000000000000026</c:v>
                </c:pt>
                <c:pt idx="22">
                  <c:v>-2.8000000000000025</c:v>
                </c:pt>
                <c:pt idx="23">
                  <c:v>-2.7000000000000024</c:v>
                </c:pt>
                <c:pt idx="24">
                  <c:v>-2.6000000000000023</c:v>
                </c:pt>
                <c:pt idx="25">
                  <c:v>-2.5000000000000022</c:v>
                </c:pt>
                <c:pt idx="26">
                  <c:v>-2.4000000000000021</c:v>
                </c:pt>
                <c:pt idx="27">
                  <c:v>-2.300000000000002</c:v>
                </c:pt>
                <c:pt idx="28">
                  <c:v>-2.200000000000002</c:v>
                </c:pt>
                <c:pt idx="29">
                  <c:v>-2.1000000000000019</c:v>
                </c:pt>
                <c:pt idx="30">
                  <c:v>-2.0000000000000018</c:v>
                </c:pt>
                <c:pt idx="31">
                  <c:v>-1.9000000000000017</c:v>
                </c:pt>
                <c:pt idx="32">
                  <c:v>-1.8000000000000016</c:v>
                </c:pt>
                <c:pt idx="33">
                  <c:v>-1.7000000000000015</c:v>
                </c:pt>
                <c:pt idx="34">
                  <c:v>-1.6000000000000014</c:v>
                </c:pt>
                <c:pt idx="35">
                  <c:v>-1.5000000000000013</c:v>
                </c:pt>
                <c:pt idx="36">
                  <c:v>-1.4000000000000012</c:v>
                </c:pt>
                <c:pt idx="37">
                  <c:v>-1.3000000000000012</c:v>
                </c:pt>
                <c:pt idx="38">
                  <c:v>-1.2000000000000011</c:v>
                </c:pt>
                <c:pt idx="39">
                  <c:v>-1.100000000000001</c:v>
                </c:pt>
                <c:pt idx="40">
                  <c:v>-1.0000000000000009</c:v>
                </c:pt>
                <c:pt idx="41">
                  <c:v>-0.90000000000000091</c:v>
                </c:pt>
                <c:pt idx="42">
                  <c:v>-0.80000000000000093</c:v>
                </c:pt>
                <c:pt idx="43">
                  <c:v>-0.70000000000000095</c:v>
                </c:pt>
                <c:pt idx="44">
                  <c:v>-0.60000000000000098</c:v>
                </c:pt>
                <c:pt idx="45">
                  <c:v>-0.500000000000001</c:v>
                </c:pt>
                <c:pt idx="46">
                  <c:v>-0.40000000000000102</c:v>
                </c:pt>
                <c:pt idx="47">
                  <c:v>-0.30000000000000104</c:v>
                </c:pt>
                <c:pt idx="48">
                  <c:v>-0.20000000000000104</c:v>
                </c:pt>
                <c:pt idx="49">
                  <c:v>-0.10000000000000103</c:v>
                </c:pt>
                <c:pt idx="50">
                  <c:v>0</c:v>
                </c:pt>
                <c:pt idx="51">
                  <c:v>0.1</c:v>
                </c:pt>
                <c:pt idx="52">
                  <c:v>0.2</c:v>
                </c:pt>
                <c:pt idx="53">
                  <c:v>0.30000000000000004</c:v>
                </c:pt>
                <c:pt idx="54">
                  <c:v>0.4</c:v>
                </c:pt>
                <c:pt idx="55">
                  <c:v>0.5</c:v>
                </c:pt>
                <c:pt idx="56">
                  <c:v>0.6</c:v>
                </c:pt>
                <c:pt idx="57">
                  <c:v>0.7</c:v>
                </c:pt>
                <c:pt idx="58">
                  <c:v>0.79999999999999993</c:v>
                </c:pt>
                <c:pt idx="59">
                  <c:v>0.89999999999999991</c:v>
                </c:pt>
                <c:pt idx="60">
                  <c:v>0.99999999999999989</c:v>
                </c:pt>
                <c:pt idx="61">
                  <c:v>1.0999999999999999</c:v>
                </c:pt>
                <c:pt idx="62">
                  <c:v>1.2</c:v>
                </c:pt>
                <c:pt idx="63">
                  <c:v>1.3</c:v>
                </c:pt>
                <c:pt idx="64">
                  <c:v>1.4000000000000001</c:v>
                </c:pt>
                <c:pt idx="65">
                  <c:v>1.5000000000000002</c:v>
                </c:pt>
                <c:pt idx="66">
                  <c:v>1.6000000000000003</c:v>
                </c:pt>
                <c:pt idx="67">
                  <c:v>1.7000000000000004</c:v>
                </c:pt>
                <c:pt idx="68">
                  <c:v>1.8000000000000005</c:v>
                </c:pt>
                <c:pt idx="69">
                  <c:v>1.9000000000000006</c:v>
                </c:pt>
                <c:pt idx="70">
                  <c:v>2.0000000000000004</c:v>
                </c:pt>
                <c:pt idx="71">
                  <c:v>2.1000000000000005</c:v>
                </c:pt>
                <c:pt idx="72">
                  <c:v>2.2000000000000006</c:v>
                </c:pt>
                <c:pt idx="73">
                  <c:v>2.3000000000000007</c:v>
                </c:pt>
                <c:pt idx="74">
                  <c:v>2.4000000000000008</c:v>
                </c:pt>
                <c:pt idx="75">
                  <c:v>2.5000000000000009</c:v>
                </c:pt>
                <c:pt idx="76">
                  <c:v>2.600000000000001</c:v>
                </c:pt>
                <c:pt idx="77">
                  <c:v>2.7000000000000011</c:v>
                </c:pt>
                <c:pt idx="78">
                  <c:v>2.8000000000000012</c:v>
                </c:pt>
                <c:pt idx="79">
                  <c:v>2.9000000000000012</c:v>
                </c:pt>
                <c:pt idx="80">
                  <c:v>3.0000000000000013</c:v>
                </c:pt>
                <c:pt idx="81">
                  <c:v>3.1000000000000014</c:v>
                </c:pt>
                <c:pt idx="82">
                  <c:v>3.2000000000000015</c:v>
                </c:pt>
                <c:pt idx="83">
                  <c:v>3.3000000000000016</c:v>
                </c:pt>
                <c:pt idx="84">
                  <c:v>3.4000000000000017</c:v>
                </c:pt>
                <c:pt idx="85">
                  <c:v>3.5000000000000018</c:v>
                </c:pt>
                <c:pt idx="86">
                  <c:v>3.6000000000000019</c:v>
                </c:pt>
                <c:pt idx="87">
                  <c:v>3.700000000000002</c:v>
                </c:pt>
                <c:pt idx="88">
                  <c:v>3.800000000000002</c:v>
                </c:pt>
                <c:pt idx="89">
                  <c:v>3.9000000000000021</c:v>
                </c:pt>
                <c:pt idx="90">
                  <c:v>4.0000000000000018</c:v>
                </c:pt>
                <c:pt idx="91">
                  <c:v>4.1000000000000014</c:v>
                </c:pt>
                <c:pt idx="92">
                  <c:v>4.2000000000000011</c:v>
                </c:pt>
                <c:pt idx="93">
                  <c:v>4.3000000000000007</c:v>
                </c:pt>
                <c:pt idx="94">
                  <c:v>4.4000000000000004</c:v>
                </c:pt>
                <c:pt idx="95">
                  <c:v>4.5</c:v>
                </c:pt>
                <c:pt idx="96">
                  <c:v>4.5999999999999996</c:v>
                </c:pt>
                <c:pt idx="97">
                  <c:v>4.6999999999999993</c:v>
                </c:pt>
                <c:pt idx="98">
                  <c:v>4.7999999999999989</c:v>
                </c:pt>
                <c:pt idx="99">
                  <c:v>4.8999999999999986</c:v>
                </c:pt>
                <c:pt idx="100">
                  <c:v>4.9999999999999982</c:v>
                </c:pt>
                <c:pt idx="101">
                  <c:v>5.0999999999999979</c:v>
                </c:pt>
                <c:pt idx="102">
                  <c:v>5.1999999999999975</c:v>
                </c:pt>
                <c:pt idx="103">
                  <c:v>5.2999999999999972</c:v>
                </c:pt>
                <c:pt idx="104">
                  <c:v>5.3999999999999968</c:v>
                </c:pt>
                <c:pt idx="105">
                  <c:v>5.4999999999999964</c:v>
                </c:pt>
                <c:pt idx="106">
                  <c:v>5.5999999999999961</c:v>
                </c:pt>
                <c:pt idx="107">
                  <c:v>5.6999999999999957</c:v>
                </c:pt>
                <c:pt idx="108">
                  <c:v>5.7999999999999954</c:v>
                </c:pt>
                <c:pt idx="109">
                  <c:v>5.899999999999995</c:v>
                </c:pt>
                <c:pt idx="110">
                  <c:v>5.9999999999999947</c:v>
                </c:pt>
                <c:pt idx="111">
                  <c:v>6.0999999999999943</c:v>
                </c:pt>
                <c:pt idx="112">
                  <c:v>6.199999999999994</c:v>
                </c:pt>
                <c:pt idx="113">
                  <c:v>6.2999999999999936</c:v>
                </c:pt>
                <c:pt idx="114">
                  <c:v>6.3999999999999932</c:v>
                </c:pt>
                <c:pt idx="115">
                  <c:v>6.4999999999999929</c:v>
                </c:pt>
                <c:pt idx="116">
                  <c:v>6.5999999999999925</c:v>
                </c:pt>
                <c:pt idx="117">
                  <c:v>6.6999999999999922</c:v>
                </c:pt>
                <c:pt idx="118">
                  <c:v>6.7999999999999918</c:v>
                </c:pt>
                <c:pt idx="119">
                  <c:v>6.8999999999999915</c:v>
                </c:pt>
                <c:pt idx="120">
                  <c:v>6.9999999999999911</c:v>
                </c:pt>
                <c:pt idx="121">
                  <c:v>7.0999999999999908</c:v>
                </c:pt>
                <c:pt idx="122">
                  <c:v>7.1999999999999904</c:v>
                </c:pt>
                <c:pt idx="123">
                  <c:v>7.2999999999999901</c:v>
                </c:pt>
                <c:pt idx="124">
                  <c:v>7.3999999999999897</c:v>
                </c:pt>
                <c:pt idx="125">
                  <c:v>7.4999999999999893</c:v>
                </c:pt>
                <c:pt idx="126">
                  <c:v>7.599999999999989</c:v>
                </c:pt>
                <c:pt idx="127">
                  <c:v>7.6999999999999886</c:v>
                </c:pt>
                <c:pt idx="128">
                  <c:v>7.7999999999999883</c:v>
                </c:pt>
                <c:pt idx="129">
                  <c:v>7.8999999999999879</c:v>
                </c:pt>
                <c:pt idx="130">
                  <c:v>7.9999999999999876</c:v>
                </c:pt>
                <c:pt idx="131">
                  <c:v>8.0999999999999872</c:v>
                </c:pt>
                <c:pt idx="132">
                  <c:v>8.1999999999999869</c:v>
                </c:pt>
                <c:pt idx="133">
                  <c:v>8.2999999999999865</c:v>
                </c:pt>
                <c:pt idx="134">
                  <c:v>8.3999999999999861</c:v>
                </c:pt>
                <c:pt idx="135">
                  <c:v>8.4999999999999858</c:v>
                </c:pt>
                <c:pt idx="136">
                  <c:v>8.5999999999999854</c:v>
                </c:pt>
                <c:pt idx="137">
                  <c:v>8.6999999999999851</c:v>
                </c:pt>
                <c:pt idx="138">
                  <c:v>8.7999999999999847</c:v>
                </c:pt>
                <c:pt idx="139">
                  <c:v>8.8999999999999844</c:v>
                </c:pt>
                <c:pt idx="140">
                  <c:v>8.999999999999984</c:v>
                </c:pt>
                <c:pt idx="141">
                  <c:v>9.0999999999999837</c:v>
                </c:pt>
                <c:pt idx="142">
                  <c:v>9.1999999999999833</c:v>
                </c:pt>
                <c:pt idx="143">
                  <c:v>9.2999999999999829</c:v>
                </c:pt>
                <c:pt idx="144">
                  <c:v>9.3999999999999826</c:v>
                </c:pt>
                <c:pt idx="145">
                  <c:v>9.4999999999999822</c:v>
                </c:pt>
                <c:pt idx="146">
                  <c:v>9.5999999999999819</c:v>
                </c:pt>
                <c:pt idx="147">
                  <c:v>9.6999999999999815</c:v>
                </c:pt>
                <c:pt idx="148">
                  <c:v>9.7999999999999812</c:v>
                </c:pt>
                <c:pt idx="149">
                  <c:v>9.8999999999999808</c:v>
                </c:pt>
                <c:pt idx="150">
                  <c:v>9.9999999999999805</c:v>
                </c:pt>
                <c:pt idx="151">
                  <c:v>10.09999999999998</c:v>
                </c:pt>
                <c:pt idx="152">
                  <c:v>10.19999999999998</c:v>
                </c:pt>
                <c:pt idx="153">
                  <c:v>10.299999999999979</c:v>
                </c:pt>
                <c:pt idx="154">
                  <c:v>10.399999999999979</c:v>
                </c:pt>
                <c:pt idx="155">
                  <c:v>10.499999999999979</c:v>
                </c:pt>
                <c:pt idx="156">
                  <c:v>10.599999999999978</c:v>
                </c:pt>
                <c:pt idx="157">
                  <c:v>10.699999999999978</c:v>
                </c:pt>
                <c:pt idx="158">
                  <c:v>10.799999999999978</c:v>
                </c:pt>
                <c:pt idx="159">
                  <c:v>10.899999999999977</c:v>
                </c:pt>
                <c:pt idx="160">
                  <c:v>10.999999999999977</c:v>
                </c:pt>
                <c:pt idx="161">
                  <c:v>11.099999999999977</c:v>
                </c:pt>
                <c:pt idx="162">
                  <c:v>11.199999999999976</c:v>
                </c:pt>
                <c:pt idx="163">
                  <c:v>11.299999999999976</c:v>
                </c:pt>
                <c:pt idx="164">
                  <c:v>11.399999999999975</c:v>
                </c:pt>
                <c:pt idx="165">
                  <c:v>11.499999999999975</c:v>
                </c:pt>
                <c:pt idx="166">
                  <c:v>11.599999999999975</c:v>
                </c:pt>
                <c:pt idx="167">
                  <c:v>11.699999999999974</c:v>
                </c:pt>
                <c:pt idx="168">
                  <c:v>11.799999999999974</c:v>
                </c:pt>
                <c:pt idx="169">
                  <c:v>11.899999999999974</c:v>
                </c:pt>
                <c:pt idx="170">
                  <c:v>11.999999999999973</c:v>
                </c:pt>
                <c:pt idx="171">
                  <c:v>12.099999999999973</c:v>
                </c:pt>
                <c:pt idx="172">
                  <c:v>12.199999999999973</c:v>
                </c:pt>
                <c:pt idx="173">
                  <c:v>12.299999999999972</c:v>
                </c:pt>
                <c:pt idx="174">
                  <c:v>12.399999999999972</c:v>
                </c:pt>
                <c:pt idx="175">
                  <c:v>12.499999999999972</c:v>
                </c:pt>
                <c:pt idx="176">
                  <c:v>12.599999999999971</c:v>
                </c:pt>
                <c:pt idx="177">
                  <c:v>12.699999999999971</c:v>
                </c:pt>
                <c:pt idx="178">
                  <c:v>12.799999999999971</c:v>
                </c:pt>
                <c:pt idx="179">
                  <c:v>12.89999999999997</c:v>
                </c:pt>
                <c:pt idx="180">
                  <c:v>12.99999999999997</c:v>
                </c:pt>
                <c:pt idx="181">
                  <c:v>13.099999999999969</c:v>
                </c:pt>
                <c:pt idx="182">
                  <c:v>13.199999999999969</c:v>
                </c:pt>
                <c:pt idx="183">
                  <c:v>13.299999999999969</c:v>
                </c:pt>
                <c:pt idx="184">
                  <c:v>13.399999999999968</c:v>
                </c:pt>
                <c:pt idx="185">
                  <c:v>13.499999999999968</c:v>
                </c:pt>
                <c:pt idx="186">
                  <c:v>13.599999999999968</c:v>
                </c:pt>
                <c:pt idx="187">
                  <c:v>13.699999999999967</c:v>
                </c:pt>
                <c:pt idx="188">
                  <c:v>13.799999999999967</c:v>
                </c:pt>
                <c:pt idx="189">
                  <c:v>13.899999999999967</c:v>
                </c:pt>
                <c:pt idx="190">
                  <c:v>13.999999999999966</c:v>
                </c:pt>
                <c:pt idx="191">
                  <c:v>14.099999999999966</c:v>
                </c:pt>
                <c:pt idx="192">
                  <c:v>14.199999999999966</c:v>
                </c:pt>
                <c:pt idx="193">
                  <c:v>14.299999999999965</c:v>
                </c:pt>
                <c:pt idx="194">
                  <c:v>14.399999999999965</c:v>
                </c:pt>
                <c:pt idx="195">
                  <c:v>14.499999999999964</c:v>
                </c:pt>
                <c:pt idx="196">
                  <c:v>14.599999999999964</c:v>
                </c:pt>
                <c:pt idx="197">
                  <c:v>14.699999999999964</c:v>
                </c:pt>
                <c:pt idx="198">
                  <c:v>14.799999999999963</c:v>
                </c:pt>
                <c:pt idx="199">
                  <c:v>14.899999999999963</c:v>
                </c:pt>
                <c:pt idx="200">
                  <c:v>14.999999999999963</c:v>
                </c:pt>
                <c:pt idx="201">
                  <c:v>15.099999999999962</c:v>
                </c:pt>
                <c:pt idx="202">
                  <c:v>15.199999999999962</c:v>
                </c:pt>
                <c:pt idx="203">
                  <c:v>15.299999999999962</c:v>
                </c:pt>
                <c:pt idx="204">
                  <c:v>15.399999999999961</c:v>
                </c:pt>
                <c:pt idx="205">
                  <c:v>15.499999999999961</c:v>
                </c:pt>
                <c:pt idx="206">
                  <c:v>15.599999999999961</c:v>
                </c:pt>
                <c:pt idx="207">
                  <c:v>15.69999999999996</c:v>
                </c:pt>
                <c:pt idx="208">
                  <c:v>15.79999999999996</c:v>
                </c:pt>
                <c:pt idx="209">
                  <c:v>15.899999999999959</c:v>
                </c:pt>
                <c:pt idx="210">
                  <c:v>15.999999999999959</c:v>
                </c:pt>
                <c:pt idx="211">
                  <c:v>16.099999999999959</c:v>
                </c:pt>
                <c:pt idx="212">
                  <c:v>16.19999999999996</c:v>
                </c:pt>
                <c:pt idx="213">
                  <c:v>16.299999999999962</c:v>
                </c:pt>
                <c:pt idx="214">
                  <c:v>16.399999999999963</c:v>
                </c:pt>
                <c:pt idx="215">
                  <c:v>16.499999999999964</c:v>
                </c:pt>
                <c:pt idx="216">
                  <c:v>16.599999999999966</c:v>
                </c:pt>
                <c:pt idx="217">
                  <c:v>16.699999999999967</c:v>
                </c:pt>
                <c:pt idx="218">
                  <c:v>16.799999999999969</c:v>
                </c:pt>
                <c:pt idx="219">
                  <c:v>16.89999999999997</c:v>
                </c:pt>
                <c:pt idx="220">
                  <c:v>16.999999999999972</c:v>
                </c:pt>
                <c:pt idx="221">
                  <c:v>17.099999999999973</c:v>
                </c:pt>
                <c:pt idx="222">
                  <c:v>17.199999999999974</c:v>
                </c:pt>
                <c:pt idx="223">
                  <c:v>17.299999999999976</c:v>
                </c:pt>
                <c:pt idx="224">
                  <c:v>17.399999999999977</c:v>
                </c:pt>
                <c:pt idx="225">
                  <c:v>17.499999999999979</c:v>
                </c:pt>
                <c:pt idx="226">
                  <c:v>17.59999999999998</c:v>
                </c:pt>
                <c:pt idx="227">
                  <c:v>17.699999999999982</c:v>
                </c:pt>
                <c:pt idx="228">
                  <c:v>17.799999999999983</c:v>
                </c:pt>
                <c:pt idx="229">
                  <c:v>17.899999999999984</c:v>
                </c:pt>
                <c:pt idx="230">
                  <c:v>17.999999999999986</c:v>
                </c:pt>
                <c:pt idx="231">
                  <c:v>18.099999999999987</c:v>
                </c:pt>
                <c:pt idx="232">
                  <c:v>18.199999999999989</c:v>
                </c:pt>
                <c:pt idx="233">
                  <c:v>18.29999999999999</c:v>
                </c:pt>
                <c:pt idx="234">
                  <c:v>18.399999999999991</c:v>
                </c:pt>
                <c:pt idx="235">
                  <c:v>18.499999999999993</c:v>
                </c:pt>
                <c:pt idx="236">
                  <c:v>18.599999999999994</c:v>
                </c:pt>
                <c:pt idx="237">
                  <c:v>18.699999999999996</c:v>
                </c:pt>
                <c:pt idx="238">
                  <c:v>18.799999999999997</c:v>
                </c:pt>
                <c:pt idx="239">
                  <c:v>18.899999999999999</c:v>
                </c:pt>
                <c:pt idx="240">
                  <c:v>19</c:v>
                </c:pt>
                <c:pt idx="241">
                  <c:v>19.100000000000001</c:v>
                </c:pt>
                <c:pt idx="242">
                  <c:v>19.200000000000003</c:v>
                </c:pt>
                <c:pt idx="243">
                  <c:v>19.300000000000004</c:v>
                </c:pt>
                <c:pt idx="244">
                  <c:v>19.400000000000006</c:v>
                </c:pt>
                <c:pt idx="245">
                  <c:v>19.500000000000007</c:v>
                </c:pt>
                <c:pt idx="246">
                  <c:v>19.600000000000009</c:v>
                </c:pt>
                <c:pt idx="247">
                  <c:v>19.70000000000001</c:v>
                </c:pt>
                <c:pt idx="248">
                  <c:v>19.800000000000011</c:v>
                </c:pt>
                <c:pt idx="249">
                  <c:v>19.900000000000013</c:v>
                </c:pt>
                <c:pt idx="250">
                  <c:v>20.000000000000014</c:v>
                </c:pt>
                <c:pt idx="251">
                  <c:v>20.100000000000016</c:v>
                </c:pt>
                <c:pt idx="252">
                  <c:v>20.200000000000017</c:v>
                </c:pt>
                <c:pt idx="253">
                  <c:v>20.300000000000018</c:v>
                </c:pt>
                <c:pt idx="254">
                  <c:v>20.40000000000002</c:v>
                </c:pt>
                <c:pt idx="255">
                  <c:v>20.500000000000021</c:v>
                </c:pt>
                <c:pt idx="256">
                  <c:v>20.600000000000023</c:v>
                </c:pt>
                <c:pt idx="257">
                  <c:v>20.700000000000024</c:v>
                </c:pt>
                <c:pt idx="258">
                  <c:v>20.800000000000026</c:v>
                </c:pt>
                <c:pt idx="259">
                  <c:v>20.900000000000027</c:v>
                </c:pt>
                <c:pt idx="260">
                  <c:v>21.000000000000028</c:v>
                </c:pt>
                <c:pt idx="261">
                  <c:v>21.10000000000003</c:v>
                </c:pt>
                <c:pt idx="262">
                  <c:v>21.200000000000031</c:v>
                </c:pt>
                <c:pt idx="263">
                  <c:v>21.300000000000033</c:v>
                </c:pt>
                <c:pt idx="264">
                  <c:v>21.400000000000034</c:v>
                </c:pt>
                <c:pt idx="265">
                  <c:v>21.500000000000036</c:v>
                </c:pt>
                <c:pt idx="266">
                  <c:v>21.600000000000037</c:v>
                </c:pt>
                <c:pt idx="267">
                  <c:v>21.700000000000038</c:v>
                </c:pt>
                <c:pt idx="268">
                  <c:v>21.80000000000004</c:v>
                </c:pt>
                <c:pt idx="269">
                  <c:v>21.900000000000041</c:v>
                </c:pt>
                <c:pt idx="270">
                  <c:v>22.000000000000043</c:v>
                </c:pt>
                <c:pt idx="271">
                  <c:v>22.100000000000044</c:v>
                </c:pt>
                <c:pt idx="272">
                  <c:v>22.200000000000045</c:v>
                </c:pt>
                <c:pt idx="273">
                  <c:v>22.300000000000047</c:v>
                </c:pt>
                <c:pt idx="274">
                  <c:v>22.400000000000048</c:v>
                </c:pt>
                <c:pt idx="275">
                  <c:v>22.50000000000005</c:v>
                </c:pt>
                <c:pt idx="276">
                  <c:v>22.600000000000051</c:v>
                </c:pt>
                <c:pt idx="277">
                  <c:v>22.700000000000053</c:v>
                </c:pt>
                <c:pt idx="278">
                  <c:v>22.800000000000054</c:v>
                </c:pt>
                <c:pt idx="279">
                  <c:v>22.900000000000055</c:v>
                </c:pt>
                <c:pt idx="280">
                  <c:v>23.000000000000057</c:v>
                </c:pt>
                <c:pt idx="281">
                  <c:v>23.100000000000058</c:v>
                </c:pt>
                <c:pt idx="282">
                  <c:v>23.20000000000006</c:v>
                </c:pt>
                <c:pt idx="283">
                  <c:v>23.300000000000061</c:v>
                </c:pt>
                <c:pt idx="284">
                  <c:v>23.400000000000063</c:v>
                </c:pt>
                <c:pt idx="285">
                  <c:v>23.500000000000064</c:v>
                </c:pt>
                <c:pt idx="286">
                  <c:v>23.600000000000065</c:v>
                </c:pt>
                <c:pt idx="287">
                  <c:v>23.700000000000067</c:v>
                </c:pt>
                <c:pt idx="288">
                  <c:v>23.800000000000068</c:v>
                </c:pt>
                <c:pt idx="289">
                  <c:v>23.90000000000007</c:v>
                </c:pt>
                <c:pt idx="290">
                  <c:v>24.000000000000071</c:v>
                </c:pt>
                <c:pt idx="291">
                  <c:v>24.100000000000072</c:v>
                </c:pt>
                <c:pt idx="292">
                  <c:v>24.200000000000074</c:v>
                </c:pt>
                <c:pt idx="293">
                  <c:v>24.300000000000075</c:v>
                </c:pt>
                <c:pt idx="294">
                  <c:v>24.400000000000077</c:v>
                </c:pt>
                <c:pt idx="295">
                  <c:v>24.500000000000078</c:v>
                </c:pt>
                <c:pt idx="296">
                  <c:v>24.60000000000008</c:v>
                </c:pt>
                <c:pt idx="297">
                  <c:v>24.700000000000081</c:v>
                </c:pt>
                <c:pt idx="298">
                  <c:v>24.800000000000082</c:v>
                </c:pt>
                <c:pt idx="299">
                  <c:v>24.900000000000084</c:v>
                </c:pt>
                <c:pt idx="300">
                  <c:v>25.000000000000085</c:v>
                </c:pt>
                <c:pt idx="301">
                  <c:v>25.100000000000087</c:v>
                </c:pt>
                <c:pt idx="302">
                  <c:v>25.200000000000088</c:v>
                </c:pt>
                <c:pt idx="303">
                  <c:v>25.30000000000009</c:v>
                </c:pt>
                <c:pt idx="304">
                  <c:v>25.400000000000091</c:v>
                </c:pt>
                <c:pt idx="305">
                  <c:v>25.500000000000092</c:v>
                </c:pt>
                <c:pt idx="306">
                  <c:v>25.600000000000094</c:v>
                </c:pt>
                <c:pt idx="307">
                  <c:v>25.700000000000095</c:v>
                </c:pt>
                <c:pt idx="308">
                  <c:v>25.800000000000097</c:v>
                </c:pt>
                <c:pt idx="309">
                  <c:v>25.900000000000098</c:v>
                </c:pt>
                <c:pt idx="310">
                  <c:v>26.000000000000099</c:v>
                </c:pt>
                <c:pt idx="311">
                  <c:v>26.100000000000101</c:v>
                </c:pt>
                <c:pt idx="312">
                  <c:v>26.200000000000102</c:v>
                </c:pt>
                <c:pt idx="313">
                  <c:v>26.300000000000104</c:v>
                </c:pt>
                <c:pt idx="314">
                  <c:v>26.400000000000105</c:v>
                </c:pt>
                <c:pt idx="315">
                  <c:v>26.500000000000107</c:v>
                </c:pt>
                <c:pt idx="316">
                  <c:v>26.600000000000108</c:v>
                </c:pt>
                <c:pt idx="317">
                  <c:v>26.700000000000109</c:v>
                </c:pt>
                <c:pt idx="318">
                  <c:v>26.800000000000111</c:v>
                </c:pt>
                <c:pt idx="319">
                  <c:v>26.900000000000112</c:v>
                </c:pt>
                <c:pt idx="320">
                  <c:v>27.000000000000114</c:v>
                </c:pt>
                <c:pt idx="321">
                  <c:v>27.100000000000115</c:v>
                </c:pt>
                <c:pt idx="322">
                  <c:v>27.200000000000117</c:v>
                </c:pt>
                <c:pt idx="323">
                  <c:v>27.300000000000118</c:v>
                </c:pt>
                <c:pt idx="324">
                  <c:v>27.400000000000119</c:v>
                </c:pt>
                <c:pt idx="325">
                  <c:v>27.500000000000121</c:v>
                </c:pt>
                <c:pt idx="326">
                  <c:v>27.600000000000122</c:v>
                </c:pt>
                <c:pt idx="327">
                  <c:v>27.700000000000124</c:v>
                </c:pt>
                <c:pt idx="328">
                  <c:v>27.800000000000125</c:v>
                </c:pt>
                <c:pt idx="329">
                  <c:v>27.900000000000126</c:v>
                </c:pt>
                <c:pt idx="330">
                  <c:v>28.000000000000128</c:v>
                </c:pt>
                <c:pt idx="331">
                  <c:v>28.100000000000129</c:v>
                </c:pt>
                <c:pt idx="332">
                  <c:v>28.200000000000131</c:v>
                </c:pt>
                <c:pt idx="333">
                  <c:v>28.300000000000132</c:v>
                </c:pt>
                <c:pt idx="334">
                  <c:v>28.400000000000134</c:v>
                </c:pt>
                <c:pt idx="335">
                  <c:v>28.500000000000135</c:v>
                </c:pt>
                <c:pt idx="336">
                  <c:v>28.600000000000136</c:v>
                </c:pt>
                <c:pt idx="337">
                  <c:v>28.700000000000138</c:v>
                </c:pt>
                <c:pt idx="338">
                  <c:v>28.800000000000139</c:v>
                </c:pt>
                <c:pt idx="339">
                  <c:v>28.900000000000141</c:v>
                </c:pt>
                <c:pt idx="340">
                  <c:v>29.000000000000142</c:v>
                </c:pt>
                <c:pt idx="341">
                  <c:v>29.100000000000144</c:v>
                </c:pt>
                <c:pt idx="342">
                  <c:v>29.200000000000145</c:v>
                </c:pt>
                <c:pt idx="343">
                  <c:v>29.300000000000146</c:v>
                </c:pt>
                <c:pt idx="344">
                  <c:v>29.400000000000148</c:v>
                </c:pt>
                <c:pt idx="345">
                  <c:v>29.500000000000149</c:v>
                </c:pt>
                <c:pt idx="346">
                  <c:v>29.600000000000151</c:v>
                </c:pt>
                <c:pt idx="347">
                  <c:v>29.700000000000152</c:v>
                </c:pt>
                <c:pt idx="348">
                  <c:v>29.800000000000153</c:v>
                </c:pt>
                <c:pt idx="349">
                  <c:v>29.900000000000155</c:v>
                </c:pt>
                <c:pt idx="350">
                  <c:v>30.000000000000156</c:v>
                </c:pt>
                <c:pt idx="351">
                  <c:v>30.100000000000158</c:v>
                </c:pt>
                <c:pt idx="352">
                  <c:v>30.200000000000159</c:v>
                </c:pt>
                <c:pt idx="353">
                  <c:v>30.300000000000161</c:v>
                </c:pt>
                <c:pt idx="354">
                  <c:v>30.400000000000162</c:v>
                </c:pt>
                <c:pt idx="355">
                  <c:v>30.500000000000163</c:v>
                </c:pt>
                <c:pt idx="356">
                  <c:v>30.600000000000165</c:v>
                </c:pt>
                <c:pt idx="357">
                  <c:v>30.700000000000166</c:v>
                </c:pt>
                <c:pt idx="358">
                  <c:v>30.800000000000168</c:v>
                </c:pt>
                <c:pt idx="359">
                  <c:v>30.900000000000169</c:v>
                </c:pt>
                <c:pt idx="360">
                  <c:v>31.000000000000171</c:v>
                </c:pt>
                <c:pt idx="361">
                  <c:v>31.100000000000172</c:v>
                </c:pt>
                <c:pt idx="362">
                  <c:v>31.200000000000173</c:v>
                </c:pt>
                <c:pt idx="363">
                  <c:v>31.300000000000175</c:v>
                </c:pt>
                <c:pt idx="364">
                  <c:v>31.400000000000176</c:v>
                </c:pt>
                <c:pt idx="365">
                  <c:v>31.500000000000178</c:v>
                </c:pt>
                <c:pt idx="366">
                  <c:v>31.600000000000179</c:v>
                </c:pt>
                <c:pt idx="367">
                  <c:v>31.70000000000018</c:v>
                </c:pt>
                <c:pt idx="368">
                  <c:v>31.800000000000182</c:v>
                </c:pt>
                <c:pt idx="369">
                  <c:v>31.900000000000183</c:v>
                </c:pt>
                <c:pt idx="370">
                  <c:v>32.000000000000185</c:v>
                </c:pt>
                <c:pt idx="371">
                  <c:v>32.100000000000186</c:v>
                </c:pt>
                <c:pt idx="372">
                  <c:v>32.200000000000188</c:v>
                </c:pt>
                <c:pt idx="373">
                  <c:v>32.300000000000189</c:v>
                </c:pt>
                <c:pt idx="374">
                  <c:v>32.40000000000019</c:v>
                </c:pt>
                <c:pt idx="375">
                  <c:v>32.500000000000192</c:v>
                </c:pt>
                <c:pt idx="376">
                  <c:v>32.600000000000193</c:v>
                </c:pt>
                <c:pt idx="377">
                  <c:v>32.700000000000195</c:v>
                </c:pt>
                <c:pt idx="378">
                  <c:v>32.800000000000196</c:v>
                </c:pt>
                <c:pt idx="379">
                  <c:v>32.900000000000198</c:v>
                </c:pt>
                <c:pt idx="380">
                  <c:v>33.000000000000199</c:v>
                </c:pt>
                <c:pt idx="381">
                  <c:v>33.1000000000002</c:v>
                </c:pt>
                <c:pt idx="382">
                  <c:v>33.200000000000202</c:v>
                </c:pt>
                <c:pt idx="383">
                  <c:v>33.300000000000203</c:v>
                </c:pt>
                <c:pt idx="384">
                  <c:v>33.400000000000205</c:v>
                </c:pt>
                <c:pt idx="385">
                  <c:v>33.500000000000206</c:v>
                </c:pt>
                <c:pt idx="386">
                  <c:v>33.600000000000207</c:v>
                </c:pt>
                <c:pt idx="387">
                  <c:v>33.700000000000209</c:v>
                </c:pt>
                <c:pt idx="388">
                  <c:v>33.80000000000021</c:v>
                </c:pt>
                <c:pt idx="389">
                  <c:v>33.900000000000212</c:v>
                </c:pt>
                <c:pt idx="390">
                  <c:v>34.000000000000213</c:v>
                </c:pt>
                <c:pt idx="391">
                  <c:v>34.100000000000215</c:v>
                </c:pt>
                <c:pt idx="392">
                  <c:v>34.200000000000216</c:v>
                </c:pt>
                <c:pt idx="393">
                  <c:v>34.300000000000217</c:v>
                </c:pt>
                <c:pt idx="394">
                  <c:v>34.400000000000219</c:v>
                </c:pt>
                <c:pt idx="395">
                  <c:v>34.50000000000022</c:v>
                </c:pt>
                <c:pt idx="396">
                  <c:v>34.600000000000222</c:v>
                </c:pt>
                <c:pt idx="397">
                  <c:v>34.700000000000223</c:v>
                </c:pt>
                <c:pt idx="398">
                  <c:v>34.800000000000225</c:v>
                </c:pt>
                <c:pt idx="399">
                  <c:v>34.900000000000226</c:v>
                </c:pt>
                <c:pt idx="400">
                  <c:v>35.000000000000227</c:v>
                </c:pt>
                <c:pt idx="401">
                  <c:v>35.100000000000229</c:v>
                </c:pt>
                <c:pt idx="402">
                  <c:v>35.20000000000023</c:v>
                </c:pt>
                <c:pt idx="403">
                  <c:v>35.300000000000232</c:v>
                </c:pt>
                <c:pt idx="404">
                  <c:v>35.400000000000233</c:v>
                </c:pt>
                <c:pt idx="405">
                  <c:v>35.500000000000234</c:v>
                </c:pt>
                <c:pt idx="406">
                  <c:v>35.600000000000236</c:v>
                </c:pt>
                <c:pt idx="407">
                  <c:v>35.700000000000237</c:v>
                </c:pt>
                <c:pt idx="408">
                  <c:v>35.800000000000239</c:v>
                </c:pt>
                <c:pt idx="409">
                  <c:v>35.90000000000024</c:v>
                </c:pt>
                <c:pt idx="410">
                  <c:v>36.000000000000242</c:v>
                </c:pt>
                <c:pt idx="411">
                  <c:v>36.100000000000243</c:v>
                </c:pt>
                <c:pt idx="412">
                  <c:v>36.200000000000244</c:v>
                </c:pt>
                <c:pt idx="413">
                  <c:v>36.300000000000246</c:v>
                </c:pt>
                <c:pt idx="414">
                  <c:v>36.400000000000247</c:v>
                </c:pt>
                <c:pt idx="415">
                  <c:v>36.500000000000249</c:v>
                </c:pt>
                <c:pt idx="416">
                  <c:v>36.60000000000025</c:v>
                </c:pt>
                <c:pt idx="417">
                  <c:v>36.700000000000252</c:v>
                </c:pt>
                <c:pt idx="418">
                  <c:v>36.800000000000253</c:v>
                </c:pt>
                <c:pt idx="419">
                  <c:v>36.900000000000254</c:v>
                </c:pt>
                <c:pt idx="420">
                  <c:v>37.000000000000256</c:v>
                </c:pt>
                <c:pt idx="421">
                  <c:v>37.100000000000257</c:v>
                </c:pt>
                <c:pt idx="422">
                  <c:v>37.200000000000259</c:v>
                </c:pt>
                <c:pt idx="423">
                  <c:v>37.30000000000026</c:v>
                </c:pt>
                <c:pt idx="424">
                  <c:v>37.400000000000261</c:v>
                </c:pt>
                <c:pt idx="425">
                  <c:v>37.500000000000263</c:v>
                </c:pt>
                <c:pt idx="426">
                  <c:v>37.600000000000264</c:v>
                </c:pt>
                <c:pt idx="427">
                  <c:v>37.700000000000266</c:v>
                </c:pt>
                <c:pt idx="428">
                  <c:v>37.800000000000267</c:v>
                </c:pt>
                <c:pt idx="429">
                  <c:v>37.900000000000269</c:v>
                </c:pt>
                <c:pt idx="430">
                  <c:v>38.00000000000027</c:v>
                </c:pt>
                <c:pt idx="431">
                  <c:v>38.100000000000271</c:v>
                </c:pt>
                <c:pt idx="432">
                  <c:v>38.200000000000273</c:v>
                </c:pt>
                <c:pt idx="433">
                  <c:v>38.300000000000274</c:v>
                </c:pt>
                <c:pt idx="434">
                  <c:v>38.400000000000276</c:v>
                </c:pt>
                <c:pt idx="435">
                  <c:v>38.500000000000277</c:v>
                </c:pt>
                <c:pt idx="436">
                  <c:v>38.600000000000279</c:v>
                </c:pt>
                <c:pt idx="437">
                  <c:v>38.70000000000028</c:v>
                </c:pt>
                <c:pt idx="438">
                  <c:v>38.800000000000281</c:v>
                </c:pt>
                <c:pt idx="439">
                  <c:v>38.900000000000283</c:v>
                </c:pt>
                <c:pt idx="440">
                  <c:v>39.000000000000284</c:v>
                </c:pt>
                <c:pt idx="441">
                  <c:v>39.100000000000286</c:v>
                </c:pt>
                <c:pt idx="442">
                  <c:v>39.200000000000287</c:v>
                </c:pt>
                <c:pt idx="443">
                  <c:v>39.300000000000288</c:v>
                </c:pt>
                <c:pt idx="444">
                  <c:v>39.40000000000029</c:v>
                </c:pt>
                <c:pt idx="445">
                  <c:v>39.500000000000291</c:v>
                </c:pt>
                <c:pt idx="446">
                  <c:v>39.600000000000293</c:v>
                </c:pt>
                <c:pt idx="447">
                  <c:v>39.700000000000294</c:v>
                </c:pt>
                <c:pt idx="448">
                  <c:v>39.800000000000296</c:v>
                </c:pt>
                <c:pt idx="449">
                  <c:v>39.900000000000297</c:v>
                </c:pt>
                <c:pt idx="450">
                  <c:v>40.000000000000298</c:v>
                </c:pt>
                <c:pt idx="451">
                  <c:v>40.1000000000003</c:v>
                </c:pt>
                <c:pt idx="452">
                  <c:v>40.200000000000301</c:v>
                </c:pt>
                <c:pt idx="453">
                  <c:v>40.300000000000303</c:v>
                </c:pt>
                <c:pt idx="454">
                  <c:v>40.400000000000304</c:v>
                </c:pt>
                <c:pt idx="455">
                  <c:v>40.500000000000306</c:v>
                </c:pt>
                <c:pt idx="456">
                  <c:v>40.600000000000307</c:v>
                </c:pt>
                <c:pt idx="457">
                  <c:v>40.700000000000308</c:v>
                </c:pt>
                <c:pt idx="458">
                  <c:v>40.80000000000031</c:v>
                </c:pt>
                <c:pt idx="459">
                  <c:v>40.900000000000311</c:v>
                </c:pt>
                <c:pt idx="460">
                  <c:v>41.000000000000313</c:v>
                </c:pt>
                <c:pt idx="461">
                  <c:v>41.100000000000314</c:v>
                </c:pt>
                <c:pt idx="462">
                  <c:v>41.200000000000315</c:v>
                </c:pt>
                <c:pt idx="463">
                  <c:v>41.300000000000317</c:v>
                </c:pt>
                <c:pt idx="464">
                  <c:v>41.400000000000318</c:v>
                </c:pt>
                <c:pt idx="465">
                  <c:v>41.50000000000032</c:v>
                </c:pt>
                <c:pt idx="466">
                  <c:v>41.600000000000321</c:v>
                </c:pt>
                <c:pt idx="467">
                  <c:v>41.700000000000323</c:v>
                </c:pt>
                <c:pt idx="468">
                  <c:v>41.800000000000324</c:v>
                </c:pt>
                <c:pt idx="469">
                  <c:v>41.900000000000325</c:v>
                </c:pt>
                <c:pt idx="470">
                  <c:v>42.000000000000327</c:v>
                </c:pt>
                <c:pt idx="471">
                  <c:v>42.100000000000328</c:v>
                </c:pt>
                <c:pt idx="472">
                  <c:v>42.20000000000033</c:v>
                </c:pt>
                <c:pt idx="473">
                  <c:v>42.300000000000331</c:v>
                </c:pt>
                <c:pt idx="474">
                  <c:v>42.400000000000333</c:v>
                </c:pt>
                <c:pt idx="475">
                  <c:v>42.500000000000334</c:v>
                </c:pt>
                <c:pt idx="476">
                  <c:v>42.600000000000335</c:v>
                </c:pt>
                <c:pt idx="477">
                  <c:v>42.700000000000337</c:v>
                </c:pt>
                <c:pt idx="478">
                  <c:v>42.800000000000338</c:v>
                </c:pt>
                <c:pt idx="479">
                  <c:v>42.90000000000034</c:v>
                </c:pt>
                <c:pt idx="480">
                  <c:v>43.000000000000341</c:v>
                </c:pt>
                <c:pt idx="481">
                  <c:v>43.100000000000342</c:v>
                </c:pt>
                <c:pt idx="482">
                  <c:v>43.200000000000344</c:v>
                </c:pt>
                <c:pt idx="483">
                  <c:v>43.300000000000345</c:v>
                </c:pt>
                <c:pt idx="484">
                  <c:v>43.400000000000347</c:v>
                </c:pt>
                <c:pt idx="485">
                  <c:v>43.500000000000348</c:v>
                </c:pt>
                <c:pt idx="486">
                  <c:v>43.60000000000035</c:v>
                </c:pt>
                <c:pt idx="487">
                  <c:v>43.700000000000351</c:v>
                </c:pt>
                <c:pt idx="488">
                  <c:v>43.800000000000352</c:v>
                </c:pt>
                <c:pt idx="489">
                  <c:v>43.900000000000354</c:v>
                </c:pt>
                <c:pt idx="490">
                  <c:v>44.000000000000355</c:v>
                </c:pt>
                <c:pt idx="491">
                  <c:v>44.100000000000357</c:v>
                </c:pt>
                <c:pt idx="492">
                  <c:v>44.200000000000358</c:v>
                </c:pt>
                <c:pt idx="493">
                  <c:v>44.30000000000036</c:v>
                </c:pt>
                <c:pt idx="494">
                  <c:v>44.400000000000361</c:v>
                </c:pt>
                <c:pt idx="495">
                  <c:v>44.500000000000362</c:v>
                </c:pt>
                <c:pt idx="496">
                  <c:v>44.600000000000364</c:v>
                </c:pt>
                <c:pt idx="497">
                  <c:v>44.700000000000365</c:v>
                </c:pt>
                <c:pt idx="498">
                  <c:v>44.800000000000367</c:v>
                </c:pt>
                <c:pt idx="499">
                  <c:v>44.900000000000368</c:v>
                </c:pt>
                <c:pt idx="500">
                  <c:v>45.000000000000369</c:v>
                </c:pt>
                <c:pt idx="501">
                  <c:v>45.100000000000371</c:v>
                </c:pt>
                <c:pt idx="502">
                  <c:v>45.200000000000372</c:v>
                </c:pt>
                <c:pt idx="503">
                  <c:v>45.300000000000374</c:v>
                </c:pt>
                <c:pt idx="504">
                  <c:v>45.400000000000375</c:v>
                </c:pt>
                <c:pt idx="505">
                  <c:v>45.500000000000377</c:v>
                </c:pt>
                <c:pt idx="506">
                  <c:v>45.600000000000378</c:v>
                </c:pt>
                <c:pt idx="507">
                  <c:v>45.700000000000379</c:v>
                </c:pt>
                <c:pt idx="508">
                  <c:v>45.800000000000381</c:v>
                </c:pt>
                <c:pt idx="509">
                  <c:v>45.900000000000382</c:v>
                </c:pt>
                <c:pt idx="510">
                  <c:v>46.000000000000384</c:v>
                </c:pt>
                <c:pt idx="511">
                  <c:v>46.100000000000385</c:v>
                </c:pt>
                <c:pt idx="512">
                  <c:v>46.200000000000387</c:v>
                </c:pt>
                <c:pt idx="513">
                  <c:v>46.300000000000388</c:v>
                </c:pt>
                <c:pt idx="514">
                  <c:v>46.400000000000389</c:v>
                </c:pt>
                <c:pt idx="515">
                  <c:v>46.500000000000391</c:v>
                </c:pt>
                <c:pt idx="516">
                  <c:v>46.600000000000392</c:v>
                </c:pt>
                <c:pt idx="517">
                  <c:v>46.700000000000394</c:v>
                </c:pt>
                <c:pt idx="518">
                  <c:v>46.800000000000395</c:v>
                </c:pt>
                <c:pt idx="519">
                  <c:v>46.900000000000396</c:v>
                </c:pt>
                <c:pt idx="520">
                  <c:v>47.000000000000398</c:v>
                </c:pt>
                <c:pt idx="521">
                  <c:v>47.100000000000399</c:v>
                </c:pt>
                <c:pt idx="522">
                  <c:v>47.200000000000401</c:v>
                </c:pt>
                <c:pt idx="523">
                  <c:v>47.300000000000402</c:v>
                </c:pt>
                <c:pt idx="524">
                  <c:v>47.400000000000404</c:v>
                </c:pt>
                <c:pt idx="525">
                  <c:v>47.500000000000405</c:v>
                </c:pt>
                <c:pt idx="526">
                  <c:v>47.600000000000406</c:v>
                </c:pt>
                <c:pt idx="527">
                  <c:v>47.700000000000408</c:v>
                </c:pt>
                <c:pt idx="528">
                  <c:v>47.800000000000409</c:v>
                </c:pt>
                <c:pt idx="529">
                  <c:v>47.900000000000411</c:v>
                </c:pt>
                <c:pt idx="530">
                  <c:v>48.000000000000412</c:v>
                </c:pt>
                <c:pt idx="531">
                  <c:v>48.100000000000414</c:v>
                </c:pt>
                <c:pt idx="532">
                  <c:v>48.200000000000415</c:v>
                </c:pt>
                <c:pt idx="533">
                  <c:v>48.300000000000416</c:v>
                </c:pt>
                <c:pt idx="534">
                  <c:v>48.400000000000418</c:v>
                </c:pt>
                <c:pt idx="535">
                  <c:v>48.500000000000419</c:v>
                </c:pt>
                <c:pt idx="536">
                  <c:v>48.600000000000421</c:v>
                </c:pt>
                <c:pt idx="537">
                  <c:v>48.700000000000422</c:v>
                </c:pt>
                <c:pt idx="538">
                  <c:v>48.800000000000423</c:v>
                </c:pt>
                <c:pt idx="539">
                  <c:v>48.900000000000425</c:v>
                </c:pt>
                <c:pt idx="540">
                  <c:v>49.000000000000426</c:v>
                </c:pt>
                <c:pt idx="541">
                  <c:v>49.100000000000428</c:v>
                </c:pt>
                <c:pt idx="542">
                  <c:v>49.200000000000429</c:v>
                </c:pt>
                <c:pt idx="543">
                  <c:v>49.300000000000431</c:v>
                </c:pt>
                <c:pt idx="544">
                  <c:v>49.400000000000432</c:v>
                </c:pt>
                <c:pt idx="545">
                  <c:v>49.500000000000433</c:v>
                </c:pt>
                <c:pt idx="546">
                  <c:v>49.600000000000435</c:v>
                </c:pt>
                <c:pt idx="547">
                  <c:v>49.700000000000436</c:v>
                </c:pt>
                <c:pt idx="548">
                  <c:v>49.800000000000438</c:v>
                </c:pt>
                <c:pt idx="549">
                  <c:v>49.900000000000439</c:v>
                </c:pt>
                <c:pt idx="550">
                  <c:v>50.000000000000441</c:v>
                </c:pt>
              </c:numCache>
            </c:numRef>
          </c:xVal>
          <c:yVal>
            <c:numRef>
              <c:f>'corrección temperatura'!$E$2:$E$567</c:f>
              <c:numCache>
                <c:formatCode>General</c:formatCode>
                <c:ptCount val="566"/>
                <c:pt idx="11">
                  <c:v>0.65789473684210531</c:v>
                </c:pt>
                <c:pt idx="39">
                  <c:v>0.69930069930069938</c:v>
                </c:pt>
                <c:pt idx="67">
                  <c:v>0.7407407407407407</c:v>
                </c:pt>
                <c:pt idx="94">
                  <c:v>0.76923076923076916</c:v>
                </c:pt>
                <c:pt idx="122">
                  <c:v>0.8</c:v>
                </c:pt>
                <c:pt idx="150">
                  <c:v>0.84033613445378152</c:v>
                </c:pt>
                <c:pt idx="178">
                  <c:v>0.86956521739130443</c:v>
                </c:pt>
                <c:pt idx="206">
                  <c:v>0.9009009009009008</c:v>
                </c:pt>
                <c:pt idx="233">
                  <c:v>0.92592592592592582</c:v>
                </c:pt>
                <c:pt idx="239">
                  <c:v>0.93283582089552231</c:v>
                </c:pt>
                <c:pt idx="244">
                  <c:v>0.93984962406015038</c:v>
                </c:pt>
                <c:pt idx="250">
                  <c:v>0.94696969696969691</c:v>
                </c:pt>
                <c:pt idx="256">
                  <c:v>0.95419847328244267</c:v>
                </c:pt>
                <c:pt idx="261">
                  <c:v>0.96153846153846145</c:v>
                </c:pt>
                <c:pt idx="267">
                  <c:v>0.96711798839458407</c:v>
                </c:pt>
                <c:pt idx="272">
                  <c:v>0.97181729834791064</c:v>
                </c:pt>
                <c:pt idx="278">
                  <c:v>0.97751710654936474</c:v>
                </c:pt>
                <c:pt idx="284">
                  <c:v>0.98328416912487715</c:v>
                </c:pt>
                <c:pt idx="289">
                  <c:v>0.98911968348170143</c:v>
                </c:pt>
                <c:pt idx="295">
                  <c:v>0.99403578528827041</c:v>
                </c:pt>
                <c:pt idx="300">
                  <c:v>1</c:v>
                </c:pt>
                <c:pt idx="317">
                  <c:v>1.0204081632653061</c:v>
                </c:pt>
                <c:pt idx="322">
                  <c:v>1.0245901639344261</c:v>
                </c:pt>
                <c:pt idx="328">
                  <c:v>1.0288065843621399</c:v>
                </c:pt>
                <c:pt idx="333">
                  <c:v>1.0330578512396695</c:v>
                </c:pt>
                <c:pt idx="339">
                  <c:v>1.0373443983402491</c:v>
                </c:pt>
                <c:pt idx="344">
                  <c:v>1.0416666666666667</c:v>
                </c:pt>
                <c:pt idx="350">
                  <c:v>1.0460251046025104</c:v>
                </c:pt>
                <c:pt idx="356">
                  <c:v>1.0504201680672269</c:v>
                </c:pt>
                <c:pt idx="361">
                  <c:v>1.0548523206751055</c:v>
                </c:pt>
                <c:pt idx="366">
                  <c:v>1.0593220338983051</c:v>
                </c:pt>
                <c:pt idx="372">
                  <c:v>1.0638297872340425</c:v>
                </c:pt>
                <c:pt idx="400">
                  <c:v>1.075268817204301</c:v>
                </c:pt>
                <c:pt idx="428">
                  <c:v>1.0989010989010988</c:v>
                </c:pt>
                <c:pt idx="456">
                  <c:v>1.1235955056179776</c:v>
                </c:pt>
                <c:pt idx="483">
                  <c:v>1.1363636363636365</c:v>
                </c:pt>
                <c:pt idx="511">
                  <c:v>1.1494252873563218</c:v>
                </c:pt>
                <c:pt idx="539">
                  <c:v>1.1627906976744187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E8-485D-8C53-A8BC63FDA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131199"/>
        <c:axId val="1526157823"/>
      </c:scatterChart>
      <c:valAx>
        <c:axId val="1526131199"/>
        <c:scaling>
          <c:orientation val="minMax"/>
          <c:max val="50"/>
          <c:min val="-5"/>
        </c:scaling>
        <c:delete val="0"/>
        <c:axPos val="b"/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100" b="1">
                    <a:solidFill>
                      <a:sysClr val="windowText" lastClr="000000"/>
                    </a:solidFill>
                  </a:rPr>
                  <a:t>Temperatura [°C]</a:t>
                </a:r>
              </a:p>
            </c:rich>
          </c:tx>
          <c:layout>
            <c:manualLayout>
              <c:xMode val="edge"/>
              <c:yMode val="edge"/>
              <c:x val="0.43662270341207349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26157823"/>
        <c:crosses val="autoZero"/>
        <c:crossBetween val="midCat"/>
        <c:majorUnit val="5"/>
        <c:minorUnit val="5"/>
      </c:valAx>
      <c:valAx>
        <c:axId val="1526157823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100" b="1">
                    <a:solidFill>
                      <a:sysClr val="windowText" lastClr="000000"/>
                    </a:solidFill>
                  </a:rPr>
                  <a:t>Factor de corrección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26131199"/>
        <c:crossesAt val="-5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865223097112876"/>
          <c:y val="0.57477981918926802"/>
          <c:w val="0.33714020122484689"/>
          <c:h val="0.15625109361329836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 b="1" i="0" baseline="0">
                <a:effectLst/>
              </a:rPr>
              <a:t>Factor anual de recuperación de la inversión</a:t>
            </a:r>
          </a:p>
          <a:p>
            <a:pPr>
              <a:defRPr/>
            </a:pPr>
            <a:r>
              <a:rPr lang="es-ES" sz="1400" b="1" i="0" baseline="0">
                <a:effectLst/>
              </a:rPr>
              <a:t>acumulador Ion-Li avi  =  f(q</a:t>
            </a:r>
            <a:r>
              <a:rPr lang="es-ES" sz="1400" b="1" i="0" baseline="-25000">
                <a:effectLst/>
              </a:rPr>
              <a:t>dr</a:t>
            </a:r>
            <a:r>
              <a:rPr lang="es-ES" sz="1400" b="1" i="0" baseline="0">
                <a:effectLst/>
              </a:rPr>
              <a:t>)</a:t>
            </a:r>
            <a:endParaRPr lang="es-ES" sz="1400">
              <a:effectLst/>
            </a:endParaRPr>
          </a:p>
        </c:rich>
      </c:tx>
      <c:layout>
        <c:manualLayout>
          <c:xMode val="edge"/>
          <c:yMode val="edge"/>
          <c:x val="0.2539994813939533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819918573170479"/>
          <c:y val="0.14163790247813041"/>
          <c:w val="0.83352801372269414"/>
          <c:h val="0.71698549810466627"/>
        </c:manualLayout>
      </c:layout>
      <c:scatterChart>
        <c:scatterStyle val="smoothMarker"/>
        <c:varyColors val="0"/>
        <c:ser>
          <c:idx val="0"/>
          <c:order val="0"/>
          <c:tx>
            <c:v>ia = 6 [%]</c:v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'Curva DOD Ion-Li'!$P$7:$P$34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Ion-Li'!$Q$7:$Q$34</c:f>
              <c:numCache>
                <c:formatCode>0.000</c:formatCode>
                <c:ptCount val="28"/>
                <c:pt idx="0">
                  <c:v>1.200000261464246</c:v>
                </c:pt>
                <c:pt idx="1">
                  <c:v>0.60032495330207802</c:v>
                </c:pt>
                <c:pt idx="2">
                  <c:v>0.40295409640262131</c:v>
                </c:pt>
                <c:pt idx="3">
                  <c:v>0.30831832120295488</c:v>
                </c:pt>
                <c:pt idx="4">
                  <c:v>0.25503695231476298</c:v>
                </c:pt>
                <c:pt idx="5">
                  <c:v>0.22204694512572715</c:v>
                </c:pt>
                <c:pt idx="6">
                  <c:v>0.20028389965633114</c:v>
                </c:pt>
                <c:pt idx="7">
                  <c:v>0.18529377174821118</c:v>
                </c:pt>
                <c:pt idx="8">
                  <c:v>0.17467390667062091</c:v>
                </c:pt>
                <c:pt idx="9">
                  <c:v>0.16703255240328096</c:v>
                </c:pt>
                <c:pt idx="10">
                  <c:v>0.16151685131002913</c:v>
                </c:pt>
                <c:pt idx="11">
                  <c:v>0.15758006666398061</c:v>
                </c:pt>
                <c:pt idx="12">
                  <c:v>0.15485880468339708</c:v>
                </c:pt>
                <c:pt idx="13">
                  <c:v>0.15310455055314168</c:v>
                </c:pt>
                <c:pt idx="14">
                  <c:v>0.15214366782815342</c:v>
                </c:pt>
                <c:pt idx="15">
                  <c:v>0.15185308988179202</c:v>
                </c:pt>
                <c:pt idx="16">
                  <c:v>0.15214505149256374</c:v>
                </c:pt>
                <c:pt idx="17">
                  <c:v>0.15295723501525052</c:v>
                </c:pt>
                <c:pt idx="18">
                  <c:v>0.15424627609271241</c:v>
                </c:pt>
                <c:pt idx="19">
                  <c:v>0.15598342423322073</c:v>
                </c:pt>
                <c:pt idx="20">
                  <c:v>0.15815163193738652</c:v>
                </c:pt>
                <c:pt idx="21">
                  <c:v>0.16074362483610394</c:v>
                </c:pt>
                <c:pt idx="22">
                  <c:v>0.16376067346970125</c:v>
                </c:pt>
                <c:pt idx="23">
                  <c:v>0.16721189257737218</c:v>
                </c:pt>
                <c:pt idx="24">
                  <c:v>0.17111396258308559</c:v>
                </c:pt>
                <c:pt idx="25">
                  <c:v>0.17549121569766235</c:v>
                </c:pt>
                <c:pt idx="26">
                  <c:v>0.18037606504673045</c:v>
                </c:pt>
                <c:pt idx="27">
                  <c:v>0.18580978562385378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5F33-4219-8F84-F2608C173BA5}"/>
            </c:ext>
          </c:extLst>
        </c:ser>
        <c:ser>
          <c:idx val="1"/>
          <c:order val="1"/>
          <c:tx>
            <c:v>ia = 8 [%]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'Curva DOD Ion-Li'!$P$7:$P$34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Ion-Li'!$R$7:$R$34</c:f>
              <c:numCache>
                <c:formatCode>0.000</c:formatCode>
                <c:ptCount val="28"/>
                <c:pt idx="0">
                  <c:v>1.6000000025428243</c:v>
                </c:pt>
                <c:pt idx="1">
                  <c:v>0.80003878477449875</c:v>
                </c:pt>
                <c:pt idx="2">
                  <c:v>0.53414241416942942</c:v>
                </c:pt>
                <c:pt idx="3">
                  <c:v>0.40341570187212766</c:v>
                </c:pt>
                <c:pt idx="4">
                  <c:v>0.32779405780464443</c:v>
                </c:pt>
                <c:pt idx="5">
                  <c:v>0.27991450033344778</c:v>
                </c:pt>
                <c:pt idx="6">
                  <c:v>0.24774318231545697</c:v>
                </c:pt>
                <c:pt idx="7">
                  <c:v>0.22519892004904324</c:v>
                </c:pt>
                <c:pt idx="8">
                  <c:v>0.20892096303611782</c:v>
                </c:pt>
                <c:pt idx="9">
                  <c:v>0.19692643034917642</c:v>
                </c:pt>
                <c:pt idx="10">
                  <c:v>0.18798375933373088</c:v>
                </c:pt>
                <c:pt idx="11">
                  <c:v>0.18129550161356967</c:v>
                </c:pt>
                <c:pt idx="12">
                  <c:v>0.17632736457894999</c:v>
                </c:pt>
                <c:pt idx="13">
                  <c:v>0.1727112569970837</c:v>
                </c:pt>
                <c:pt idx="14">
                  <c:v>0.17018789996866956</c:v>
                </c:pt>
                <c:pt idx="15">
                  <c:v>0.16857159563420065</c:v>
                </c:pt>
                <c:pt idx="16">
                  <c:v>0.16772791430539277</c:v>
                </c:pt>
                <c:pt idx="17">
                  <c:v>0.16755918661637614</c:v>
                </c:pt>
                <c:pt idx="18">
                  <c:v>0.16799486610119641</c:v>
                </c:pt>
                <c:pt idx="19">
                  <c:v>0.16898502404395657</c:v>
                </c:pt>
                <c:pt idx="20">
                  <c:v>0.17049591890469462</c:v>
                </c:pt>
                <c:pt idx="21">
                  <c:v>0.1725069823454346</c:v>
                </c:pt>
                <c:pt idx="22">
                  <c:v>0.17500880610570665</c:v>
                </c:pt>
                <c:pt idx="23">
                  <c:v>0.17800186554680492</c:v>
                </c:pt>
                <c:pt idx="24">
                  <c:v>0.18149581408038221</c:v>
                </c:pt>
                <c:pt idx="25">
                  <c:v>0.18550924968380325</c:v>
                </c:pt>
                <c:pt idx="26">
                  <c:v>0.19006990346692773</c:v>
                </c:pt>
                <c:pt idx="27">
                  <c:v>0.19521523928474904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5F33-4219-8F84-F2608C173BA5}"/>
            </c:ext>
          </c:extLst>
        </c:ser>
        <c:ser>
          <c:idx val="2"/>
          <c:order val="2"/>
          <c:tx>
            <c:v>ia = 10 [%]</c:v>
          </c:tx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'Curva DOD Ion-Li'!$P$7:$P$34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Ion-Li'!$S$7:$S$34</c:f>
              <c:numCache>
                <c:formatCode>0.000</c:formatCode>
                <c:ptCount val="28"/>
                <c:pt idx="0">
                  <c:v>2.0000000000253748</c:v>
                </c:pt>
                <c:pt idx="1">
                  <c:v>1.000004538331287</c:v>
                </c:pt>
                <c:pt idx="2">
                  <c:v>0.66688150697278603</c:v>
                </c:pt>
                <c:pt idx="3">
                  <c:v>0.50136083014441146</c:v>
                </c:pt>
                <c:pt idx="4">
                  <c:v>0.40393840638788037</c:v>
                </c:pt>
                <c:pt idx="5">
                  <c:v>0.34113461101685222</c:v>
                </c:pt>
                <c:pt idx="6">
                  <c:v>0.29825375447533614</c:v>
                </c:pt>
                <c:pt idx="7">
                  <c:v>0.26777471885694515</c:v>
                </c:pt>
                <c:pt idx="8">
                  <c:v>0.24546494797183624</c:v>
                </c:pt>
                <c:pt idx="9">
                  <c:v>0.22878275669040177</c:v>
                </c:pt>
                <c:pt idx="10">
                  <c:v>0.21612563181293787</c:v>
                </c:pt>
                <c:pt idx="11">
                  <c:v>0.20644320412653591</c:v>
                </c:pt>
                <c:pt idx="12">
                  <c:v>0.19902470905282935</c:v>
                </c:pt>
                <c:pt idx="13">
                  <c:v>0.19337632636942487</c:v>
                </c:pt>
                <c:pt idx="14">
                  <c:v>0.1891474692308599</c:v>
                </c:pt>
                <c:pt idx="15">
                  <c:v>0.18608495410040055</c:v>
                </c:pt>
                <c:pt idx="16">
                  <c:v>0.18400366388166484</c:v>
                </c:pt>
                <c:pt idx="17">
                  <c:v>0.18276729591711718</c:v>
                </c:pt>
                <c:pt idx="18">
                  <c:v>0.18227546273073036</c:v>
                </c:pt>
                <c:pt idx="19">
                  <c:v>0.18245490656356417</c:v>
                </c:pt>
                <c:pt idx="20">
                  <c:v>0.18325344977078298</c:v>
                </c:pt>
                <c:pt idx="21">
                  <c:v>0.18463581477023533</c:v>
                </c:pt>
                <c:pt idx="22">
                  <c:v>0.18658076002466076</c:v>
                </c:pt>
                <c:pt idx="23">
                  <c:v>0.18907917536562666</c:v>
                </c:pt>
                <c:pt idx="24">
                  <c:v>0.1921329078653129</c:v>
                </c:pt>
                <c:pt idx="25">
                  <c:v>0.19575417599193376</c:v>
                </c:pt>
                <c:pt idx="26">
                  <c:v>0.19996549170353906</c:v>
                </c:pt>
                <c:pt idx="27">
                  <c:v>0.20480005817448563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5F33-4219-8F84-F2608C173BA5}"/>
            </c:ext>
          </c:extLst>
        </c:ser>
        <c:ser>
          <c:idx val="3"/>
          <c:order val="3"/>
          <c:tx>
            <c:v>qd = 0,80</c:v>
          </c:tx>
          <c:spPr>
            <a:ln w="25400">
              <a:solidFill>
                <a:srgbClr val="0070C0"/>
              </a:solidFill>
              <a:prstDash val="sysDot"/>
            </a:ln>
          </c:spPr>
          <c:marker>
            <c:symbol val="none"/>
          </c:marker>
          <c:xVal>
            <c:numRef>
              <c:f>'Curva DOD Ion-Li'!$P$7:$P$34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Ion-Li'!$T$7:$T$34</c:f>
              <c:numCache>
                <c:formatCode>0</c:formatCode>
                <c:ptCount val="28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5F33-4219-8F84-F2608C173BA5}"/>
            </c:ext>
          </c:extLst>
        </c:ser>
        <c:ser>
          <c:idx val="4"/>
          <c:order val="4"/>
          <c:tx>
            <c:v>qd = 0,90</c:v>
          </c:tx>
          <c:spPr>
            <a:ln w="25400">
              <a:solidFill>
                <a:srgbClr val="C00000"/>
              </a:solidFill>
              <a:prstDash val="sysDot"/>
            </a:ln>
          </c:spPr>
          <c:marker>
            <c:symbol val="none"/>
          </c:marker>
          <c:xVal>
            <c:numRef>
              <c:f>'Curva DOD Ion-Li'!$P$7:$P$34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Ion-Li'!$U$7:$U$34</c:f>
              <c:numCache>
                <c:formatCode>0</c:formatCode>
                <c:ptCount val="28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5F33-4219-8F84-F2608C173BA5}"/>
            </c:ext>
          </c:extLst>
        </c:ser>
        <c:ser>
          <c:idx val="5"/>
          <c:order val="5"/>
          <c:tx>
            <c:v>qd = 0,95</c:v>
          </c:tx>
          <c:spPr>
            <a:ln w="19050">
              <a:solidFill>
                <a:srgbClr val="7030A0"/>
              </a:solidFill>
              <a:prstDash val="sysDot"/>
            </a:ln>
          </c:spPr>
          <c:marker>
            <c:symbol val="none"/>
          </c:marker>
          <c:dPt>
            <c:idx val="19"/>
            <c:bubble3D val="0"/>
            <c:spPr>
              <a:ln w="25400">
                <a:solidFill>
                  <a:srgbClr val="7030A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D-5F33-4219-8F84-F2608C173BA5}"/>
              </c:ext>
            </c:extLst>
          </c:dPt>
          <c:xVal>
            <c:numRef>
              <c:f>'Curva DOD Ion-Li'!$P$7:$P$34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Ion-Li'!$V$7:$V$34</c:f>
              <c:numCache>
                <c:formatCode>0</c:formatCode>
                <c:ptCount val="28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5F33-4219-8F84-F2608C173BA5}"/>
            </c:ext>
          </c:extLst>
        </c:ser>
        <c:ser>
          <c:idx val="6"/>
          <c:order val="6"/>
          <c:tx>
            <c:v>AVI = 0,152</c:v>
          </c:tx>
          <c:spPr>
            <a:ln w="19050">
              <a:solidFill>
                <a:srgbClr val="0070C0"/>
              </a:solidFill>
              <a:prstDash val="lgDash"/>
            </a:ln>
          </c:spPr>
          <c:marker>
            <c:symbol val="none"/>
          </c:marker>
          <c:xVal>
            <c:numRef>
              <c:f>'Curva DOD Ion-Li'!$P$7:$P$34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Ion-Li'!$W$7:$W$34</c:f>
              <c:numCache>
                <c:formatCode>0.000</c:formatCode>
                <c:ptCount val="28"/>
                <c:pt idx="0">
                  <c:v>0.15185308988179202</c:v>
                </c:pt>
                <c:pt idx="1">
                  <c:v>0.15185308988179202</c:v>
                </c:pt>
                <c:pt idx="2">
                  <c:v>0.15185308988179202</c:v>
                </c:pt>
                <c:pt idx="3">
                  <c:v>0.15185308988179202</c:v>
                </c:pt>
                <c:pt idx="4">
                  <c:v>0.15185308988179202</c:v>
                </c:pt>
                <c:pt idx="5">
                  <c:v>0.15185308988179202</c:v>
                </c:pt>
                <c:pt idx="6">
                  <c:v>0.15185308988179202</c:v>
                </c:pt>
                <c:pt idx="7">
                  <c:v>0.15185308988179202</c:v>
                </c:pt>
                <c:pt idx="8">
                  <c:v>0.15185308988179202</c:v>
                </c:pt>
                <c:pt idx="9">
                  <c:v>0.15185308988179202</c:v>
                </c:pt>
                <c:pt idx="10">
                  <c:v>0.15185308988179202</c:v>
                </c:pt>
                <c:pt idx="11">
                  <c:v>0.15185308988179202</c:v>
                </c:pt>
                <c:pt idx="12">
                  <c:v>0.15185308988179202</c:v>
                </c:pt>
                <c:pt idx="13">
                  <c:v>0.15185308988179202</c:v>
                </c:pt>
                <c:pt idx="14">
                  <c:v>0.15185308988179202</c:v>
                </c:pt>
                <c:pt idx="15">
                  <c:v>0.15185308988179202</c:v>
                </c:pt>
                <c:pt idx="16">
                  <c:v>0.15185308988179202</c:v>
                </c:pt>
                <c:pt idx="17">
                  <c:v>0.15185308988179202</c:v>
                </c:pt>
                <c:pt idx="18">
                  <c:v>0.15185308988179202</c:v>
                </c:pt>
                <c:pt idx="19">
                  <c:v>0.15185308988179202</c:v>
                </c:pt>
                <c:pt idx="20">
                  <c:v>0.15185308988179202</c:v>
                </c:pt>
                <c:pt idx="21">
                  <c:v>0.15185308988179202</c:v>
                </c:pt>
                <c:pt idx="22">
                  <c:v>0.15185308988179202</c:v>
                </c:pt>
                <c:pt idx="23">
                  <c:v>0.15185308988179202</c:v>
                </c:pt>
                <c:pt idx="24">
                  <c:v>0.15185308988179202</c:v>
                </c:pt>
                <c:pt idx="25">
                  <c:v>0.15185308988179202</c:v>
                </c:pt>
                <c:pt idx="26">
                  <c:v>0.15185308988179202</c:v>
                </c:pt>
                <c:pt idx="27">
                  <c:v>0.15185308988179202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5F33-4219-8F84-F2608C173BA5}"/>
            </c:ext>
          </c:extLst>
        </c:ser>
        <c:ser>
          <c:idx val="7"/>
          <c:order val="7"/>
          <c:tx>
            <c:v>AVI = 0,168</c:v>
          </c:tx>
          <c:spPr>
            <a:ln w="19050">
              <a:solidFill>
                <a:srgbClr val="C00000"/>
              </a:solidFill>
              <a:prstDash val="lgDash"/>
            </a:ln>
          </c:spPr>
          <c:marker>
            <c:symbol val="none"/>
          </c:marker>
          <c:xVal>
            <c:numRef>
              <c:f>'Curva DOD Ion-Li'!$P$7:$P$34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Ion-Li'!$X$7:$X$34</c:f>
              <c:numCache>
                <c:formatCode>0.000</c:formatCode>
                <c:ptCount val="28"/>
                <c:pt idx="0">
                  <c:v>0.16755918661637614</c:v>
                </c:pt>
                <c:pt idx="1">
                  <c:v>0.16755918661637614</c:v>
                </c:pt>
                <c:pt idx="2">
                  <c:v>0.16755918661637614</c:v>
                </c:pt>
                <c:pt idx="3">
                  <c:v>0.16755918661637614</c:v>
                </c:pt>
                <c:pt idx="4">
                  <c:v>0.16755918661637614</c:v>
                </c:pt>
                <c:pt idx="5">
                  <c:v>0.16755918661637614</c:v>
                </c:pt>
                <c:pt idx="6">
                  <c:v>0.16755918661637614</c:v>
                </c:pt>
                <c:pt idx="7">
                  <c:v>0.16755918661637614</c:v>
                </c:pt>
                <c:pt idx="8">
                  <c:v>0.16755918661637614</c:v>
                </c:pt>
                <c:pt idx="9">
                  <c:v>0.16755918661637614</c:v>
                </c:pt>
                <c:pt idx="10">
                  <c:v>0.16755918661637614</c:v>
                </c:pt>
                <c:pt idx="11">
                  <c:v>0.16755918661637614</c:v>
                </c:pt>
                <c:pt idx="12">
                  <c:v>0.16755918661637614</c:v>
                </c:pt>
                <c:pt idx="13">
                  <c:v>0.16755918661637614</c:v>
                </c:pt>
                <c:pt idx="14">
                  <c:v>0.16755918661637614</c:v>
                </c:pt>
                <c:pt idx="15">
                  <c:v>0.16755918661637614</c:v>
                </c:pt>
                <c:pt idx="16">
                  <c:v>0.16755918661637614</c:v>
                </c:pt>
                <c:pt idx="17">
                  <c:v>0.16755918661637614</c:v>
                </c:pt>
                <c:pt idx="18">
                  <c:v>0.16755918661637614</c:v>
                </c:pt>
                <c:pt idx="19">
                  <c:v>0.16755918661637614</c:v>
                </c:pt>
                <c:pt idx="20">
                  <c:v>0.16755918661637614</c:v>
                </c:pt>
                <c:pt idx="21">
                  <c:v>0.16755918661637614</c:v>
                </c:pt>
                <c:pt idx="22">
                  <c:v>0.16755918661637614</c:v>
                </c:pt>
                <c:pt idx="23">
                  <c:v>0.16755918661637614</c:v>
                </c:pt>
                <c:pt idx="24">
                  <c:v>0.16755918661637614</c:v>
                </c:pt>
                <c:pt idx="25">
                  <c:v>0.16755918661637614</c:v>
                </c:pt>
                <c:pt idx="26">
                  <c:v>0.16755918661637614</c:v>
                </c:pt>
                <c:pt idx="27">
                  <c:v>0.16755918661637614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5F33-4219-8F84-F2608C173BA5}"/>
            </c:ext>
          </c:extLst>
        </c:ser>
        <c:ser>
          <c:idx val="8"/>
          <c:order val="8"/>
          <c:tx>
            <c:v>AVI = 0,182</c:v>
          </c:tx>
          <c:spPr>
            <a:ln w="19050">
              <a:solidFill>
                <a:srgbClr val="7030A0"/>
              </a:solidFill>
              <a:prstDash val="lgDash"/>
            </a:ln>
          </c:spPr>
          <c:marker>
            <c:symbol val="none"/>
          </c:marker>
          <c:xVal>
            <c:numRef>
              <c:f>'Curva DOD Ion-Li'!$P$7:$P$34</c:f>
              <c:numCache>
                <c:formatCode>0.00</c:formatCode>
                <c:ptCount val="28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  <c:pt idx="19">
                  <c:v>1.0000000000000002</c:v>
                </c:pt>
                <c:pt idx="20">
                  <c:v>1.0500000000000003</c:v>
                </c:pt>
                <c:pt idx="21">
                  <c:v>1.1000000000000003</c:v>
                </c:pt>
                <c:pt idx="22">
                  <c:v>1.1500000000000004</c:v>
                </c:pt>
                <c:pt idx="23">
                  <c:v>1.2000000000000004</c:v>
                </c:pt>
                <c:pt idx="24">
                  <c:v>1.2500000000000004</c:v>
                </c:pt>
                <c:pt idx="25">
                  <c:v>1.3000000000000005</c:v>
                </c:pt>
                <c:pt idx="26">
                  <c:v>1.3500000000000005</c:v>
                </c:pt>
                <c:pt idx="27">
                  <c:v>1.4000000000000006</c:v>
                </c:pt>
              </c:numCache>
            </c:numRef>
          </c:xVal>
          <c:yVal>
            <c:numRef>
              <c:f>'Curva DOD Ion-Li'!$Y$7:$Y$34</c:f>
              <c:numCache>
                <c:formatCode>0.000</c:formatCode>
                <c:ptCount val="28"/>
                <c:pt idx="0">
                  <c:v>0.18227546273073036</c:v>
                </c:pt>
                <c:pt idx="1">
                  <c:v>0.18227546273073036</c:v>
                </c:pt>
                <c:pt idx="2">
                  <c:v>0.18227546273073036</c:v>
                </c:pt>
                <c:pt idx="3">
                  <c:v>0.18227546273073036</c:v>
                </c:pt>
                <c:pt idx="4">
                  <c:v>0.18227546273073036</c:v>
                </c:pt>
                <c:pt idx="5">
                  <c:v>0.18227546273073036</c:v>
                </c:pt>
                <c:pt idx="6">
                  <c:v>0.18227546273073036</c:v>
                </c:pt>
                <c:pt idx="7">
                  <c:v>0.18227546273073036</c:v>
                </c:pt>
                <c:pt idx="8">
                  <c:v>0.18227546273073036</c:v>
                </c:pt>
                <c:pt idx="9">
                  <c:v>0.18227546273073036</c:v>
                </c:pt>
                <c:pt idx="10">
                  <c:v>0.18227546273073036</c:v>
                </c:pt>
                <c:pt idx="11">
                  <c:v>0.18227546273073036</c:v>
                </c:pt>
                <c:pt idx="12">
                  <c:v>0.18227546273073036</c:v>
                </c:pt>
                <c:pt idx="13">
                  <c:v>0.18227546273073036</c:v>
                </c:pt>
                <c:pt idx="14">
                  <c:v>0.18227546273073036</c:v>
                </c:pt>
                <c:pt idx="15">
                  <c:v>0.18227546273073036</c:v>
                </c:pt>
                <c:pt idx="16">
                  <c:v>0.18227546273073036</c:v>
                </c:pt>
                <c:pt idx="17">
                  <c:v>0.18227546273073036</c:v>
                </c:pt>
                <c:pt idx="18">
                  <c:v>0.18227546273073036</c:v>
                </c:pt>
                <c:pt idx="19">
                  <c:v>0.18227546273073036</c:v>
                </c:pt>
                <c:pt idx="20">
                  <c:v>0.18227546273073036</c:v>
                </c:pt>
                <c:pt idx="21">
                  <c:v>0.18227546273073036</c:v>
                </c:pt>
                <c:pt idx="22">
                  <c:v>0.18227546273073036</c:v>
                </c:pt>
                <c:pt idx="23">
                  <c:v>0.18227546273073036</c:v>
                </c:pt>
                <c:pt idx="24">
                  <c:v>0.18227546273073036</c:v>
                </c:pt>
                <c:pt idx="25">
                  <c:v>0.18227546273073036</c:v>
                </c:pt>
                <c:pt idx="26">
                  <c:v>0.18227546273073036</c:v>
                </c:pt>
                <c:pt idx="27">
                  <c:v>0.18227546273073036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5F33-4219-8F84-F2608C17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31936"/>
        <c:axId val="118120832"/>
      </c:scatterChart>
      <c:valAx>
        <c:axId val="117831936"/>
        <c:scaling>
          <c:orientation val="minMax"/>
          <c:max val="1.4"/>
          <c:min val="0.2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 b="1" i="0" baseline="0">
                    <a:effectLst/>
                  </a:rPr>
                  <a:t>Profundidad de la descarga q</a:t>
                </a:r>
                <a:r>
                  <a:rPr lang="es-ES" sz="1100" b="1" i="0" baseline="-25000">
                    <a:effectLst/>
                  </a:rPr>
                  <a:t>d</a:t>
                </a:r>
                <a:r>
                  <a:rPr lang="es-ES" sz="1100" b="1" i="0" baseline="0">
                    <a:effectLst/>
                  </a:rPr>
                  <a:t> [0/1]</a:t>
                </a:r>
                <a:endParaRPr lang="es-CL" sz="1100"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8120832"/>
        <c:crosses val="autoZero"/>
        <c:crossBetween val="midCat"/>
        <c:majorUnit val="0.1"/>
        <c:minorUnit val="1.0000000000000002E-2"/>
      </c:valAx>
      <c:valAx>
        <c:axId val="118120832"/>
        <c:scaling>
          <c:orientation val="minMax"/>
          <c:max val="0.60000000000000009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050"/>
                  <a:t>Factor de recuperacion de la inversión avi [0/1]</a:t>
                </a:r>
              </a:p>
            </c:rich>
          </c:tx>
          <c:layout>
            <c:manualLayout>
              <c:xMode val="edge"/>
              <c:yMode val="edge"/>
              <c:x val="1.8879781759563521E-2"/>
              <c:y val="0.12712548340365309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17831936"/>
        <c:crosses val="autoZero"/>
        <c:crossBetween val="midCat"/>
        <c:majorUnit val="0.1"/>
        <c:minorUnit val="1.0000000000000002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39242283463314781"/>
          <c:y val="0.16123149125009748"/>
          <c:w val="0.54543856821046977"/>
          <c:h val="0.15508826178659307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 paperSize="9" orientation="landscape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CORRIENTE  DE  RECARGA  A  TENSIÓN  CONSTANTE</a:t>
            </a:r>
          </a:p>
          <a:p>
            <a:pPr>
              <a:defRPr/>
            </a:pPr>
            <a:r>
              <a:rPr lang="en-US" sz="1200"/>
              <a:t>ACUMULADOR  Pb  SELLADO  ABSOLYTE  100 A 39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3954944388005375"/>
          <c:y val="0.13644231675242027"/>
          <c:w val="0.81599765997989293"/>
          <c:h val="0.74757776803108189"/>
        </c:manualLayout>
      </c:layout>
      <c:scatterChart>
        <c:scatterStyle val="smoothMarker"/>
        <c:varyColors val="0"/>
        <c:ser>
          <c:idx val="0"/>
          <c:order val="0"/>
          <c:tx>
            <c:v>Ur  =  2,00  [V/c]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'Curva de carga Pb sellada'!$V$8:$V$108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sellada'!$W$8:$W$108</c:f>
              <c:numCache>
                <c:formatCode>#,##0.0</c:formatCode>
                <c:ptCount val="101"/>
                <c:pt idx="0">
                  <c:v>229.09507445589938</c:v>
                </c:pt>
                <c:pt idx="1">
                  <c:v>220.69416270796373</c:v>
                </c:pt>
                <c:pt idx="2">
                  <c:v>212.60131222395626</c:v>
                </c:pt>
                <c:pt idx="3">
                  <c:v>204.80522640355778</c:v>
                </c:pt>
                <c:pt idx="4">
                  <c:v>197.29502289255447</c:v>
                </c:pt>
                <c:pt idx="5">
                  <c:v>190.06021839244133</c:v>
                </c:pt>
                <c:pt idx="6">
                  <c:v>183.09071402705771</c:v>
                </c:pt>
                <c:pt idx="7">
                  <c:v>176.37678124582749</c:v>
                </c:pt>
                <c:pt idx="8">
                  <c:v>169.90904824392757</c:v>
                </c:pt>
                <c:pt idx="9">
                  <c:v>163.67848688042804</c:v>
                </c:pt>
                <c:pt idx="10">
                  <c:v>157.67640007614443</c:v>
                </c:pt>
                <c:pt idx="11">
                  <c:v>151.89440967361017</c:v>
                </c:pt>
                <c:pt idx="12">
                  <c:v>146.32444474222351</c:v>
                </c:pt>
                <c:pt idx="13">
                  <c:v>140.95873031224463</c:v>
                </c:pt>
                <c:pt idx="14">
                  <c:v>135.78977652191691</c:v>
                </c:pt>
                <c:pt idx="15">
                  <c:v>130.81036816256295</c:v>
                </c:pt>
                <c:pt idx="16">
                  <c:v>126.01355460706155</c:v>
                </c:pt>
                <c:pt idx="17">
                  <c:v>121.39264010764754</c:v>
                </c:pt>
                <c:pt idx="18">
                  <c:v>116.94117444949097</c:v>
                </c:pt>
                <c:pt idx="19">
                  <c:v>112.65294394700919</c:v>
                </c:pt>
                <c:pt idx="20">
                  <c:v>108.52196277034429</c:v>
                </c:pt>
                <c:pt idx="21">
                  <c:v>104.54246458989819</c:v>
                </c:pt>
                <c:pt idx="22">
                  <c:v>100.70889452726252</c:v>
                </c:pt>
                <c:pt idx="23">
                  <c:v>97.015901401307914</c:v>
                </c:pt>
                <c:pt idx="24">
                  <c:v>93.458330258608797</c:v>
                </c:pt>
                <c:pt idx="25">
                  <c:v>90.031215177777455</c:v>
                </c:pt>
                <c:pt idx="26">
                  <c:v>86.729772337663022</c:v>
                </c:pt>
                <c:pt idx="27">
                  <c:v>83.549393339739524</c:v>
                </c:pt>
                <c:pt idx="28">
                  <c:v>80.485638775361807</c:v>
                </c:pt>
                <c:pt idx="29">
                  <c:v>77.534232028909926</c:v>
                </c:pt>
                <c:pt idx="30">
                  <c:v>74.691053308172201</c:v>
                </c:pt>
                <c:pt idx="31">
                  <c:v>71.952133893634112</c:v>
                </c:pt>
                <c:pt idx="32">
                  <c:v>69.313650598645481</c:v>
                </c:pt>
                <c:pt idx="33">
                  <c:v>66.771920432733239</c:v>
                </c:pt>
                <c:pt idx="34">
                  <c:v>64.32339546061057</c:v>
                </c:pt>
                <c:pt idx="35">
                  <c:v>61.964657849705837</c:v>
                </c:pt>
                <c:pt idx="36">
                  <c:v>59.692415099298664</c:v>
                </c:pt>
                <c:pt idx="37">
                  <c:v>57.503495444603587</c:v>
                </c:pt>
                <c:pt idx="38">
                  <c:v>55.394843429385659</c:v>
                </c:pt>
                <c:pt idx="39">
                  <c:v>53.36351564092827</c:v>
                </c:pt>
                <c:pt idx="40">
                  <c:v>51.406676601399646</c:v>
                </c:pt>
                <c:pt idx="41">
                  <c:v>49.521594809882735</c:v>
                </c:pt>
                <c:pt idx="42">
                  <c:v>47.705638929543916</c:v>
                </c:pt>
                <c:pt idx="43">
                  <c:v>45.956274114618004</c:v>
                </c:pt>
                <c:pt idx="44">
                  <c:v>44.271058472082814</c:v>
                </c:pt>
                <c:pt idx="45">
                  <c:v>42.6476396530839</c:v>
                </c:pt>
                <c:pt idx="46">
                  <c:v>41.083751569351698</c:v>
                </c:pt>
                <c:pt idx="47">
                  <c:v>39.577211230027764</c:v>
                </c:pt>
                <c:pt idx="48">
                  <c:v>38.125915694484171</c:v>
                </c:pt>
                <c:pt idx="49">
                  <c:v>36.727839136883397</c:v>
                </c:pt>
                <c:pt idx="50">
                  <c:v>35.381030018380379</c:v>
                </c:pt>
                <c:pt idx="51">
                  <c:v>34.083608363020033</c:v>
                </c:pt>
                <c:pt idx="52">
                  <c:v>32.833763133527547</c:v>
                </c:pt>
                <c:pt idx="53">
                  <c:v>31.629749703328343</c:v>
                </c:pt>
                <c:pt idx="54">
                  <c:v>30.469887421269078</c:v>
                </c:pt>
                <c:pt idx="55">
                  <c:v>29.352557265640218</c:v>
                </c:pt>
                <c:pt idx="56">
                  <c:v>28.276199584225552</c:v>
                </c:pt>
                <c:pt idx="57">
                  <c:v>27.23931191722415</c:v>
                </c:pt>
                <c:pt idx="58">
                  <c:v>26.240446900005534</c:v>
                </c:pt>
                <c:pt idx="59">
                  <c:v>25.278210242771021</c:v>
                </c:pt>
                <c:pt idx="60">
                  <c:v>24.351258784300615</c:v>
                </c:pt>
                <c:pt idx="61">
                  <c:v>23.458298617069108</c:v>
                </c:pt>
                <c:pt idx="62">
                  <c:v>22.598083281114107</c:v>
                </c:pt>
                <c:pt idx="63">
                  <c:v>21.769412024134795</c:v>
                </c:pt>
                <c:pt idx="64">
                  <c:v>20.971128125392966</c:v>
                </c:pt>
                <c:pt idx="65">
                  <c:v>20.202117281076482</c:v>
                </c:pt>
                <c:pt idx="66">
                  <c:v>19.461306048871492</c:v>
                </c:pt>
                <c:pt idx="67">
                  <c:v>18.747660349572062</c:v>
                </c:pt>
                <c:pt idx="68">
                  <c:v>18.060184023635841</c:v>
                </c:pt>
                <c:pt idx="69">
                  <c:v>17.397917440670749</c:v>
                </c:pt>
                <c:pt idx="70">
                  <c:v>16.759936159911785</c:v>
                </c:pt>
                <c:pt idx="71">
                  <c:v>16.145349639818097</c:v>
                </c:pt>
                <c:pt idx="72">
                  <c:v>15.55329999498915</c:v>
                </c:pt>
                <c:pt idx="73">
                  <c:v>14.982960798664678</c:v>
                </c:pt>
                <c:pt idx="74">
                  <c:v>14.433535929137024</c:v>
                </c:pt>
                <c:pt idx="75">
                  <c:v>13.904258458465433</c:v>
                </c:pt>
                <c:pt idx="76">
                  <c:v>13.39438958194124</c:v>
                </c:pt>
                <c:pt idx="77">
                  <c:v>12.903217586809509</c:v>
                </c:pt>
                <c:pt idx="78">
                  <c:v>12.430056858807626</c:v>
                </c:pt>
                <c:pt idx="79">
                  <c:v>11.974246925134146</c:v>
                </c:pt>
                <c:pt idx="80">
                  <c:v>11.535151532511875</c:v>
                </c:pt>
                <c:pt idx="81">
                  <c:v>11.112157759058434</c:v>
                </c:pt>
                <c:pt idx="82">
                  <c:v>10.704675158724497</c:v>
                </c:pt>
                <c:pt idx="83">
                  <c:v>10.312134937105396</c:v>
                </c:pt>
                <c:pt idx="84">
                  <c:v>9.9339891574758017</c:v>
                </c:pt>
                <c:pt idx="85">
                  <c:v>9.5697099759390163</c:v>
                </c:pt>
                <c:pt idx="86">
                  <c:v>9.2187889046233629</c:v>
                </c:pt>
                <c:pt idx="87">
                  <c:v>8.880736101897142</c:v>
                </c:pt>
                <c:pt idx="88">
                  <c:v>8.5550796886113751</c:v>
                </c:pt>
                <c:pt idx="89">
                  <c:v>8.2413650894159414</c:v>
                </c:pt>
                <c:pt idx="90">
                  <c:v>7.9391543982296122</c:v>
                </c:pt>
                <c:pt idx="91">
                  <c:v>7.6480257669783036</c:v>
                </c:pt>
                <c:pt idx="92">
                  <c:v>7.3675728167482832</c:v>
                </c:pt>
                <c:pt idx="93">
                  <c:v>7.0974040705323693</c:v>
                </c:pt>
                <c:pt idx="94">
                  <c:v>6.8371424067773132</c:v>
                </c:pt>
                <c:pt idx="95">
                  <c:v>6.586424532969593</c:v>
                </c:pt>
                <c:pt idx="96">
                  <c:v>6.3449004785248153</c:v>
                </c:pt>
                <c:pt idx="97">
                  <c:v>6.1122331062728552</c:v>
                </c:pt>
                <c:pt idx="98">
                  <c:v>5.8880976418567776</c:v>
                </c:pt>
                <c:pt idx="99">
                  <c:v>5.6721812203887607</c:v>
                </c:pt>
                <c:pt idx="100">
                  <c:v>5.4641824497300897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F1-405D-BC82-DB6495FCB345}"/>
            </c:ext>
          </c:extLst>
        </c:ser>
        <c:ser>
          <c:idx val="1"/>
          <c:order val="1"/>
          <c:tx>
            <c:v>Ur  =  Ufl  = 2,25  [V/c]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'Curva de carga Pb sellada'!$V$8:$V$108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sellada'!$X$8:$X$108</c:f>
              <c:numCache>
                <c:formatCode>#,##0.0</c:formatCode>
                <c:ptCount val="101"/>
                <c:pt idx="0">
                  <c:v>420.00763650248138</c:v>
                </c:pt>
                <c:pt idx="1">
                  <c:v>392.20355554119323</c:v>
                </c:pt>
                <c:pt idx="2">
                  <c:v>366.24007663309493</c:v>
                </c:pt>
                <c:pt idx="3">
                  <c:v>341.99535378288363</c:v>
                </c:pt>
                <c:pt idx="4">
                  <c:v>319.35560707697465</c:v>
                </c:pt>
                <c:pt idx="5">
                  <c:v>298.21458871704522</c:v>
                </c:pt>
                <c:pt idx="6">
                  <c:v>278.47308440161834</c:v>
                </c:pt>
                <c:pt idx="7">
                  <c:v>260.03844771568157</c:v>
                </c:pt>
                <c:pt idx="8">
                  <c:v>242.8241653432425</c:v>
                </c:pt>
                <c:pt idx="9">
                  <c:v>226.74945106237286</c:v>
                </c:pt>
                <c:pt idx="10">
                  <c:v>211.73886661737168</c:v>
                </c:pt>
                <c:pt idx="11">
                  <c:v>197.72196768880659</c:v>
                </c:pt>
                <c:pt idx="12">
                  <c:v>184.63297329998122</c:v>
                </c:pt>
                <c:pt idx="13">
                  <c:v>172.4104571083603</c:v>
                </c:pt>
                <c:pt idx="14">
                  <c:v>160.99705913318982</c:v>
                </c:pt>
                <c:pt idx="15">
                  <c:v>150.33921656645819</c:v>
                </c:pt>
                <c:pt idx="16">
                  <c:v>140.38691240389866</c:v>
                </c:pt>
                <c:pt idx="17">
                  <c:v>131.09344071636613</c:v>
                </c:pt>
                <c:pt idx="18">
                  <c:v>122.41518746001103</c:v>
                </c:pt>
                <c:pt idx="19">
                  <c:v>114.31142579659827</c:v>
                </c:pt>
                <c:pt idx="20">
                  <c:v>106.74412496341418</c:v>
                </c:pt>
                <c:pt idx="21">
                  <c:v>99.677771795792466</c:v>
                </c:pt>
                <c:pt idx="22">
                  <c:v>93.079204064668261</c:v>
                </c:pt>
                <c:pt idx="23">
                  <c:v>86.917454847017993</c:v>
                </c:pt>
                <c:pt idx="24">
                  <c:v>81.163607198818596</c:v>
                </c:pt>
                <c:pt idx="25">
                  <c:v>75.790658448509845</c:v>
                </c:pt>
                <c:pt idx="26">
                  <c:v>70.773393474092529</c:v>
                </c:pt>
                <c:pt idx="27">
                  <c:v>66.088266369154397</c:v>
                </c:pt>
                <c:pt idx="28">
                  <c:v>61.713289942485794</c:v>
                </c:pt>
                <c:pt idx="29">
                  <c:v>57.627932532708861</c:v>
                </c:pt>
                <c:pt idx="30">
                  <c:v>53.813021653673864</c:v>
                </c:pt>
                <c:pt idx="31">
                  <c:v>50.250654018433352</c:v>
                </c:pt>
                <c:pt idx="32">
                  <c:v>46.924111519537767</c:v>
                </c:pt>
                <c:pt idx="33">
                  <c:v>43.817782771350728</c:v>
                </c:pt>
                <c:pt idx="34">
                  <c:v>40.917089846183956</c:v>
                </c:pt>
                <c:pt idx="35">
                  <c:v>38.208419860425536</c:v>
                </c:pt>
                <c:pt idx="36">
                  <c:v>35.679061089597852</c:v>
                </c:pt>
                <c:pt idx="37">
                  <c:v>33.317143312533652</c:v>
                </c:pt>
                <c:pt idx="38">
                  <c:v>31.111582104707733</c:v>
                </c:pt>
                <c:pt idx="39">
                  <c:v>29.052026819293424</c:v>
                </c:pt>
                <c:pt idx="40">
                  <c:v>27.128812011820806</c:v>
                </c:pt>
                <c:pt idx="41">
                  <c:v>25.332912080473314</c:v>
                </c:pt>
                <c:pt idx="42">
                  <c:v>23.655898909150856</c:v>
                </c:pt>
                <c:pt idx="43">
                  <c:v>22.089902314519431</c:v>
                </c:pt>
                <c:pt idx="44">
                  <c:v>20.627573111425971</c:v>
                </c:pt>
                <c:pt idx="45">
                  <c:v>19.262048623345407</c:v>
                </c:pt>
                <c:pt idx="46">
                  <c:v>17.986920476001341</c:v>
                </c:pt>
                <c:pt idx="47">
                  <c:v>16.796204523016442</c:v>
                </c:pt>
                <c:pt idx="48">
                  <c:v>15.684312762454255</c:v>
                </c:pt>
                <c:pt idx="49">
                  <c:v>14.646027112457826</c:v>
                </c:pt>
                <c:pt idx="50">
                  <c:v>13.676474922914265</c:v>
                </c:pt>
                <c:pt idx="51">
                  <c:v>12.771106108222519</c:v>
                </c:pt>
                <c:pt idx="52">
                  <c:v>11.925671793848753</c:v>
                </c:pt>
                <c:pt idx="53">
                  <c:v>11.136204376458203</c:v>
                </c:pt>
                <c:pt idx="54">
                  <c:v>10.398998904046117</c:v>
                </c:pt>
                <c:pt idx="55">
                  <c:v>9.7105956886852081</c:v>
                </c:pt>
                <c:pt idx="56">
                  <c:v>9.0677640702916555</c:v>
                </c:pt>
                <c:pt idx="57">
                  <c:v>8.4674872552134222</c:v>
                </c:pt>
                <c:pt idx="58">
                  <c:v>7.906948158488599</c:v>
                </c:pt>
                <c:pt idx="59">
                  <c:v>7.3835161833320582</c:v>
                </c:pt>
                <c:pt idx="60">
                  <c:v>6.8947348758066314</c:v>
                </c:pt>
                <c:pt idx="61">
                  <c:v>6.4383103967426338</c:v>
                </c:pt>
                <c:pt idx="62">
                  <c:v>6.0121007568046299</c:v>
                </c:pt>
                <c:pt idx="63">
                  <c:v>5.6141057641858962</c:v>
                </c:pt>
                <c:pt idx="64">
                  <c:v>5.2424576377553764</c:v>
                </c:pt>
                <c:pt idx="65">
                  <c:v>4.8954122416047854</c:v>
                </c:pt>
                <c:pt idx="66">
                  <c:v>4.5713408998598934</c:v>
                </c:pt>
                <c:pt idx="67">
                  <c:v>4.2687227533429297</c:v>
                </c:pt>
                <c:pt idx="68">
                  <c:v>3.9861376222163019</c:v>
                </c:pt>
                <c:pt idx="69">
                  <c:v>3.7222593411120402</c:v>
                </c:pt>
                <c:pt idx="70">
                  <c:v>3.475849535468948</c:v>
                </c:pt>
                <c:pt idx="71">
                  <c:v>3.2457518098699447</c:v>
                </c:pt>
                <c:pt idx="72">
                  <c:v>3.0308863211055805</c:v>
                </c:pt>
                <c:pt idx="73">
                  <c:v>2.8302447104952861</c:v>
                </c:pt>
                <c:pt idx="74">
                  <c:v>2.6428853716838256</c:v>
                </c:pt>
                <c:pt idx="75">
                  <c:v>2.4679290317048341</c:v>
                </c:pt>
                <c:pt idx="76">
                  <c:v>2.30455462457348</c:v>
                </c:pt>
                <c:pt idx="77">
                  <c:v>2.1519954380431341</c:v>
                </c:pt>
                <c:pt idx="78">
                  <c:v>2.0095355154428431</c:v>
                </c:pt>
                <c:pt idx="79">
                  <c:v>1.8765062957095326</c:v>
                </c:pt>
                <c:pt idx="80">
                  <c:v>1.7522834758466699</c:v>
                </c:pt>
                <c:pt idx="81">
                  <c:v>1.636284081084997</c:v>
                </c:pt>
                <c:pt idx="82">
                  <c:v>1.5279637289956733</c:v>
                </c:pt>
                <c:pt idx="83">
                  <c:v>1.4268140747163367</c:v>
                </c:pt>
                <c:pt idx="84">
                  <c:v>1.3323604253006447</c:v>
                </c:pt>
                <c:pt idx="85">
                  <c:v>1.2441595119954498</c:v>
                </c:pt>
                <c:pt idx="86">
                  <c:v>1.1617974099909683</c:v>
                </c:pt>
                <c:pt idx="87">
                  <c:v>1.0848875958814033</c:v>
                </c:pt>
                <c:pt idx="88">
                  <c:v>1.0130691337196911</c:v>
                </c:pt>
                <c:pt idx="89">
                  <c:v>0.94600498115360288</c:v>
                </c:pt>
                <c:pt idx="90">
                  <c:v>0.88338040769392223</c:v>
                </c:pt>
                <c:pt idx="91">
                  <c:v>0.82490151769166298</c:v>
                </c:pt>
                <c:pt idx="92">
                  <c:v>0.7702938710927103</c:v>
                </c:pt>
                <c:pt idx="93">
                  <c:v>0.71930119549711047</c:v>
                </c:pt>
                <c:pt idx="94">
                  <c:v>0.67168418347872416</c:v>
                </c:pt>
                <c:pt idx="95">
                  <c:v>0.62721936952111235</c:v>
                </c:pt>
                <c:pt idx="96">
                  <c:v>0.58569808129912926</c:v>
                </c:pt>
                <c:pt idx="97">
                  <c:v>0.54692546038461443</c:v>
                </c:pt>
                <c:pt idx="98">
                  <c:v>0.51071954778037087</c:v>
                </c:pt>
                <c:pt idx="99">
                  <c:v>0.47691042999088062</c:v>
                </c:pt>
                <c:pt idx="100">
                  <c:v>0.44533944162226607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F1-405D-BC82-DB6495FCB345}"/>
            </c:ext>
          </c:extLst>
        </c:ser>
        <c:ser>
          <c:idx val="2"/>
          <c:order val="2"/>
          <c:tx>
            <c:v>Ur  =  2,30  [V/c]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'Curva de carga Pb sellada'!$V$8:$V$108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sellada'!$Y$8:$Y$108</c:f>
              <c:numCache>
                <c:formatCode>#,##0.0</c:formatCode>
                <c:ptCount val="101"/>
                <c:pt idx="0">
                  <c:v>610.92019854906334</c:v>
                </c:pt>
                <c:pt idx="1">
                  <c:v>552.99100781396226</c:v>
                </c:pt>
                <c:pt idx="2">
                  <c:v>500.55482769987799</c:v>
                </c:pt>
                <c:pt idx="3">
                  <c:v>453.09079531713928</c:v>
                </c:pt>
                <c:pt idx="4">
                  <c:v>410.12743747665161</c:v>
                </c:pt>
                <c:pt idx="5">
                  <c:v>371.23798741801988</c:v>
                </c:pt>
                <c:pt idx="6">
                  <c:v>336.03614561883035</c:v>
                </c:pt>
                <c:pt idx="7">
                  <c:v>304.17224257605335</c:v>
                </c:pt>
                <c:pt idx="8">
                  <c:v>275.32976544342591</c:v>
                </c:pt>
                <c:pt idx="9">
                  <c:v>249.22221402295679</c:v>
                </c:pt>
                <c:pt idx="10">
                  <c:v>225.59025488025935</c:v>
                </c:pt>
                <c:pt idx="11">
                  <c:v>204.19914531476167</c:v>
                </c:pt>
                <c:pt idx="12">
                  <c:v>184.83640159638801</c:v>
                </c:pt>
                <c:pt idx="13">
                  <c:v>167.30968830667027</c:v>
                </c:pt>
                <c:pt idx="14">
                  <c:v>151.44490781853739</c:v>
                </c:pt>
                <c:pt idx="15">
                  <c:v>137.08447093706596</c:v>
                </c:pt>
                <c:pt idx="16">
                  <c:v>124.08573152299179</c:v>
                </c:pt>
                <c:pt idx="17">
                  <c:v>112.31956954967367</c:v>
                </c:pt>
                <c:pt idx="18">
                  <c:v>101.66910851862471</c:v>
                </c:pt>
                <c:pt idx="19">
                  <c:v>92.028554493351123</c:v>
                </c:pt>
                <c:pt idx="20">
                  <c:v>83.30214521930445</c:v>
                </c:pt>
                <c:pt idx="21">
                  <c:v>75.403198891268431</c:v>
                </c:pt>
                <c:pt idx="22">
                  <c:v>68.253253119327709</c:v>
                </c:pt>
                <c:pt idx="23">
                  <c:v>61.781285540532473</c:v>
                </c:pt>
                <c:pt idx="24">
                  <c:v>55.923008334381443</c:v>
                </c:pt>
                <c:pt idx="25">
                  <c:v>50.620229634353144</c:v>
                </c:pt>
                <c:pt idx="26">
                  <c:v>45.820275492212375</c:v>
                </c:pt>
                <c:pt idx="27">
                  <c:v>41.475466653304601</c:v>
                </c:pt>
                <c:pt idx="28">
                  <c:v>37.542644945505629</c:v>
                </c:pt>
                <c:pt idx="29">
                  <c:v>33.982744577317519</c:v>
                </c:pt>
                <c:pt idx="30">
                  <c:v>30.760404086698522</c:v>
                </c:pt>
                <c:pt idx="31">
                  <c:v>27.843615086008704</c:v>
                </c:pt>
                <c:pt idx="32">
                  <c:v>25.20340431395875</c:v>
                </c:pt>
                <c:pt idx="33">
                  <c:v>22.813545836297145</c:v>
                </c:pt>
                <c:pt idx="34">
                  <c:v>20.650300536446917</c:v>
                </c:pt>
                <c:pt idx="35">
                  <c:v>18.692180308380962</c:v>
                </c:pt>
                <c:pt idx="36">
                  <c:v>16.919734609399644</c:v>
                </c:pt>
                <c:pt idx="37">
                  <c:v>15.3153572525811</c:v>
                </c:pt>
                <c:pt idx="38">
                  <c:v>13.863111519720899</c:v>
                </c:pt>
                <c:pt idx="39">
                  <c:v>12.548571857560106</c:v>
                </c:pt>
                <c:pt idx="40">
                  <c:v>11.358680584827304</c:v>
                </c:pt>
                <c:pt idx="41">
                  <c:v>10.281618186726377</c:v>
                </c:pt>
                <c:pt idx="42">
                  <c:v>9.3066859084698716</c:v>
                </c:pt>
                <c:pt idx="43">
                  <c:v>8.4241994816274435</c:v>
                </c:pt>
                <c:pt idx="44">
                  <c:v>7.6253929276441976</c:v>
                </c:pt>
                <c:pt idx="45">
                  <c:v>6.9023314829830031</c:v>
                </c:pt>
                <c:pt idx="46">
                  <c:v>6.2478327809524332</c:v>
                </c:pt>
                <c:pt idx="47">
                  <c:v>5.655395507298044</c:v>
                </c:pt>
                <c:pt idx="48">
                  <c:v>5.119134820873227</c:v>
                </c:pt>
                <c:pt idx="49">
                  <c:v>4.633723897905937</c:v>
                </c:pt>
                <c:pt idx="50">
                  <c:v>4.1943410192040922</c:v>
                </c:pt>
                <c:pt idx="51">
                  <c:v>3.7966216747028025</c:v>
                </c:pt>
                <c:pt idx="52">
                  <c:v>3.4366152095945561</c:v>
                </c:pt>
                <c:pt idx="53">
                  <c:v>3.110745581396682</c:v>
                </c:pt>
                <c:pt idx="54">
                  <c:v>2.8157758381453002</c:v>
                </c:pt>
                <c:pt idx="55">
                  <c:v>2.5487759648678927</c:v>
                </c:pt>
                <c:pt idx="56">
                  <c:v>2.3070937789448549</c:v>
                </c:pt>
                <c:pt idx="57">
                  <c:v>2.0883285852556051</c:v>
                </c:pt>
                <c:pt idx="58">
                  <c:v>1.8903073294186699</c:v>
                </c:pt>
                <c:pt idx="59">
                  <c:v>1.7110630122493797</c:v>
                </c:pt>
                <c:pt idx="60">
                  <c:v>1.5488151510200705</c:v>
                </c:pt>
                <c:pt idx="61">
                  <c:v>1.4019520934391525</c:v>
                </c:pt>
                <c:pt idx="62">
                  <c:v>1.2690150086690075</c:v>
                </c:pt>
                <c:pt idx="63">
                  <c:v>1.1486833963610716</c:v>
                </c:pt>
                <c:pt idx="64">
                  <c:v>1.039761969765451</c:v>
                </c:pt>
                <c:pt idx="65">
                  <c:v>0.94116878262136838</c:v>
                </c:pt>
                <c:pt idx="66">
                  <c:v>0.85192448188964653</c:v>
                </c:pt>
                <c:pt idx="67">
                  <c:v>0.77114257957163979</c:v>
                </c:pt>
                <c:pt idx="68">
                  <c:v>0.69802064698198496</c:v>
                </c:pt>
                <c:pt idx="69">
                  <c:v>0.6318323440054382</c:v>
                </c:pt>
                <c:pt idx="70">
                  <c:v>0.57192020416225386</c:v>
                </c:pt>
                <c:pt idx="71">
                  <c:v>0.51768910381419053</c:v>
                </c:pt>
                <c:pt idx="72">
                  <c:v>0.46860035063896316</c:v>
                </c:pt>
                <c:pt idx="73">
                  <c:v>0.4241663326523738</c:v>
                </c:pt>
                <c:pt idx="74">
                  <c:v>0.38394567462537549</c:v>
                </c:pt>
                <c:pt idx="75">
                  <c:v>0.34753885378344834</c:v>
                </c:pt>
                <c:pt idx="76">
                  <c:v>0.31458423123782792</c:v>
                </c:pt>
                <c:pt idx="77">
                  <c:v>0.28475445972771535</c:v>
                </c:pt>
                <c:pt idx="78">
                  <c:v>0.25775323199058248</c:v>
                </c:pt>
                <c:pt idx="79">
                  <c:v>0.23331233746125885</c:v>
                </c:pt>
                <c:pt idx="80">
                  <c:v>0.21118899806317518</c:v>
                </c:pt>
                <c:pt idx="81">
                  <c:v>0.19116345662746492</c:v>
                </c:pt>
                <c:pt idx="82">
                  <c:v>0.17303679398502125</c:v>
                </c:pt>
                <c:pt idx="83">
                  <c:v>0.15662895304809468</c:v>
                </c:pt>
                <c:pt idx="84">
                  <c:v>0.14177695025409384</c:v>
                </c:pt>
                <c:pt idx="85">
                  <c:v>0.1283332566053714</c:v>
                </c:pt>
                <c:pt idx="86">
                  <c:v>0.1161643322234216</c:v>
                </c:pt>
                <c:pt idx="87">
                  <c:v>0.10514929986081792</c:v>
                </c:pt>
                <c:pt idx="88">
                  <c:v>9.5178744194519146E-2</c:v>
                </c:pt>
                <c:pt idx="89">
                  <c:v>8.6153624973602003E-2</c:v>
                </c:pt>
                <c:pt idx="90">
                  <c:v>7.7984293225414086E-2</c:v>
                </c:pt>
                <c:pt idx="91">
                  <c:v>7.0589600747859291E-2</c:v>
                </c:pt>
                <c:pt idx="92">
                  <c:v>6.3896094042156404E-2</c:v>
                </c:pt>
                <c:pt idx="93">
                  <c:v>5.7837284679187292E-2</c:v>
                </c:pt>
                <c:pt idx="94">
                  <c:v>5.2352988851780913E-2</c:v>
                </c:pt>
                <c:pt idx="95">
                  <c:v>4.7388729552529964E-2</c:v>
                </c:pt>
                <c:pt idx="96">
                  <c:v>4.2895195438806863E-2</c:v>
                </c:pt>
                <c:pt idx="97">
                  <c:v>3.882775100973794E-2</c:v>
                </c:pt>
                <c:pt idx="98">
                  <c:v>3.5145993229589063E-2</c:v>
                </c:pt>
                <c:pt idx="99">
                  <c:v>3.1813350193384202E-2</c:v>
                </c:pt>
                <c:pt idx="100">
                  <c:v>2.8796717848190705E-2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F1-405D-BC82-DB6495FCB345}"/>
            </c:ext>
          </c:extLst>
        </c:ser>
        <c:ser>
          <c:idx val="3"/>
          <c:order val="3"/>
          <c:tx>
            <c:v>Idn  =  225  [A]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'Curva de carga Pb sellada'!$V$8:$V$108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sellada'!$Z$8:$Z$108</c:f>
              <c:numCache>
                <c:formatCode>#,##0.0</c:formatCode>
                <c:ptCount val="101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  <c:pt idx="12">
                  <c:v>225</c:v>
                </c:pt>
                <c:pt idx="13">
                  <c:v>225</c:v>
                </c:pt>
                <c:pt idx="14">
                  <c:v>225</c:v>
                </c:pt>
                <c:pt idx="15">
                  <c:v>225</c:v>
                </c:pt>
                <c:pt idx="16">
                  <c:v>225</c:v>
                </c:pt>
                <c:pt idx="17">
                  <c:v>225</c:v>
                </c:pt>
                <c:pt idx="18">
                  <c:v>225</c:v>
                </c:pt>
                <c:pt idx="19">
                  <c:v>225</c:v>
                </c:pt>
                <c:pt idx="20">
                  <c:v>225</c:v>
                </c:pt>
                <c:pt idx="21">
                  <c:v>225</c:v>
                </c:pt>
                <c:pt idx="22">
                  <c:v>225</c:v>
                </c:pt>
                <c:pt idx="23">
                  <c:v>225</c:v>
                </c:pt>
                <c:pt idx="24">
                  <c:v>225</c:v>
                </c:pt>
                <c:pt idx="25">
                  <c:v>225</c:v>
                </c:pt>
                <c:pt idx="26">
                  <c:v>225</c:v>
                </c:pt>
                <c:pt idx="27">
                  <c:v>225</c:v>
                </c:pt>
                <c:pt idx="28">
                  <c:v>225</c:v>
                </c:pt>
                <c:pt idx="29">
                  <c:v>225</c:v>
                </c:pt>
                <c:pt idx="30">
                  <c:v>225</c:v>
                </c:pt>
                <c:pt idx="31">
                  <c:v>225</c:v>
                </c:pt>
                <c:pt idx="32">
                  <c:v>225</c:v>
                </c:pt>
                <c:pt idx="33">
                  <c:v>225</c:v>
                </c:pt>
                <c:pt idx="34">
                  <c:v>225</c:v>
                </c:pt>
                <c:pt idx="35">
                  <c:v>225</c:v>
                </c:pt>
                <c:pt idx="36">
                  <c:v>225</c:v>
                </c:pt>
                <c:pt idx="37">
                  <c:v>225</c:v>
                </c:pt>
                <c:pt idx="38">
                  <c:v>225</c:v>
                </c:pt>
                <c:pt idx="39">
                  <c:v>225</c:v>
                </c:pt>
                <c:pt idx="40">
                  <c:v>225</c:v>
                </c:pt>
                <c:pt idx="41">
                  <c:v>225</c:v>
                </c:pt>
                <c:pt idx="42">
                  <c:v>225</c:v>
                </c:pt>
                <c:pt idx="43">
                  <c:v>225</c:v>
                </c:pt>
                <c:pt idx="44">
                  <c:v>225</c:v>
                </c:pt>
                <c:pt idx="45">
                  <c:v>225</c:v>
                </c:pt>
                <c:pt idx="46">
                  <c:v>225</c:v>
                </c:pt>
                <c:pt idx="47">
                  <c:v>225</c:v>
                </c:pt>
                <c:pt idx="48">
                  <c:v>225</c:v>
                </c:pt>
                <c:pt idx="49">
                  <c:v>225</c:v>
                </c:pt>
                <c:pt idx="50">
                  <c:v>225</c:v>
                </c:pt>
                <c:pt idx="51">
                  <c:v>225</c:v>
                </c:pt>
                <c:pt idx="52">
                  <c:v>225</c:v>
                </c:pt>
                <c:pt idx="53">
                  <c:v>225</c:v>
                </c:pt>
                <c:pt idx="54">
                  <c:v>225</c:v>
                </c:pt>
                <c:pt idx="55">
                  <c:v>225</c:v>
                </c:pt>
                <c:pt idx="56">
                  <c:v>225</c:v>
                </c:pt>
                <c:pt idx="57">
                  <c:v>225</c:v>
                </c:pt>
                <c:pt idx="58">
                  <c:v>225</c:v>
                </c:pt>
                <c:pt idx="59">
                  <c:v>225</c:v>
                </c:pt>
                <c:pt idx="60">
                  <c:v>225</c:v>
                </c:pt>
                <c:pt idx="61">
                  <c:v>225</c:v>
                </c:pt>
                <c:pt idx="62">
                  <c:v>225</c:v>
                </c:pt>
                <c:pt idx="63">
                  <c:v>225</c:v>
                </c:pt>
                <c:pt idx="64">
                  <c:v>225</c:v>
                </c:pt>
                <c:pt idx="65">
                  <c:v>225</c:v>
                </c:pt>
                <c:pt idx="66">
                  <c:v>225</c:v>
                </c:pt>
                <c:pt idx="67">
                  <c:v>225</c:v>
                </c:pt>
                <c:pt idx="68">
                  <c:v>225</c:v>
                </c:pt>
                <c:pt idx="69">
                  <c:v>225</c:v>
                </c:pt>
                <c:pt idx="70">
                  <c:v>225</c:v>
                </c:pt>
                <c:pt idx="71">
                  <c:v>225</c:v>
                </c:pt>
                <c:pt idx="72">
                  <c:v>225</c:v>
                </c:pt>
                <c:pt idx="73">
                  <c:v>225</c:v>
                </c:pt>
                <c:pt idx="74">
                  <c:v>225</c:v>
                </c:pt>
                <c:pt idx="75">
                  <c:v>225</c:v>
                </c:pt>
                <c:pt idx="76">
                  <c:v>225</c:v>
                </c:pt>
                <c:pt idx="77">
                  <c:v>225</c:v>
                </c:pt>
                <c:pt idx="78">
                  <c:v>225</c:v>
                </c:pt>
                <c:pt idx="79">
                  <c:v>225</c:v>
                </c:pt>
                <c:pt idx="80">
                  <c:v>225</c:v>
                </c:pt>
                <c:pt idx="81">
                  <c:v>225</c:v>
                </c:pt>
                <c:pt idx="82">
                  <c:v>225</c:v>
                </c:pt>
                <c:pt idx="83">
                  <c:v>225</c:v>
                </c:pt>
                <c:pt idx="84">
                  <c:v>225</c:v>
                </c:pt>
                <c:pt idx="85">
                  <c:v>225</c:v>
                </c:pt>
                <c:pt idx="86">
                  <c:v>225</c:v>
                </c:pt>
                <c:pt idx="87">
                  <c:v>225</c:v>
                </c:pt>
                <c:pt idx="88">
                  <c:v>225</c:v>
                </c:pt>
                <c:pt idx="89">
                  <c:v>225</c:v>
                </c:pt>
                <c:pt idx="90">
                  <c:v>225</c:v>
                </c:pt>
                <c:pt idx="91">
                  <c:v>225</c:v>
                </c:pt>
                <c:pt idx="92">
                  <c:v>225</c:v>
                </c:pt>
                <c:pt idx="93">
                  <c:v>225</c:v>
                </c:pt>
                <c:pt idx="94">
                  <c:v>225</c:v>
                </c:pt>
                <c:pt idx="95">
                  <c:v>225</c:v>
                </c:pt>
                <c:pt idx="96">
                  <c:v>225</c:v>
                </c:pt>
                <c:pt idx="97">
                  <c:v>225</c:v>
                </c:pt>
                <c:pt idx="98">
                  <c:v>225</c:v>
                </c:pt>
                <c:pt idx="99">
                  <c:v>225</c:v>
                </c:pt>
                <c:pt idx="100">
                  <c:v>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AF1-405D-BC82-DB6495FC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01600"/>
        <c:axId val="130106880"/>
      </c:scatterChart>
      <c:valAx>
        <c:axId val="129801600"/>
        <c:scaling>
          <c:orientation val="minMax"/>
          <c:max val="36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 baseline="0"/>
                  <a:t>Tiempo de recarga:  t [h]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0106880"/>
        <c:crosses val="autoZero"/>
        <c:crossBetween val="midCat"/>
        <c:majorUnit val="3"/>
        <c:minorUnit val="0.60000000000000064"/>
      </c:valAx>
      <c:valAx>
        <c:axId val="130106880"/>
        <c:scaling>
          <c:orientation val="minMax"/>
          <c:max val="2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100"/>
                  <a:t>Corriente de recatga:  Ir  [A]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9801600"/>
        <c:crosses val="autoZero"/>
        <c:crossBetween val="midCat"/>
        <c:majorUnit val="25"/>
        <c:minorUnit val="1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64272624602929573"/>
          <c:y val="0.35886005748212235"/>
          <c:w val="0.29463183026236128"/>
          <c:h val="0.21968616808331226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/>
              <a:t>Curva teórica de recarga a tensión</a:t>
            </a:r>
            <a:r>
              <a:rPr lang="es-ES" sz="1400" baseline="0"/>
              <a:t> constante</a:t>
            </a:r>
            <a:endParaRPr lang="es-ES" sz="1400"/>
          </a:p>
          <a:p>
            <a:pPr>
              <a:defRPr/>
            </a:pPr>
            <a:r>
              <a:rPr lang="es-ES" sz="1400"/>
              <a:t>acumulador</a:t>
            </a:r>
            <a:r>
              <a:rPr lang="es-ES" sz="1400" baseline="0"/>
              <a:t> Pb-ác sellado Absolyte 100 A 39</a:t>
            </a:r>
            <a:endParaRPr lang="es-ES" sz="14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4960954152530095"/>
          <c:y val="0.18137370810844489"/>
          <c:w val="0.80640005696172767"/>
          <c:h val="0.65986050017002673"/>
        </c:manualLayout>
      </c:layout>
      <c:scatterChart>
        <c:scatterStyle val="smoothMarker"/>
        <c:varyColors val="0"/>
        <c:ser>
          <c:idx val="0"/>
          <c:order val="0"/>
          <c:tx>
            <c:v>Ur = 2,00 [V/c]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'Curva de carga Pb sellada'!$AB$8:$AB$108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sellada'!$AC$8:$AC$108</c:f>
              <c:numCache>
                <c:formatCode>#,##0</c:formatCode>
                <c:ptCount val="101"/>
                <c:pt idx="0">
                  <c:v>0</c:v>
                </c:pt>
                <c:pt idx="1">
                  <c:v>80.952647361751971</c:v>
                </c:pt>
                <c:pt idx="2">
                  <c:v>158.93676278163204</c:v>
                </c:pt>
                <c:pt idx="3">
                  <c:v>234.06120226592444</c:v>
                </c:pt>
                <c:pt idx="4">
                  <c:v>306.43083007336338</c:v>
                </c:pt>
                <c:pt idx="5">
                  <c:v>376.14666509243659</c:v>
                </c:pt>
                <c:pt idx="6">
                  <c:v>443.30602185103254</c:v>
                </c:pt>
                <c:pt idx="7">
                  <c:v>508.00264635527077</c:v>
                </c:pt>
                <c:pt idx="8">
                  <c:v>570.32684694712066</c:v>
                </c:pt>
                <c:pt idx="9">
                  <c:v>630.36562036347948</c:v>
                </c:pt>
                <c:pt idx="10">
                  <c:v>688.20277317266005</c:v>
                </c:pt>
                <c:pt idx="11">
                  <c:v>743.9190387578102</c:v>
                </c:pt>
                <c:pt idx="12">
                  <c:v>797.59219001055033</c:v>
                </c:pt>
                <c:pt idx="13">
                  <c:v>849.29714789213756</c:v>
                </c:pt>
                <c:pt idx="14">
                  <c:v>899.10608601369495</c:v>
                </c:pt>
                <c:pt idx="15">
                  <c:v>947.08853138148402</c:v>
                </c:pt>
                <c:pt idx="16">
                  <c:v>993.31146144785419</c:v>
                </c:pt>
                <c:pt idx="17">
                  <c:v>1037.8393976033303</c:v>
                </c:pt>
                <c:pt idx="18">
                  <c:v>1080.7344952403516</c:v>
                </c:pt>
                <c:pt idx="19">
                  <c:v>1122.0566305143736</c:v>
                </c:pt>
                <c:pt idx="20">
                  <c:v>1161.8634839234412</c:v>
                </c:pt>
                <c:pt idx="21">
                  <c:v>1200.2106208229031</c:v>
                </c:pt>
                <c:pt idx="22">
                  <c:v>1237.1515689876512</c:v>
                </c:pt>
                <c:pt idx="23">
                  <c:v>1272.7378933301538</c:v>
                </c:pt>
                <c:pt idx="24">
                  <c:v>1307.0192678785811</c:v>
                </c:pt>
                <c:pt idx="25">
                  <c:v>1340.043545115496</c:v>
                </c:pt>
                <c:pt idx="26">
                  <c:v>1371.8568227738931</c:v>
                </c:pt>
                <c:pt idx="27">
                  <c:v>1402.5035081838296</c:v>
                </c:pt>
                <c:pt idx="28">
                  <c:v>1432.0263802594675</c:v>
                </c:pt>
                <c:pt idx="29">
                  <c:v>1460.4666492130514</c:v>
                </c:pt>
                <c:pt idx="30">
                  <c:v>1487.8640140791774</c:v>
                </c:pt>
                <c:pt idx="31">
                  <c:v>1514.2567181296447</c:v>
                </c:pt>
                <c:pt idx="32">
                  <c:v>1539.6816022562487</c:v>
                </c:pt>
                <c:pt idx="33">
                  <c:v>1564.1741563960275</c:v>
                </c:pt>
                <c:pt idx="34">
                  <c:v>1587.7685690707469</c:v>
                </c:pt>
                <c:pt idx="35">
                  <c:v>1610.4977751097692</c:v>
                </c:pt>
                <c:pt idx="36">
                  <c:v>1632.3935016229311</c:v>
                </c:pt>
                <c:pt idx="37">
                  <c:v>1653.4863122875929</c:v>
                </c:pt>
                <c:pt idx="38">
                  <c:v>1673.8056500116834</c:v>
                </c:pt>
                <c:pt idx="39">
                  <c:v>1693.3798780322938</c:v>
                </c:pt>
                <c:pt idx="40">
                  <c:v>1712.2363195071848</c:v>
                </c:pt>
                <c:pt idx="41">
                  <c:v>1730.4012956544734</c:v>
                </c:pt>
                <c:pt idx="42">
                  <c:v>1747.9001624937416</c:v>
                </c:pt>
                <c:pt idx="43">
                  <c:v>1764.7573462398452</c:v>
                </c:pt>
                <c:pt idx="44">
                  <c:v>1780.9963773988361</c:v>
                </c:pt>
                <c:pt idx="45">
                  <c:v>1796.6399236135842</c:v>
                </c:pt>
                <c:pt idx="46">
                  <c:v>1811.7098213049542</c:v>
                </c:pt>
                <c:pt idx="47">
                  <c:v>1826.2271061526988</c:v>
                </c:pt>
                <c:pt idx="48">
                  <c:v>1840.2120424586201</c:v>
                </c:pt>
                <c:pt idx="49">
                  <c:v>1853.6841514329819</c:v>
                </c:pt>
                <c:pt idx="50">
                  <c:v>1866.6622384436637</c:v>
                </c:pt>
                <c:pt idx="51">
                  <c:v>1879.164419266084</c:v>
                </c:pt>
                <c:pt idx="52">
                  <c:v>1891.2081453705434</c:v>
                </c:pt>
                <c:pt idx="53">
                  <c:v>1902.8102282822797</c:v>
                </c:pt>
                <c:pt idx="54">
                  <c:v>1913.9868630482399</c:v>
                </c:pt>
                <c:pt idx="55">
                  <c:v>1924.7536508433268</c:v>
                </c:pt>
                <c:pt idx="56">
                  <c:v>1935.1256207476752</c:v>
                </c:pt>
                <c:pt idx="57">
                  <c:v>1945.1172507253546</c:v>
                </c:pt>
                <c:pt idx="58">
                  <c:v>1954.7424878337863</c:v>
                </c:pt>
                <c:pt idx="59">
                  <c:v>1964.0147676920762</c:v>
                </c:pt>
                <c:pt idx="60">
                  <c:v>1972.9470332354508</c:v>
                </c:pt>
                <c:pt idx="61">
                  <c:v>1981.5517527819627</c:v>
                </c:pt>
                <c:pt idx="62">
                  <c:v>1989.8409374366936</c:v>
                </c:pt>
                <c:pt idx="63">
                  <c:v>1997.8261578577451</c:v>
                </c:pt>
                <c:pt idx="64">
                  <c:v>2005.5185604074195</c:v>
                </c:pt>
                <c:pt idx="65">
                  <c:v>2012.9288827111402</c:v>
                </c:pt>
                <c:pt idx="66">
                  <c:v>2020.0674686458219</c:v>
                </c:pt>
                <c:pt idx="67">
                  <c:v>2026.9442827786229</c:v>
                </c:pt>
                <c:pt idx="68">
                  <c:v>2033.5689242762251</c:v>
                </c:pt>
                <c:pt idx="69">
                  <c:v>2039.9506403040621</c:v>
                </c:pt>
                <c:pt idx="70">
                  <c:v>2046.0983389341982</c:v>
                </c:pt>
                <c:pt idx="71">
                  <c:v>2052.0206015798753</c:v>
                </c:pt>
                <c:pt idx="72">
                  <c:v>2057.7256949740854</c:v>
                </c:pt>
                <c:pt idx="73">
                  <c:v>2063.221582708888</c:v>
                </c:pt>
                <c:pt idx="74">
                  <c:v>2068.5159363515841</c:v>
                </c:pt>
                <c:pt idx="75">
                  <c:v>2073.6161461532556</c:v>
                </c:pt>
                <c:pt idx="76">
                  <c:v>2078.5293313646271</c:v>
                </c:pt>
                <c:pt idx="77">
                  <c:v>2083.2623501736434</c:v>
                </c:pt>
                <c:pt idx="78">
                  <c:v>2087.8218092786365</c:v>
                </c:pt>
                <c:pt idx="79">
                  <c:v>2092.2140731104423</c:v>
                </c:pt>
                <c:pt idx="80">
                  <c:v>2096.4452727163489</c:v>
                </c:pt>
                <c:pt idx="81">
                  <c:v>2100.5213143182627</c:v>
                </c:pt>
                <c:pt idx="82">
                  <c:v>2104.447887557053</c:v>
                </c:pt>
                <c:pt idx="83">
                  <c:v>2108.2304734345735</c:v>
                </c:pt>
                <c:pt idx="84">
                  <c:v>2111.8743519644499</c:v>
                </c:pt>
                <c:pt idx="85">
                  <c:v>2115.384609542316</c:v>
                </c:pt>
                <c:pt idx="86">
                  <c:v>2118.7661460457798</c:v>
                </c:pt>
                <c:pt idx="87">
                  <c:v>2122.0236816740376</c:v>
                </c:pt>
                <c:pt idx="88">
                  <c:v>2125.1617635366747</c:v>
                </c:pt>
                <c:pt idx="89">
                  <c:v>2128.1847720008623</c:v>
                </c:pt>
                <c:pt idx="90">
                  <c:v>2131.0969268057943</c:v>
                </c:pt>
                <c:pt idx="91">
                  <c:v>2133.9022929529137</c:v>
                </c:pt>
                <c:pt idx="92">
                  <c:v>2136.6047863801432</c:v>
                </c:pt>
                <c:pt idx="93">
                  <c:v>2139.2081794280416</c:v>
                </c:pt>
                <c:pt idx="94">
                  <c:v>2141.7161061055149</c:v>
                </c:pt>
                <c:pt idx="95">
                  <c:v>2144.1320671624362</c:v>
                </c:pt>
                <c:pt idx="96">
                  <c:v>2146.4594349762515</c:v>
                </c:pt>
                <c:pt idx="97">
                  <c:v>2148.7014582593943</c:v>
                </c:pt>
                <c:pt idx="98">
                  <c:v>2150.8612665940782</c:v>
                </c:pt>
                <c:pt idx="99">
                  <c:v>2152.9418748008015</c:v>
                </c:pt>
                <c:pt idx="100">
                  <c:v>2154.9461871466547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23-4FB4-9EEA-0F7E8675B3E5}"/>
            </c:ext>
          </c:extLst>
        </c:ser>
        <c:ser>
          <c:idx val="1"/>
          <c:order val="1"/>
          <c:tx>
            <c:v>Ur = Ufl = 2,25 [V/c]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'Curva de carga Pb sellada'!$AB$8:$AB$108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sellada'!$AD$8:$AD$108</c:f>
              <c:numCache>
                <c:formatCode>#,##0</c:formatCode>
                <c:ptCount val="101"/>
                <c:pt idx="0">
                  <c:v>0</c:v>
                </c:pt>
                <c:pt idx="1">
                  <c:v>146.14088839257818</c:v>
                </c:pt>
                <c:pt idx="2">
                  <c:v>282.60739770372322</c:v>
                </c:pt>
                <c:pt idx="3">
                  <c:v>410.03996204903882</c:v>
                </c:pt>
                <c:pt idx="4">
                  <c:v>529.03661945307476</c:v>
                </c:pt>
                <c:pt idx="5">
                  <c:v>640.15581842769745</c:v>
                </c:pt>
                <c:pt idx="6">
                  <c:v>743.91903875780895</c:v>
                </c:pt>
                <c:pt idx="7">
                  <c:v>840.81323879370177</c:v>
                </c:pt>
                <c:pt idx="8">
                  <c:v>931.2931407351324</c:v>
                </c:pt>
                <c:pt idx="9">
                  <c:v>1015.7833646319024</c:v>
                </c:pt>
                <c:pt idx="10">
                  <c:v>1094.6804211157523</c:v>
                </c:pt>
                <c:pt idx="11">
                  <c:v>1168.3545722154252</c:v>
                </c:pt>
                <c:pt idx="12">
                  <c:v>1237.1515689876496</c:v>
                </c:pt>
                <c:pt idx="13">
                  <c:v>1301.3942741187097</c:v>
                </c:pt>
                <c:pt idx="14">
                  <c:v>1361.3841771114321</c:v>
                </c:pt>
                <c:pt idx="15">
                  <c:v>1417.4028091683226</c:v>
                </c:pt>
                <c:pt idx="16">
                  <c:v>1469.7130644108759</c:v>
                </c:pt>
                <c:pt idx="17">
                  <c:v>1518.5604336354961</c:v>
                </c:pt>
                <c:pt idx="18">
                  <c:v>1564.1741563960261</c:v>
                </c:pt>
                <c:pt idx="19">
                  <c:v>1606.7682968195759</c:v>
                </c:pt>
                <c:pt idx="20">
                  <c:v>1646.5427482044342</c:v>
                </c:pt>
                <c:pt idx="21">
                  <c:v>1683.6841711146092</c:v>
                </c:pt>
                <c:pt idx="22">
                  <c:v>1718.3668693734626</c:v>
                </c:pt>
                <c:pt idx="23">
                  <c:v>1750.753608067449</c:v>
                </c:pt>
                <c:pt idx="24">
                  <c:v>1780.9963773988347</c:v>
                </c:pt>
                <c:pt idx="25">
                  <c:v>1809.2371059721388</c:v>
                </c:pt>
                <c:pt idx="26">
                  <c:v>1835.608326861734</c:v>
                </c:pt>
                <c:pt idx="27">
                  <c:v>1860.2337995864432</c:v>
                </c:pt>
                <c:pt idx="28">
                  <c:v>1883.2290909100489</c:v>
                </c:pt>
                <c:pt idx="29">
                  <c:v>1904.7021171933941</c:v>
                </c:pt>
                <c:pt idx="30">
                  <c:v>1924.7536508433254</c:v>
                </c:pt>
                <c:pt idx="31">
                  <c:v>1943.4777932352235</c:v>
                </c:pt>
                <c:pt idx="32">
                  <c:v>1960.962416328543</c:v>
                </c:pt>
                <c:pt idx="33">
                  <c:v>1977.2895750478517</c:v>
                </c:pt>
                <c:pt idx="34">
                  <c:v>1992.535892364657</c:v>
                </c:pt>
                <c:pt idx="35">
                  <c:v>2006.772918887209</c:v>
                </c:pt>
                <c:pt idx="36">
                  <c:v>2020.0674686458208</c:v>
                </c:pt>
                <c:pt idx="37">
                  <c:v>2032.4819326495392</c:v>
                </c:pt>
                <c:pt idx="38">
                  <c:v>2044.0745716856816</c:v>
                </c:pt>
                <c:pt idx="39">
                  <c:v>2054.8997897363392</c:v>
                </c:pt>
                <c:pt idx="40">
                  <c:v>2065.0083892949842</c:v>
                </c:pt>
                <c:pt idx="41">
                  <c:v>2074.4478097813762</c:v>
                </c:pt>
                <c:pt idx="42">
                  <c:v>2083.262350173643</c:v>
                </c:pt>
                <c:pt idx="43">
                  <c:v>2091.4933769023387</c:v>
                </c:pt>
                <c:pt idx="44">
                  <c:v>2099.1795179821333</c:v>
                </c:pt>
                <c:pt idx="45">
                  <c:v>2106.3568442921724</c:v>
                </c:pt>
                <c:pt idx="46">
                  <c:v>2113.0590388558662</c:v>
                </c:pt>
                <c:pt idx="47">
                  <c:v>2119.3175549145235</c:v>
                </c:pt>
                <c:pt idx="48">
                  <c:v>2125.1617635366742</c:v>
                </c:pt>
                <c:pt idx="49">
                  <c:v>2130.6190914558028</c:v>
                </c:pt>
                <c:pt idx="50">
                  <c:v>2135.7151497833606</c:v>
                </c:pt>
                <c:pt idx="51">
                  <c:v>2140.4738542011119</c:v>
                </c:pt>
                <c:pt idx="52">
                  <c:v>2144.9175371968622</c:v>
                </c:pt>
                <c:pt idx="53">
                  <c:v>2149.0670528703017</c:v>
                </c:pt>
                <c:pt idx="54">
                  <c:v>2152.9418748008011</c:v>
                </c:pt>
                <c:pt idx="55">
                  <c:v>2156.5601874364615</c:v>
                </c:pt>
                <c:pt idx="56">
                  <c:v>2159.9389714333024</c:v>
                </c:pt>
                <c:pt idx="57">
                  <c:v>2163.0940833450804</c:v>
                </c:pt>
                <c:pt idx="58">
                  <c:v>2166.0403300377225</c:v>
                </c:pt>
                <c:pt idx="59">
                  <c:v>2168.7915381775979</c:v>
                </c:pt>
                <c:pt idx="60">
                  <c:v>2171.3606191197409</c:v>
                </c:pt>
                <c:pt idx="61">
                  <c:v>2173.7596295005337</c:v>
                </c:pt>
                <c:pt idx="62">
                  <c:v>2175.9998278192174</c:v>
                </c:pt>
                <c:pt idx="63">
                  <c:v>2178.0917272737643</c:v>
                </c:pt>
                <c:pt idx="64">
                  <c:v>2180.045145099069</c:v>
                </c:pt>
                <c:pt idx="65">
                  <c:v>2181.8692486389996</c:v>
                </c:pt>
                <c:pt idx="66">
                  <c:v>2183.5725983685275</c:v>
                </c:pt>
                <c:pt idx="67">
                  <c:v>2185.1631880678337</c:v>
                </c:pt>
                <c:pt idx="68">
                  <c:v>2186.6484823369333</c:v>
                </c:pt>
                <c:pt idx="69">
                  <c:v>2188.0354516268649</c:v>
                </c:pt>
                <c:pt idx="70">
                  <c:v>2189.3306049518555</c:v>
                </c:pt>
                <c:pt idx="71">
                  <c:v>2190.5400204359698</c:v>
                </c:pt>
                <c:pt idx="72">
                  <c:v>2191.6693738376039</c:v>
                </c:pt>
                <c:pt idx="73">
                  <c:v>2192.7239651856844</c:v>
                </c:pt>
                <c:pt idx="74">
                  <c:v>2193.7087436525817</c:v>
                </c:pt>
                <c:pt idx="75">
                  <c:v>2194.6283307804583</c:v>
                </c:pt>
                <c:pt idx="76">
                  <c:v>2195.4870421700571</c:v>
                </c:pt>
                <c:pt idx="77">
                  <c:v>2196.2889077337145</c:v>
                </c:pt>
                <c:pt idx="78">
                  <c:v>2197.0376906076435</c:v>
                </c:pt>
                <c:pt idx="79">
                  <c:v>2197.7369048122441</c:v>
                </c:pt>
                <c:pt idx="80">
                  <c:v>2198.3898317433182</c:v>
                </c:pt>
                <c:pt idx="81">
                  <c:v>2198.9995355715823</c:v>
                </c:pt>
                <c:pt idx="82">
                  <c:v>2199.5688776227503</c:v>
                </c:pt>
                <c:pt idx="83">
                  <c:v>2200.1005298056643</c:v>
                </c:pt>
                <c:pt idx="84">
                  <c:v>2200.5969871515031</c:v>
                </c:pt>
                <c:pt idx="85">
                  <c:v>2201.0605795229035</c:v>
                </c:pt>
                <c:pt idx="86">
                  <c:v>2201.4934825479513</c:v>
                </c:pt>
                <c:pt idx="87">
                  <c:v>2201.8977278303519</c:v>
                </c:pt>
                <c:pt idx="88">
                  <c:v>2202.2752124836989</c:v>
                </c:pt>
                <c:pt idx="89">
                  <c:v>2202.627708034584</c:v>
                </c:pt>
                <c:pt idx="90">
                  <c:v>2202.9568687363289</c:v>
                </c:pt>
                <c:pt idx="91">
                  <c:v>2203.2642393323595</c:v>
                </c:pt>
                <c:pt idx="92">
                  <c:v>2203.5512623056457</c:v>
                </c:pt>
                <c:pt idx="93">
                  <c:v>2203.8192846482448</c:v>
                </c:pt>
                <c:pt idx="94">
                  <c:v>2204.0695641827006</c:v>
                </c:pt>
                <c:pt idx="95">
                  <c:v>2204.3032754649767</c:v>
                </c:pt>
                <c:pt idx="96">
                  <c:v>2204.5215152966193</c:v>
                </c:pt>
                <c:pt idx="97">
                  <c:v>2204.72530787202</c:v>
                </c:pt>
                <c:pt idx="98">
                  <c:v>2204.9156095849385</c:v>
                </c:pt>
                <c:pt idx="99">
                  <c:v>2205.0933135168325</c:v>
                </c:pt>
                <c:pt idx="100">
                  <c:v>2205.2592536280717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23-4FB4-9EEA-0F7E8675B3E5}"/>
            </c:ext>
          </c:extLst>
        </c:ser>
        <c:ser>
          <c:idx val="2"/>
          <c:order val="2"/>
          <c:tx>
            <c:v>Ur = 2,30 [V/c]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'Curva de carga Pb sellada'!$AB$8:$AB$108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sellada'!$AE$8:$AE$108</c:f>
              <c:numCache>
                <c:formatCode>#,##0</c:formatCode>
                <c:ptCount val="101"/>
                <c:pt idx="0">
                  <c:v>0</c:v>
                </c:pt>
                <c:pt idx="1">
                  <c:v>209.33091060098369</c:v>
                </c:pt>
                <c:pt idx="2">
                  <c:v>398.81246890397995</c:v>
                </c:pt>
                <c:pt idx="3">
                  <c:v>570.32684694711941</c:v>
                </c:pt>
                <c:pt idx="4">
                  <c:v>725.57774386282131</c:v>
                </c:pt>
                <c:pt idx="5">
                  <c:v>866.10730918630361</c:v>
                </c:pt>
                <c:pt idx="6">
                  <c:v>993.31146144785248</c:v>
                </c:pt>
                <c:pt idx="7">
                  <c:v>1108.4537542126009</c:v>
                </c:pt>
                <c:pt idx="8">
                  <c:v>1212.6779273029833</c:v>
                </c:pt>
                <c:pt idx="9">
                  <c:v>1307.0192678785786</c:v>
                </c:pt>
                <c:pt idx="10">
                  <c:v>1392.4148942260501</c:v>
                </c:pt>
                <c:pt idx="11">
                  <c:v>1469.7130644108754</c:v>
                </c:pt>
                <c:pt idx="12">
                  <c:v>1539.6816022562464</c:v>
                </c:pt>
                <c:pt idx="13">
                  <c:v>1603.0155243466838</c:v>
                </c:pt>
                <c:pt idx="14">
                  <c:v>1660.3439438174789</c:v>
                </c:pt>
                <c:pt idx="15">
                  <c:v>1712.2363195071823</c:v>
                </c:pt>
                <c:pt idx="16">
                  <c:v>1759.2081125476864</c:v>
                </c:pt>
                <c:pt idx="17">
                  <c:v>1801.7259065803403</c:v>
                </c:pt>
                <c:pt idx="18">
                  <c:v>1840.212042458618</c:v>
                </c:pt>
                <c:pt idx="19">
                  <c:v>1875.0488134750944</c:v>
                </c:pt>
                <c:pt idx="20">
                  <c:v>1906.5822627850671</c:v>
                </c:pt>
                <c:pt idx="21">
                  <c:v>1935.1256207476731</c:v>
                </c:pt>
                <c:pt idx="22">
                  <c:v>1960.9624163285428</c:v>
                </c:pt>
                <c:pt idx="23">
                  <c:v>1984.3492934704041</c:v>
                </c:pt>
                <c:pt idx="24">
                  <c:v>2005.5185604074184</c:v>
                </c:pt>
                <c:pt idx="25">
                  <c:v>2024.6804972462808</c:v>
                </c:pt>
                <c:pt idx="26">
                  <c:v>2042.0254447359141</c:v>
                </c:pt>
                <c:pt idx="27">
                  <c:v>2057.7256949740845</c:v>
                </c:pt>
                <c:pt idx="28">
                  <c:v>2071.9372028318321</c:v>
                </c:pt>
                <c:pt idx="29">
                  <c:v>2084.801135095779</c:v>
                </c:pt>
                <c:pt idx="30">
                  <c:v>2096.445272716348</c:v>
                </c:pt>
                <c:pt idx="31">
                  <c:v>2106.9852800908229</c:v>
                </c:pt>
                <c:pt idx="32">
                  <c:v>2116.5258539893784</c:v>
                </c:pt>
                <c:pt idx="33">
                  <c:v>2125.1617635366742</c:v>
                </c:pt>
                <c:pt idx="34">
                  <c:v>2132.9787915794391</c:v>
                </c:pt>
                <c:pt idx="35">
                  <c:v>2140.0545867909</c:v>
                </c:pt>
                <c:pt idx="36">
                  <c:v>2146.459434976251</c:v>
                </c:pt>
                <c:pt idx="37">
                  <c:v>2152.2569572407374</c:v>
                </c:pt>
                <c:pt idx="38">
                  <c:v>2157.5047419554617</c:v>
                </c:pt>
                <c:pt idx="39">
                  <c:v>2162.254916798393</c:v>
                </c:pt>
                <c:pt idx="40">
                  <c:v>2166.5546665528182</c:v>
                </c:pt>
                <c:pt idx="41">
                  <c:v>2170.4467018066775</c:v>
                </c:pt>
                <c:pt idx="42">
                  <c:v>2173.9696832084883</c:v>
                </c:pt>
                <c:pt idx="43">
                  <c:v>2177.1586054941231</c:v>
                </c:pt>
                <c:pt idx="44">
                  <c:v>2180.045145099069</c:v>
                </c:pt>
                <c:pt idx="45">
                  <c:v>2182.6579748091112</c:v>
                </c:pt>
                <c:pt idx="46">
                  <c:v>2185.0230485749394</c:v>
                </c:pt>
                <c:pt idx="47">
                  <c:v>2187.1638593198218</c:v>
                </c:pt>
                <c:pt idx="48">
                  <c:v>2189.1016723012276</c:v>
                </c:pt>
                <c:pt idx="49">
                  <c:v>2190.8557363444324</c:v>
                </c:pt>
                <c:pt idx="50">
                  <c:v>2192.4434750463543</c:v>
                </c:pt>
                <c:pt idx="51">
                  <c:v>2193.8806598488968</c:v>
                </c:pt>
                <c:pt idx="52">
                  <c:v>2195.1815667009873</c:v>
                </c:pt>
                <c:pt idx="53">
                  <c:v>2196.3591178654738</c:v>
                </c:pt>
                <c:pt idx="54">
                  <c:v>2197.4250102794886</c:v>
                </c:pt>
                <c:pt idx="55">
                  <c:v>2198.3898317433182</c:v>
                </c:pt>
                <c:pt idx="56">
                  <c:v>2199.2631660919137</c:v>
                </c:pt>
                <c:pt idx="57">
                  <c:v>2200.0536883937384</c:v>
                </c:pt>
                <c:pt idx="58">
                  <c:v>2200.7692511225923</c:v>
                </c:pt>
                <c:pt idx="59">
                  <c:v>2201.4169621583751</c:v>
                </c:pt>
                <c:pt idx="60">
                  <c:v>2202.0032553916003</c:v>
                </c:pt>
                <c:pt idx="61">
                  <c:v>2202.5339546329833</c:v>
                </c:pt>
                <c:pt idx="62">
                  <c:v>2203.0143314629454</c:v>
                </c:pt>
                <c:pt idx="63">
                  <c:v>2203.4491575956577</c:v>
                </c:pt>
                <c:pt idx="64">
                  <c:v>2203.8427522777838</c:v>
                </c:pt>
                <c:pt idx="65">
                  <c:v>2204.1990251927346</c:v>
                </c:pt>
                <c:pt idx="66">
                  <c:v>2204.5215152966193</c:v>
                </c:pt>
                <c:pt idx="67">
                  <c:v>2204.8134259716644</c:v>
                </c:pt>
                <c:pt idx="68">
                  <c:v>2205.0776568462834</c:v>
                </c:pt>
                <c:pt idx="69">
                  <c:v>2205.3168325978759</c:v>
                </c:pt>
                <c:pt idx="70">
                  <c:v>2205.5333290244662</c:v>
                </c:pt>
                <c:pt idx="71">
                  <c:v>2205.7292966441532</c:v>
                </c:pt>
                <c:pt idx="72">
                  <c:v>2205.9066820567932</c:v>
                </c:pt>
                <c:pt idx="73">
                  <c:v>2206.0672472801075</c:v>
                </c:pt>
                <c:pt idx="74">
                  <c:v>2206.2125872522861</c:v>
                </c:pt>
                <c:pt idx="75">
                  <c:v>2206.3441456749433</c:v>
                </c:pt>
                <c:pt idx="76">
                  <c:v>2206.4632293538011</c:v>
                </c:pt>
                <c:pt idx="77">
                  <c:v>2206.5710211795454</c:v>
                </c:pt>
                <c:pt idx="78">
                  <c:v>2206.6685918778035</c:v>
                </c:pt>
                <c:pt idx="79">
                  <c:v>2206.7569106449537</c:v>
                </c:pt>
                <c:pt idx="80">
                  <c:v>2206.8368547754167</c:v>
                </c:pt>
                <c:pt idx="81">
                  <c:v>2206.9092183760613</c:v>
                </c:pt>
                <c:pt idx="82">
                  <c:v>2206.974720254284</c:v>
                </c:pt>
                <c:pt idx="83">
                  <c:v>2207.0340110581215</c:v>
                </c:pt>
                <c:pt idx="84">
                  <c:v>2207.0876797393107</c:v>
                </c:pt>
                <c:pt idx="85">
                  <c:v>2207.1362594035113</c:v>
                </c:pt>
                <c:pt idx="86">
                  <c:v>2207.1802326057878</c:v>
                </c:pt>
                <c:pt idx="87">
                  <c:v>2207.2200361439614</c:v>
                </c:pt>
                <c:pt idx="88">
                  <c:v>2207.2560653974401</c:v>
                </c:pt>
                <c:pt idx="89">
                  <c:v>2207.2886782546339</c:v>
                </c:pt>
                <c:pt idx="90">
                  <c:v>2207.3181986679547</c:v>
                </c:pt>
                <c:pt idx="91">
                  <c:v>2207.3449198717262</c:v>
                </c:pt>
                <c:pt idx="92">
                  <c:v>2207.3691072949587</c:v>
                </c:pt>
                <c:pt idx="93">
                  <c:v>2207.3910011979287</c:v>
                </c:pt>
                <c:pt idx="94">
                  <c:v>2207.4108190587513</c:v>
                </c:pt>
                <c:pt idx="95">
                  <c:v>2207.4287577336472</c:v>
                </c:pt>
                <c:pt idx="96">
                  <c:v>2207.4449954123702</c:v>
                </c:pt>
                <c:pt idx="97">
                  <c:v>2207.4596933882153</c:v>
                </c:pt>
                <c:pt idx="98">
                  <c:v>2207.4729976601889</c:v>
                </c:pt>
                <c:pt idx="99">
                  <c:v>2207.4850403832552</c:v>
                </c:pt>
                <c:pt idx="100">
                  <c:v>2207.4959411810696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23-4FB4-9EEA-0F7E8675B3E5}"/>
            </c:ext>
          </c:extLst>
        </c:ser>
        <c:ser>
          <c:idx val="3"/>
          <c:order val="3"/>
          <c:tx>
            <c:v>Qn = 1.800 [Ah]</c:v>
          </c:tx>
          <c:spPr>
            <a:ln w="19050">
              <a:solidFill>
                <a:srgbClr val="00B0F0"/>
              </a:solidFill>
              <a:prstDash val="lgDashDot"/>
            </a:ln>
          </c:spPr>
          <c:marker>
            <c:symbol val="none"/>
          </c:marker>
          <c:xVal>
            <c:numRef>
              <c:f>'Curva de carga Pb sellada'!$AB$8:$AB$108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sellada'!$AF$8:$AF$108</c:f>
              <c:numCache>
                <c:formatCode>#,##0</c:formatCode>
                <c:ptCount val="101"/>
                <c:pt idx="0">
                  <c:v>1800</c:v>
                </c:pt>
                <c:pt idx="1">
                  <c:v>1800</c:v>
                </c:pt>
                <c:pt idx="2">
                  <c:v>1800</c:v>
                </c:pt>
                <c:pt idx="3">
                  <c:v>1800</c:v>
                </c:pt>
                <c:pt idx="4">
                  <c:v>1800</c:v>
                </c:pt>
                <c:pt idx="5">
                  <c:v>1800</c:v>
                </c:pt>
                <c:pt idx="6">
                  <c:v>1800</c:v>
                </c:pt>
                <c:pt idx="7">
                  <c:v>1800</c:v>
                </c:pt>
                <c:pt idx="8">
                  <c:v>1800</c:v>
                </c:pt>
                <c:pt idx="9">
                  <c:v>1800</c:v>
                </c:pt>
                <c:pt idx="10">
                  <c:v>1800</c:v>
                </c:pt>
                <c:pt idx="11">
                  <c:v>1800</c:v>
                </c:pt>
                <c:pt idx="12">
                  <c:v>1800</c:v>
                </c:pt>
                <c:pt idx="13">
                  <c:v>1800</c:v>
                </c:pt>
                <c:pt idx="14">
                  <c:v>1800</c:v>
                </c:pt>
                <c:pt idx="15">
                  <c:v>1800</c:v>
                </c:pt>
                <c:pt idx="16">
                  <c:v>1800</c:v>
                </c:pt>
                <c:pt idx="17">
                  <c:v>1800</c:v>
                </c:pt>
                <c:pt idx="18">
                  <c:v>1800</c:v>
                </c:pt>
                <c:pt idx="19">
                  <c:v>1800</c:v>
                </c:pt>
                <c:pt idx="20">
                  <c:v>1800</c:v>
                </c:pt>
                <c:pt idx="21">
                  <c:v>1800</c:v>
                </c:pt>
                <c:pt idx="22">
                  <c:v>1800</c:v>
                </c:pt>
                <c:pt idx="23">
                  <c:v>1800</c:v>
                </c:pt>
                <c:pt idx="24">
                  <c:v>1800</c:v>
                </c:pt>
                <c:pt idx="25">
                  <c:v>1800</c:v>
                </c:pt>
                <c:pt idx="26">
                  <c:v>1800</c:v>
                </c:pt>
                <c:pt idx="27">
                  <c:v>1800</c:v>
                </c:pt>
                <c:pt idx="28">
                  <c:v>1800</c:v>
                </c:pt>
                <c:pt idx="29">
                  <c:v>1800</c:v>
                </c:pt>
                <c:pt idx="30">
                  <c:v>1800</c:v>
                </c:pt>
                <c:pt idx="31">
                  <c:v>1800</c:v>
                </c:pt>
                <c:pt idx="32">
                  <c:v>1800</c:v>
                </c:pt>
                <c:pt idx="33">
                  <c:v>1800</c:v>
                </c:pt>
                <c:pt idx="34">
                  <c:v>1800</c:v>
                </c:pt>
                <c:pt idx="35">
                  <c:v>1800</c:v>
                </c:pt>
                <c:pt idx="36">
                  <c:v>1800</c:v>
                </c:pt>
                <c:pt idx="37">
                  <c:v>1800</c:v>
                </c:pt>
                <c:pt idx="38">
                  <c:v>1800</c:v>
                </c:pt>
                <c:pt idx="39">
                  <c:v>1800</c:v>
                </c:pt>
                <c:pt idx="40">
                  <c:v>1800</c:v>
                </c:pt>
                <c:pt idx="41">
                  <c:v>1800</c:v>
                </c:pt>
                <c:pt idx="42">
                  <c:v>1800</c:v>
                </c:pt>
                <c:pt idx="43">
                  <c:v>1800</c:v>
                </c:pt>
                <c:pt idx="44">
                  <c:v>1800</c:v>
                </c:pt>
                <c:pt idx="45">
                  <c:v>1800</c:v>
                </c:pt>
                <c:pt idx="46">
                  <c:v>1800</c:v>
                </c:pt>
                <c:pt idx="47">
                  <c:v>1800</c:v>
                </c:pt>
                <c:pt idx="48">
                  <c:v>1800</c:v>
                </c:pt>
                <c:pt idx="49">
                  <c:v>1800</c:v>
                </c:pt>
                <c:pt idx="50">
                  <c:v>1800</c:v>
                </c:pt>
                <c:pt idx="51">
                  <c:v>1800</c:v>
                </c:pt>
                <c:pt idx="52">
                  <c:v>1800</c:v>
                </c:pt>
                <c:pt idx="53">
                  <c:v>1800</c:v>
                </c:pt>
                <c:pt idx="54">
                  <c:v>1800</c:v>
                </c:pt>
                <c:pt idx="55">
                  <c:v>1800</c:v>
                </c:pt>
                <c:pt idx="56">
                  <c:v>1800</c:v>
                </c:pt>
                <c:pt idx="57">
                  <c:v>1800</c:v>
                </c:pt>
                <c:pt idx="58">
                  <c:v>1800</c:v>
                </c:pt>
                <c:pt idx="59">
                  <c:v>1800</c:v>
                </c:pt>
                <c:pt idx="60">
                  <c:v>1800</c:v>
                </c:pt>
                <c:pt idx="61">
                  <c:v>1800</c:v>
                </c:pt>
                <c:pt idx="62">
                  <c:v>1800</c:v>
                </c:pt>
                <c:pt idx="63">
                  <c:v>1800</c:v>
                </c:pt>
                <c:pt idx="64">
                  <c:v>1800</c:v>
                </c:pt>
                <c:pt idx="65">
                  <c:v>1800</c:v>
                </c:pt>
                <c:pt idx="66">
                  <c:v>1800</c:v>
                </c:pt>
                <c:pt idx="67">
                  <c:v>1800</c:v>
                </c:pt>
                <c:pt idx="68">
                  <c:v>1800</c:v>
                </c:pt>
                <c:pt idx="69">
                  <c:v>1800</c:v>
                </c:pt>
                <c:pt idx="70">
                  <c:v>1800</c:v>
                </c:pt>
                <c:pt idx="71">
                  <c:v>1800</c:v>
                </c:pt>
                <c:pt idx="72">
                  <c:v>1800</c:v>
                </c:pt>
                <c:pt idx="73">
                  <c:v>1800</c:v>
                </c:pt>
                <c:pt idx="74">
                  <c:v>1800</c:v>
                </c:pt>
                <c:pt idx="75">
                  <c:v>1800</c:v>
                </c:pt>
                <c:pt idx="76">
                  <c:v>1800</c:v>
                </c:pt>
                <c:pt idx="77">
                  <c:v>1800</c:v>
                </c:pt>
                <c:pt idx="78">
                  <c:v>1800</c:v>
                </c:pt>
                <c:pt idx="79">
                  <c:v>1800</c:v>
                </c:pt>
                <c:pt idx="80">
                  <c:v>1800</c:v>
                </c:pt>
                <c:pt idx="81">
                  <c:v>1800</c:v>
                </c:pt>
                <c:pt idx="82">
                  <c:v>1800</c:v>
                </c:pt>
                <c:pt idx="83">
                  <c:v>1800</c:v>
                </c:pt>
                <c:pt idx="84">
                  <c:v>1800</c:v>
                </c:pt>
                <c:pt idx="85">
                  <c:v>1800</c:v>
                </c:pt>
                <c:pt idx="86">
                  <c:v>1800</c:v>
                </c:pt>
                <c:pt idx="87">
                  <c:v>1800</c:v>
                </c:pt>
                <c:pt idx="88">
                  <c:v>1800</c:v>
                </c:pt>
                <c:pt idx="89">
                  <c:v>1800</c:v>
                </c:pt>
                <c:pt idx="90">
                  <c:v>1800</c:v>
                </c:pt>
                <c:pt idx="91">
                  <c:v>1800</c:v>
                </c:pt>
                <c:pt idx="92">
                  <c:v>1800</c:v>
                </c:pt>
                <c:pt idx="93">
                  <c:v>1800</c:v>
                </c:pt>
                <c:pt idx="94">
                  <c:v>1800</c:v>
                </c:pt>
                <c:pt idx="95">
                  <c:v>1800</c:v>
                </c:pt>
                <c:pt idx="96">
                  <c:v>1800</c:v>
                </c:pt>
                <c:pt idx="97">
                  <c:v>1800</c:v>
                </c:pt>
                <c:pt idx="98">
                  <c:v>1800</c:v>
                </c:pt>
                <c:pt idx="99">
                  <c:v>1800</c:v>
                </c:pt>
                <c:pt idx="100">
                  <c:v>1800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23-4FB4-9EEA-0F7E8675B3E5}"/>
            </c:ext>
          </c:extLst>
        </c:ser>
        <c:ser>
          <c:idx val="4"/>
          <c:order val="4"/>
          <c:tx>
            <c:v>QI = 2.208 [Ah]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'Curva de carga Pb sellada'!$AB$8:$AB$108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sellada'!$AG$8:$AG$108</c:f>
              <c:numCache>
                <c:formatCode>#,##0.0</c:formatCode>
                <c:ptCount val="101"/>
                <c:pt idx="0">
                  <c:v>2207.6</c:v>
                </c:pt>
                <c:pt idx="1">
                  <c:v>2207.6</c:v>
                </c:pt>
                <c:pt idx="2">
                  <c:v>2207.6</c:v>
                </c:pt>
                <c:pt idx="3">
                  <c:v>2207.6</c:v>
                </c:pt>
                <c:pt idx="4">
                  <c:v>2207.6</c:v>
                </c:pt>
                <c:pt idx="5">
                  <c:v>2207.6</c:v>
                </c:pt>
                <c:pt idx="6">
                  <c:v>2207.6</c:v>
                </c:pt>
                <c:pt idx="7">
                  <c:v>2207.6</c:v>
                </c:pt>
                <c:pt idx="8">
                  <c:v>2207.6</c:v>
                </c:pt>
                <c:pt idx="9">
                  <c:v>2207.6</c:v>
                </c:pt>
                <c:pt idx="10">
                  <c:v>2207.6</c:v>
                </c:pt>
                <c:pt idx="11">
                  <c:v>2207.6</c:v>
                </c:pt>
                <c:pt idx="12">
                  <c:v>2207.6</c:v>
                </c:pt>
                <c:pt idx="13">
                  <c:v>2207.6</c:v>
                </c:pt>
                <c:pt idx="14">
                  <c:v>2207.6</c:v>
                </c:pt>
                <c:pt idx="15">
                  <c:v>2207.6</c:v>
                </c:pt>
                <c:pt idx="16">
                  <c:v>2207.6</c:v>
                </c:pt>
                <c:pt idx="17">
                  <c:v>2207.6</c:v>
                </c:pt>
                <c:pt idx="18">
                  <c:v>2207.6</c:v>
                </c:pt>
                <c:pt idx="19">
                  <c:v>2207.6</c:v>
                </c:pt>
                <c:pt idx="20">
                  <c:v>2207.6</c:v>
                </c:pt>
                <c:pt idx="21">
                  <c:v>2207.6</c:v>
                </c:pt>
                <c:pt idx="22">
                  <c:v>2207.6</c:v>
                </c:pt>
                <c:pt idx="23">
                  <c:v>2207.6</c:v>
                </c:pt>
                <c:pt idx="24">
                  <c:v>2207.6</c:v>
                </c:pt>
                <c:pt idx="25">
                  <c:v>2207.6</c:v>
                </c:pt>
                <c:pt idx="26">
                  <c:v>2207.6</c:v>
                </c:pt>
                <c:pt idx="27">
                  <c:v>2207.6</c:v>
                </c:pt>
                <c:pt idx="28">
                  <c:v>2207.6</c:v>
                </c:pt>
                <c:pt idx="29">
                  <c:v>2207.6</c:v>
                </c:pt>
                <c:pt idx="30">
                  <c:v>2207.6</c:v>
                </c:pt>
                <c:pt idx="31">
                  <c:v>2207.6</c:v>
                </c:pt>
                <c:pt idx="32">
                  <c:v>2207.6</c:v>
                </c:pt>
                <c:pt idx="33">
                  <c:v>2207.6</c:v>
                </c:pt>
                <c:pt idx="34">
                  <c:v>2207.6</c:v>
                </c:pt>
                <c:pt idx="35">
                  <c:v>2207.6</c:v>
                </c:pt>
                <c:pt idx="36">
                  <c:v>2207.6</c:v>
                </c:pt>
                <c:pt idx="37">
                  <c:v>2207.6</c:v>
                </c:pt>
                <c:pt idx="38">
                  <c:v>2207.6</c:v>
                </c:pt>
                <c:pt idx="39">
                  <c:v>2207.6</c:v>
                </c:pt>
                <c:pt idx="40">
                  <c:v>2207.6</c:v>
                </c:pt>
                <c:pt idx="41">
                  <c:v>2207.6</c:v>
                </c:pt>
                <c:pt idx="42">
                  <c:v>2207.6</c:v>
                </c:pt>
                <c:pt idx="43">
                  <c:v>2207.6</c:v>
                </c:pt>
                <c:pt idx="44">
                  <c:v>2207.6</c:v>
                </c:pt>
                <c:pt idx="45">
                  <c:v>2207.6</c:v>
                </c:pt>
                <c:pt idx="46">
                  <c:v>2207.6</c:v>
                </c:pt>
                <c:pt idx="47">
                  <c:v>2207.6</c:v>
                </c:pt>
                <c:pt idx="48">
                  <c:v>2207.6</c:v>
                </c:pt>
                <c:pt idx="49">
                  <c:v>2207.6</c:v>
                </c:pt>
                <c:pt idx="50">
                  <c:v>2207.6</c:v>
                </c:pt>
                <c:pt idx="51">
                  <c:v>2207.6</c:v>
                </c:pt>
                <c:pt idx="52">
                  <c:v>2207.6</c:v>
                </c:pt>
                <c:pt idx="53">
                  <c:v>2207.6</c:v>
                </c:pt>
                <c:pt idx="54">
                  <c:v>2207.6</c:v>
                </c:pt>
                <c:pt idx="55">
                  <c:v>2207.6</c:v>
                </c:pt>
                <c:pt idx="56">
                  <c:v>2207.6</c:v>
                </c:pt>
                <c:pt idx="57">
                  <c:v>2207.6</c:v>
                </c:pt>
                <c:pt idx="58">
                  <c:v>2207.6</c:v>
                </c:pt>
                <c:pt idx="59">
                  <c:v>2207.6</c:v>
                </c:pt>
                <c:pt idx="60">
                  <c:v>2207.6</c:v>
                </c:pt>
                <c:pt idx="61">
                  <c:v>2207.6</c:v>
                </c:pt>
                <c:pt idx="62">
                  <c:v>2207.6</c:v>
                </c:pt>
                <c:pt idx="63">
                  <c:v>2207.6</c:v>
                </c:pt>
                <c:pt idx="64">
                  <c:v>2207.6</c:v>
                </c:pt>
                <c:pt idx="65">
                  <c:v>2207.6</c:v>
                </c:pt>
                <c:pt idx="66">
                  <c:v>2207.6</c:v>
                </c:pt>
                <c:pt idx="67">
                  <c:v>2207.6</c:v>
                </c:pt>
                <c:pt idx="68">
                  <c:v>2207.6</c:v>
                </c:pt>
                <c:pt idx="69">
                  <c:v>2207.6</c:v>
                </c:pt>
                <c:pt idx="70">
                  <c:v>2207.6</c:v>
                </c:pt>
                <c:pt idx="71">
                  <c:v>2207.6</c:v>
                </c:pt>
                <c:pt idx="72">
                  <c:v>2207.6</c:v>
                </c:pt>
                <c:pt idx="73">
                  <c:v>2207.6</c:v>
                </c:pt>
                <c:pt idx="74">
                  <c:v>2207.6</c:v>
                </c:pt>
                <c:pt idx="75">
                  <c:v>2207.6</c:v>
                </c:pt>
                <c:pt idx="76">
                  <c:v>2207.6</c:v>
                </c:pt>
                <c:pt idx="77">
                  <c:v>2207.6</c:v>
                </c:pt>
                <c:pt idx="78">
                  <c:v>2207.6</c:v>
                </c:pt>
                <c:pt idx="79">
                  <c:v>2207.6</c:v>
                </c:pt>
                <c:pt idx="80">
                  <c:v>2207.6</c:v>
                </c:pt>
                <c:pt idx="81">
                  <c:v>2207.6</c:v>
                </c:pt>
                <c:pt idx="82">
                  <c:v>2207.6</c:v>
                </c:pt>
                <c:pt idx="83">
                  <c:v>2207.6</c:v>
                </c:pt>
                <c:pt idx="84">
                  <c:v>2207.6</c:v>
                </c:pt>
                <c:pt idx="85">
                  <c:v>2207.6</c:v>
                </c:pt>
                <c:pt idx="86">
                  <c:v>2207.6</c:v>
                </c:pt>
                <c:pt idx="87">
                  <c:v>2207.6</c:v>
                </c:pt>
                <c:pt idx="88">
                  <c:v>2207.6</c:v>
                </c:pt>
                <c:pt idx="89">
                  <c:v>2207.6</c:v>
                </c:pt>
                <c:pt idx="90">
                  <c:v>2207.6</c:v>
                </c:pt>
                <c:pt idx="91">
                  <c:v>2207.6</c:v>
                </c:pt>
                <c:pt idx="92">
                  <c:v>2207.6</c:v>
                </c:pt>
                <c:pt idx="93">
                  <c:v>2207.6</c:v>
                </c:pt>
                <c:pt idx="94">
                  <c:v>2207.6</c:v>
                </c:pt>
                <c:pt idx="95">
                  <c:v>2207.6</c:v>
                </c:pt>
                <c:pt idx="96">
                  <c:v>2207.6</c:v>
                </c:pt>
                <c:pt idx="97">
                  <c:v>2207.6</c:v>
                </c:pt>
                <c:pt idx="98">
                  <c:v>2207.6</c:v>
                </c:pt>
                <c:pt idx="99">
                  <c:v>2207.6</c:v>
                </c:pt>
                <c:pt idx="100">
                  <c:v>2207.6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F23-4FB4-9EEA-0F7E8675B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47456"/>
        <c:axId val="130149376"/>
      </c:scatterChart>
      <c:valAx>
        <c:axId val="130147456"/>
        <c:scaling>
          <c:orientation val="minMax"/>
          <c:max val="36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 baseline="0"/>
                  <a:t>Tiempo de recarga t [h]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0149376"/>
        <c:crosses val="autoZero"/>
        <c:crossBetween val="midCat"/>
        <c:majorUnit val="3"/>
        <c:minorUnit val="2"/>
      </c:valAx>
      <c:valAx>
        <c:axId val="130149376"/>
        <c:scaling>
          <c:orientation val="minMax"/>
          <c:max val="25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Carga eléctrica inyectada/acumulada</a:t>
                </a:r>
              </a:p>
              <a:p>
                <a:pPr>
                  <a:defRPr/>
                </a:pPr>
                <a:r>
                  <a:rPr lang="en-US" sz="1100"/>
                  <a:t> q</a:t>
                </a:r>
                <a:r>
                  <a:rPr lang="en-US" sz="1100" baseline="-25000"/>
                  <a:t>r</a:t>
                </a:r>
                <a:r>
                  <a:rPr lang="en-US" sz="1100"/>
                  <a:t>  =  [Ah]</a:t>
                </a:r>
              </a:p>
            </c:rich>
          </c:tx>
          <c:layout>
            <c:manualLayout>
              <c:xMode val="edge"/>
              <c:yMode val="edge"/>
              <c:x val="7.0930271794758283E-3"/>
              <c:y val="0.1886997234865670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30147456"/>
        <c:crosses val="autoZero"/>
        <c:crossBetween val="midCat"/>
        <c:majorUnit val="200"/>
        <c:minorUnit val="100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64522146797252766"/>
          <c:y val="0.45293979033203818"/>
          <c:w val="0.29831597810970095"/>
          <c:h val="0.33118879432702458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/>
              <a:t>Resistencia interna a la descarga y a la recarga</a:t>
            </a:r>
          </a:p>
          <a:p>
            <a:pPr>
              <a:defRPr/>
            </a:pPr>
            <a:r>
              <a:rPr lang="es-ES" sz="1400"/>
              <a:t>Acumulador Absolyte 100 A 39</a:t>
            </a:r>
          </a:p>
        </c:rich>
      </c:tx>
      <c:layout>
        <c:manualLayout>
          <c:xMode val="edge"/>
          <c:yMode val="edge"/>
          <c:x val="0.19735919028666191"/>
          <c:y val="2.197801563900215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312891444125038"/>
          <c:y val="0.17177092446777489"/>
          <c:w val="0.81769038129493077"/>
          <c:h val="0.65109903515582401"/>
        </c:manualLayout>
      </c:layout>
      <c:scatterChart>
        <c:scatterStyle val="smoothMarker"/>
        <c:varyColors val="0"/>
        <c:ser>
          <c:idx val="0"/>
          <c:order val="0"/>
          <c:tx>
            <c:v>Resistencia a la descarga: Rid = f(qd)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'Curva de carga Pb sellada'!$AI$8:$AI$108</c:f>
              <c:numCache>
                <c:formatCode>#,##0</c:formatCode>
                <c:ptCount val="101"/>
                <c:pt idx="0">
                  <c:v>0</c:v>
                </c:pt>
                <c:pt idx="1">
                  <c:v>22.076000000000001</c:v>
                </c:pt>
                <c:pt idx="2">
                  <c:v>44.152000000000001</c:v>
                </c:pt>
                <c:pt idx="3">
                  <c:v>66.227999999999994</c:v>
                </c:pt>
                <c:pt idx="4">
                  <c:v>88.304000000000002</c:v>
                </c:pt>
                <c:pt idx="5">
                  <c:v>110.38</c:v>
                </c:pt>
                <c:pt idx="6">
                  <c:v>132.45599999999999</c:v>
                </c:pt>
                <c:pt idx="7">
                  <c:v>154.53200000000001</c:v>
                </c:pt>
                <c:pt idx="8">
                  <c:v>176.608</c:v>
                </c:pt>
                <c:pt idx="9">
                  <c:v>198.684</c:v>
                </c:pt>
                <c:pt idx="10">
                  <c:v>220.76</c:v>
                </c:pt>
                <c:pt idx="11">
                  <c:v>242.83599999999998</c:v>
                </c:pt>
                <c:pt idx="12">
                  <c:v>264.91199999999998</c:v>
                </c:pt>
                <c:pt idx="13">
                  <c:v>286.988</c:v>
                </c:pt>
                <c:pt idx="14">
                  <c:v>309.06400000000002</c:v>
                </c:pt>
                <c:pt idx="15">
                  <c:v>331.14</c:v>
                </c:pt>
                <c:pt idx="16">
                  <c:v>353.21600000000001</c:v>
                </c:pt>
                <c:pt idx="17">
                  <c:v>375.29200000000003</c:v>
                </c:pt>
                <c:pt idx="18">
                  <c:v>397.36799999999999</c:v>
                </c:pt>
                <c:pt idx="19">
                  <c:v>419.44399999999996</c:v>
                </c:pt>
                <c:pt idx="20">
                  <c:v>441.52</c:v>
                </c:pt>
                <c:pt idx="21">
                  <c:v>463.59599999999995</c:v>
                </c:pt>
                <c:pt idx="22">
                  <c:v>485.67199999999997</c:v>
                </c:pt>
                <c:pt idx="23">
                  <c:v>507.74799999999999</c:v>
                </c:pt>
                <c:pt idx="24">
                  <c:v>529.82399999999996</c:v>
                </c:pt>
                <c:pt idx="25">
                  <c:v>551.9</c:v>
                </c:pt>
                <c:pt idx="26">
                  <c:v>573.976</c:v>
                </c:pt>
                <c:pt idx="27">
                  <c:v>596.05200000000002</c:v>
                </c:pt>
                <c:pt idx="28">
                  <c:v>618.12800000000004</c:v>
                </c:pt>
                <c:pt idx="29">
                  <c:v>640.20399999999995</c:v>
                </c:pt>
                <c:pt idx="30">
                  <c:v>662.28</c:v>
                </c:pt>
                <c:pt idx="31">
                  <c:v>684.35599999999999</c:v>
                </c:pt>
                <c:pt idx="32">
                  <c:v>706.43200000000002</c:v>
                </c:pt>
                <c:pt idx="33">
                  <c:v>728.50800000000004</c:v>
                </c:pt>
                <c:pt idx="34">
                  <c:v>750.58400000000006</c:v>
                </c:pt>
                <c:pt idx="35">
                  <c:v>772.66</c:v>
                </c:pt>
                <c:pt idx="36">
                  <c:v>794.73599999999999</c:v>
                </c:pt>
                <c:pt idx="37">
                  <c:v>816.81200000000001</c:v>
                </c:pt>
                <c:pt idx="38">
                  <c:v>838.88799999999992</c:v>
                </c:pt>
                <c:pt idx="39">
                  <c:v>860.96399999999994</c:v>
                </c:pt>
                <c:pt idx="40">
                  <c:v>883.04</c:v>
                </c:pt>
                <c:pt idx="41">
                  <c:v>905.11599999999987</c:v>
                </c:pt>
                <c:pt idx="42">
                  <c:v>927.19199999999989</c:v>
                </c:pt>
                <c:pt idx="43">
                  <c:v>949.26799999999992</c:v>
                </c:pt>
                <c:pt idx="44">
                  <c:v>971.34399999999994</c:v>
                </c:pt>
                <c:pt idx="45">
                  <c:v>993.42</c:v>
                </c:pt>
                <c:pt idx="46">
                  <c:v>1015.496</c:v>
                </c:pt>
                <c:pt idx="47">
                  <c:v>1037.5719999999999</c:v>
                </c:pt>
                <c:pt idx="48">
                  <c:v>1059.6479999999999</c:v>
                </c:pt>
                <c:pt idx="49">
                  <c:v>1081.7239999999999</c:v>
                </c:pt>
                <c:pt idx="50">
                  <c:v>1103.8</c:v>
                </c:pt>
                <c:pt idx="51">
                  <c:v>1125.876</c:v>
                </c:pt>
                <c:pt idx="52">
                  <c:v>1147.952</c:v>
                </c:pt>
                <c:pt idx="53">
                  <c:v>1170.028</c:v>
                </c:pt>
                <c:pt idx="54">
                  <c:v>1192.104</c:v>
                </c:pt>
                <c:pt idx="55">
                  <c:v>1214.18</c:v>
                </c:pt>
                <c:pt idx="56">
                  <c:v>1236.2560000000001</c:v>
                </c:pt>
                <c:pt idx="57">
                  <c:v>1258.3319999999999</c:v>
                </c:pt>
                <c:pt idx="58">
                  <c:v>1280.4079999999999</c:v>
                </c:pt>
                <c:pt idx="59">
                  <c:v>1302.4839999999999</c:v>
                </c:pt>
                <c:pt idx="60">
                  <c:v>1324.56</c:v>
                </c:pt>
                <c:pt idx="61">
                  <c:v>1346.636</c:v>
                </c:pt>
                <c:pt idx="62">
                  <c:v>1368.712</c:v>
                </c:pt>
                <c:pt idx="63">
                  <c:v>1390.788</c:v>
                </c:pt>
                <c:pt idx="64">
                  <c:v>1412.864</c:v>
                </c:pt>
                <c:pt idx="65">
                  <c:v>1434.94</c:v>
                </c:pt>
                <c:pt idx="66">
                  <c:v>1457.0160000000001</c:v>
                </c:pt>
                <c:pt idx="67">
                  <c:v>1479.0920000000001</c:v>
                </c:pt>
                <c:pt idx="68">
                  <c:v>1501.1680000000001</c:v>
                </c:pt>
                <c:pt idx="69">
                  <c:v>1523.2439999999999</c:v>
                </c:pt>
                <c:pt idx="70">
                  <c:v>1545.32</c:v>
                </c:pt>
                <c:pt idx="71">
                  <c:v>1567.396</c:v>
                </c:pt>
                <c:pt idx="72">
                  <c:v>1589.472</c:v>
                </c:pt>
                <c:pt idx="73">
                  <c:v>1611.548</c:v>
                </c:pt>
                <c:pt idx="74">
                  <c:v>1633.624</c:v>
                </c:pt>
                <c:pt idx="75">
                  <c:v>1655.6999999999998</c:v>
                </c:pt>
                <c:pt idx="76">
                  <c:v>1677.7759999999998</c:v>
                </c:pt>
                <c:pt idx="77">
                  <c:v>1699.8519999999999</c:v>
                </c:pt>
                <c:pt idx="78">
                  <c:v>1721.9279999999999</c:v>
                </c:pt>
                <c:pt idx="79">
                  <c:v>1744.0039999999999</c:v>
                </c:pt>
                <c:pt idx="80">
                  <c:v>1766.08</c:v>
                </c:pt>
                <c:pt idx="81">
                  <c:v>1788.1559999999999</c:v>
                </c:pt>
                <c:pt idx="82">
                  <c:v>1810.2319999999997</c:v>
                </c:pt>
                <c:pt idx="83">
                  <c:v>1832.3079999999998</c:v>
                </c:pt>
                <c:pt idx="84">
                  <c:v>1854.3839999999998</c:v>
                </c:pt>
                <c:pt idx="85">
                  <c:v>1876.4599999999998</c:v>
                </c:pt>
                <c:pt idx="86">
                  <c:v>1898.5359999999998</c:v>
                </c:pt>
                <c:pt idx="87">
                  <c:v>1920.6119999999999</c:v>
                </c:pt>
                <c:pt idx="88">
                  <c:v>1942.6879999999999</c:v>
                </c:pt>
                <c:pt idx="89">
                  <c:v>1964.7639999999999</c:v>
                </c:pt>
                <c:pt idx="90">
                  <c:v>1986.84</c:v>
                </c:pt>
                <c:pt idx="91">
                  <c:v>2008.9159999999999</c:v>
                </c:pt>
                <c:pt idx="92">
                  <c:v>2030.992</c:v>
                </c:pt>
                <c:pt idx="93">
                  <c:v>2053.0680000000002</c:v>
                </c:pt>
                <c:pt idx="94">
                  <c:v>2075.1439999999998</c:v>
                </c:pt>
                <c:pt idx="95">
                  <c:v>2097.2199999999998</c:v>
                </c:pt>
                <c:pt idx="96">
                  <c:v>2119.2959999999998</c:v>
                </c:pt>
                <c:pt idx="97">
                  <c:v>2141.3719999999998</c:v>
                </c:pt>
                <c:pt idx="98">
                  <c:v>2163.4479999999999</c:v>
                </c:pt>
                <c:pt idx="99">
                  <c:v>2185.5239999999999</c:v>
                </c:pt>
                <c:pt idx="100">
                  <c:v>2207.6</c:v>
                </c:pt>
              </c:numCache>
            </c:numRef>
          </c:xVal>
          <c:yVal>
            <c:numRef>
              <c:f>'Curva de carga Pb sellada'!$AJ$8:$AJ$108</c:f>
              <c:numCache>
                <c:formatCode>0.00E+00</c:formatCode>
                <c:ptCount val="101"/>
                <c:pt idx="0">
                  <c:v>0.26190000000000002</c:v>
                </c:pt>
                <c:pt idx="1">
                  <c:v>0.26454545454545458</c:v>
                </c:pt>
                <c:pt idx="2">
                  <c:v>0.26724489795918371</c:v>
                </c:pt>
                <c:pt idx="3">
                  <c:v>0.27000000000000007</c:v>
                </c:pt>
                <c:pt idx="4">
                  <c:v>0.27281250000000007</c:v>
                </c:pt>
                <c:pt idx="5">
                  <c:v>0.27568421052631581</c:v>
                </c:pt>
                <c:pt idx="6">
                  <c:v>0.27861702127659577</c:v>
                </c:pt>
                <c:pt idx="7">
                  <c:v>0.28161290322580645</c:v>
                </c:pt>
                <c:pt idx="8">
                  <c:v>0.28467391304347828</c:v>
                </c:pt>
                <c:pt idx="9">
                  <c:v>0.28780219780219785</c:v>
                </c:pt>
                <c:pt idx="10">
                  <c:v>0.29100000000000004</c:v>
                </c:pt>
                <c:pt idx="11">
                  <c:v>0.29426966292134837</c:v>
                </c:pt>
                <c:pt idx="12">
                  <c:v>0.29761363636363636</c:v>
                </c:pt>
                <c:pt idx="13">
                  <c:v>0.30103448275862071</c:v>
                </c:pt>
                <c:pt idx="14">
                  <c:v>0.30453488372093029</c:v>
                </c:pt>
                <c:pt idx="15">
                  <c:v>0.30811764705882355</c:v>
                </c:pt>
                <c:pt idx="16">
                  <c:v>0.31178571428571433</c:v>
                </c:pt>
                <c:pt idx="17">
                  <c:v>0.31554216867469886</c:v>
                </c:pt>
                <c:pt idx="18">
                  <c:v>0.31939024390243903</c:v>
                </c:pt>
                <c:pt idx="19">
                  <c:v>0.32333333333333336</c:v>
                </c:pt>
                <c:pt idx="20">
                  <c:v>0.32737500000000003</c:v>
                </c:pt>
                <c:pt idx="21">
                  <c:v>0.33151898734177221</c:v>
                </c:pt>
                <c:pt idx="22">
                  <c:v>0.33576923076923082</c:v>
                </c:pt>
                <c:pt idx="23">
                  <c:v>0.34012987012987017</c:v>
                </c:pt>
                <c:pt idx="24">
                  <c:v>0.3446052631578948</c:v>
                </c:pt>
                <c:pt idx="25">
                  <c:v>0.34920000000000001</c:v>
                </c:pt>
                <c:pt idx="26">
                  <c:v>0.35391891891891897</c:v>
                </c:pt>
                <c:pt idx="27">
                  <c:v>0.35876712328767124</c:v>
                </c:pt>
                <c:pt idx="28">
                  <c:v>0.36375000000000002</c:v>
                </c:pt>
                <c:pt idx="29">
                  <c:v>0.36887323943661976</c:v>
                </c:pt>
                <c:pt idx="30">
                  <c:v>0.37414285714285717</c:v>
                </c:pt>
                <c:pt idx="31">
                  <c:v>0.37956521739130439</c:v>
                </c:pt>
                <c:pt idx="32">
                  <c:v>0.38514705882352951</c:v>
                </c:pt>
                <c:pt idx="33">
                  <c:v>0.3908955223880598</c:v>
                </c:pt>
                <c:pt idx="34">
                  <c:v>0.3968181818181819</c:v>
                </c:pt>
                <c:pt idx="35">
                  <c:v>0.40292307692307694</c:v>
                </c:pt>
                <c:pt idx="36">
                  <c:v>0.40921875000000002</c:v>
                </c:pt>
                <c:pt idx="37">
                  <c:v>0.41571428571428576</c:v>
                </c:pt>
                <c:pt idx="38">
                  <c:v>0.42241935483870974</c:v>
                </c:pt>
                <c:pt idx="39">
                  <c:v>0.42934426229508199</c:v>
                </c:pt>
                <c:pt idx="40">
                  <c:v>0.43650000000000005</c:v>
                </c:pt>
                <c:pt idx="41">
                  <c:v>0.44389830508474576</c:v>
                </c:pt>
                <c:pt idx="42">
                  <c:v>0.45155172413793099</c:v>
                </c:pt>
                <c:pt idx="43">
                  <c:v>0.45947368421052631</c:v>
                </c:pt>
                <c:pt idx="44">
                  <c:v>0.46767857142857144</c:v>
                </c:pt>
                <c:pt idx="45">
                  <c:v>0.47618181818181821</c:v>
                </c:pt>
                <c:pt idx="46">
                  <c:v>0.48500000000000004</c:v>
                </c:pt>
                <c:pt idx="47">
                  <c:v>0.49415094339622645</c:v>
                </c:pt>
                <c:pt idx="48">
                  <c:v>0.50365384615384612</c:v>
                </c:pt>
                <c:pt idx="49">
                  <c:v>0.51352941176470601</c:v>
                </c:pt>
                <c:pt idx="50">
                  <c:v>0.52380000000000004</c:v>
                </c:pt>
                <c:pt idx="51">
                  <c:v>0.53448979591836743</c:v>
                </c:pt>
                <c:pt idx="52">
                  <c:v>0.54562500000000014</c:v>
                </c:pt>
                <c:pt idx="53">
                  <c:v>0.55723404255319153</c:v>
                </c:pt>
                <c:pt idx="54">
                  <c:v>0.56934782608695667</c:v>
                </c:pt>
                <c:pt idx="55">
                  <c:v>0.58200000000000018</c:v>
                </c:pt>
                <c:pt idx="56">
                  <c:v>0.59522727272727283</c:v>
                </c:pt>
                <c:pt idx="57">
                  <c:v>0.60906976744186048</c:v>
                </c:pt>
                <c:pt idx="58">
                  <c:v>0.62357142857142855</c:v>
                </c:pt>
                <c:pt idx="59">
                  <c:v>0.63878048780487806</c:v>
                </c:pt>
                <c:pt idx="60">
                  <c:v>0.65475000000000005</c:v>
                </c:pt>
                <c:pt idx="61">
                  <c:v>0.67153846153846164</c:v>
                </c:pt>
                <c:pt idx="62">
                  <c:v>0.68921052631578961</c:v>
                </c:pt>
                <c:pt idx="63">
                  <c:v>0.70783783783783794</c:v>
                </c:pt>
                <c:pt idx="64">
                  <c:v>0.72750000000000004</c:v>
                </c:pt>
                <c:pt idx="65">
                  <c:v>0.74828571428571433</c:v>
                </c:pt>
                <c:pt idx="66">
                  <c:v>0.77029411764705902</c:v>
                </c:pt>
                <c:pt idx="67">
                  <c:v>0.79363636363636381</c:v>
                </c:pt>
                <c:pt idx="68">
                  <c:v>0.81843750000000015</c:v>
                </c:pt>
                <c:pt idx="69">
                  <c:v>0.84483870967741925</c:v>
                </c:pt>
                <c:pt idx="70">
                  <c:v>0.873</c:v>
                </c:pt>
                <c:pt idx="71">
                  <c:v>0.90310344827586198</c:v>
                </c:pt>
                <c:pt idx="72">
                  <c:v>0.93535714285714289</c:v>
                </c:pt>
                <c:pt idx="73">
                  <c:v>0.97000000000000008</c:v>
                </c:pt>
                <c:pt idx="74">
                  <c:v>1.0073076923076922</c:v>
                </c:pt>
                <c:pt idx="75">
                  <c:v>1.0476000000000001</c:v>
                </c:pt>
                <c:pt idx="76">
                  <c:v>1.0912500000000003</c:v>
                </c:pt>
                <c:pt idx="77">
                  <c:v>1.1386956521739133</c:v>
                </c:pt>
                <c:pt idx="78">
                  <c:v>1.1904545454545457</c:v>
                </c:pt>
                <c:pt idx="79">
                  <c:v>1.2471428571428576</c:v>
                </c:pt>
                <c:pt idx="80">
                  <c:v>1.3095000000000003</c:v>
                </c:pt>
                <c:pt idx="81">
                  <c:v>1.3784210526315797</c:v>
                </c:pt>
                <c:pt idx="82">
                  <c:v>1.4549999999999996</c:v>
                </c:pt>
                <c:pt idx="83">
                  <c:v>1.5405882352941174</c:v>
                </c:pt>
                <c:pt idx="84">
                  <c:v>1.6368749999999999</c:v>
                </c:pt>
                <c:pt idx="85">
                  <c:v>1.746</c:v>
                </c:pt>
                <c:pt idx="86">
                  <c:v>1.8707142857142858</c:v>
                </c:pt>
                <c:pt idx="87">
                  <c:v>2.0146153846153845</c:v>
                </c:pt>
                <c:pt idx="88">
                  <c:v>2.1825000000000006</c:v>
                </c:pt>
                <c:pt idx="89">
                  <c:v>2.3809090909090913</c:v>
                </c:pt>
                <c:pt idx="90">
                  <c:v>2.6190000000000007</c:v>
                </c:pt>
                <c:pt idx="91">
                  <c:v>2.910000000000001</c:v>
                </c:pt>
                <c:pt idx="92">
                  <c:v>3.2737500000000019</c:v>
                </c:pt>
                <c:pt idx="93">
                  <c:v>3.7414285714285804</c:v>
                </c:pt>
                <c:pt idx="94">
                  <c:v>4.3649999999999967</c:v>
                </c:pt>
                <c:pt idx="95">
                  <c:v>5.237999999999996</c:v>
                </c:pt>
                <c:pt idx="96">
                  <c:v>6.547499999999995</c:v>
                </c:pt>
                <c:pt idx="97">
                  <c:v>8.7299999999999933</c:v>
                </c:pt>
                <c:pt idx="98">
                  <c:v>13.09499999999999</c:v>
                </c:pt>
                <c:pt idx="99">
                  <c:v>26.18999999999998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DC-407B-84E2-3BAAF25F07E6}"/>
            </c:ext>
          </c:extLst>
        </c:ser>
        <c:ser>
          <c:idx val="1"/>
          <c:order val="1"/>
          <c:tx>
            <c:v>Resistencia a la recarga: Rir = f(qd)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'Curva de carga Pb sellada'!$AI$8:$AI$108</c:f>
              <c:numCache>
                <c:formatCode>#,##0</c:formatCode>
                <c:ptCount val="101"/>
                <c:pt idx="0">
                  <c:v>0</c:v>
                </c:pt>
                <c:pt idx="1">
                  <c:v>22.076000000000001</c:v>
                </c:pt>
                <c:pt idx="2">
                  <c:v>44.152000000000001</c:v>
                </c:pt>
                <c:pt idx="3">
                  <c:v>66.227999999999994</c:v>
                </c:pt>
                <c:pt idx="4">
                  <c:v>88.304000000000002</c:v>
                </c:pt>
                <c:pt idx="5">
                  <c:v>110.38</c:v>
                </c:pt>
                <c:pt idx="6">
                  <c:v>132.45599999999999</c:v>
                </c:pt>
                <c:pt idx="7">
                  <c:v>154.53200000000001</c:v>
                </c:pt>
                <c:pt idx="8">
                  <c:v>176.608</c:v>
                </c:pt>
                <c:pt idx="9">
                  <c:v>198.684</c:v>
                </c:pt>
                <c:pt idx="10">
                  <c:v>220.76</c:v>
                </c:pt>
                <c:pt idx="11">
                  <c:v>242.83599999999998</c:v>
                </c:pt>
                <c:pt idx="12">
                  <c:v>264.91199999999998</c:v>
                </c:pt>
                <c:pt idx="13">
                  <c:v>286.988</c:v>
                </c:pt>
                <c:pt idx="14">
                  <c:v>309.06400000000002</c:v>
                </c:pt>
                <c:pt idx="15">
                  <c:v>331.14</c:v>
                </c:pt>
                <c:pt idx="16">
                  <c:v>353.21600000000001</c:v>
                </c:pt>
                <c:pt idx="17">
                  <c:v>375.29200000000003</c:v>
                </c:pt>
                <c:pt idx="18">
                  <c:v>397.36799999999999</c:v>
                </c:pt>
                <c:pt idx="19">
                  <c:v>419.44399999999996</c:v>
                </c:pt>
                <c:pt idx="20">
                  <c:v>441.52</c:v>
                </c:pt>
                <c:pt idx="21">
                  <c:v>463.59599999999995</c:v>
                </c:pt>
                <c:pt idx="22">
                  <c:v>485.67199999999997</c:v>
                </c:pt>
                <c:pt idx="23">
                  <c:v>507.74799999999999</c:v>
                </c:pt>
                <c:pt idx="24">
                  <c:v>529.82399999999996</c:v>
                </c:pt>
                <c:pt idx="25">
                  <c:v>551.9</c:v>
                </c:pt>
                <c:pt idx="26">
                  <c:v>573.976</c:v>
                </c:pt>
                <c:pt idx="27">
                  <c:v>596.05200000000002</c:v>
                </c:pt>
                <c:pt idx="28">
                  <c:v>618.12800000000004</c:v>
                </c:pt>
                <c:pt idx="29">
                  <c:v>640.20399999999995</c:v>
                </c:pt>
                <c:pt idx="30">
                  <c:v>662.28</c:v>
                </c:pt>
                <c:pt idx="31">
                  <c:v>684.35599999999999</c:v>
                </c:pt>
                <c:pt idx="32">
                  <c:v>706.43200000000002</c:v>
                </c:pt>
                <c:pt idx="33">
                  <c:v>728.50800000000004</c:v>
                </c:pt>
                <c:pt idx="34">
                  <c:v>750.58400000000006</c:v>
                </c:pt>
                <c:pt idx="35">
                  <c:v>772.66</c:v>
                </c:pt>
                <c:pt idx="36">
                  <c:v>794.73599999999999</c:v>
                </c:pt>
                <c:pt idx="37">
                  <c:v>816.81200000000001</c:v>
                </c:pt>
                <c:pt idx="38">
                  <c:v>838.88799999999992</c:v>
                </c:pt>
                <c:pt idx="39">
                  <c:v>860.96399999999994</c:v>
                </c:pt>
                <c:pt idx="40">
                  <c:v>883.04</c:v>
                </c:pt>
                <c:pt idx="41">
                  <c:v>905.11599999999987</c:v>
                </c:pt>
                <c:pt idx="42">
                  <c:v>927.19199999999989</c:v>
                </c:pt>
                <c:pt idx="43">
                  <c:v>949.26799999999992</c:v>
                </c:pt>
                <c:pt idx="44">
                  <c:v>971.34399999999994</c:v>
                </c:pt>
                <c:pt idx="45">
                  <c:v>993.42</c:v>
                </c:pt>
                <c:pt idx="46">
                  <c:v>1015.496</c:v>
                </c:pt>
                <c:pt idx="47">
                  <c:v>1037.5719999999999</c:v>
                </c:pt>
                <c:pt idx="48">
                  <c:v>1059.6479999999999</c:v>
                </c:pt>
                <c:pt idx="49">
                  <c:v>1081.7239999999999</c:v>
                </c:pt>
                <c:pt idx="50">
                  <c:v>1103.8</c:v>
                </c:pt>
                <c:pt idx="51">
                  <c:v>1125.876</c:v>
                </c:pt>
                <c:pt idx="52">
                  <c:v>1147.952</c:v>
                </c:pt>
                <c:pt idx="53">
                  <c:v>1170.028</c:v>
                </c:pt>
                <c:pt idx="54">
                  <c:v>1192.104</c:v>
                </c:pt>
                <c:pt idx="55">
                  <c:v>1214.18</c:v>
                </c:pt>
                <c:pt idx="56">
                  <c:v>1236.2560000000001</c:v>
                </c:pt>
                <c:pt idx="57">
                  <c:v>1258.3319999999999</c:v>
                </c:pt>
                <c:pt idx="58">
                  <c:v>1280.4079999999999</c:v>
                </c:pt>
                <c:pt idx="59">
                  <c:v>1302.4839999999999</c:v>
                </c:pt>
                <c:pt idx="60">
                  <c:v>1324.56</c:v>
                </c:pt>
                <c:pt idx="61">
                  <c:v>1346.636</c:v>
                </c:pt>
                <c:pt idx="62">
                  <c:v>1368.712</c:v>
                </c:pt>
                <c:pt idx="63">
                  <c:v>1390.788</c:v>
                </c:pt>
                <c:pt idx="64">
                  <c:v>1412.864</c:v>
                </c:pt>
                <c:pt idx="65">
                  <c:v>1434.94</c:v>
                </c:pt>
                <c:pt idx="66">
                  <c:v>1457.0160000000001</c:v>
                </c:pt>
                <c:pt idx="67">
                  <c:v>1479.0920000000001</c:v>
                </c:pt>
                <c:pt idx="68">
                  <c:v>1501.1680000000001</c:v>
                </c:pt>
                <c:pt idx="69">
                  <c:v>1523.2439999999999</c:v>
                </c:pt>
                <c:pt idx="70">
                  <c:v>1545.32</c:v>
                </c:pt>
                <c:pt idx="71">
                  <c:v>1567.396</c:v>
                </c:pt>
                <c:pt idx="72">
                  <c:v>1589.472</c:v>
                </c:pt>
                <c:pt idx="73">
                  <c:v>1611.548</c:v>
                </c:pt>
                <c:pt idx="74">
                  <c:v>1633.624</c:v>
                </c:pt>
                <c:pt idx="75">
                  <c:v>1655.6999999999998</c:v>
                </c:pt>
                <c:pt idx="76">
                  <c:v>1677.7759999999998</c:v>
                </c:pt>
                <c:pt idx="77">
                  <c:v>1699.8519999999999</c:v>
                </c:pt>
                <c:pt idx="78">
                  <c:v>1721.9279999999999</c:v>
                </c:pt>
                <c:pt idx="79">
                  <c:v>1744.0039999999999</c:v>
                </c:pt>
                <c:pt idx="80">
                  <c:v>1766.08</c:v>
                </c:pt>
                <c:pt idx="81">
                  <c:v>1788.1559999999999</c:v>
                </c:pt>
                <c:pt idx="82">
                  <c:v>1810.2319999999997</c:v>
                </c:pt>
                <c:pt idx="83">
                  <c:v>1832.3079999999998</c:v>
                </c:pt>
                <c:pt idx="84">
                  <c:v>1854.3839999999998</c:v>
                </c:pt>
                <c:pt idx="85">
                  <c:v>1876.4599999999998</c:v>
                </c:pt>
                <c:pt idx="86">
                  <c:v>1898.5359999999998</c:v>
                </c:pt>
                <c:pt idx="87">
                  <c:v>1920.6119999999999</c:v>
                </c:pt>
                <c:pt idx="88">
                  <c:v>1942.6879999999999</c:v>
                </c:pt>
                <c:pt idx="89">
                  <c:v>1964.7639999999999</c:v>
                </c:pt>
                <c:pt idx="90">
                  <c:v>1986.84</c:v>
                </c:pt>
                <c:pt idx="91">
                  <c:v>2008.9159999999999</c:v>
                </c:pt>
                <c:pt idx="92">
                  <c:v>2030.992</c:v>
                </c:pt>
                <c:pt idx="93">
                  <c:v>2053.0680000000002</c:v>
                </c:pt>
                <c:pt idx="94">
                  <c:v>2075.1439999999998</c:v>
                </c:pt>
                <c:pt idx="95">
                  <c:v>2097.2199999999998</c:v>
                </c:pt>
                <c:pt idx="96">
                  <c:v>2119.2959999999998</c:v>
                </c:pt>
                <c:pt idx="97">
                  <c:v>2141.3719999999998</c:v>
                </c:pt>
                <c:pt idx="98">
                  <c:v>2163.4479999999999</c:v>
                </c:pt>
                <c:pt idx="99">
                  <c:v>2185.5239999999999</c:v>
                </c:pt>
                <c:pt idx="100">
                  <c:v>2207.6</c:v>
                </c:pt>
              </c:numCache>
            </c:numRef>
          </c:xVal>
          <c:yVal>
            <c:numRef>
              <c:f>'Curva de carga Pb sellada'!$AK$8:$AK$108</c:f>
              <c:numCache>
                <c:formatCode>0.00E+00</c:formatCode>
                <c:ptCount val="101"/>
                <c:pt idx="1">
                  <c:v>26.19</c:v>
                </c:pt>
                <c:pt idx="2">
                  <c:v>13.095000000000001</c:v>
                </c:pt>
                <c:pt idx="3">
                  <c:v>8.7300000000000022</c:v>
                </c:pt>
                <c:pt idx="4">
                  <c:v>6.5475000000000003</c:v>
                </c:pt>
                <c:pt idx="5">
                  <c:v>5.2380000000000004</c:v>
                </c:pt>
                <c:pt idx="6">
                  <c:v>4.3650000000000011</c:v>
                </c:pt>
                <c:pt idx="7">
                  <c:v>3.7414285714285715</c:v>
                </c:pt>
                <c:pt idx="8">
                  <c:v>3.2737500000000002</c:v>
                </c:pt>
                <c:pt idx="9">
                  <c:v>2.91</c:v>
                </c:pt>
                <c:pt idx="10">
                  <c:v>2.6190000000000002</c:v>
                </c:pt>
                <c:pt idx="11">
                  <c:v>2.3809090909090909</c:v>
                </c:pt>
                <c:pt idx="12">
                  <c:v>2.1825000000000006</c:v>
                </c:pt>
                <c:pt idx="13">
                  <c:v>2.0146153846153845</c:v>
                </c:pt>
                <c:pt idx="14">
                  <c:v>1.8707142857142858</c:v>
                </c:pt>
                <c:pt idx="15">
                  <c:v>1.7460000000000002</c:v>
                </c:pt>
                <c:pt idx="16">
                  <c:v>1.6368750000000001</c:v>
                </c:pt>
                <c:pt idx="17">
                  <c:v>1.5405882352941176</c:v>
                </c:pt>
                <c:pt idx="18">
                  <c:v>1.4550000000000001</c:v>
                </c:pt>
                <c:pt idx="19">
                  <c:v>1.3784210526315792</c:v>
                </c:pt>
                <c:pt idx="20">
                  <c:v>1.3095000000000001</c:v>
                </c:pt>
                <c:pt idx="21">
                  <c:v>1.2471428571428573</c:v>
                </c:pt>
                <c:pt idx="22">
                  <c:v>1.1904545454545454</c:v>
                </c:pt>
                <c:pt idx="23">
                  <c:v>1.1386956521739131</c:v>
                </c:pt>
                <c:pt idx="24">
                  <c:v>1.0912500000000003</c:v>
                </c:pt>
                <c:pt idx="25">
                  <c:v>1.0476000000000001</c:v>
                </c:pt>
                <c:pt idx="26">
                  <c:v>1.0073076923076922</c:v>
                </c:pt>
                <c:pt idx="27">
                  <c:v>0.97000000000000008</c:v>
                </c:pt>
                <c:pt idx="28">
                  <c:v>0.93535714285714289</c:v>
                </c:pt>
                <c:pt idx="29">
                  <c:v>0.9031034482758622</c:v>
                </c:pt>
                <c:pt idx="30">
                  <c:v>0.87300000000000011</c:v>
                </c:pt>
                <c:pt idx="31">
                  <c:v>0.84483870967741947</c:v>
                </c:pt>
                <c:pt idx="32">
                  <c:v>0.81843750000000004</c:v>
                </c:pt>
                <c:pt idx="33">
                  <c:v>0.7936363636363637</c:v>
                </c:pt>
                <c:pt idx="34">
                  <c:v>0.7702941176470588</c:v>
                </c:pt>
                <c:pt idx="35">
                  <c:v>0.74828571428571433</c:v>
                </c:pt>
                <c:pt idx="36">
                  <c:v>0.72750000000000004</c:v>
                </c:pt>
                <c:pt idx="37">
                  <c:v>0.70783783783783794</c:v>
                </c:pt>
                <c:pt idx="38">
                  <c:v>0.68921052631578961</c:v>
                </c:pt>
                <c:pt idx="39">
                  <c:v>0.67153846153846164</c:v>
                </c:pt>
                <c:pt idx="40">
                  <c:v>0.65475000000000005</c:v>
                </c:pt>
                <c:pt idx="41">
                  <c:v>0.63878048780487817</c:v>
                </c:pt>
                <c:pt idx="42">
                  <c:v>0.62357142857142867</c:v>
                </c:pt>
                <c:pt idx="43">
                  <c:v>0.60906976744186059</c:v>
                </c:pt>
                <c:pt idx="44">
                  <c:v>0.59522727272727272</c:v>
                </c:pt>
                <c:pt idx="45">
                  <c:v>0.58200000000000007</c:v>
                </c:pt>
                <c:pt idx="46">
                  <c:v>0.56934782608695655</c:v>
                </c:pt>
                <c:pt idx="47">
                  <c:v>0.55723404255319153</c:v>
                </c:pt>
                <c:pt idx="48">
                  <c:v>0.54562500000000014</c:v>
                </c:pt>
                <c:pt idx="49">
                  <c:v>0.53448979591836743</c:v>
                </c:pt>
                <c:pt idx="50">
                  <c:v>0.52380000000000004</c:v>
                </c:pt>
                <c:pt idx="51">
                  <c:v>0.51352941176470601</c:v>
                </c:pt>
                <c:pt idx="52">
                  <c:v>0.50365384615384612</c:v>
                </c:pt>
                <c:pt idx="53">
                  <c:v>0.49415094339622645</c:v>
                </c:pt>
                <c:pt idx="54">
                  <c:v>0.48500000000000004</c:v>
                </c:pt>
                <c:pt idx="55">
                  <c:v>0.47618181818181821</c:v>
                </c:pt>
                <c:pt idx="56">
                  <c:v>0.46767857142857144</c:v>
                </c:pt>
                <c:pt idx="57">
                  <c:v>0.45947368421052642</c:v>
                </c:pt>
                <c:pt idx="58">
                  <c:v>0.4515517241379311</c:v>
                </c:pt>
                <c:pt idx="59">
                  <c:v>0.44389830508474587</c:v>
                </c:pt>
                <c:pt idx="60">
                  <c:v>0.43650000000000005</c:v>
                </c:pt>
                <c:pt idx="61">
                  <c:v>0.42934426229508199</c:v>
                </c:pt>
                <c:pt idx="62">
                  <c:v>0.42241935483870974</c:v>
                </c:pt>
                <c:pt idx="63">
                  <c:v>0.41571428571428576</c:v>
                </c:pt>
                <c:pt idx="64">
                  <c:v>0.40921875000000002</c:v>
                </c:pt>
                <c:pt idx="65">
                  <c:v>0.40292307692307694</c:v>
                </c:pt>
                <c:pt idx="66">
                  <c:v>0.39681818181818185</c:v>
                </c:pt>
                <c:pt idx="67">
                  <c:v>0.39089552238805975</c:v>
                </c:pt>
                <c:pt idx="68">
                  <c:v>0.3851470588235294</c:v>
                </c:pt>
                <c:pt idx="69">
                  <c:v>0.37956521739130439</c:v>
                </c:pt>
                <c:pt idx="70">
                  <c:v>0.37414285714285717</c:v>
                </c:pt>
                <c:pt idx="71">
                  <c:v>0.36887323943661976</c:v>
                </c:pt>
                <c:pt idx="72">
                  <c:v>0.36375000000000002</c:v>
                </c:pt>
                <c:pt idx="73">
                  <c:v>0.35876712328767124</c:v>
                </c:pt>
                <c:pt idx="74">
                  <c:v>0.35391891891891897</c:v>
                </c:pt>
                <c:pt idx="75">
                  <c:v>0.34920000000000001</c:v>
                </c:pt>
                <c:pt idx="76">
                  <c:v>0.3446052631578948</c:v>
                </c:pt>
                <c:pt idx="77">
                  <c:v>0.34012987012987017</c:v>
                </c:pt>
                <c:pt idx="78">
                  <c:v>0.33576923076923082</c:v>
                </c:pt>
                <c:pt idx="79">
                  <c:v>0.33151898734177221</c:v>
                </c:pt>
                <c:pt idx="80">
                  <c:v>0.32737500000000003</c:v>
                </c:pt>
                <c:pt idx="81">
                  <c:v>0.32333333333333336</c:v>
                </c:pt>
                <c:pt idx="82">
                  <c:v>0.31939024390243909</c:v>
                </c:pt>
                <c:pt idx="83">
                  <c:v>0.31554216867469886</c:v>
                </c:pt>
                <c:pt idx="84">
                  <c:v>0.31178571428571433</c:v>
                </c:pt>
                <c:pt idx="85">
                  <c:v>0.30811764705882355</c:v>
                </c:pt>
                <c:pt idx="86">
                  <c:v>0.30453488372093029</c:v>
                </c:pt>
                <c:pt idx="87">
                  <c:v>0.30103448275862071</c:v>
                </c:pt>
                <c:pt idx="88">
                  <c:v>0.29761363636363636</c:v>
                </c:pt>
                <c:pt idx="89">
                  <c:v>0.29426966292134837</c:v>
                </c:pt>
                <c:pt idx="90">
                  <c:v>0.29100000000000004</c:v>
                </c:pt>
                <c:pt idx="91">
                  <c:v>0.28780219780219785</c:v>
                </c:pt>
                <c:pt idx="92">
                  <c:v>0.28467391304347828</c:v>
                </c:pt>
                <c:pt idx="93">
                  <c:v>0.2816129032258064</c:v>
                </c:pt>
                <c:pt idx="94">
                  <c:v>0.27861702127659577</c:v>
                </c:pt>
                <c:pt idx="95">
                  <c:v>0.27568421052631581</c:v>
                </c:pt>
                <c:pt idx="96">
                  <c:v>0.27281250000000007</c:v>
                </c:pt>
                <c:pt idx="97">
                  <c:v>0.27000000000000007</c:v>
                </c:pt>
                <c:pt idx="98">
                  <c:v>0.26724489795918371</c:v>
                </c:pt>
                <c:pt idx="99">
                  <c:v>0.26454545454545458</c:v>
                </c:pt>
                <c:pt idx="100">
                  <c:v>0.26190000000000002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DC-407B-84E2-3BAAF25F07E6}"/>
            </c:ext>
          </c:extLst>
        </c:ser>
        <c:ser>
          <c:idx val="2"/>
          <c:order val="2"/>
          <c:tx>
            <c:v>QI = 2.208  [Ah]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'Curva de carga Pb sellada'!$AI$8:$AI$108</c:f>
              <c:numCache>
                <c:formatCode>#,##0</c:formatCode>
                <c:ptCount val="101"/>
                <c:pt idx="0">
                  <c:v>0</c:v>
                </c:pt>
                <c:pt idx="1">
                  <c:v>22.076000000000001</c:v>
                </c:pt>
                <c:pt idx="2">
                  <c:v>44.152000000000001</c:v>
                </c:pt>
                <c:pt idx="3">
                  <c:v>66.227999999999994</c:v>
                </c:pt>
                <c:pt idx="4">
                  <c:v>88.304000000000002</c:v>
                </c:pt>
                <c:pt idx="5">
                  <c:v>110.38</c:v>
                </c:pt>
                <c:pt idx="6">
                  <c:v>132.45599999999999</c:v>
                </c:pt>
                <c:pt idx="7">
                  <c:v>154.53200000000001</c:v>
                </c:pt>
                <c:pt idx="8">
                  <c:v>176.608</c:v>
                </c:pt>
                <c:pt idx="9">
                  <c:v>198.684</c:v>
                </c:pt>
                <c:pt idx="10">
                  <c:v>220.76</c:v>
                </c:pt>
                <c:pt idx="11">
                  <c:v>242.83599999999998</c:v>
                </c:pt>
                <c:pt idx="12">
                  <c:v>264.91199999999998</c:v>
                </c:pt>
                <c:pt idx="13">
                  <c:v>286.988</c:v>
                </c:pt>
                <c:pt idx="14">
                  <c:v>309.06400000000002</c:v>
                </c:pt>
                <c:pt idx="15">
                  <c:v>331.14</c:v>
                </c:pt>
                <c:pt idx="16">
                  <c:v>353.21600000000001</c:v>
                </c:pt>
                <c:pt idx="17">
                  <c:v>375.29200000000003</c:v>
                </c:pt>
                <c:pt idx="18">
                  <c:v>397.36799999999999</c:v>
                </c:pt>
                <c:pt idx="19">
                  <c:v>419.44399999999996</c:v>
                </c:pt>
                <c:pt idx="20">
                  <c:v>441.52</c:v>
                </c:pt>
                <c:pt idx="21">
                  <c:v>463.59599999999995</c:v>
                </c:pt>
                <c:pt idx="22">
                  <c:v>485.67199999999997</c:v>
                </c:pt>
                <c:pt idx="23">
                  <c:v>507.74799999999999</c:v>
                </c:pt>
                <c:pt idx="24">
                  <c:v>529.82399999999996</c:v>
                </c:pt>
                <c:pt idx="25">
                  <c:v>551.9</c:v>
                </c:pt>
                <c:pt idx="26">
                  <c:v>573.976</c:v>
                </c:pt>
                <c:pt idx="27">
                  <c:v>596.05200000000002</c:v>
                </c:pt>
                <c:pt idx="28">
                  <c:v>618.12800000000004</c:v>
                </c:pt>
                <c:pt idx="29">
                  <c:v>640.20399999999995</c:v>
                </c:pt>
                <c:pt idx="30">
                  <c:v>662.28</c:v>
                </c:pt>
                <c:pt idx="31">
                  <c:v>684.35599999999999</c:v>
                </c:pt>
                <c:pt idx="32">
                  <c:v>706.43200000000002</c:v>
                </c:pt>
                <c:pt idx="33">
                  <c:v>728.50800000000004</c:v>
                </c:pt>
                <c:pt idx="34">
                  <c:v>750.58400000000006</c:v>
                </c:pt>
                <c:pt idx="35">
                  <c:v>772.66</c:v>
                </c:pt>
                <c:pt idx="36">
                  <c:v>794.73599999999999</c:v>
                </c:pt>
                <c:pt idx="37">
                  <c:v>816.81200000000001</c:v>
                </c:pt>
                <c:pt idx="38">
                  <c:v>838.88799999999992</c:v>
                </c:pt>
                <c:pt idx="39">
                  <c:v>860.96399999999994</c:v>
                </c:pt>
                <c:pt idx="40">
                  <c:v>883.04</c:v>
                </c:pt>
                <c:pt idx="41">
                  <c:v>905.11599999999987</c:v>
                </c:pt>
                <c:pt idx="42">
                  <c:v>927.19199999999989</c:v>
                </c:pt>
                <c:pt idx="43">
                  <c:v>949.26799999999992</c:v>
                </c:pt>
                <c:pt idx="44">
                  <c:v>971.34399999999994</c:v>
                </c:pt>
                <c:pt idx="45">
                  <c:v>993.42</c:v>
                </c:pt>
                <c:pt idx="46">
                  <c:v>1015.496</c:v>
                </c:pt>
                <c:pt idx="47">
                  <c:v>1037.5719999999999</c:v>
                </c:pt>
                <c:pt idx="48">
                  <c:v>1059.6479999999999</c:v>
                </c:pt>
                <c:pt idx="49">
                  <c:v>1081.7239999999999</c:v>
                </c:pt>
                <c:pt idx="50">
                  <c:v>1103.8</c:v>
                </c:pt>
                <c:pt idx="51">
                  <c:v>1125.876</c:v>
                </c:pt>
                <c:pt idx="52">
                  <c:v>1147.952</c:v>
                </c:pt>
                <c:pt idx="53">
                  <c:v>1170.028</c:v>
                </c:pt>
                <c:pt idx="54">
                  <c:v>1192.104</c:v>
                </c:pt>
                <c:pt idx="55">
                  <c:v>1214.18</c:v>
                </c:pt>
                <c:pt idx="56">
                  <c:v>1236.2560000000001</c:v>
                </c:pt>
                <c:pt idx="57">
                  <c:v>1258.3319999999999</c:v>
                </c:pt>
                <c:pt idx="58">
                  <c:v>1280.4079999999999</c:v>
                </c:pt>
                <c:pt idx="59">
                  <c:v>1302.4839999999999</c:v>
                </c:pt>
                <c:pt idx="60">
                  <c:v>1324.56</c:v>
                </c:pt>
                <c:pt idx="61">
                  <c:v>1346.636</c:v>
                </c:pt>
                <c:pt idx="62">
                  <c:v>1368.712</c:v>
                </c:pt>
                <c:pt idx="63">
                  <c:v>1390.788</c:v>
                </c:pt>
                <c:pt idx="64">
                  <c:v>1412.864</c:v>
                </c:pt>
                <c:pt idx="65">
                  <c:v>1434.94</c:v>
                </c:pt>
                <c:pt idx="66">
                  <c:v>1457.0160000000001</c:v>
                </c:pt>
                <c:pt idx="67">
                  <c:v>1479.0920000000001</c:v>
                </c:pt>
                <c:pt idx="68">
                  <c:v>1501.1680000000001</c:v>
                </c:pt>
                <c:pt idx="69">
                  <c:v>1523.2439999999999</c:v>
                </c:pt>
                <c:pt idx="70">
                  <c:v>1545.32</c:v>
                </c:pt>
                <c:pt idx="71">
                  <c:v>1567.396</c:v>
                </c:pt>
                <c:pt idx="72">
                  <c:v>1589.472</c:v>
                </c:pt>
                <c:pt idx="73">
                  <c:v>1611.548</c:v>
                </c:pt>
                <c:pt idx="74">
                  <c:v>1633.624</c:v>
                </c:pt>
                <c:pt idx="75">
                  <c:v>1655.6999999999998</c:v>
                </c:pt>
                <c:pt idx="76">
                  <c:v>1677.7759999999998</c:v>
                </c:pt>
                <c:pt idx="77">
                  <c:v>1699.8519999999999</c:v>
                </c:pt>
                <c:pt idx="78">
                  <c:v>1721.9279999999999</c:v>
                </c:pt>
                <c:pt idx="79">
                  <c:v>1744.0039999999999</c:v>
                </c:pt>
                <c:pt idx="80">
                  <c:v>1766.08</c:v>
                </c:pt>
                <c:pt idx="81">
                  <c:v>1788.1559999999999</c:v>
                </c:pt>
                <c:pt idx="82">
                  <c:v>1810.2319999999997</c:v>
                </c:pt>
                <c:pt idx="83">
                  <c:v>1832.3079999999998</c:v>
                </c:pt>
                <c:pt idx="84">
                  <c:v>1854.3839999999998</c:v>
                </c:pt>
                <c:pt idx="85">
                  <c:v>1876.4599999999998</c:v>
                </c:pt>
                <c:pt idx="86">
                  <c:v>1898.5359999999998</c:v>
                </c:pt>
                <c:pt idx="87">
                  <c:v>1920.6119999999999</c:v>
                </c:pt>
                <c:pt idx="88">
                  <c:v>1942.6879999999999</c:v>
                </c:pt>
                <c:pt idx="89">
                  <c:v>1964.7639999999999</c:v>
                </c:pt>
                <c:pt idx="90">
                  <c:v>1986.84</c:v>
                </c:pt>
                <c:pt idx="91">
                  <c:v>2008.9159999999999</c:v>
                </c:pt>
                <c:pt idx="92">
                  <c:v>2030.992</c:v>
                </c:pt>
                <c:pt idx="93">
                  <c:v>2053.0680000000002</c:v>
                </c:pt>
                <c:pt idx="94">
                  <c:v>2075.1439999999998</c:v>
                </c:pt>
                <c:pt idx="95">
                  <c:v>2097.2199999999998</c:v>
                </c:pt>
                <c:pt idx="96">
                  <c:v>2119.2959999999998</c:v>
                </c:pt>
                <c:pt idx="97">
                  <c:v>2141.3719999999998</c:v>
                </c:pt>
                <c:pt idx="98">
                  <c:v>2163.4479999999999</c:v>
                </c:pt>
                <c:pt idx="99">
                  <c:v>2185.5239999999999</c:v>
                </c:pt>
                <c:pt idx="100">
                  <c:v>2207.6</c:v>
                </c:pt>
              </c:numCache>
            </c:numRef>
          </c:xVal>
          <c:yVal>
            <c:numRef>
              <c:f>'Curva de carga Pb sellada'!$AL$8:$AL$108</c:f>
              <c:numCache>
                <c:formatCode>0.00E+00</c:formatCode>
                <c:ptCount val="101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-1000000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DC-407B-84E2-3BAAF25F0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92512"/>
        <c:axId val="130194432"/>
      </c:scatterChart>
      <c:valAx>
        <c:axId val="130192512"/>
        <c:scaling>
          <c:orientation val="minMax"/>
          <c:max val="2400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/>
                  <a:t>Carga entregada por el acumulador q</a:t>
                </a:r>
                <a:r>
                  <a:rPr lang="en-US" sz="1100" baseline="-25000"/>
                  <a:t>d</a:t>
                </a:r>
                <a:r>
                  <a:rPr lang="en-US" sz="1100"/>
                  <a:t> [Ah]</a:t>
                </a:r>
              </a:p>
            </c:rich>
          </c:tx>
          <c:layout>
            <c:manualLayout>
              <c:xMode val="edge"/>
              <c:yMode val="edge"/>
              <c:x val="0.32114504205492839"/>
              <c:y val="0.8981481481481481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30194432"/>
        <c:crosses val="autoZero"/>
        <c:crossBetween val="midCat"/>
        <c:majorUnit val="200"/>
        <c:minorUnit val="10"/>
      </c:valAx>
      <c:valAx>
        <c:axId val="13019443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Resistencia interna R</a:t>
                </a:r>
                <a:r>
                  <a:rPr lang="en-US" sz="1100" baseline="-25000"/>
                  <a:t>i</a:t>
                </a:r>
                <a:r>
                  <a:rPr lang="en-US" sz="1100"/>
                  <a:t> [m</a:t>
                </a:r>
                <a:r>
                  <a:rPr lang="el-GR" sz="1100"/>
                  <a:t>Ω</a:t>
                </a:r>
                <a:r>
                  <a:rPr lang="en-US" sz="1100"/>
                  <a:t>]</a:t>
                </a:r>
              </a:p>
            </c:rich>
          </c:tx>
          <c:layout>
            <c:manualLayout>
              <c:xMode val="edge"/>
              <c:yMode val="edge"/>
              <c:x val="3.8496977507781416E-2"/>
              <c:y val="0.2573063201793083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30192512"/>
        <c:crosses val="autoZero"/>
        <c:crossBetween val="midCat"/>
        <c:majorUnit val="0.5"/>
        <c:minorUnit val="1.0000000000000005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30168084347134971"/>
          <c:y val="0.17762649544965664"/>
          <c:w val="0.4278055133610647"/>
          <c:h val="0.19596140983490243"/>
        </c:manualLayout>
      </c:layout>
      <c:overlay val="0"/>
      <c:spPr>
        <a:solidFill>
          <a:sysClr val="window" lastClr="FFFFFF">
            <a:lumMod val="85000"/>
            <a:alpha val="25000"/>
          </a:sysClr>
        </a:solidFill>
        <a:ln>
          <a:solidFill>
            <a:schemeClr val="bg1">
              <a:lumMod val="85000"/>
            </a:schemeClr>
          </a:solidFill>
        </a:ln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33" l="0.70000000000000062" r="0.70000000000000062" t="0.75000000000000333" header="0.30000000000000032" footer="0.30000000000000032"/>
    <c:pageSetup paperSize="9" orientation="landscape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TENSIÓN  DE  RECARGA  A  CORRIENTE  CONSTANTE</a:t>
            </a:r>
          </a:p>
          <a:p>
            <a:pPr>
              <a:defRPr/>
            </a:pPr>
            <a:r>
              <a:rPr lang="en-US" sz="1050"/>
              <a:t>ACUMULADOR  ABSOLYTE  100 a 39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375945653852092"/>
          <c:y val="0.2088079615048119"/>
          <c:w val="0.81990936254075564"/>
          <c:h val="0.63183985858824776"/>
        </c:manualLayout>
      </c:layout>
      <c:scatterChart>
        <c:scatterStyle val="smoothMarker"/>
        <c:varyColors val="0"/>
        <c:ser>
          <c:idx val="0"/>
          <c:order val="0"/>
          <c:tx>
            <c:v>Ir  =  135  [A]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'Curva de carga Pb sellada'!$AN$8:$AN$108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sellada'!$AO$8:$AO$108</c:f>
              <c:numCache>
                <c:formatCode>#,##0.00</c:formatCode>
                <c:ptCount val="101"/>
                <c:pt idx="0">
                  <c:v>2.1753564999999999</c:v>
                </c:pt>
                <c:pt idx="1">
                  <c:v>2.1761523897174619</c:v>
                </c:pt>
                <c:pt idx="2">
                  <c:v>2.1769849362206219</c:v>
                </c:pt>
                <c:pt idx="3">
                  <c:v>2.1778567316907558</c:v>
                </c:pt>
                <c:pt idx="4">
                  <c:v>2.178770618617127</c:v>
                </c:pt>
                <c:pt idx="5">
                  <c:v>2.1797297207574062</c:v>
                </c:pt>
                <c:pt idx="6">
                  <c:v>2.1807374788100211</c:v>
                </c:pt>
                <c:pt idx="7">
                  <c:v>2.1817976916568491</c:v>
                </c:pt>
                <c:pt idx="8">
                  <c:v>2.1829145642181658</c:v>
                </c:pt>
                <c:pt idx="9">
                  <c:v>2.1840927631906002</c:v>
                </c:pt>
                <c:pt idx="10">
                  <c:v>2.1853374822258367</c:v>
                </c:pt>
                <c:pt idx="11">
                  <c:v>2.186654518469815</c:v>
                </c:pt>
                <c:pt idx="12">
                  <c:v>2.1880503628416648</c:v>
                </c:pt>
                <c:pt idx="13">
                  <c:v>2.1895323070186574</c:v>
                </c:pt>
                <c:pt idx="14">
                  <c:v>2.1911085708486118</c:v>
                </c:pt>
                <c:pt idx="15">
                  <c:v>2.1927884548897607</c:v>
                </c:pt>
                <c:pt idx="16">
                  <c:v>2.194582524055944</c:v>
                </c:pt>
                <c:pt idx="17">
                  <c:v>2.1965028300275082</c:v>
                </c:pt>
                <c:pt idx="18">
                  <c:v>2.1985631823229292</c:v>
                </c:pt>
                <c:pt idx="19">
                  <c:v>2.200779480921975</c:v>
                </c:pt>
                <c:pt idx="20">
                  <c:v>2.2031701273875042</c:v>
                </c:pt>
                <c:pt idx="21">
                  <c:v>2.2057565369839933</c:v>
                </c:pt>
                <c:pt idx="22">
                  <c:v>2.2085637819747013</c:v>
                </c:pt>
                <c:pt idx="23">
                  <c:v>2.2116214070471649</c:v>
                </c:pt>
                <c:pt idx="24">
                  <c:v>2.2149644731079525</c:v>
                </c:pt>
                <c:pt idx="25">
                  <c:v>2.2186349077171066</c:v>
                </c:pt>
                <c:pt idx="26">
                  <c:v>2.2226832726694918</c:v>
                </c:pt>
                <c:pt idx="27">
                  <c:v>2.2271711072146529</c:v>
                </c:pt>
                <c:pt idx="28">
                  <c:v>2.2321740781766652</c:v>
                </c:pt>
                <c:pt idx="29">
                  <c:v>2.2377862808819846</c:v>
                </c:pt>
                <c:pt idx="30">
                  <c:v>2.2441262131803628</c:v>
                </c:pt>
                <c:pt idx="31">
                  <c:v>2.2513452345221112</c:v>
                </c:pt>
                <c:pt idx="32">
                  <c:v>2.2596398059472715</c:v>
                </c:pt>
                <c:pt idx="33">
                  <c:v>2.2692696412719444</c:v>
                </c:pt>
                <c:pt idx="34">
                  <c:v>2.2805853915706056</c:v>
                </c:pt>
                <c:pt idx="35">
                  <c:v>2.294072264903277</c:v>
                </c:pt>
                <c:pt idx="36">
                  <c:v>2.3104214179039304</c:v>
                </c:pt>
                <c:pt idx="37">
                  <c:v>2.3306521968734737</c:v>
                </c:pt>
                <c:pt idx="38">
                  <c:v>2.3563331746119736</c:v>
                </c:pt>
                <c:pt idx="39">
                  <c:v>2.3900096393337606</c:v>
                </c:pt>
                <c:pt idx="40">
                  <c:v>2.4361039810318665</c:v>
                </c:pt>
                <c:pt idx="41">
                  <c:v>2.5030372530232556</c:v>
                </c:pt>
                <c:pt idx="42">
                  <c:v>2.6090685661057691</c:v>
                </c:pt>
                <c:pt idx="43">
                  <c:v>2.8025892139219035</c:v>
                </c:pt>
                <c:pt idx="44">
                  <c:v>3.2679336618497135</c:v>
                </c:pt>
                <c:pt idx="45">
                  <c:v>5.928981038834948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6D-4380-9F0F-DE427D8C5E09}"/>
            </c:ext>
          </c:extLst>
        </c:ser>
        <c:ser>
          <c:idx val="1"/>
          <c:order val="1"/>
          <c:tx>
            <c:v>Ir  =  180  [A]</c:v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'Curva de carga Pb sellada'!$AN$8:$AN$108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sellada'!$AP$8:$AP$108</c:f>
              <c:numCache>
                <c:formatCode>#,##0.00</c:formatCode>
                <c:ptCount val="101"/>
                <c:pt idx="0">
                  <c:v>2.1871420000000001</c:v>
                </c:pt>
                <c:pt idx="1">
                  <c:v>2.1885676120963229</c:v>
                </c:pt>
                <c:pt idx="2">
                  <c:v>2.1900821362848895</c:v>
                </c:pt>
                <c:pt idx="3">
                  <c:v>2.1916941581561695</c:v>
                </c:pt>
                <c:pt idx="4">
                  <c:v>2.1934134054608911</c:v>
                </c:pt>
                <c:pt idx="5">
                  <c:v>2.1952509445742199</c:v>
                </c:pt>
                <c:pt idx="6">
                  <c:v>2.1972194189575545</c:v>
                </c:pt>
                <c:pt idx="7">
                  <c:v>2.1993333404789053</c:v>
                </c:pt>
                <c:pt idx="8">
                  <c:v>2.2016094477859345</c:v>
                </c:pt>
                <c:pt idx="9">
                  <c:v>2.2040671504555531</c:v>
                </c:pt>
                <c:pt idx="10">
                  <c:v>2.2067290838676583</c:v>
                </c:pt>
                <c:pt idx="11">
                  <c:v>2.2096218084024621</c:v>
                </c:pt>
                <c:pt idx="12">
                  <c:v>2.2127766987412589</c:v>
                </c:pt>
                <c:pt idx="13">
                  <c:v>2.2162310864342221</c:v>
                </c:pt>
                <c:pt idx="14">
                  <c:v>2.2200297440787451</c:v>
                </c:pt>
                <c:pt idx="15">
                  <c:v>2.2242268365166722</c:v>
                </c:pt>
                <c:pt idx="16">
                  <c:v>2.2288885199863344</c:v>
                </c:pt>
                <c:pt idx="17">
                  <c:v>2.2340964549728755</c:v>
                </c:pt>
                <c:pt idx="18">
                  <c:v>2.2399526308106035</c:v>
                </c:pt>
                <c:pt idx="19">
                  <c:v>2.2465861114297421</c:v>
                </c:pt>
                <c:pt idx="20">
                  <c:v>2.254162658183414</c:v>
                </c:pt>
                <c:pt idx="21">
                  <c:v>2.2628987709022201</c:v>
                </c:pt>
                <c:pt idx="22">
                  <c:v>2.2730827099744246</c:v>
                </c:pt>
                <c:pt idx="23">
                  <c:v>2.285106914668154</c:v>
                </c:pt>
                <c:pt idx="24">
                  <c:v>2.2995197412630288</c:v>
                </c:pt>
                <c:pt idx="25">
                  <c:v>2.3171114349897892</c:v>
                </c:pt>
                <c:pt idx="26">
                  <c:v>2.3390640382555472</c:v>
                </c:pt>
                <c:pt idx="27">
                  <c:v>2.3672285572052405</c:v>
                </c:pt>
                <c:pt idx="28">
                  <c:v>2.40467619328586</c:v>
                </c:pt>
                <c:pt idx="29">
                  <c:v>2.4569021900121806</c:v>
                </c:pt>
                <c:pt idx="30">
                  <c:v>2.5348053080424884</c:v>
                </c:pt>
                <c:pt idx="31">
                  <c:v>2.6634943621730387</c:v>
                </c:pt>
                <c:pt idx="32">
                  <c:v>2.9166468597014932</c:v>
                </c:pt>
                <c:pt idx="33">
                  <c:v>3.6439115491329512</c:v>
                </c:pt>
                <c:pt idx="34">
                  <c:v>25.792427090908699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D-4380-9F0F-DE427D8C5E09}"/>
            </c:ext>
          </c:extLst>
        </c:ser>
        <c:ser>
          <c:idx val="2"/>
          <c:order val="2"/>
          <c:tx>
            <c:v>Ir  =  Ind  = 225  [A]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'Curva de carga Pb sellada'!$AN$8:$AN$108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sellada'!$AQ$8:$AQ$108</c:f>
              <c:numCache>
                <c:formatCode>#,##0.00</c:formatCode>
                <c:ptCount val="101"/>
                <c:pt idx="0">
                  <c:v>2.1989274999999999</c:v>
                </c:pt>
                <c:pt idx="1">
                  <c:v>2.2011719876798646</c:v>
                </c:pt>
                <c:pt idx="2">
                  <c:v>2.203594226143919</c:v>
                </c:pt>
                <c:pt idx="3">
                  <c:v>2.2062162012623436</c:v>
                </c:pt>
                <c:pt idx="4">
                  <c:v>2.2090636807177746</c:v>
                </c:pt>
                <c:pt idx="5">
                  <c:v>2.2121670636857873</c:v>
                </c:pt>
                <c:pt idx="6">
                  <c:v>2.2155624703763941</c:v>
                </c:pt>
                <c:pt idx="7">
                  <c:v>2.2192931543337804</c:v>
                </c:pt>
                <c:pt idx="8">
                  <c:v>2.2234113548345729</c:v>
                </c:pt>
                <c:pt idx="9">
                  <c:v>2.2279807581496009</c:v>
                </c:pt>
                <c:pt idx="10">
                  <c:v>2.2330798146823128</c:v>
                </c:pt>
                <c:pt idx="11">
                  <c:v>2.2388062805711684</c:v>
                </c:pt>
                <c:pt idx="12">
                  <c:v>2.2452835456458402</c:v>
                </c:pt>
                <c:pt idx="13">
                  <c:v>2.2526696249783478</c:v>
                </c:pt>
                <c:pt idx="14">
                  <c:v>2.2611702207526081</c:v>
                </c:pt>
                <c:pt idx="15">
                  <c:v>2.2710581795285112</c:v>
                </c:pt>
                <c:pt idx="16">
                  <c:v>2.2827033227292675</c:v>
                </c:pt>
                <c:pt idx="17">
                  <c:v>2.2966197315193839</c:v>
                </c:pt>
                <c:pt idx="18">
                  <c:v>2.3135436886339384</c:v>
                </c:pt>
                <c:pt idx="19">
                  <c:v>2.3345682755010473</c:v>
                </c:pt>
                <c:pt idx="20">
                  <c:v>2.3613892937372363</c:v>
                </c:pt>
                <c:pt idx="21">
                  <c:v>2.3967871081721279</c:v>
                </c:pt>
                <c:pt idx="22">
                  <c:v>2.4456587147556395</c:v>
                </c:pt>
                <c:pt idx="23">
                  <c:v>2.5175053656413238</c:v>
                </c:pt>
                <c:pt idx="24">
                  <c:v>2.6335066350531116</c:v>
                </c:pt>
                <c:pt idx="25">
                  <c:v>2.852422502738226</c:v>
                </c:pt>
                <c:pt idx="26">
                  <c:v>3.420397135826772</c:v>
                </c:pt>
                <c:pt idx="27">
                  <c:v>8.4549683980582468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D-4380-9F0F-DE427D8C5E09}"/>
            </c:ext>
          </c:extLst>
        </c:ser>
        <c:ser>
          <c:idx val="3"/>
          <c:order val="3"/>
          <c:tx>
            <c:v>Ufl  =  2,25  [V/c]</c:v>
          </c:tx>
          <c:spPr>
            <a:ln w="19050">
              <a:solidFill>
                <a:srgbClr val="00B0F0"/>
              </a:solidFill>
              <a:prstDash val="lgDashDot"/>
            </a:ln>
          </c:spPr>
          <c:marker>
            <c:symbol val="none"/>
          </c:marker>
          <c:xVal>
            <c:numRef>
              <c:f>'Curva de carga Pb sellada'!$AN$8:$AN$108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sellada'!$AR$8:$AR$108</c:f>
              <c:numCache>
                <c:formatCode>#,##0.00</c:formatCode>
                <c:ptCount val="101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2.25</c:v>
                </c:pt>
                <c:pt idx="48">
                  <c:v>2.25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2.25</c:v>
                </c:pt>
                <c:pt idx="60">
                  <c:v>2.25</c:v>
                </c:pt>
                <c:pt idx="61">
                  <c:v>2.25</c:v>
                </c:pt>
                <c:pt idx="62">
                  <c:v>2.25</c:v>
                </c:pt>
                <c:pt idx="63">
                  <c:v>2.25</c:v>
                </c:pt>
                <c:pt idx="64">
                  <c:v>2.25</c:v>
                </c:pt>
                <c:pt idx="65">
                  <c:v>2.25</c:v>
                </c:pt>
                <c:pt idx="66">
                  <c:v>2.25</c:v>
                </c:pt>
                <c:pt idx="67">
                  <c:v>2.25</c:v>
                </c:pt>
                <c:pt idx="68">
                  <c:v>2.25</c:v>
                </c:pt>
                <c:pt idx="69">
                  <c:v>2.25</c:v>
                </c:pt>
                <c:pt idx="70">
                  <c:v>2.25</c:v>
                </c:pt>
                <c:pt idx="71">
                  <c:v>2.25</c:v>
                </c:pt>
                <c:pt idx="72">
                  <c:v>2.25</c:v>
                </c:pt>
                <c:pt idx="73">
                  <c:v>2.25</c:v>
                </c:pt>
                <c:pt idx="74">
                  <c:v>2.25</c:v>
                </c:pt>
                <c:pt idx="75">
                  <c:v>2.25</c:v>
                </c:pt>
                <c:pt idx="76">
                  <c:v>2.25</c:v>
                </c:pt>
                <c:pt idx="77">
                  <c:v>2.25</c:v>
                </c:pt>
                <c:pt idx="78">
                  <c:v>2.25</c:v>
                </c:pt>
                <c:pt idx="79">
                  <c:v>2.25</c:v>
                </c:pt>
                <c:pt idx="80">
                  <c:v>2.25</c:v>
                </c:pt>
                <c:pt idx="81">
                  <c:v>2.25</c:v>
                </c:pt>
                <c:pt idx="82">
                  <c:v>2.25</c:v>
                </c:pt>
                <c:pt idx="83">
                  <c:v>2.25</c:v>
                </c:pt>
                <c:pt idx="84">
                  <c:v>2.25</c:v>
                </c:pt>
                <c:pt idx="85">
                  <c:v>2.25</c:v>
                </c:pt>
                <c:pt idx="86">
                  <c:v>2.25</c:v>
                </c:pt>
                <c:pt idx="87">
                  <c:v>2.25</c:v>
                </c:pt>
                <c:pt idx="88">
                  <c:v>2.25</c:v>
                </c:pt>
                <c:pt idx="89">
                  <c:v>2.25</c:v>
                </c:pt>
                <c:pt idx="90">
                  <c:v>2.25</c:v>
                </c:pt>
                <c:pt idx="91">
                  <c:v>2.25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6D-4380-9F0F-DE427D8C5E09}"/>
            </c:ext>
          </c:extLst>
        </c:ser>
        <c:ser>
          <c:idx val="4"/>
          <c:order val="4"/>
          <c:tx>
            <c:v>U (H2O)  = 2,37  [V/c]</c:v>
          </c:tx>
          <c:spPr>
            <a:ln w="19050">
              <a:solidFill>
                <a:schemeClr val="accent3">
                  <a:lumMod val="75000"/>
                </a:schemeClr>
              </a:solidFill>
              <a:prstDash val="lgDashDot"/>
            </a:ln>
          </c:spPr>
          <c:marker>
            <c:symbol val="none"/>
          </c:marker>
          <c:xVal>
            <c:numRef>
              <c:f>'Curva de carga Pb sellada'!$AN$8:$AN$108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sellada'!$AS$8:$AS$108</c:f>
              <c:numCache>
                <c:formatCode>General</c:formatCode>
                <c:ptCount val="101"/>
                <c:pt idx="0">
                  <c:v>2.37</c:v>
                </c:pt>
                <c:pt idx="1">
                  <c:v>2.37</c:v>
                </c:pt>
                <c:pt idx="2">
                  <c:v>2.37</c:v>
                </c:pt>
                <c:pt idx="3">
                  <c:v>2.37</c:v>
                </c:pt>
                <c:pt idx="4">
                  <c:v>2.37</c:v>
                </c:pt>
                <c:pt idx="5">
                  <c:v>2.37</c:v>
                </c:pt>
                <c:pt idx="6">
                  <c:v>2.37</c:v>
                </c:pt>
                <c:pt idx="7">
                  <c:v>2.37</c:v>
                </c:pt>
                <c:pt idx="8">
                  <c:v>2.37</c:v>
                </c:pt>
                <c:pt idx="9">
                  <c:v>2.37</c:v>
                </c:pt>
                <c:pt idx="10">
                  <c:v>2.37</c:v>
                </c:pt>
                <c:pt idx="11">
                  <c:v>2.37</c:v>
                </c:pt>
                <c:pt idx="12">
                  <c:v>2.37</c:v>
                </c:pt>
                <c:pt idx="13">
                  <c:v>2.37</c:v>
                </c:pt>
                <c:pt idx="14">
                  <c:v>2.37</c:v>
                </c:pt>
                <c:pt idx="15">
                  <c:v>2.37</c:v>
                </c:pt>
                <c:pt idx="16">
                  <c:v>2.37</c:v>
                </c:pt>
                <c:pt idx="17">
                  <c:v>2.37</c:v>
                </c:pt>
                <c:pt idx="18">
                  <c:v>2.37</c:v>
                </c:pt>
                <c:pt idx="19">
                  <c:v>2.37</c:v>
                </c:pt>
                <c:pt idx="20">
                  <c:v>2.37</c:v>
                </c:pt>
                <c:pt idx="21">
                  <c:v>2.37</c:v>
                </c:pt>
                <c:pt idx="22">
                  <c:v>2.37</c:v>
                </c:pt>
                <c:pt idx="23">
                  <c:v>2.37</c:v>
                </c:pt>
                <c:pt idx="24">
                  <c:v>2.37</c:v>
                </c:pt>
                <c:pt idx="25">
                  <c:v>2.37</c:v>
                </c:pt>
                <c:pt idx="26">
                  <c:v>2.37</c:v>
                </c:pt>
                <c:pt idx="27">
                  <c:v>2.37</c:v>
                </c:pt>
                <c:pt idx="28">
                  <c:v>2.37</c:v>
                </c:pt>
                <c:pt idx="29">
                  <c:v>2.37</c:v>
                </c:pt>
                <c:pt idx="30">
                  <c:v>2.37</c:v>
                </c:pt>
                <c:pt idx="31">
                  <c:v>2.37</c:v>
                </c:pt>
                <c:pt idx="32">
                  <c:v>2.37</c:v>
                </c:pt>
                <c:pt idx="33">
                  <c:v>2.37</c:v>
                </c:pt>
                <c:pt idx="34">
                  <c:v>2.37</c:v>
                </c:pt>
                <c:pt idx="35">
                  <c:v>2.37</c:v>
                </c:pt>
                <c:pt idx="36">
                  <c:v>2.37</c:v>
                </c:pt>
                <c:pt idx="37">
                  <c:v>2.37</c:v>
                </c:pt>
                <c:pt idx="38">
                  <c:v>2.37</c:v>
                </c:pt>
                <c:pt idx="39">
                  <c:v>2.37</c:v>
                </c:pt>
                <c:pt idx="40">
                  <c:v>2.37</c:v>
                </c:pt>
                <c:pt idx="41">
                  <c:v>2.37</c:v>
                </c:pt>
                <c:pt idx="42">
                  <c:v>2.37</c:v>
                </c:pt>
                <c:pt idx="43">
                  <c:v>2.37</c:v>
                </c:pt>
                <c:pt idx="44">
                  <c:v>2.37</c:v>
                </c:pt>
                <c:pt idx="45">
                  <c:v>2.37</c:v>
                </c:pt>
                <c:pt idx="46">
                  <c:v>2.37</c:v>
                </c:pt>
                <c:pt idx="47">
                  <c:v>2.37</c:v>
                </c:pt>
                <c:pt idx="48">
                  <c:v>2.37</c:v>
                </c:pt>
                <c:pt idx="49">
                  <c:v>2.37</c:v>
                </c:pt>
                <c:pt idx="50">
                  <c:v>2.37</c:v>
                </c:pt>
                <c:pt idx="51">
                  <c:v>2.37</c:v>
                </c:pt>
                <c:pt idx="52">
                  <c:v>2.37</c:v>
                </c:pt>
                <c:pt idx="53">
                  <c:v>2.37</c:v>
                </c:pt>
                <c:pt idx="54">
                  <c:v>2.37</c:v>
                </c:pt>
                <c:pt idx="55">
                  <c:v>2.37</c:v>
                </c:pt>
                <c:pt idx="56">
                  <c:v>2.37</c:v>
                </c:pt>
                <c:pt idx="57">
                  <c:v>2.37</c:v>
                </c:pt>
                <c:pt idx="58">
                  <c:v>2.37</c:v>
                </c:pt>
                <c:pt idx="59">
                  <c:v>2.37</c:v>
                </c:pt>
                <c:pt idx="60">
                  <c:v>2.37</c:v>
                </c:pt>
                <c:pt idx="61">
                  <c:v>2.37</c:v>
                </c:pt>
                <c:pt idx="62">
                  <c:v>2.37</c:v>
                </c:pt>
                <c:pt idx="63">
                  <c:v>2.37</c:v>
                </c:pt>
                <c:pt idx="64">
                  <c:v>2.37</c:v>
                </c:pt>
                <c:pt idx="65">
                  <c:v>2.37</c:v>
                </c:pt>
                <c:pt idx="66">
                  <c:v>2.37</c:v>
                </c:pt>
                <c:pt idx="67">
                  <c:v>2.37</c:v>
                </c:pt>
                <c:pt idx="68">
                  <c:v>2.37</c:v>
                </c:pt>
                <c:pt idx="69">
                  <c:v>2.37</c:v>
                </c:pt>
                <c:pt idx="70">
                  <c:v>2.37</c:v>
                </c:pt>
                <c:pt idx="71">
                  <c:v>2.37</c:v>
                </c:pt>
                <c:pt idx="72">
                  <c:v>2.37</c:v>
                </c:pt>
                <c:pt idx="73">
                  <c:v>2.37</c:v>
                </c:pt>
                <c:pt idx="74">
                  <c:v>2.37</c:v>
                </c:pt>
                <c:pt idx="75">
                  <c:v>2.37</c:v>
                </c:pt>
                <c:pt idx="76">
                  <c:v>2.37</c:v>
                </c:pt>
                <c:pt idx="77">
                  <c:v>2.37</c:v>
                </c:pt>
                <c:pt idx="78">
                  <c:v>2.37</c:v>
                </c:pt>
                <c:pt idx="79">
                  <c:v>2.37</c:v>
                </c:pt>
                <c:pt idx="80">
                  <c:v>2.37</c:v>
                </c:pt>
                <c:pt idx="81">
                  <c:v>2.37</c:v>
                </c:pt>
                <c:pt idx="82">
                  <c:v>2.37</c:v>
                </c:pt>
                <c:pt idx="83">
                  <c:v>2.37</c:v>
                </c:pt>
                <c:pt idx="84">
                  <c:v>2.37</c:v>
                </c:pt>
                <c:pt idx="85">
                  <c:v>2.37</c:v>
                </c:pt>
                <c:pt idx="86">
                  <c:v>2.37</c:v>
                </c:pt>
                <c:pt idx="87">
                  <c:v>2.37</c:v>
                </c:pt>
                <c:pt idx="88">
                  <c:v>2.37</c:v>
                </c:pt>
                <c:pt idx="89">
                  <c:v>2.37</c:v>
                </c:pt>
                <c:pt idx="90">
                  <c:v>2.37</c:v>
                </c:pt>
                <c:pt idx="91">
                  <c:v>2.37</c:v>
                </c:pt>
                <c:pt idx="92">
                  <c:v>2.37</c:v>
                </c:pt>
                <c:pt idx="93">
                  <c:v>2.37</c:v>
                </c:pt>
                <c:pt idx="94">
                  <c:v>2.37</c:v>
                </c:pt>
                <c:pt idx="95">
                  <c:v>2.37</c:v>
                </c:pt>
                <c:pt idx="96">
                  <c:v>2.37</c:v>
                </c:pt>
                <c:pt idx="97">
                  <c:v>2.37</c:v>
                </c:pt>
                <c:pt idx="98">
                  <c:v>2.37</c:v>
                </c:pt>
                <c:pt idx="99">
                  <c:v>2.37</c:v>
                </c:pt>
                <c:pt idx="100">
                  <c:v>2.37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46D-4380-9F0F-DE427D8C5E09}"/>
            </c:ext>
          </c:extLst>
        </c:ser>
        <c:ser>
          <c:idx val="5"/>
          <c:order val="5"/>
          <c:tx>
            <c:v>U (H2O)+U (gas)  =  2,83  [V/c]</c:v>
          </c:tx>
          <c:spPr>
            <a:ln w="1905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'Curva de carga Pb sellada'!$AN$8:$AN$108</c:f>
              <c:numCache>
                <c:formatCode>0.00</c:formatCode>
                <c:ptCount val="101"/>
                <c:pt idx="0">
                  <c:v>0</c:v>
                </c:pt>
                <c:pt idx="1">
                  <c:v>0.36</c:v>
                </c:pt>
                <c:pt idx="2">
                  <c:v>0.72</c:v>
                </c:pt>
                <c:pt idx="3">
                  <c:v>1.08</c:v>
                </c:pt>
                <c:pt idx="4">
                  <c:v>1.44</c:v>
                </c:pt>
                <c:pt idx="5">
                  <c:v>1.8</c:v>
                </c:pt>
                <c:pt idx="6">
                  <c:v>2.16</c:v>
                </c:pt>
                <c:pt idx="7">
                  <c:v>2.5200000000000005</c:v>
                </c:pt>
                <c:pt idx="8">
                  <c:v>2.88</c:v>
                </c:pt>
                <c:pt idx="9">
                  <c:v>3.2399999999999998</c:v>
                </c:pt>
                <c:pt idx="10">
                  <c:v>3.6</c:v>
                </c:pt>
                <c:pt idx="11">
                  <c:v>3.96</c:v>
                </c:pt>
                <c:pt idx="12">
                  <c:v>4.32</c:v>
                </c:pt>
                <c:pt idx="13">
                  <c:v>4.68</c:v>
                </c:pt>
                <c:pt idx="14">
                  <c:v>5.0400000000000009</c:v>
                </c:pt>
                <c:pt idx="15">
                  <c:v>5.3999999999999995</c:v>
                </c:pt>
                <c:pt idx="16">
                  <c:v>5.76</c:v>
                </c:pt>
                <c:pt idx="17">
                  <c:v>6.12</c:v>
                </c:pt>
                <c:pt idx="18">
                  <c:v>6.4799999999999995</c:v>
                </c:pt>
                <c:pt idx="19">
                  <c:v>6.84</c:v>
                </c:pt>
                <c:pt idx="20">
                  <c:v>7.2</c:v>
                </c:pt>
                <c:pt idx="21">
                  <c:v>7.56</c:v>
                </c:pt>
                <c:pt idx="22">
                  <c:v>7.92</c:v>
                </c:pt>
                <c:pt idx="23">
                  <c:v>8.2800000000000011</c:v>
                </c:pt>
                <c:pt idx="24">
                  <c:v>8.64</c:v>
                </c:pt>
                <c:pt idx="25">
                  <c:v>9</c:v>
                </c:pt>
                <c:pt idx="26">
                  <c:v>9.36</c:v>
                </c:pt>
                <c:pt idx="27">
                  <c:v>9.7200000000000006</c:v>
                </c:pt>
                <c:pt idx="28">
                  <c:v>10.080000000000002</c:v>
                </c:pt>
                <c:pt idx="29">
                  <c:v>10.44</c:v>
                </c:pt>
                <c:pt idx="30">
                  <c:v>10.799999999999999</c:v>
                </c:pt>
                <c:pt idx="31">
                  <c:v>11.16</c:v>
                </c:pt>
                <c:pt idx="32">
                  <c:v>11.52</c:v>
                </c:pt>
                <c:pt idx="33">
                  <c:v>11.88</c:v>
                </c:pt>
                <c:pt idx="34">
                  <c:v>12.24</c:v>
                </c:pt>
                <c:pt idx="35">
                  <c:v>12.6</c:v>
                </c:pt>
                <c:pt idx="36">
                  <c:v>12.959999999999999</c:v>
                </c:pt>
                <c:pt idx="37">
                  <c:v>13.32</c:v>
                </c:pt>
                <c:pt idx="38">
                  <c:v>13.68</c:v>
                </c:pt>
                <c:pt idx="39">
                  <c:v>14.040000000000001</c:v>
                </c:pt>
                <c:pt idx="40">
                  <c:v>14.4</c:v>
                </c:pt>
                <c:pt idx="41">
                  <c:v>14.76</c:v>
                </c:pt>
                <c:pt idx="42">
                  <c:v>15.12</c:v>
                </c:pt>
                <c:pt idx="43">
                  <c:v>15.48</c:v>
                </c:pt>
                <c:pt idx="44">
                  <c:v>15.84</c:v>
                </c:pt>
                <c:pt idx="45">
                  <c:v>16.2</c:v>
                </c:pt>
                <c:pt idx="46">
                  <c:v>16.560000000000002</c:v>
                </c:pt>
                <c:pt idx="47">
                  <c:v>16.919999999999998</c:v>
                </c:pt>
                <c:pt idx="48">
                  <c:v>17.28</c:v>
                </c:pt>
                <c:pt idx="49">
                  <c:v>17.64</c:v>
                </c:pt>
                <c:pt idx="50">
                  <c:v>18</c:v>
                </c:pt>
                <c:pt idx="51">
                  <c:v>18.36</c:v>
                </c:pt>
                <c:pt idx="52">
                  <c:v>18.72</c:v>
                </c:pt>
                <c:pt idx="53">
                  <c:v>19.080000000000002</c:v>
                </c:pt>
                <c:pt idx="54">
                  <c:v>19.440000000000001</c:v>
                </c:pt>
                <c:pt idx="55">
                  <c:v>19.8</c:v>
                </c:pt>
                <c:pt idx="56">
                  <c:v>20.160000000000004</c:v>
                </c:pt>
                <c:pt idx="57">
                  <c:v>20.52</c:v>
                </c:pt>
                <c:pt idx="58">
                  <c:v>20.88</c:v>
                </c:pt>
                <c:pt idx="59">
                  <c:v>21.24</c:v>
                </c:pt>
                <c:pt idx="60">
                  <c:v>21.599999999999998</c:v>
                </c:pt>
                <c:pt idx="61">
                  <c:v>21.96</c:v>
                </c:pt>
                <c:pt idx="62">
                  <c:v>22.32</c:v>
                </c:pt>
                <c:pt idx="63">
                  <c:v>22.68</c:v>
                </c:pt>
                <c:pt idx="64">
                  <c:v>23.04</c:v>
                </c:pt>
                <c:pt idx="65">
                  <c:v>23.400000000000002</c:v>
                </c:pt>
                <c:pt idx="66">
                  <c:v>23.76</c:v>
                </c:pt>
                <c:pt idx="67">
                  <c:v>24.12</c:v>
                </c:pt>
                <c:pt idx="68">
                  <c:v>24.48</c:v>
                </c:pt>
                <c:pt idx="69">
                  <c:v>24.839999999999996</c:v>
                </c:pt>
                <c:pt idx="70">
                  <c:v>25.2</c:v>
                </c:pt>
                <c:pt idx="71">
                  <c:v>25.56</c:v>
                </c:pt>
                <c:pt idx="72">
                  <c:v>25.919999999999998</c:v>
                </c:pt>
                <c:pt idx="73">
                  <c:v>26.28</c:v>
                </c:pt>
                <c:pt idx="74">
                  <c:v>26.64</c:v>
                </c:pt>
                <c:pt idx="75">
                  <c:v>27</c:v>
                </c:pt>
                <c:pt idx="76">
                  <c:v>27.36</c:v>
                </c:pt>
                <c:pt idx="77">
                  <c:v>27.72</c:v>
                </c:pt>
                <c:pt idx="78">
                  <c:v>28.080000000000002</c:v>
                </c:pt>
                <c:pt idx="79">
                  <c:v>28.44</c:v>
                </c:pt>
                <c:pt idx="80">
                  <c:v>28.8</c:v>
                </c:pt>
                <c:pt idx="81">
                  <c:v>29.160000000000004</c:v>
                </c:pt>
                <c:pt idx="82">
                  <c:v>29.52</c:v>
                </c:pt>
                <c:pt idx="83">
                  <c:v>29.88</c:v>
                </c:pt>
                <c:pt idx="84">
                  <c:v>30.24</c:v>
                </c:pt>
                <c:pt idx="85">
                  <c:v>30.599999999999998</c:v>
                </c:pt>
                <c:pt idx="86">
                  <c:v>30.96</c:v>
                </c:pt>
                <c:pt idx="87">
                  <c:v>31.32</c:v>
                </c:pt>
                <c:pt idx="88">
                  <c:v>31.68</c:v>
                </c:pt>
                <c:pt idx="89">
                  <c:v>32.04</c:v>
                </c:pt>
                <c:pt idx="90">
                  <c:v>32.4</c:v>
                </c:pt>
                <c:pt idx="91">
                  <c:v>32.76</c:v>
                </c:pt>
                <c:pt idx="92">
                  <c:v>33.120000000000005</c:v>
                </c:pt>
                <c:pt idx="93">
                  <c:v>33.480000000000004</c:v>
                </c:pt>
                <c:pt idx="94">
                  <c:v>33.839999999999996</c:v>
                </c:pt>
                <c:pt idx="95">
                  <c:v>34.199999999999996</c:v>
                </c:pt>
                <c:pt idx="96">
                  <c:v>34.56</c:v>
                </c:pt>
                <c:pt idx="97">
                  <c:v>34.92</c:v>
                </c:pt>
                <c:pt idx="98">
                  <c:v>35.28</c:v>
                </c:pt>
                <c:pt idx="99">
                  <c:v>35.64</c:v>
                </c:pt>
                <c:pt idx="100">
                  <c:v>36</c:v>
                </c:pt>
              </c:numCache>
            </c:numRef>
          </c:xVal>
          <c:yVal>
            <c:numRef>
              <c:f>'Curva de carga Pb sellada'!$AT$8:$AT$108</c:f>
              <c:numCache>
                <c:formatCode>General</c:formatCode>
                <c:ptCount val="101"/>
                <c:pt idx="0">
                  <c:v>2.83</c:v>
                </c:pt>
                <c:pt idx="1">
                  <c:v>2.83</c:v>
                </c:pt>
                <c:pt idx="2">
                  <c:v>2.83</c:v>
                </c:pt>
                <c:pt idx="3">
                  <c:v>2.83</c:v>
                </c:pt>
                <c:pt idx="4">
                  <c:v>2.83</c:v>
                </c:pt>
                <c:pt idx="5">
                  <c:v>2.83</c:v>
                </c:pt>
                <c:pt idx="6">
                  <c:v>2.83</c:v>
                </c:pt>
                <c:pt idx="7">
                  <c:v>2.83</c:v>
                </c:pt>
                <c:pt idx="8">
                  <c:v>2.83</c:v>
                </c:pt>
                <c:pt idx="9">
                  <c:v>2.83</c:v>
                </c:pt>
                <c:pt idx="10">
                  <c:v>2.83</c:v>
                </c:pt>
                <c:pt idx="11">
                  <c:v>2.83</c:v>
                </c:pt>
                <c:pt idx="12">
                  <c:v>2.83</c:v>
                </c:pt>
                <c:pt idx="13">
                  <c:v>2.83</c:v>
                </c:pt>
                <c:pt idx="14">
                  <c:v>2.83</c:v>
                </c:pt>
                <c:pt idx="15">
                  <c:v>2.83</c:v>
                </c:pt>
                <c:pt idx="16">
                  <c:v>2.83</c:v>
                </c:pt>
                <c:pt idx="17">
                  <c:v>2.83</c:v>
                </c:pt>
                <c:pt idx="18">
                  <c:v>2.83</c:v>
                </c:pt>
                <c:pt idx="19">
                  <c:v>2.83</c:v>
                </c:pt>
                <c:pt idx="20">
                  <c:v>2.83</c:v>
                </c:pt>
                <c:pt idx="21">
                  <c:v>2.83</c:v>
                </c:pt>
                <c:pt idx="22">
                  <c:v>2.83</c:v>
                </c:pt>
                <c:pt idx="23">
                  <c:v>2.83</c:v>
                </c:pt>
                <c:pt idx="24">
                  <c:v>2.83</c:v>
                </c:pt>
                <c:pt idx="25">
                  <c:v>2.83</c:v>
                </c:pt>
                <c:pt idx="26">
                  <c:v>2.83</c:v>
                </c:pt>
                <c:pt idx="27">
                  <c:v>2.83</c:v>
                </c:pt>
                <c:pt idx="28">
                  <c:v>2.83</c:v>
                </c:pt>
                <c:pt idx="29">
                  <c:v>2.83</c:v>
                </c:pt>
                <c:pt idx="30">
                  <c:v>2.83</c:v>
                </c:pt>
                <c:pt idx="31">
                  <c:v>2.83</c:v>
                </c:pt>
                <c:pt idx="32">
                  <c:v>2.83</c:v>
                </c:pt>
                <c:pt idx="33">
                  <c:v>2.83</c:v>
                </c:pt>
                <c:pt idx="34">
                  <c:v>2.83</c:v>
                </c:pt>
                <c:pt idx="35">
                  <c:v>2.83</c:v>
                </c:pt>
                <c:pt idx="36">
                  <c:v>2.83</c:v>
                </c:pt>
                <c:pt idx="37">
                  <c:v>2.83</c:v>
                </c:pt>
                <c:pt idx="38">
                  <c:v>2.83</c:v>
                </c:pt>
                <c:pt idx="39">
                  <c:v>2.83</c:v>
                </c:pt>
                <c:pt idx="40">
                  <c:v>2.83</c:v>
                </c:pt>
                <c:pt idx="41">
                  <c:v>2.83</c:v>
                </c:pt>
                <c:pt idx="42">
                  <c:v>2.83</c:v>
                </c:pt>
                <c:pt idx="43">
                  <c:v>2.83</c:v>
                </c:pt>
                <c:pt idx="44">
                  <c:v>2.83</c:v>
                </c:pt>
                <c:pt idx="45">
                  <c:v>2.83</c:v>
                </c:pt>
                <c:pt idx="46">
                  <c:v>2.83</c:v>
                </c:pt>
                <c:pt idx="47">
                  <c:v>2.83</c:v>
                </c:pt>
                <c:pt idx="48">
                  <c:v>2.83</c:v>
                </c:pt>
                <c:pt idx="49">
                  <c:v>2.83</c:v>
                </c:pt>
                <c:pt idx="50">
                  <c:v>2.83</c:v>
                </c:pt>
                <c:pt idx="51">
                  <c:v>2.83</c:v>
                </c:pt>
                <c:pt idx="52">
                  <c:v>2.83</c:v>
                </c:pt>
                <c:pt idx="53">
                  <c:v>2.83</c:v>
                </c:pt>
                <c:pt idx="54">
                  <c:v>2.83</c:v>
                </c:pt>
                <c:pt idx="55">
                  <c:v>2.83</c:v>
                </c:pt>
                <c:pt idx="56">
                  <c:v>2.83</c:v>
                </c:pt>
                <c:pt idx="57">
                  <c:v>2.83</c:v>
                </c:pt>
                <c:pt idx="58">
                  <c:v>2.83</c:v>
                </c:pt>
                <c:pt idx="59">
                  <c:v>2.83</c:v>
                </c:pt>
                <c:pt idx="60">
                  <c:v>2.83</c:v>
                </c:pt>
                <c:pt idx="61">
                  <c:v>2.83</c:v>
                </c:pt>
                <c:pt idx="62">
                  <c:v>2.83</c:v>
                </c:pt>
                <c:pt idx="63">
                  <c:v>2.83</c:v>
                </c:pt>
                <c:pt idx="64">
                  <c:v>2.83</c:v>
                </c:pt>
                <c:pt idx="65">
                  <c:v>2.83</c:v>
                </c:pt>
                <c:pt idx="66">
                  <c:v>2.83</c:v>
                </c:pt>
                <c:pt idx="67">
                  <c:v>2.83</c:v>
                </c:pt>
                <c:pt idx="68">
                  <c:v>2.83</c:v>
                </c:pt>
                <c:pt idx="69">
                  <c:v>2.83</c:v>
                </c:pt>
                <c:pt idx="70">
                  <c:v>2.83</c:v>
                </c:pt>
                <c:pt idx="71">
                  <c:v>2.83</c:v>
                </c:pt>
                <c:pt idx="72">
                  <c:v>2.83</c:v>
                </c:pt>
                <c:pt idx="73">
                  <c:v>2.83</c:v>
                </c:pt>
                <c:pt idx="74">
                  <c:v>2.83</c:v>
                </c:pt>
                <c:pt idx="75">
                  <c:v>2.83</c:v>
                </c:pt>
                <c:pt idx="76">
                  <c:v>2.83</c:v>
                </c:pt>
                <c:pt idx="77">
                  <c:v>2.83</c:v>
                </c:pt>
                <c:pt idx="78">
                  <c:v>2.83</c:v>
                </c:pt>
                <c:pt idx="79">
                  <c:v>2.83</c:v>
                </c:pt>
                <c:pt idx="80">
                  <c:v>2.83</c:v>
                </c:pt>
                <c:pt idx="81">
                  <c:v>2.83</c:v>
                </c:pt>
                <c:pt idx="82">
                  <c:v>2.83</c:v>
                </c:pt>
                <c:pt idx="83">
                  <c:v>2.83</c:v>
                </c:pt>
                <c:pt idx="84">
                  <c:v>2.83</c:v>
                </c:pt>
                <c:pt idx="85">
                  <c:v>2.83</c:v>
                </c:pt>
                <c:pt idx="86">
                  <c:v>2.83</c:v>
                </c:pt>
                <c:pt idx="87">
                  <c:v>2.83</c:v>
                </c:pt>
                <c:pt idx="88">
                  <c:v>2.83</c:v>
                </c:pt>
                <c:pt idx="89">
                  <c:v>2.83</c:v>
                </c:pt>
                <c:pt idx="90">
                  <c:v>2.83</c:v>
                </c:pt>
                <c:pt idx="91">
                  <c:v>2.83</c:v>
                </c:pt>
                <c:pt idx="92">
                  <c:v>2.83</c:v>
                </c:pt>
                <c:pt idx="93">
                  <c:v>2.83</c:v>
                </c:pt>
                <c:pt idx="94">
                  <c:v>2.83</c:v>
                </c:pt>
                <c:pt idx="95">
                  <c:v>2.83</c:v>
                </c:pt>
                <c:pt idx="96">
                  <c:v>2.83</c:v>
                </c:pt>
                <c:pt idx="97">
                  <c:v>2.83</c:v>
                </c:pt>
                <c:pt idx="98">
                  <c:v>2.83</c:v>
                </c:pt>
                <c:pt idx="99">
                  <c:v>2.83</c:v>
                </c:pt>
                <c:pt idx="100">
                  <c:v>2.83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46D-4380-9F0F-DE427D8C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908096"/>
        <c:axId val="129922560"/>
      </c:scatterChart>
      <c:valAx>
        <c:axId val="129908096"/>
        <c:scaling>
          <c:orientation val="minMax"/>
          <c:max val="36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050"/>
                  <a:t>Tiempo de recarga:  t  [h]</a:t>
                </a:r>
              </a:p>
            </c:rich>
          </c:tx>
          <c:layout>
            <c:manualLayout>
              <c:xMode val="edge"/>
              <c:yMode val="edge"/>
              <c:x val="0.40413501895158915"/>
              <c:y val="0.932057208990962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9922560"/>
        <c:crosses val="autoZero"/>
        <c:crossBetween val="midCat"/>
        <c:majorUnit val="3"/>
        <c:minorUnit val="1"/>
      </c:valAx>
      <c:valAx>
        <c:axId val="129922560"/>
        <c:scaling>
          <c:orientation val="minMax"/>
          <c:max val="3"/>
          <c:min val="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/>
                  <a:t>Tensión aplicada:  Ur  [V/c]</a:t>
                </a:r>
              </a:p>
            </c:rich>
          </c:tx>
          <c:layout>
            <c:manualLayout>
              <c:xMode val="edge"/>
              <c:yMode val="edge"/>
              <c:x val="2.1721748449264139E-2"/>
              <c:y val="0.30746475826364178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29908096"/>
        <c:crosses val="autoZero"/>
        <c:crossBetween val="midCat"/>
        <c:majorUnit val="0.1"/>
        <c:minorUnit val="1.0000000000000005E-2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59639629821358864"/>
          <c:y val="0.19996016025413449"/>
          <c:w val="0.36216839677047497"/>
          <c:h val="0.58594706839423449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33" l="0.70000000000000062" r="0.70000000000000062" t="0.75000000000000333" header="0.30000000000000032" footer="0.30000000000000032"/>
    <c:pageSetup paperSize="9" orientation="landscape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Corriente de recarga a tensión constante</a:t>
            </a:r>
          </a:p>
          <a:p>
            <a:pPr>
              <a:defRPr/>
            </a:pPr>
            <a:r>
              <a:rPr lang="en-US" sz="1400"/>
              <a:t>acumulador Ion-Li Worley Parsons SLPB 68105100</a:t>
            </a:r>
          </a:p>
        </c:rich>
      </c:tx>
      <c:layout>
        <c:manualLayout>
          <c:xMode val="edge"/>
          <c:yMode val="edge"/>
          <c:x val="0.18949576590951989"/>
          <c:y val="1.80180222785042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288675174827141"/>
          <c:y val="0.16180474723268287"/>
          <c:w val="0.81599765997989315"/>
          <c:h val="0.71134600022823236"/>
        </c:manualLayout>
      </c:layout>
      <c:scatterChart>
        <c:scatterStyle val="smoothMarker"/>
        <c:varyColors val="0"/>
        <c:ser>
          <c:idx val="0"/>
          <c:order val="0"/>
          <c:tx>
            <c:v>ie; para Ur = 4,15 [V/c]</c:v>
          </c:tx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'Curva de carga Li'!$V$9:$V$109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Li'!$W$9:$W$109</c:f>
              <c:numCache>
                <c:formatCode>#,##0.0</c:formatCode>
                <c:ptCount val="101"/>
                <c:pt idx="0">
                  <c:v>22.399999999999899</c:v>
                </c:pt>
                <c:pt idx="1">
                  <c:v>6.3140607607714649</c:v>
                </c:pt>
                <c:pt idx="2">
                  <c:v>1.7797930040497369</c:v>
                </c:pt>
                <c:pt idx="3">
                  <c:v>0.50168398076634224</c:v>
                </c:pt>
                <c:pt idx="4">
                  <c:v>0.14141353291358935</c:v>
                </c:pt>
                <c:pt idx="5">
                  <c:v>3.9861323179096492E-2</c:v>
                </c:pt>
                <c:pt idx="6">
                  <c:v>1.1236018596319852E-2</c:v>
                </c:pt>
                <c:pt idx="7">
                  <c:v>3.1671832199250843E-3</c:v>
                </c:pt>
                <c:pt idx="8">
                  <c:v>8.9275836120995139E-4</c:v>
                </c:pt>
                <c:pt idx="9">
                  <c:v>2.5164868470385778E-4</c:v>
                </c:pt>
                <c:pt idx="10">
                  <c:v>7.0934155606624234E-5</c:v>
                </c:pt>
                <c:pt idx="11">
                  <c:v>1.9994757522957406E-5</c:v>
                </c:pt>
                <c:pt idx="12">
                  <c:v>5.63607651325206E-6</c:v>
                </c:pt>
                <c:pt idx="13">
                  <c:v>1.5886843552245815E-6</c:v>
                </c:pt>
                <c:pt idx="14">
                  <c:v>4.4781471198995846E-7</c:v>
                </c:pt>
                <c:pt idx="15">
                  <c:v>1.262289866549999E-7</c:v>
                </c:pt>
                <c:pt idx="16">
                  <c:v>3.5581138013851858E-8</c:v>
                </c:pt>
                <c:pt idx="17">
                  <c:v>1.0029529792716807E-8</c:v>
                </c:pt>
                <c:pt idx="18">
                  <c:v>2.8271009157670507E-9</c:v>
                </c:pt>
                <c:pt idx="19">
                  <c:v>7.9689673924043971E-10</c:v>
                </c:pt>
                <c:pt idx="20">
                  <c:v>2.2462742998325006E-10</c:v>
                </c:pt>
                <c:pt idx="21">
                  <c:v>6.3317466136169288E-11</c:v>
                </c:pt>
                <c:pt idx="22">
                  <c:v>1.7847782517940337E-11</c:v>
                </c:pt>
                <c:pt idx="23">
                  <c:v>5.0308921099692258E-12</c:v>
                </c:pt>
                <c:pt idx="24">
                  <c:v>1.418096359965698E-12</c:v>
                </c:pt>
                <c:pt idx="25">
                  <c:v>3.9972975810054825E-13</c:v>
                </c:pt>
                <c:pt idx="26">
                  <c:v>1.126749098453284E-13</c:v>
                </c:pt>
                <c:pt idx="27">
                  <c:v>3.1760545847225655E-14</c:v>
                </c:pt>
                <c:pt idx="28">
                  <c:v>8.9525900122611765E-15</c:v>
                </c:pt>
                <c:pt idx="29">
                  <c:v>2.5235355939148907E-15</c:v>
                </c:pt>
                <c:pt idx="30">
                  <c:v>7.1132844071197403E-16</c:v>
                </c:pt>
                <c:pt idx="31">
                  <c:v>2.005076337285813E-16</c:v>
                </c:pt>
                <c:pt idx="32">
                  <c:v>5.6518633141106239E-17</c:v>
                </c:pt>
                <c:pt idx="33">
                  <c:v>1.5931343025388333E-17</c:v>
                </c:pt>
                <c:pt idx="34">
                  <c:v>4.490690529597969E-18</c:v>
                </c:pt>
                <c:pt idx="35">
                  <c:v>1.2658255741831665E-18</c:v>
                </c:pt>
                <c:pt idx="36">
                  <c:v>3.5680801731834512E-19</c:v>
                </c:pt>
                <c:pt idx="37">
                  <c:v>1.0057622773564542E-19</c:v>
                </c:pt>
                <c:pt idx="38">
                  <c:v>2.8350197009466434E-20</c:v>
                </c:pt>
                <c:pt idx="39">
                  <c:v>7.9912886829292342E-21</c:v>
                </c:pt>
                <c:pt idx="40">
                  <c:v>2.2525661741464349E-21</c:v>
                </c:pt>
                <c:pt idx="41">
                  <c:v>6.3494820050086118E-22</c:v>
                </c:pt>
                <c:pt idx="42">
                  <c:v>1.7897774633504305E-22</c:v>
                </c:pt>
                <c:pt idx="43">
                  <c:v>5.0449837731491546E-23</c:v>
                </c:pt>
                <c:pt idx="44">
                  <c:v>1.4220684857486519E-23</c:v>
                </c:pt>
                <c:pt idx="45">
                  <c:v>4.0084941183014787E-24</c:v>
                </c:pt>
                <c:pt idx="46">
                  <c:v>1.129905152774586E-24</c:v>
                </c:pt>
                <c:pt idx="47">
                  <c:v>3.1849507984498179E-25</c:v>
                </c:pt>
                <c:pt idx="48">
                  <c:v>8.9776664560177303E-26</c:v>
                </c:pt>
                <c:pt idx="49">
                  <c:v>2.5306040845194692E-26</c:v>
                </c:pt>
                <c:pt idx="50">
                  <c:v>7.1332089067465873E-27</c:v>
                </c:pt>
                <c:pt idx="51">
                  <c:v>2.0106926096640359E-27</c:v>
                </c:pt>
                <c:pt idx="52">
                  <c:v>5.6676943342200618E-28</c:v>
                </c:pt>
                <c:pt idx="53">
                  <c:v>1.5975967142743688E-28</c:v>
                </c:pt>
                <c:pt idx="54">
                  <c:v>4.5032690737219966E-29</c:v>
                </c:pt>
                <c:pt idx="55">
                  <c:v>1.269371185427834E-29</c:v>
                </c:pt>
                <c:pt idx="56">
                  <c:v>3.5780744610553092E-30</c:v>
                </c:pt>
                <c:pt idx="57">
                  <c:v>1.0085794443601914E-30</c:v>
                </c:pt>
                <c:pt idx="58">
                  <c:v>2.8429606668550931E-31</c:v>
                </c:pt>
                <c:pt idx="59">
                  <c:v>8.0136724959849429E-32</c:v>
                </c:pt>
                <c:pt idx="60">
                  <c:v>2.2588756721684402E-32</c:v>
                </c:pt>
                <c:pt idx="61">
                  <c:v>6.3672670737053117E-33</c:v>
                </c:pt>
                <c:pt idx="62">
                  <c:v>1.7947906778319237E-33</c:v>
                </c:pt>
                <c:pt idx="63">
                  <c:v>5.0591149074540339E-34</c:v>
                </c:pt>
                <c:pt idx="64">
                  <c:v>1.4260517375620386E-34</c:v>
                </c:pt>
                <c:pt idx="65">
                  <c:v>4.0197220173974819E-35</c:v>
                </c:pt>
                <c:pt idx="66">
                  <c:v>1.133070047288351E-35</c:v>
                </c:pt>
                <c:pt idx="67">
                  <c:v>3.1938719307092789E-36</c:v>
                </c:pt>
                <c:pt idx="68">
                  <c:v>9.0028131395629363E-37</c:v>
                </c:pt>
                <c:pt idx="69">
                  <c:v>2.5376923741550552E-37</c:v>
                </c:pt>
                <c:pt idx="70">
                  <c:v>7.1531892154292424E-38</c:v>
                </c:pt>
                <c:pt idx="71">
                  <c:v>2.0163246133712351E-38</c:v>
                </c:pt>
                <c:pt idx="72">
                  <c:v>5.68356969743969E-39</c:v>
                </c:pt>
                <c:pt idx="73">
                  <c:v>1.6020716253443707E-39</c:v>
                </c:pt>
                <c:pt idx="74">
                  <c:v>4.5158828506841331E-40</c:v>
                </c:pt>
                <c:pt idx="75">
                  <c:v>1.2729267280243404E-40</c:v>
                </c:pt>
                <c:pt idx="76">
                  <c:v>3.5880967431944782E-41</c:v>
                </c:pt>
                <c:pt idx="77">
                  <c:v>1.0114045023239552E-41</c:v>
                </c:pt>
                <c:pt idx="78">
                  <c:v>2.8509238756211226E-42</c:v>
                </c:pt>
                <c:pt idx="79">
                  <c:v>8.0361190066989694E-43</c:v>
                </c:pt>
                <c:pt idx="80">
                  <c:v>2.2652028432628254E-43</c:v>
                </c:pt>
                <c:pt idx="81">
                  <c:v>6.3851019588544868E-44</c:v>
                </c:pt>
                <c:pt idx="82">
                  <c:v>1.7998179344610878E-44</c:v>
                </c:pt>
                <c:pt idx="83">
                  <c:v>5.0732856234436294E-45</c:v>
                </c:pt>
                <c:pt idx="84">
                  <c:v>1.4300461465701409E-45</c:v>
                </c:pt>
                <c:pt idx="85">
                  <c:v>4.0309813661388468E-46</c:v>
                </c:pt>
                <c:pt idx="86">
                  <c:v>1.1362438067561784E-46</c:v>
                </c:pt>
                <c:pt idx="87">
                  <c:v>3.2028180512985819E-47</c:v>
                </c:pt>
                <c:pt idx="88">
                  <c:v>9.028030259640505E-48</c:v>
                </c:pt>
                <c:pt idx="89">
                  <c:v>2.5448005182792269E-48</c:v>
                </c:pt>
                <c:pt idx="90">
                  <c:v>7.1732254894900082E-49</c:v>
                </c:pt>
                <c:pt idx="91">
                  <c:v>2.021972392471197E-49</c:v>
                </c:pt>
                <c:pt idx="92">
                  <c:v>5.6994895279757404E-50</c:v>
                </c:pt>
                <c:pt idx="93">
                  <c:v>1.6065590707598089E-50</c:v>
                </c:pt>
                <c:pt idx="94">
                  <c:v>4.5285319591724018E-51</c:v>
                </c:pt>
                <c:pt idx="95">
                  <c:v>1.2764922297906318E-51</c:v>
                </c:pt>
                <c:pt idx="96">
                  <c:v>3.5981470980136756E-52</c:v>
                </c:pt>
                <c:pt idx="97">
                  <c:v>1.0142374733505212E-52</c:v>
                </c:pt>
                <c:pt idx="98">
                  <c:v>2.8589093895476111E-53</c:v>
                </c:pt>
                <c:pt idx="99">
                  <c:v>8.0586283906891869E-54</c:v>
                </c:pt>
                <c:pt idx="100">
                  <c:v>2.2715477369325477E-54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65B-480B-82AA-72D93FB77E1E}"/>
            </c:ext>
          </c:extLst>
        </c:ser>
        <c:ser>
          <c:idx val="1"/>
          <c:order val="1"/>
          <c:tx>
            <c:v>ie; para Ur = Ufl = 4,20 [V/c]</c:v>
          </c:tx>
          <c:spPr>
            <a:ln w="19050">
              <a:solidFill>
                <a:srgbClr val="00B0F0"/>
              </a:solidFill>
              <a:prstDash val="sysDot"/>
            </a:ln>
          </c:spPr>
          <c:marker>
            <c:symbol val="none"/>
          </c:marker>
          <c:xVal>
            <c:numRef>
              <c:f>'Curva de carga Li'!$V$9:$V$109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Li'!$X$9:$X$109</c:f>
              <c:numCache>
                <c:formatCode>#,##0.0</c:formatCode>
                <c:ptCount val="101"/>
                <c:pt idx="0">
                  <c:v>26.399999999999864</c:v>
                </c:pt>
                <c:pt idx="1">
                  <c:v>5.9355535268964683</c:v>
                </c:pt>
                <c:pt idx="2">
                  <c:v>1.3344998360095941</c:v>
                </c:pt>
                <c:pt idx="3">
                  <c:v>0.30003769728293739</c:v>
                </c:pt>
                <c:pt idx="4">
                  <c:v>6.7457947435971319E-2</c:v>
                </c:pt>
                <c:pt idx="5">
                  <c:v>1.5166676432605209E-2</c:v>
                </c:pt>
                <c:pt idx="6">
                  <c:v>3.4099477193503041E-3</c:v>
                </c:pt>
                <c:pt idx="7">
                  <c:v>7.6666390955008835E-4</c:v>
                </c:pt>
                <c:pt idx="8">
                  <c:v>1.7237025273766264E-4</c:v>
                </c:pt>
                <c:pt idx="9">
                  <c:v>3.8754275059434575E-5</c:v>
                </c:pt>
                <c:pt idx="10">
                  <c:v>8.7131846216417993E-6</c:v>
                </c:pt>
                <c:pt idx="11">
                  <c:v>1.95899900422297E-6</c:v>
                </c:pt>
                <c:pt idx="12">
                  <c:v>4.4044482760236359E-7</c:v>
                </c:pt>
                <c:pt idx="13">
                  <c:v>9.9025903404489581E-8</c:v>
                </c:pt>
                <c:pt idx="14">
                  <c:v>2.2264149629038984E-8</c:v>
                </c:pt>
                <c:pt idx="15">
                  <c:v>5.0056837823482739E-9</c:v>
                </c:pt>
                <c:pt idx="16">
                  <c:v>1.1254357586684035E-9</c:v>
                </c:pt>
                <c:pt idx="17">
                  <c:v>2.5303349191892682E-10</c:v>
                </c:pt>
                <c:pt idx="18">
                  <c:v>5.6889918006906068E-11</c:v>
                </c:pt>
                <c:pt idx="19">
                  <c:v>1.2790649752679671E-11</c:v>
                </c:pt>
                <c:pt idx="20">
                  <c:v>2.8757419034399819E-12</c:v>
                </c:pt>
                <c:pt idx="21">
                  <c:v>6.465575756593685E-13</c:v>
                </c:pt>
                <c:pt idx="22">
                  <c:v>1.4536655676312907E-13</c:v>
                </c:pt>
                <c:pt idx="23">
                  <c:v>3.2682991616976871E-14</c:v>
                </c:pt>
                <c:pt idx="24">
                  <c:v>7.3481684152150316E-15</c:v>
                </c:pt>
                <c:pt idx="25">
                  <c:v>1.6521002633772332E-15</c:v>
                </c:pt>
                <c:pt idx="26">
                  <c:v>3.7144430094982397E-16</c:v>
                </c:pt>
                <c:pt idx="27">
                  <c:v>8.3512406460163957E-17</c:v>
                </c:pt>
                <c:pt idx="28">
                  <c:v>1.8776225708493912E-17</c:v>
                </c:pt>
                <c:pt idx="29">
                  <c:v>4.2214883608278923E-18</c:v>
                </c:pt>
                <c:pt idx="30">
                  <c:v>9.4912386851760033E-19</c:v>
                </c:pt>
                <c:pt idx="31">
                  <c:v>2.1339301231974551E-19</c:v>
                </c:pt>
                <c:pt idx="32">
                  <c:v>4.7977486624603465E-20</c:v>
                </c:pt>
                <c:pt idx="33">
                  <c:v>1.0786853785844477E-20</c:v>
                </c:pt>
                <c:pt idx="34">
                  <c:v>2.4252253042684059E-21</c:v>
                </c:pt>
                <c:pt idx="35">
                  <c:v>5.4526722001019122E-22</c:v>
                </c:pt>
                <c:pt idx="36">
                  <c:v>1.2259328677395875E-22</c:v>
                </c:pt>
                <c:pt idx="37">
                  <c:v>2.7562841503220026E-23</c:v>
                </c:pt>
                <c:pt idx="38">
                  <c:v>6.1969970112017194E-24</c:v>
                </c:pt>
                <c:pt idx="39">
                  <c:v>1.3932805858335462E-24</c:v>
                </c:pt>
                <c:pt idx="40">
                  <c:v>3.1325346572729747E-25</c:v>
                </c:pt>
                <c:pt idx="41">
                  <c:v>7.042926944356951E-26</c:v>
                </c:pt>
                <c:pt idx="42">
                  <c:v>1.5834723433428869E-26</c:v>
                </c:pt>
                <c:pt idx="43">
                  <c:v>3.5601457773757019E-27</c:v>
                </c:pt>
                <c:pt idx="44">
                  <c:v>8.0043317519576278E-28</c:v>
                </c:pt>
                <c:pt idx="45">
                  <c:v>1.7996264985144433E-28</c:v>
                </c:pt>
                <c:pt idx="46">
                  <c:v>4.0461285645279771E-29</c:v>
                </c:pt>
                <c:pt idx="47">
                  <c:v>9.0969744967654661E-30</c:v>
                </c:pt>
                <c:pt idx="48">
                  <c:v>2.0452870855440931E-30</c:v>
                </c:pt>
                <c:pt idx="49">
                  <c:v>4.5984511265594679E-31</c:v>
                </c:pt>
                <c:pt idx="50">
                  <c:v>1.0338770000951278E-31</c:v>
                </c:pt>
                <c:pt idx="51">
                  <c:v>2.3244819220802094E-32</c:v>
                </c:pt>
                <c:pt idx="52">
                  <c:v>5.2261692692463692E-33</c:v>
                </c:pt>
                <c:pt idx="53">
                  <c:v>1.17500785750883E-33</c:v>
                </c:pt>
                <c:pt idx="54">
                  <c:v>2.641788648775633E-34</c:v>
                </c:pt>
                <c:pt idx="55">
                  <c:v>5.9395749740739423E-35</c:v>
                </c:pt>
                <c:pt idx="56">
                  <c:v>1.3354039843042029E-35</c:v>
                </c:pt>
                <c:pt idx="57">
                  <c:v>3.002409783662307E-36</c:v>
                </c:pt>
                <c:pt idx="58">
                  <c:v>6.750365144168734E-37</c:v>
                </c:pt>
                <c:pt idx="59">
                  <c:v>1.5176952136102108E-37</c:v>
                </c:pt>
                <c:pt idx="60">
                  <c:v>3.4122580219311358E-38</c:v>
                </c:pt>
                <c:pt idx="61">
                  <c:v>7.6718333851339985E-39</c:v>
                </c:pt>
                <c:pt idx="62">
                  <c:v>1.7248703676854283E-39</c:v>
                </c:pt>
                <c:pt idx="63">
                  <c:v>3.8780531796796465E-40</c:v>
                </c:pt>
                <c:pt idx="64">
                  <c:v>8.7190879652046062E-41</c:v>
                </c:pt>
                <c:pt idx="65">
                  <c:v>1.9603262622420388E-41</c:v>
                </c:pt>
                <c:pt idx="66">
                  <c:v>4.4074323711056027E-42</c:v>
                </c:pt>
                <c:pt idx="67">
                  <c:v>9.9092995283610063E-43</c:v>
                </c:pt>
                <c:pt idx="68">
                  <c:v>2.2279234001756867E-43</c:v>
                </c:pt>
                <c:pt idx="69">
                  <c:v>5.0090752255939808E-44</c:v>
                </c:pt>
                <c:pt idx="70">
                  <c:v>1.1261982621880451E-44</c:v>
                </c:pt>
                <c:pt idx="71">
                  <c:v>2.5320492678465529E-45</c:v>
                </c:pt>
                <c:pt idx="72">
                  <c:v>5.6928461977432471E-46</c:v>
                </c:pt>
                <c:pt idx="73">
                  <c:v>1.2799315654202436E-46</c:v>
                </c:pt>
                <c:pt idx="74">
                  <c:v>2.8776902717107288E-47</c:v>
                </c:pt>
                <c:pt idx="75">
                  <c:v>6.4699563036243217E-48</c:v>
                </c:pt>
                <c:pt idx="76">
                  <c:v>1.4546504529107287E-48</c:v>
                </c:pt>
                <c:pt idx="77">
                  <c:v>3.270513494763603E-49</c:v>
                </c:pt>
                <c:pt idx="78">
                  <c:v>7.3531469350783345E-50</c:v>
                </c:pt>
                <c:pt idx="79">
                  <c:v>1.6532195918292425E-50</c:v>
                </c:pt>
                <c:pt idx="80">
                  <c:v>3.7169596132637743E-51</c:v>
                </c:pt>
                <c:pt idx="81">
                  <c:v>8.3568987658483946E-52</c:v>
                </c:pt>
                <c:pt idx="82">
                  <c:v>1.8788946948314167E-52</c:v>
                </c:pt>
                <c:pt idx="83">
                  <c:v>4.2243484971870445E-53</c:v>
                </c:pt>
                <c:pt idx="84">
                  <c:v>9.4976691747417665E-54</c:v>
                </c:pt>
                <c:pt idx="85">
                  <c:v>2.1353759002816269E-54</c:v>
                </c:pt>
                <c:pt idx="86">
                  <c:v>4.8009992258204941E-55</c:v>
                </c:pt>
                <c:pt idx="87">
                  <c:v>1.0794162078578161E-55</c:v>
                </c:pt>
                <c:pt idx="88">
                  <c:v>2.4268684392195985E-56</c:v>
                </c:pt>
                <c:pt idx="89">
                  <c:v>5.4563664862590019E-57</c:v>
                </c:pt>
                <c:pt idx="90">
                  <c:v>1.2267634599073384E-57</c:v>
                </c:pt>
                <c:pt idx="91">
                  <c:v>2.7581515837579547E-58</c:v>
                </c:pt>
                <c:pt idx="92">
                  <c:v>6.2011955911701934E-59</c:v>
                </c:pt>
                <c:pt idx="93">
                  <c:v>1.3942245591721765E-59</c:v>
                </c:pt>
                <c:pt idx="94">
                  <c:v>3.1346570073788539E-60</c:v>
                </c:pt>
                <c:pt idx="95">
                  <c:v>7.0476986574842716E-61</c:v>
                </c:pt>
                <c:pt idx="96">
                  <c:v>1.5845451751111637E-61</c:v>
                </c:pt>
                <c:pt idx="97">
                  <c:v>3.5625578419157882E-62</c:v>
                </c:pt>
                <c:pt idx="98">
                  <c:v>8.0097548346046018E-63</c:v>
                </c:pt>
                <c:pt idx="99">
                  <c:v>1.8008457787164348E-63</c:v>
                </c:pt>
                <c:pt idx="100">
                  <c:v>4.0488698913852513E-64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65B-480B-82AA-72D93FB77E1E}"/>
            </c:ext>
          </c:extLst>
        </c:ser>
        <c:ser>
          <c:idx val="2"/>
          <c:order val="2"/>
          <c:tx>
            <c:v>ie; para Ur = 4,25 [V/c]</c:v>
          </c:tx>
          <c:spPr>
            <a:ln w="190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'Curva de carga Li'!$V$9:$V$109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Li'!$Y$9:$Y$109</c:f>
              <c:numCache>
                <c:formatCode>#,##0.0</c:formatCode>
                <c:ptCount val="101"/>
                <c:pt idx="0">
                  <c:v>30.399999999999828</c:v>
                </c:pt>
                <c:pt idx="1">
                  <c:v>5.4516434344619125</c:v>
                </c:pt>
                <c:pt idx="2">
                  <c:v>0.97764526764841586</c:v>
                </c:pt>
                <c:pt idx="3">
                  <c:v>0.17532149357264065</c:v>
                </c:pt>
                <c:pt idx="4">
                  <c:v>3.1440469386689089E-2</c:v>
                </c:pt>
                <c:pt idx="5">
                  <c:v>5.6382312009324058E-3</c:v>
                </c:pt>
                <c:pt idx="6">
                  <c:v>1.0111061219915019E-3</c:v>
                </c:pt>
                <c:pt idx="7">
                  <c:v>1.8132204116773825E-4</c:v>
                </c:pt>
                <c:pt idx="8">
                  <c:v>3.2516549843925631E-5</c:v>
                </c:pt>
                <c:pt idx="9">
                  <c:v>5.8312051140786698E-6</c:v>
                </c:pt>
                <c:pt idx="10">
                  <c:v>1.0457122064199954E-6</c:v>
                </c:pt>
                <c:pt idx="11">
                  <c:v>1.8752796330481167E-7</c:v>
                </c:pt>
                <c:pt idx="12">
                  <c:v>3.3629460195023014E-8</c:v>
                </c:pt>
                <c:pt idx="13">
                  <c:v>6.030783745943958E-9</c:v>
                </c:pt>
                <c:pt idx="14">
                  <c:v>1.0815027175406301E-9</c:v>
                </c:pt>
                <c:pt idx="15">
                  <c:v>1.9394628912609015E-10</c:v>
                </c:pt>
                <c:pt idx="16">
                  <c:v>3.4780460978700865E-11</c:v>
                </c:pt>
                <c:pt idx="17">
                  <c:v>6.2371931494109943E-12</c:v>
                </c:pt>
                <c:pt idx="18">
                  <c:v>1.118518193501889E-12</c:v>
                </c:pt>
                <c:pt idx="19">
                  <c:v>2.0058428835298617E-13</c:v>
                </c:pt>
                <c:pt idx="20">
                  <c:v>3.5970855876834908E-14</c:v>
                </c:pt>
                <c:pt idx="21">
                  <c:v>6.4506671142409337E-15</c:v>
                </c:pt>
                <c:pt idx="22">
                  <c:v>1.1568005599095724E-15</c:v>
                </c:pt>
                <c:pt idx="23">
                  <c:v>2.0744947952016238E-16</c:v>
                </c:pt>
                <c:pt idx="24">
                  <c:v>3.7201993191073804E-17</c:v>
                </c:pt>
                <c:pt idx="25">
                  <c:v>6.671447431875525E-18</c:v>
                </c:pt>
                <c:pt idx="26">
                  <c:v>1.1963931773138829E-18</c:v>
                </c:pt>
                <c:pt idx="27">
                  <c:v>2.1454963849139027E-19</c:v>
                </c:pt>
                <c:pt idx="28">
                  <c:v>3.847526736999258E-20</c:v>
                </c:pt>
                <c:pt idx="29">
                  <c:v>6.8997841693022993E-21</c:v>
                </c:pt>
                <c:pt idx="30">
                  <c:v>1.2373408903217491E-21</c:v>
                </c:pt>
                <c:pt idx="31">
                  <c:v>2.2189280726690382E-22</c:v>
                </c:pt>
                <c:pt idx="32">
                  <c:v>3.9792120588517771E-23</c:v>
                </c:pt>
                <c:pt idx="33">
                  <c:v>7.1359359522931394E-24</c:v>
                </c:pt>
                <c:pt idx="34">
                  <c:v>1.2796900783901202E-24</c:v>
                </c:pt>
                <c:pt idx="35">
                  <c:v>2.2948730309215976E-25</c:v>
                </c:pt>
                <c:pt idx="36">
                  <c:v>4.1154044381405797E-26</c:v>
                </c:pt>
                <c:pt idx="37">
                  <c:v>7.3801702583371233E-27</c:v>
                </c:pt>
                <c:pt idx="38">
                  <c:v>1.3234887083577019E-27</c:v>
                </c:pt>
                <c:pt idx="39">
                  <c:v>2.3734172787838334E-28</c:v>
                </c:pt>
                <c:pt idx="40">
                  <c:v>4.2562581332632753E-29</c:v>
                </c:pt>
                <c:pt idx="41">
                  <c:v>7.6327637195987542E-30</c:v>
                </c:pt>
                <c:pt idx="42">
                  <c:v>1.3687863887746605E-30</c:v>
                </c:pt>
                <c:pt idx="43">
                  <c:v>2.4546497794553353E-31</c:v>
                </c:pt>
                <c:pt idx="44">
                  <c:v>4.4019326822602222E-32</c:v>
                </c:pt>
                <c:pt idx="45">
                  <c:v>7.8940024362459305E-33</c:v>
                </c:pt>
                <c:pt idx="46">
                  <c:v>1.4156344260916618E-33</c:v>
                </c:pt>
                <c:pt idx="47">
                  <c:v>2.5386625409871661E-34</c:v>
                </c:pt>
                <c:pt idx="48">
                  <c:v>4.5525930835154922E-35</c:v>
                </c:pt>
                <c:pt idx="49">
                  <c:v>8.1641823005013076E-36</c:v>
                </c:pt>
                <c:pt idx="50">
                  <c:v>1.4640858827723287E-36</c:v>
                </c:pt>
                <c:pt idx="51">
                  <c:v>2.6255507204947858E-37</c:v>
                </c:pt>
                <c:pt idx="52">
                  <c:v>4.7084099826421578E-38</c:v>
                </c:pt>
                <c:pt idx="53">
                  <c:v>8.4436093317848943E-39</c:v>
                </c:pt>
                <c:pt idx="54">
                  <c:v>1.5141956373942934E-39</c:v>
                </c:pt>
                <c:pt idx="55">
                  <c:v>2.7154127319380253E-40</c:v>
                </c:pt>
                <c:pt idx="56">
                  <c:v>4.8695598657645517E-41</c:v>
                </c:pt>
                <c:pt idx="57">
                  <c:v>8.7326000233272905E-42</c:v>
                </c:pt>
                <c:pt idx="58">
                  <c:v>1.5660204468077269E-42</c:v>
                </c:pt>
                <c:pt idx="59">
                  <c:v>2.8083503575895871E-43</c:v>
                </c:pt>
                <c:pt idx="60">
                  <c:v>5.0362252594152218E-44</c:v>
                </c:pt>
                <c:pt idx="61">
                  <c:v>9.031481700645483E-45</c:v>
                </c:pt>
                <c:pt idx="62">
                  <c:v>1.619619010420645E-45</c:v>
                </c:pt>
                <c:pt idx="63">
                  <c:v>2.9044688633188474E-46</c:v>
                </c:pt>
                <c:pt idx="64">
                  <c:v>5.2085949372735175E-47</c:v>
                </c:pt>
                <c:pt idx="65">
                  <c:v>9.3405928922889328E-48</c:v>
                </c:pt>
                <c:pt idx="66">
                  <c:v>1.6750520366851996E-48</c:v>
                </c:pt>
                <c:pt idx="67">
                  <c:v>3.0038771178213176E-49</c:v>
                </c:pt>
                <c:pt idx="68">
                  <c:v>5.386864133980662E-50</c:v>
                </c:pt>
                <c:pt idx="69">
                  <c:v>9.6602837132745018E-51</c:v>
                </c:pt>
                <c:pt idx="70">
                  <c:v>1.7323823118589834E-51</c:v>
                </c:pt>
                <c:pt idx="71">
                  <c:v>3.1066877159288992E-52</c:v>
                </c:pt>
                <c:pt idx="72">
                  <c:v>5.5712347662721306E-53</c:v>
                </c:pt>
                <c:pt idx="73">
                  <c:v>9.9909162616427247E-54</c:v>
                </c:pt>
                <c:pt idx="74">
                  <c:v>1.7916747711198734E-54</c:v>
                </c:pt>
                <c:pt idx="75">
                  <c:v>3.2130171061403221E-55</c:v>
                </c:pt>
                <c:pt idx="76">
                  <c:v>5.7619156616787749E-56</c:v>
                </c:pt>
                <c:pt idx="77">
                  <c:v>1.0332865028590409E-56</c:v>
                </c:pt>
                <c:pt idx="78">
                  <c:v>1.8529965721150289E-57</c:v>
                </c:pt>
                <c:pt idx="79">
                  <c:v>3.3229857225169355E-58</c:v>
                </c:pt>
                <c:pt idx="80">
                  <c:v>5.9591227950558839E-59</c:v>
                </c:pt>
                <c:pt idx="81">
                  <c:v>1.0686517322637907E-59</c:v>
                </c:pt>
                <c:pt idx="82">
                  <c:v>1.9164171710270833E-60</c:v>
                </c:pt>
                <c:pt idx="83">
                  <c:v>3.4367181210921158E-61</c:v>
                </c:pt>
                <c:pt idx="84">
                  <c:v>6.1630795332065364E-62</c:v>
                </c:pt>
                <c:pt idx="85">
                  <c:v>1.1052273708313328E-62</c:v>
                </c:pt>
                <c:pt idx="86">
                  <c:v>1.9820084012434735E-63</c:v>
                </c:pt>
                <c:pt idx="87">
                  <c:v>3.5543431209498361E-64</c:v>
                </c:pt>
                <c:pt idx="88">
                  <c:v>6.3740168878785469E-65</c:v>
                </c:pt>
                <c:pt idx="89">
                  <c:v>1.143054845985295E-65</c:v>
                </c:pt>
                <c:pt idx="90">
                  <c:v>2.0498445547189811E-66</c:v>
                </c:pt>
                <c:pt idx="91">
                  <c:v>3.6759939501320425E-67</c:v>
                </c:pt>
                <c:pt idx="92">
                  <c:v>6.5921737774206572E-68</c:v>
                </c:pt>
                <c:pt idx="93">
                  <c:v>1.1821770030430218E-68</c:v>
                </c:pt>
                <c:pt idx="94">
                  <c:v>2.1200024661221876E-69</c:v>
                </c:pt>
                <c:pt idx="95">
                  <c:v>3.8018083965389031E-70</c:v>
                </c:pt>
                <c:pt idx="96">
                  <c:v>6.8177972973925042E-71</c:v>
                </c:pt>
                <c:pt idx="97">
                  <c:v>1.2226381537441293E-71</c:v>
                </c:pt>
                <c:pt idx="98">
                  <c:v>2.1925615998624736E-72</c:v>
                </c:pt>
                <c:pt idx="99">
                  <c:v>3.9319289639946537E-73</c:v>
                </c:pt>
                <c:pt idx="100">
                  <c:v>7.0511430004382931E-74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65B-480B-82AA-72D93FB77E1E}"/>
            </c:ext>
          </c:extLst>
        </c:ser>
        <c:ser>
          <c:idx val="3"/>
          <c:order val="3"/>
          <c:tx>
            <c:v>Idn = 8,00 [A]</c:v>
          </c:tx>
          <c:spPr>
            <a:ln w="1905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'Curva de carga Li'!$V$9:$V$109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Li'!$Z$9:$Z$109</c:f>
              <c:numCache>
                <c:formatCode>#,##0.0</c:formatCode>
                <c:ptCount val="101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65B-480B-82AA-72D93FB77E1E}"/>
            </c:ext>
          </c:extLst>
        </c:ser>
        <c:ser>
          <c:idx val="4"/>
          <c:order val="4"/>
          <c:tx>
            <c:v>ir = ie+iE; para Ur = 4,15 [V/c]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'Curva de carga Li'!$V$9:$V$109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Li'!$AA$9:$AA$109</c:f>
              <c:numCache>
                <c:formatCode>0.00</c:formatCode>
                <c:ptCount val="101"/>
                <c:pt idx="0" formatCode="#,##0.0">
                  <c:v>22.399999999999899</c:v>
                </c:pt>
                <c:pt idx="1">
                  <c:v>4.6849092096573317</c:v>
                </c:pt>
                <c:pt idx="2">
                  <c:v>3.6407850014219352</c:v>
                </c:pt>
                <c:pt idx="3">
                  <c:v>0.3722396712480508</c:v>
                </c:pt>
                <c:pt idx="4">
                  <c:v>0.10492606704597396</c:v>
                </c:pt>
                <c:pt idx="5">
                  <c:v>2.9576319764153695E-2</c:v>
                </c:pt>
                <c:pt idx="6">
                  <c:v>8.3369053603066321E-3</c:v>
                </c:pt>
                <c:pt idx="7">
                  <c:v>2.349987812579518E-3</c:v>
                </c:pt>
                <c:pt idx="8">
                  <c:v>6.6240918909499301E-4</c:v>
                </c:pt>
                <c:pt idx="9">
                  <c:v>1.8671838698155089E-4</c:v>
                </c:pt>
                <c:pt idx="10">
                  <c:v>5.2631751812359748E-5</c:v>
                </c:pt>
                <c:pt idx="11">
                  <c:v>1.4835717806101689E-5</c:v>
                </c:pt>
                <c:pt idx="12">
                  <c:v>4.1818582004656493E-6</c:v>
                </c:pt>
                <c:pt idx="13">
                  <c:v>1.1787726221050093E-6</c:v>
                </c:pt>
                <c:pt idx="14">
                  <c:v>3.3226973209880335E-7</c:v>
                </c:pt>
                <c:pt idx="15">
                  <c:v>9.3659430211446002E-8</c:v>
                </c:pt>
                <c:pt idx="16">
                  <c:v>2.6400505855524608E-8</c:v>
                </c:pt>
                <c:pt idx="17">
                  <c:v>7.4417139117599552E-9</c:v>
                </c:pt>
                <c:pt idx="18">
                  <c:v>2.0976553827267687E-9</c:v>
                </c:pt>
                <c:pt idx="19">
                  <c:v>5.9128072808315761E-10</c:v>
                </c:pt>
                <c:pt idx="20">
                  <c:v>1.6666853082843606E-10</c:v>
                </c:pt>
                <c:pt idx="21">
                  <c:v>4.6980937658721339E-11</c:v>
                </c:pt>
                <c:pt idx="22">
                  <c:v>1.3241259940362688E-11</c:v>
                </c:pt>
                <c:pt idx="23">
                  <c:v>3.7340501061559402E-12</c:v>
                </c:pt>
                <c:pt idx="24">
                  <c:v>1.052861501686193E-12</c:v>
                </c:pt>
                <c:pt idx="25">
                  <c:v>2.9605947323337481E-13</c:v>
                </c:pt>
                <c:pt idx="26">
                  <c:v>8.3266726846886665E-14</c:v>
                </c:pt>
                <c:pt idx="27">
                  <c:v>2.4054832200211705E-14</c:v>
                </c:pt>
                <c:pt idx="28">
                  <c:v>5.551115123125778E-15</c:v>
                </c:pt>
                <c:pt idx="29">
                  <c:v>3.7007434154172124E-15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65B-480B-82AA-72D93FB77E1E}"/>
            </c:ext>
          </c:extLst>
        </c:ser>
        <c:ser>
          <c:idx val="5"/>
          <c:order val="5"/>
          <c:tx>
            <c:v>ir = ie+iE, para Ur = Ufl = 4,20 [V/c]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'Curva de carga Li'!$V$9:$V$109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Li'!$AB$9:$AB$109</c:f>
              <c:numCache>
                <c:formatCode>0.00</c:formatCode>
                <c:ptCount val="101"/>
                <c:pt idx="0" formatCode="#,##0.0">
                  <c:v>26.399999999999864</c:v>
                </c:pt>
                <c:pt idx="1">
                  <c:v>4.73579460877336</c:v>
                </c:pt>
                <c:pt idx="2">
                  <c:v>3.7992935022796384</c:v>
                </c:pt>
                <c:pt idx="3">
                  <c:v>0.23939080033269686</c:v>
                </c:pt>
                <c:pt idx="4">
                  <c:v>5.3822610197777163E-2</c:v>
                </c:pt>
                <c:pt idx="5">
                  <c:v>1.2101022113112729E-2</c:v>
                </c:pt>
                <c:pt idx="6">
                  <c:v>2.7206918364608449E-3</c:v>
                </c:pt>
                <c:pt idx="7">
                  <c:v>6.1169742520868621E-4</c:v>
                </c:pt>
                <c:pt idx="8">
                  <c:v>1.3752889430063156E-4</c:v>
                </c:pt>
                <c:pt idx="9">
                  <c:v>3.0920837638485418E-5</c:v>
                </c:pt>
                <c:pt idx="10">
                  <c:v>6.9519805634410344E-6</c:v>
                </c:pt>
                <c:pt idx="11">
                  <c:v>1.5630247263143119E-6</c:v>
                </c:pt>
                <c:pt idx="12">
                  <c:v>3.5141730821604765E-7</c:v>
                </c:pt>
                <c:pt idx="13">
                  <c:v>7.9009706184981047E-8</c:v>
                </c:pt>
                <c:pt idx="14">
                  <c:v>1.776387555570597E-8</c:v>
                </c:pt>
                <c:pt idx="15">
                  <c:v>3.9938811517241027E-9</c:v>
                </c:pt>
                <c:pt idx="16">
                  <c:v>8.9795023268853353E-10</c:v>
                </c:pt>
                <c:pt idx="17">
                  <c:v>2.0188665554125369E-10</c:v>
                </c:pt>
                <c:pt idx="18">
                  <c:v>4.5391468361799486E-11</c:v>
                </c:pt>
                <c:pt idx="19">
                  <c:v>1.0204799968012888E-11</c:v>
                </c:pt>
                <c:pt idx="20">
                  <c:v>2.294460917558655E-12</c:v>
                </c:pt>
                <c:pt idx="21">
                  <c:v>5.162537064506992E-13</c:v>
                </c:pt>
                <c:pt idx="22">
                  <c:v>1.1472304587793273E-13</c:v>
                </c:pt>
                <c:pt idx="23">
                  <c:v>2.7755575615628888E-14</c:v>
                </c:pt>
                <c:pt idx="24">
                  <c:v>5.5511151231257985E-15</c:v>
                </c:pt>
                <c:pt idx="25">
                  <c:v>0</c:v>
                </c:pt>
                <c:pt idx="26">
                  <c:v>1.8503717077085924E-15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65B-480B-82AA-72D93FB77E1E}"/>
            </c:ext>
          </c:extLst>
        </c:ser>
        <c:ser>
          <c:idx val="6"/>
          <c:order val="6"/>
          <c:tx>
            <c:v>ir = ie+iE; para Ur = 4,25 [V/c]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'Curva de carga Li'!$V$9:$V$109</c:f>
              <c:numCache>
                <c:formatCode>0.00</c:formatCode>
                <c:ptCount val="101"/>
                <c:pt idx="0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2.4000000000000004</c:v>
                </c:pt>
                <c:pt idx="6">
                  <c:v>2.88</c:v>
                </c:pt>
                <c:pt idx="7">
                  <c:v>3.3600000000000003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</c:v>
                </c:pt>
                <c:pt idx="12">
                  <c:v>5.76</c:v>
                </c:pt>
                <c:pt idx="13">
                  <c:v>6.24</c:v>
                </c:pt>
                <c:pt idx="14">
                  <c:v>6.7200000000000006</c:v>
                </c:pt>
                <c:pt idx="15">
                  <c:v>7.1999999999999993</c:v>
                </c:pt>
                <c:pt idx="16">
                  <c:v>7.68</c:v>
                </c:pt>
                <c:pt idx="17">
                  <c:v>8.16</c:v>
                </c:pt>
                <c:pt idx="18">
                  <c:v>8.64</c:v>
                </c:pt>
                <c:pt idx="19">
                  <c:v>9.120000000000001</c:v>
                </c:pt>
                <c:pt idx="20">
                  <c:v>9.6000000000000014</c:v>
                </c:pt>
                <c:pt idx="21">
                  <c:v>10.08</c:v>
                </c:pt>
                <c:pt idx="22">
                  <c:v>10.56</c:v>
                </c:pt>
                <c:pt idx="23">
                  <c:v>11.040000000000001</c:v>
                </c:pt>
                <c:pt idx="24">
                  <c:v>11.52</c:v>
                </c:pt>
                <c:pt idx="25">
                  <c:v>12</c:v>
                </c:pt>
                <c:pt idx="26">
                  <c:v>12.48</c:v>
                </c:pt>
                <c:pt idx="27">
                  <c:v>12.96</c:v>
                </c:pt>
                <c:pt idx="28">
                  <c:v>13.440000000000001</c:v>
                </c:pt>
                <c:pt idx="29">
                  <c:v>13.919999999999998</c:v>
                </c:pt>
                <c:pt idx="30">
                  <c:v>14.399999999999999</c:v>
                </c:pt>
                <c:pt idx="31">
                  <c:v>14.879999999999999</c:v>
                </c:pt>
                <c:pt idx="32">
                  <c:v>15.36</c:v>
                </c:pt>
                <c:pt idx="33">
                  <c:v>15.84</c:v>
                </c:pt>
                <c:pt idx="34">
                  <c:v>16.32</c:v>
                </c:pt>
                <c:pt idx="35">
                  <c:v>16.799999999999997</c:v>
                </c:pt>
                <c:pt idx="36">
                  <c:v>17.28</c:v>
                </c:pt>
                <c:pt idx="37">
                  <c:v>17.759999999999998</c:v>
                </c:pt>
                <c:pt idx="38">
                  <c:v>18.240000000000002</c:v>
                </c:pt>
                <c:pt idx="39">
                  <c:v>18.72</c:v>
                </c:pt>
                <c:pt idx="40">
                  <c:v>19.200000000000003</c:v>
                </c:pt>
                <c:pt idx="41">
                  <c:v>19.68</c:v>
                </c:pt>
                <c:pt idx="42">
                  <c:v>20.16</c:v>
                </c:pt>
                <c:pt idx="43">
                  <c:v>20.64</c:v>
                </c:pt>
                <c:pt idx="44">
                  <c:v>21.12</c:v>
                </c:pt>
                <c:pt idx="45">
                  <c:v>21.6</c:v>
                </c:pt>
                <c:pt idx="46">
                  <c:v>22.080000000000002</c:v>
                </c:pt>
                <c:pt idx="47">
                  <c:v>22.56</c:v>
                </c:pt>
                <c:pt idx="48">
                  <c:v>23.04</c:v>
                </c:pt>
                <c:pt idx="49">
                  <c:v>23.52</c:v>
                </c:pt>
                <c:pt idx="50">
                  <c:v>24</c:v>
                </c:pt>
                <c:pt idx="51">
                  <c:v>24.48</c:v>
                </c:pt>
                <c:pt idx="52">
                  <c:v>24.96</c:v>
                </c:pt>
                <c:pt idx="53">
                  <c:v>25.44</c:v>
                </c:pt>
                <c:pt idx="54">
                  <c:v>25.92</c:v>
                </c:pt>
                <c:pt idx="55">
                  <c:v>26.400000000000002</c:v>
                </c:pt>
                <c:pt idx="56">
                  <c:v>26.880000000000003</c:v>
                </c:pt>
                <c:pt idx="57">
                  <c:v>27.36</c:v>
                </c:pt>
                <c:pt idx="58">
                  <c:v>27.839999999999996</c:v>
                </c:pt>
                <c:pt idx="59">
                  <c:v>28.32</c:v>
                </c:pt>
                <c:pt idx="60">
                  <c:v>28.799999999999997</c:v>
                </c:pt>
                <c:pt idx="61">
                  <c:v>29.28</c:v>
                </c:pt>
                <c:pt idx="62">
                  <c:v>29.759999999999998</c:v>
                </c:pt>
                <c:pt idx="63">
                  <c:v>30.240000000000002</c:v>
                </c:pt>
                <c:pt idx="64">
                  <c:v>30.72</c:v>
                </c:pt>
                <c:pt idx="65">
                  <c:v>31.200000000000003</c:v>
                </c:pt>
                <c:pt idx="66">
                  <c:v>31.68</c:v>
                </c:pt>
                <c:pt idx="67">
                  <c:v>32.160000000000004</c:v>
                </c:pt>
                <c:pt idx="68">
                  <c:v>32.64</c:v>
                </c:pt>
                <c:pt idx="69">
                  <c:v>33.119999999999997</c:v>
                </c:pt>
                <c:pt idx="70">
                  <c:v>33.599999999999994</c:v>
                </c:pt>
                <c:pt idx="71">
                  <c:v>34.08</c:v>
                </c:pt>
                <c:pt idx="72">
                  <c:v>34.56</c:v>
                </c:pt>
                <c:pt idx="73">
                  <c:v>35.04</c:v>
                </c:pt>
                <c:pt idx="74">
                  <c:v>35.519999999999996</c:v>
                </c:pt>
                <c:pt idx="75">
                  <c:v>36</c:v>
                </c:pt>
                <c:pt idx="76">
                  <c:v>36.480000000000004</c:v>
                </c:pt>
                <c:pt idx="77">
                  <c:v>36.96</c:v>
                </c:pt>
                <c:pt idx="78">
                  <c:v>37.44</c:v>
                </c:pt>
                <c:pt idx="79">
                  <c:v>37.92</c:v>
                </c:pt>
                <c:pt idx="80">
                  <c:v>38.400000000000006</c:v>
                </c:pt>
                <c:pt idx="81">
                  <c:v>38.880000000000003</c:v>
                </c:pt>
                <c:pt idx="82">
                  <c:v>39.36</c:v>
                </c:pt>
                <c:pt idx="83">
                  <c:v>39.839999999999996</c:v>
                </c:pt>
                <c:pt idx="84">
                  <c:v>40.32</c:v>
                </c:pt>
                <c:pt idx="85">
                  <c:v>40.799999999999997</c:v>
                </c:pt>
                <c:pt idx="86">
                  <c:v>41.28</c:v>
                </c:pt>
                <c:pt idx="87">
                  <c:v>41.76</c:v>
                </c:pt>
                <c:pt idx="88">
                  <c:v>42.24</c:v>
                </c:pt>
                <c:pt idx="89">
                  <c:v>42.72</c:v>
                </c:pt>
                <c:pt idx="90">
                  <c:v>43.2</c:v>
                </c:pt>
                <c:pt idx="91">
                  <c:v>43.68</c:v>
                </c:pt>
                <c:pt idx="92">
                  <c:v>44.160000000000004</c:v>
                </c:pt>
                <c:pt idx="93">
                  <c:v>44.64</c:v>
                </c:pt>
                <c:pt idx="94">
                  <c:v>45.12</c:v>
                </c:pt>
                <c:pt idx="95">
                  <c:v>45.599999999999994</c:v>
                </c:pt>
                <c:pt idx="96">
                  <c:v>46.08</c:v>
                </c:pt>
                <c:pt idx="97">
                  <c:v>46.56</c:v>
                </c:pt>
                <c:pt idx="98">
                  <c:v>47.04</c:v>
                </c:pt>
                <c:pt idx="99">
                  <c:v>47.519999999999996</c:v>
                </c:pt>
                <c:pt idx="100">
                  <c:v>48</c:v>
                </c:pt>
              </c:numCache>
            </c:numRef>
          </c:xVal>
          <c:yVal>
            <c:numRef>
              <c:f>'Curva de carga Li'!$AC$9:$AC$109</c:f>
              <c:numCache>
                <c:formatCode>0.00</c:formatCode>
                <c:ptCount val="101"/>
                <c:pt idx="0" formatCode="#,##0.0">
                  <c:v>30.399999999999828</c:v>
                </c:pt>
                <c:pt idx="1">
                  <c:v>4.6736461549827526</c:v>
                </c:pt>
                <c:pt idx="2">
                  <c:v>3.9869879149935952</c:v>
                </c:pt>
                <c:pt idx="3">
                  <c:v>0.15030158046323017</c:v>
                </c:pt>
                <c:pt idx="4">
                  <c:v>2.6953638957945746E-2</c:v>
                </c:pt>
                <c:pt idx="5">
                  <c:v>4.8336062124990972E-3</c:v>
                </c:pt>
                <c:pt idx="6">
                  <c:v>8.6681242016939473E-4</c:v>
                </c:pt>
                <c:pt idx="7">
                  <c:v>1.5544579734701642E-4</c:v>
                </c:pt>
                <c:pt idx="8">
                  <c:v>2.7876153306053818E-5</c:v>
                </c:pt>
                <c:pt idx="9">
                  <c:v>4.9990410570336696E-6</c:v>
                </c:pt>
                <c:pt idx="10">
                  <c:v>8.9647991252661456E-7</c:v>
                </c:pt>
                <c:pt idx="11">
                  <c:v>1.6076608192842453E-7</c:v>
                </c:pt>
                <c:pt idx="12">
                  <c:v>2.8830241897518769E-8</c:v>
                </c:pt>
                <c:pt idx="13">
                  <c:v>5.1701365411105321E-9</c:v>
                </c:pt>
                <c:pt idx="14">
                  <c:v>9.2716390120983678E-10</c:v>
                </c:pt>
                <c:pt idx="15">
                  <c:v>1.6626700016786391E-10</c:v>
                </c:pt>
                <c:pt idx="16">
                  <c:v>2.9816889698016264E-11</c:v>
                </c:pt>
                <c:pt idx="17">
                  <c:v>5.3475742352778322E-12</c:v>
                </c:pt>
                <c:pt idx="18">
                  <c:v>9.5849254459305087E-13</c:v>
                </c:pt>
                <c:pt idx="19">
                  <c:v>1.7393494052460771E-13</c:v>
                </c:pt>
                <c:pt idx="20">
                  <c:v>2.9605947323337478E-14</c:v>
                </c:pt>
                <c:pt idx="21">
                  <c:v>5.5511151231257985E-15</c:v>
                </c:pt>
                <c:pt idx="22">
                  <c:v>1.8503717077085924E-15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65B-480B-82AA-72D93FB77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34112"/>
        <c:axId val="131048576"/>
        <c:extLst/>
      </c:scatterChart>
      <c:valAx>
        <c:axId val="131034112"/>
        <c:scaling>
          <c:orientation val="minMax"/>
          <c:max val="3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100" baseline="0"/>
                  <a:t>Tiempo de recarga t [h]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31048576"/>
        <c:crosses val="autoZero"/>
        <c:crossBetween val="midCat"/>
        <c:majorUnit val="0.2"/>
        <c:minorUnit val="1.0000000000000005E-2"/>
      </c:valAx>
      <c:valAx>
        <c:axId val="131048576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100"/>
                  <a:t>Corriente de recarga I</a:t>
                </a:r>
                <a:r>
                  <a:rPr lang="es-ES" sz="1100" baseline="-25000"/>
                  <a:t>r</a:t>
                </a:r>
                <a:r>
                  <a:rPr lang="es-ES" sz="1100"/>
                  <a:t> [A]</a:t>
                </a:r>
              </a:p>
            </c:rich>
          </c:tx>
          <c:layout>
            <c:manualLayout>
              <c:xMode val="edge"/>
              <c:yMode val="edge"/>
              <c:x val="2.2087354529386514E-2"/>
              <c:y val="0.269216877781581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1034112"/>
        <c:crosses val="autoZero"/>
        <c:crossBetween val="midCat"/>
        <c:majorUnit val="1"/>
        <c:minorUnit val="0.1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52563932580155892"/>
          <c:y val="0.34384510743304902"/>
          <c:w val="0.4173313517488928"/>
          <c:h val="0.33681926102935872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544" l="0.70000000000000062" r="0.70000000000000062" t="0.75000000000000544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12" Type="http://schemas.openxmlformats.org/officeDocument/2006/relationships/image" Target="../media/image16.emf"/><Relationship Id="rId17" Type="http://schemas.openxmlformats.org/officeDocument/2006/relationships/image" Target="../media/image21.emf"/><Relationship Id="rId2" Type="http://schemas.openxmlformats.org/officeDocument/2006/relationships/image" Target="../media/image6.emf"/><Relationship Id="rId16" Type="http://schemas.openxmlformats.org/officeDocument/2006/relationships/image" Target="../media/image20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11" Type="http://schemas.openxmlformats.org/officeDocument/2006/relationships/image" Target="../media/image15.emf"/><Relationship Id="rId5" Type="http://schemas.openxmlformats.org/officeDocument/2006/relationships/image" Target="../media/image9.emf"/><Relationship Id="rId15" Type="http://schemas.openxmlformats.org/officeDocument/2006/relationships/image" Target="../media/image19.emf"/><Relationship Id="rId10" Type="http://schemas.openxmlformats.org/officeDocument/2006/relationships/image" Target="../media/image14.emf"/><Relationship Id="rId4" Type="http://schemas.openxmlformats.org/officeDocument/2006/relationships/image" Target="../media/image8.emf"/><Relationship Id="rId9" Type="http://schemas.openxmlformats.org/officeDocument/2006/relationships/image" Target="../media/image13.emf"/><Relationship Id="rId14" Type="http://schemas.openxmlformats.org/officeDocument/2006/relationships/image" Target="../media/image18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5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2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35.emf"/><Relationship Id="rId3" Type="http://schemas.openxmlformats.org/officeDocument/2006/relationships/image" Target="../media/image31.emf"/><Relationship Id="rId7" Type="http://schemas.openxmlformats.org/officeDocument/2006/relationships/image" Target="../media/image11.emf"/><Relationship Id="rId12" Type="http://schemas.openxmlformats.org/officeDocument/2006/relationships/image" Target="../media/image34.emf"/><Relationship Id="rId2" Type="http://schemas.openxmlformats.org/officeDocument/2006/relationships/image" Target="../media/image30.emf"/><Relationship Id="rId16" Type="http://schemas.openxmlformats.org/officeDocument/2006/relationships/image" Target="../media/image38.emf"/><Relationship Id="rId1" Type="http://schemas.openxmlformats.org/officeDocument/2006/relationships/image" Target="../media/image29.emf"/><Relationship Id="rId6" Type="http://schemas.openxmlformats.org/officeDocument/2006/relationships/image" Target="../media/image10.emf"/><Relationship Id="rId11" Type="http://schemas.openxmlformats.org/officeDocument/2006/relationships/image" Target="../media/image33.emf"/><Relationship Id="rId5" Type="http://schemas.openxmlformats.org/officeDocument/2006/relationships/image" Target="../media/image9.emf"/><Relationship Id="rId15" Type="http://schemas.openxmlformats.org/officeDocument/2006/relationships/image" Target="../media/image37.emf"/><Relationship Id="rId10" Type="http://schemas.openxmlformats.org/officeDocument/2006/relationships/image" Target="../media/image32.emf"/><Relationship Id="rId4" Type="http://schemas.openxmlformats.org/officeDocument/2006/relationships/image" Target="../media/image8.emf"/><Relationship Id="rId9" Type="http://schemas.openxmlformats.org/officeDocument/2006/relationships/image" Target="../media/image13.emf"/><Relationship Id="rId14" Type="http://schemas.openxmlformats.org/officeDocument/2006/relationships/image" Target="../media/image36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3" Type="http://schemas.openxmlformats.org/officeDocument/2006/relationships/image" Target="../media/image41.emf"/><Relationship Id="rId7" Type="http://schemas.openxmlformats.org/officeDocument/2006/relationships/image" Target="../media/image45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Relationship Id="rId6" Type="http://schemas.openxmlformats.org/officeDocument/2006/relationships/image" Target="../media/image44.emf"/><Relationship Id="rId5" Type="http://schemas.openxmlformats.org/officeDocument/2006/relationships/image" Target="../media/image43.emf"/><Relationship Id="rId10" Type="http://schemas.openxmlformats.org/officeDocument/2006/relationships/image" Target="../media/image48.emf"/><Relationship Id="rId4" Type="http://schemas.openxmlformats.org/officeDocument/2006/relationships/image" Target="../media/image42.emf"/><Relationship Id="rId9" Type="http://schemas.openxmlformats.org/officeDocument/2006/relationships/image" Target="../media/image47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1.emf"/><Relationship Id="rId2" Type="http://schemas.openxmlformats.org/officeDocument/2006/relationships/image" Target="../media/image50.emf"/><Relationship Id="rId1" Type="http://schemas.openxmlformats.org/officeDocument/2006/relationships/image" Target="../media/image4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44</xdr:row>
      <xdr:rowOff>28575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8162925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CR" sz="1100"/>
        </a:p>
      </xdr:txBody>
    </xdr:sp>
    <xdr:clientData/>
  </xdr:oneCellAnchor>
  <xdr:twoCellAnchor editAs="oneCell">
    <xdr:from>
      <xdr:col>23</xdr:col>
      <xdr:colOff>276225</xdr:colOff>
      <xdr:row>0</xdr:row>
      <xdr:rowOff>133350</xdr:rowOff>
    </xdr:from>
    <xdr:to>
      <xdr:col>26</xdr:col>
      <xdr:colOff>371475</xdr:colOff>
      <xdr:row>2</xdr:row>
      <xdr:rowOff>9525</xdr:rowOff>
    </xdr:to>
    <xdr:sp macro="" textlink="">
      <xdr:nvSpPr>
        <xdr:cNvPr id="1031" name="Object 7" hidden="1">
          <a:extLst>
            <a:ext uri="{63B3BB69-23CF-44E3-9099-C40C66FF867C}">
              <a14:compatExt xmlns:a14="http://schemas.microsoft.com/office/drawing/2010/main" spid="_x0000_s1031"/>
            </a:ex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23</xdr:col>
      <xdr:colOff>409575</xdr:colOff>
      <xdr:row>2</xdr:row>
      <xdr:rowOff>142875</xdr:rowOff>
    </xdr:from>
    <xdr:to>
      <xdr:col>27</xdr:col>
      <xdr:colOff>628650</xdr:colOff>
      <xdr:row>4</xdr:row>
      <xdr:rowOff>19050</xdr:rowOff>
    </xdr:to>
    <xdr:sp macro="" textlink="">
      <xdr:nvSpPr>
        <xdr:cNvPr id="1032" name="Object 8" hidden="1">
          <a:extLst>
            <a:ext uri="{63B3BB69-23CF-44E3-9099-C40C66FF867C}">
              <a14:compatExt xmlns:a14="http://schemas.microsoft.com/office/drawing/2010/main" spid="_x0000_s1032"/>
            </a:ex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oneCellAnchor>
    <xdr:from>
      <xdr:col>22</xdr:col>
      <xdr:colOff>600075</xdr:colOff>
      <xdr:row>20</xdr:row>
      <xdr:rowOff>104775</xdr:rowOff>
    </xdr:from>
    <xdr:ext cx="2809875" cy="257175"/>
    <xdr:sp macro="" textlink="">
      <xdr:nvSpPr>
        <xdr:cNvPr id="1033" name="Object 9" hidden="1">
          <a:extLst>
            <a:ext uri="{63B3BB69-23CF-44E3-9099-C40C66FF867C}">
              <a14:compatExt xmlns:a14="http://schemas.microsoft.com/office/drawing/2010/main" spid="_x0000_s1033"/>
            </a:ex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0</xdr:row>
          <xdr:rowOff>123825</xdr:rowOff>
        </xdr:from>
        <xdr:to>
          <xdr:col>27</xdr:col>
          <xdr:colOff>114300</xdr:colOff>
          <xdr:row>6</xdr:row>
          <xdr:rowOff>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57150</xdr:colOff>
          <xdr:row>19</xdr:row>
          <xdr:rowOff>0</xdr:rowOff>
        </xdr:from>
        <xdr:to>
          <xdr:col>28</xdr:col>
          <xdr:colOff>66675</xdr:colOff>
          <xdr:row>24</xdr:row>
          <xdr:rowOff>142875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295275</xdr:colOff>
          <xdr:row>14</xdr:row>
          <xdr:rowOff>161925</xdr:rowOff>
        </xdr:from>
        <xdr:to>
          <xdr:col>61</xdr:col>
          <xdr:colOff>161925</xdr:colOff>
          <xdr:row>20</xdr:row>
          <xdr:rowOff>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A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34</xdr:row>
      <xdr:rowOff>190499</xdr:rowOff>
    </xdr:from>
    <xdr:to>
      <xdr:col>17</xdr:col>
      <xdr:colOff>0</xdr:colOff>
      <xdr:row>54</xdr:row>
      <xdr:rowOff>182706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55</xdr:row>
      <xdr:rowOff>181842</xdr:rowOff>
    </xdr:from>
    <xdr:to>
      <xdr:col>17</xdr:col>
      <xdr:colOff>866</xdr:colOff>
      <xdr:row>70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428625</xdr:colOff>
      <xdr:row>72</xdr:row>
      <xdr:rowOff>95250</xdr:rowOff>
    </xdr:from>
    <xdr:to>
      <xdr:col>17</xdr:col>
      <xdr:colOff>1</xdr:colOff>
      <xdr:row>92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93</xdr:row>
      <xdr:rowOff>9525</xdr:rowOff>
    </xdr:from>
    <xdr:to>
      <xdr:col>17</xdr:col>
      <xdr:colOff>145676</xdr:colOff>
      <xdr:row>113</xdr:row>
      <xdr:rowOff>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75</xdr:col>
      <xdr:colOff>8660</xdr:colOff>
      <xdr:row>60</xdr:row>
      <xdr:rowOff>1</xdr:rowOff>
    </xdr:from>
    <xdr:to>
      <xdr:col>88</xdr:col>
      <xdr:colOff>8660</xdr:colOff>
      <xdr:row>75</xdr:row>
      <xdr:rowOff>1</xdr:rowOff>
    </xdr:to>
    <xdr:graphicFrame macro="">
      <xdr:nvGraphicFramePr>
        <xdr:cNvPr id="6" name="6 Gráfic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75</xdr:col>
      <xdr:colOff>8660</xdr:colOff>
      <xdr:row>37</xdr:row>
      <xdr:rowOff>181839</xdr:rowOff>
    </xdr:from>
    <xdr:to>
      <xdr:col>88</xdr:col>
      <xdr:colOff>0</xdr:colOff>
      <xdr:row>58</xdr:row>
      <xdr:rowOff>0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438150</xdr:colOff>
      <xdr:row>77</xdr:row>
      <xdr:rowOff>0</xdr:rowOff>
    </xdr:from>
    <xdr:to>
      <xdr:col>88</xdr:col>
      <xdr:colOff>19050</xdr:colOff>
      <xdr:row>93</xdr:row>
      <xdr:rowOff>190499</xdr:rowOff>
    </xdr:to>
    <xdr:graphicFrame macro="">
      <xdr:nvGraphicFramePr>
        <xdr:cNvPr id="8" name="8 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74</xdr:col>
      <xdr:colOff>441614</xdr:colOff>
      <xdr:row>95</xdr:row>
      <xdr:rowOff>0</xdr:rowOff>
    </xdr:from>
    <xdr:to>
      <xdr:col>87</xdr:col>
      <xdr:colOff>424296</xdr:colOff>
      <xdr:row>111</xdr:row>
      <xdr:rowOff>173181</xdr:rowOff>
    </xdr:to>
    <xdr:graphicFrame macro="">
      <xdr:nvGraphicFramePr>
        <xdr:cNvPr id="9" name="9 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113</xdr:row>
      <xdr:rowOff>0</xdr:rowOff>
    </xdr:from>
    <xdr:to>
      <xdr:col>17</xdr:col>
      <xdr:colOff>9525</xdr:colOff>
      <xdr:row>132</xdr:row>
      <xdr:rowOff>180975</xdr:rowOff>
    </xdr:to>
    <xdr:graphicFrame macro="">
      <xdr:nvGraphicFramePr>
        <xdr:cNvPr id="10" name="10 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180975</xdr:colOff>
          <xdr:row>153</xdr:row>
          <xdr:rowOff>180975</xdr:rowOff>
        </xdr:from>
        <xdr:to>
          <xdr:col>50</xdr:col>
          <xdr:colOff>428625</xdr:colOff>
          <xdr:row>155</xdr:row>
          <xdr:rowOff>38100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B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19050</xdr:colOff>
          <xdr:row>153</xdr:row>
          <xdr:rowOff>152400</xdr:rowOff>
        </xdr:from>
        <xdr:to>
          <xdr:col>56</xdr:col>
          <xdr:colOff>438150</xdr:colOff>
          <xdr:row>155</xdr:row>
          <xdr:rowOff>66675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B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16</xdr:row>
          <xdr:rowOff>152400</xdr:rowOff>
        </xdr:from>
        <xdr:to>
          <xdr:col>13</xdr:col>
          <xdr:colOff>38100</xdr:colOff>
          <xdr:row>22</xdr:row>
          <xdr:rowOff>95250</xdr:rowOff>
        </xdr:to>
        <xdr:sp macro="" textlink="">
          <xdr:nvSpPr>
            <xdr:cNvPr id="12291" name="Object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B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</xdr:col>
          <xdr:colOff>28575</xdr:colOff>
          <xdr:row>1</xdr:row>
          <xdr:rowOff>28575</xdr:rowOff>
        </xdr:from>
        <xdr:to>
          <xdr:col>85</xdr:col>
          <xdr:colOff>190500</xdr:colOff>
          <xdr:row>6</xdr:row>
          <xdr:rowOff>161925</xdr:rowOff>
        </xdr:to>
        <xdr:sp macro="" textlink="">
          <xdr:nvSpPr>
            <xdr:cNvPr id="12292" name="Object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B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66675</xdr:colOff>
          <xdr:row>19</xdr:row>
          <xdr:rowOff>9525</xdr:rowOff>
        </xdr:from>
        <xdr:to>
          <xdr:col>87</xdr:col>
          <xdr:colOff>19050</xdr:colOff>
          <xdr:row>21</xdr:row>
          <xdr:rowOff>180975</xdr:rowOff>
        </xdr:to>
        <xdr:sp macro="" textlink="">
          <xdr:nvSpPr>
            <xdr:cNvPr id="12293" name="Object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B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381000</xdr:colOff>
          <xdr:row>11</xdr:row>
          <xdr:rowOff>66675</xdr:rowOff>
        </xdr:from>
        <xdr:to>
          <xdr:col>78</xdr:col>
          <xdr:colOff>438150</xdr:colOff>
          <xdr:row>13</xdr:row>
          <xdr:rowOff>133350</xdr:rowOff>
        </xdr:to>
        <xdr:sp macro="" textlink="">
          <xdr:nvSpPr>
            <xdr:cNvPr id="12294" name="Object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B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190500</xdr:colOff>
          <xdr:row>22</xdr:row>
          <xdr:rowOff>171450</xdr:rowOff>
        </xdr:from>
        <xdr:to>
          <xdr:col>85</xdr:col>
          <xdr:colOff>352425</xdr:colOff>
          <xdr:row>25</xdr:row>
          <xdr:rowOff>0</xdr:rowOff>
        </xdr:to>
        <xdr:sp macro="" textlink="">
          <xdr:nvSpPr>
            <xdr:cNvPr id="12295" name="Object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B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</xdr:col>
          <xdr:colOff>390525</xdr:colOff>
          <xdr:row>14</xdr:row>
          <xdr:rowOff>95250</xdr:rowOff>
        </xdr:from>
        <xdr:to>
          <xdr:col>85</xdr:col>
          <xdr:colOff>390525</xdr:colOff>
          <xdr:row>17</xdr:row>
          <xdr:rowOff>9525</xdr:rowOff>
        </xdr:to>
        <xdr:sp macro="" textlink="">
          <xdr:nvSpPr>
            <xdr:cNvPr id="12296" name="Object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B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</xdr:col>
          <xdr:colOff>419100</xdr:colOff>
          <xdr:row>26</xdr:row>
          <xdr:rowOff>28575</xdr:rowOff>
        </xdr:from>
        <xdr:to>
          <xdr:col>86</xdr:col>
          <xdr:colOff>9525</xdr:colOff>
          <xdr:row>28</xdr:row>
          <xdr:rowOff>133350</xdr:rowOff>
        </xdr:to>
        <xdr:sp macro="" textlink="">
          <xdr:nvSpPr>
            <xdr:cNvPr id="12297" name="Object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B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</xdr:col>
          <xdr:colOff>38100</xdr:colOff>
          <xdr:row>11</xdr:row>
          <xdr:rowOff>66675</xdr:rowOff>
        </xdr:from>
        <xdr:to>
          <xdr:col>85</xdr:col>
          <xdr:colOff>438150</xdr:colOff>
          <xdr:row>13</xdr:row>
          <xdr:rowOff>142875</xdr:rowOff>
        </xdr:to>
        <xdr:sp macro="" textlink="">
          <xdr:nvSpPr>
            <xdr:cNvPr id="12298" name="Object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B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428625</xdr:colOff>
          <xdr:row>7</xdr:row>
          <xdr:rowOff>142875</xdr:rowOff>
        </xdr:from>
        <xdr:to>
          <xdr:col>85</xdr:col>
          <xdr:colOff>381000</xdr:colOff>
          <xdr:row>9</xdr:row>
          <xdr:rowOff>180975</xdr:rowOff>
        </xdr:to>
        <xdr:sp macro="" textlink="">
          <xdr:nvSpPr>
            <xdr:cNvPr id="12299" name="Object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B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438150</xdr:colOff>
          <xdr:row>14</xdr:row>
          <xdr:rowOff>0</xdr:rowOff>
        </xdr:from>
        <xdr:to>
          <xdr:col>82</xdr:col>
          <xdr:colOff>76200</xdr:colOff>
          <xdr:row>16</xdr:row>
          <xdr:rowOff>180975</xdr:rowOff>
        </xdr:to>
        <xdr:sp macro="" textlink="">
          <xdr:nvSpPr>
            <xdr:cNvPr id="12300" name="Object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B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66675</xdr:colOff>
          <xdr:row>17</xdr:row>
          <xdr:rowOff>28575</xdr:rowOff>
        </xdr:from>
        <xdr:to>
          <xdr:col>79</xdr:col>
          <xdr:colOff>390525</xdr:colOff>
          <xdr:row>22</xdr:row>
          <xdr:rowOff>28575</xdr:rowOff>
        </xdr:to>
        <xdr:sp macro="" textlink="">
          <xdr:nvSpPr>
            <xdr:cNvPr id="12301" name="Object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B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190500</xdr:colOff>
          <xdr:row>0</xdr:row>
          <xdr:rowOff>133350</xdr:rowOff>
        </xdr:from>
        <xdr:to>
          <xdr:col>149</xdr:col>
          <xdr:colOff>133350</xdr:colOff>
          <xdr:row>6</xdr:row>
          <xdr:rowOff>95250</xdr:rowOff>
        </xdr:to>
        <xdr:sp macro="" textlink="">
          <xdr:nvSpPr>
            <xdr:cNvPr id="12302" name="Object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B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142</xdr:col>
          <xdr:colOff>428625</xdr:colOff>
          <xdr:row>8</xdr:row>
          <xdr:rowOff>142875</xdr:rowOff>
        </xdr:from>
        <xdr:to>
          <xdr:col>149</xdr:col>
          <xdr:colOff>333375</xdr:colOff>
          <xdr:row>13</xdr:row>
          <xdr:rowOff>47625</xdr:rowOff>
        </xdr:to>
        <xdr:sp macro="" textlink="">
          <xdr:nvSpPr>
            <xdr:cNvPr id="12303" name="Object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B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142</xdr:col>
          <xdr:colOff>428625</xdr:colOff>
          <xdr:row>13</xdr:row>
          <xdr:rowOff>142875</xdr:rowOff>
        </xdr:from>
        <xdr:to>
          <xdr:col>149</xdr:col>
          <xdr:colOff>295275</xdr:colOff>
          <xdr:row>15</xdr:row>
          <xdr:rowOff>85725</xdr:rowOff>
        </xdr:to>
        <xdr:sp macro="" textlink="">
          <xdr:nvSpPr>
            <xdr:cNvPr id="12304" name="Object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B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376232</xdr:colOff>
      <xdr:row>2</xdr:row>
      <xdr:rowOff>71435</xdr:rowOff>
    </xdr:from>
    <xdr:to>
      <xdr:col>6</xdr:col>
      <xdr:colOff>261932</xdr:colOff>
      <xdr:row>10</xdr:row>
      <xdr:rowOff>109535</xdr:rowOff>
    </xdr:to>
    <xdr:grpSp>
      <xdr:nvGrpSpPr>
        <xdr:cNvPr id="2" name="15 Grup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2967032" y="452435"/>
          <a:ext cx="1181100" cy="1562100"/>
          <a:chOff x="3300407" y="833435"/>
          <a:chExt cx="1181100" cy="1562100"/>
        </a:xfrm>
      </xdr:grpSpPr>
      <xdr:sp macro="" textlink="">
        <xdr:nvSpPr>
          <xdr:cNvPr id="3" name="23 CuadroTexto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 txBox="1"/>
        </xdr:nvSpPr>
        <xdr:spPr>
          <a:xfrm>
            <a:off x="3300407" y="833435"/>
            <a:ext cx="1181100" cy="1562100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        C  = 19 </a:t>
            </a:r>
            <a:r>
              <a:rPr lang="es-ES" sz="1100" i="1">
                <a:latin typeface="Times New Roman" panose="02020603050405020304" pitchFamily="18" charset="0"/>
                <a:cs typeface="Times New Roman" panose="02020603050405020304" pitchFamily="18" charset="0"/>
              </a:rPr>
              <a:t>mm</a:t>
            </a:r>
          </a:p>
          <a:p>
            <a:r>
              <a:rPr lang="es-ES" sz="1100"/>
              <a:t>      </a:t>
            </a:r>
          </a:p>
          <a:p>
            <a:r>
              <a:rPr lang="es-ES" sz="1100"/>
              <a:t>        D          D       </a:t>
            </a:r>
          </a:p>
          <a:p>
            <a:endParaRPr lang="es-ES" sz="1100"/>
          </a:p>
          <a:p>
            <a:endParaRPr lang="es-ES" sz="1100"/>
          </a:p>
          <a:p>
            <a:endParaRPr lang="es-ES" sz="1100"/>
          </a:p>
          <a:p>
            <a:r>
              <a:rPr lang="es-ES" sz="1100"/>
              <a:t> </a:t>
            </a:r>
          </a:p>
          <a:p>
            <a:r>
              <a:rPr lang="es-ES" sz="1100"/>
              <a:t> N          P        N</a:t>
            </a:r>
          </a:p>
        </xdr:txBody>
      </xdr:sp>
      <xdr:grpSp>
        <xdr:nvGrpSpPr>
          <xdr:cNvPr id="4" name="8 Grupo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GrpSpPr/>
        </xdr:nvGrpSpPr>
        <xdr:grpSpPr>
          <a:xfrm>
            <a:off x="3495565" y="1123947"/>
            <a:ext cx="790326" cy="794327"/>
            <a:chOff x="3495565" y="1123947"/>
            <a:chExt cx="790326" cy="794327"/>
          </a:xfrm>
        </xdr:grpSpPr>
        <xdr:grpSp>
          <xdr:nvGrpSpPr>
            <xdr:cNvPr id="14" name="4 Grupo">
              <a:extLst>
                <a:ext uri="{FF2B5EF4-FFF2-40B4-BE49-F238E27FC236}">
                  <a16:creationId xmlns:a16="http://schemas.microsoft.com/office/drawing/2014/main" id="{00000000-0008-0000-0C00-00000E000000}"/>
                </a:ext>
              </a:extLst>
            </xdr:cNvPr>
            <xdr:cNvGrpSpPr/>
          </xdr:nvGrpSpPr>
          <xdr:grpSpPr>
            <a:xfrm>
              <a:off x="3495565" y="1123947"/>
              <a:ext cx="790326" cy="789547"/>
              <a:chOff x="3500328" y="1128710"/>
              <a:chExt cx="790326" cy="789547"/>
            </a:xfrm>
          </xdr:grpSpPr>
          <xdr:sp macro="" textlink="">
            <xdr:nvSpPr>
              <xdr:cNvPr id="16" name="5 Rectángulo redondeado">
                <a:extLst>
                  <a:ext uri="{FF2B5EF4-FFF2-40B4-BE49-F238E27FC236}">
                    <a16:creationId xmlns:a16="http://schemas.microsoft.com/office/drawing/2014/main" id="{00000000-0008-0000-0C00-000010000000}"/>
                  </a:ext>
                </a:extLst>
              </xdr:cNvPr>
              <xdr:cNvSpPr/>
            </xdr:nvSpPr>
            <xdr:spPr>
              <a:xfrm>
                <a:off x="4182654" y="1128710"/>
                <a:ext cx="108000" cy="784800"/>
              </a:xfrm>
              <a:prstGeom prst="roundRect">
                <a:avLst/>
              </a:prstGeom>
              <a:solidFill>
                <a:schemeClr val="bg1">
                  <a:lumMod val="75000"/>
                </a:schemeClr>
              </a:solidFill>
              <a:ln w="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ES" sz="1100"/>
              </a:p>
            </xdr:txBody>
          </xdr:sp>
          <xdr:sp macro="" textlink="">
            <xdr:nvSpPr>
              <xdr:cNvPr id="17" name="7 Rectángulo redondeado">
                <a:extLst>
                  <a:ext uri="{FF2B5EF4-FFF2-40B4-BE49-F238E27FC236}">
                    <a16:creationId xmlns:a16="http://schemas.microsoft.com/office/drawing/2014/main" id="{00000000-0008-0000-0C00-000011000000}"/>
                  </a:ext>
                </a:extLst>
              </xdr:cNvPr>
              <xdr:cNvSpPr/>
            </xdr:nvSpPr>
            <xdr:spPr>
              <a:xfrm>
                <a:off x="3500328" y="1133457"/>
                <a:ext cx="108000" cy="784800"/>
              </a:xfrm>
              <a:prstGeom prst="roundRect">
                <a:avLst/>
              </a:prstGeom>
              <a:solidFill>
                <a:schemeClr val="bg1">
                  <a:lumMod val="75000"/>
                </a:schemeClr>
              </a:solidFill>
              <a:ln w="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ES" sz="1100"/>
              </a:p>
            </xdr:txBody>
          </xdr:sp>
        </xdr:grpSp>
        <xdr:sp macro="" textlink="">
          <xdr:nvSpPr>
            <xdr:cNvPr id="15" name="6 Rectángulo redondeado">
              <a:extLst>
                <a:ext uri="{FF2B5EF4-FFF2-40B4-BE49-F238E27FC236}">
                  <a16:creationId xmlns:a16="http://schemas.microsoft.com/office/drawing/2014/main" id="{00000000-0008-0000-0C00-00000F000000}"/>
                </a:ext>
              </a:extLst>
            </xdr:cNvPr>
            <xdr:cNvSpPr/>
          </xdr:nvSpPr>
          <xdr:spPr>
            <a:xfrm>
              <a:off x="3781417" y="1133474"/>
              <a:ext cx="216000" cy="784800"/>
            </a:xfrm>
            <a:prstGeom prst="roundRect">
              <a:avLst/>
            </a:prstGeom>
            <a:solidFill>
              <a:srgbClr val="996633"/>
            </a:solidFill>
            <a:ln w="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</xdr:grpSp>
      <xdr:grpSp>
        <xdr:nvGrpSpPr>
          <xdr:cNvPr id="5" name="11 Grupo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GrpSpPr/>
        </xdr:nvGrpSpPr>
        <xdr:grpSpPr>
          <a:xfrm>
            <a:off x="3548045" y="957247"/>
            <a:ext cx="684000" cy="1152000"/>
            <a:chOff x="3548045" y="957247"/>
            <a:chExt cx="684000" cy="1152000"/>
          </a:xfrm>
        </xdr:grpSpPr>
        <xdr:grpSp>
          <xdr:nvGrpSpPr>
            <xdr:cNvPr id="6" name="3 Grupo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pSpPr/>
          </xdr:nvGrpSpPr>
          <xdr:grpSpPr>
            <a:xfrm>
              <a:off x="3548045" y="957247"/>
              <a:ext cx="684000" cy="1152000"/>
              <a:chOff x="3548045" y="957247"/>
              <a:chExt cx="684000" cy="1152000"/>
            </a:xfrm>
          </xdr:grpSpPr>
          <xdr:cxnSp macro="">
            <xdr:nvCxnSpPr>
              <xdr:cNvPr id="8" name="12 Conector recto de flecha">
                <a:extLst>
                  <a:ext uri="{FF2B5EF4-FFF2-40B4-BE49-F238E27FC236}">
                    <a16:creationId xmlns:a16="http://schemas.microsoft.com/office/drawing/2014/main" id="{00000000-0008-0000-0C00-000008000000}"/>
                  </a:ext>
                </a:extLst>
              </xdr:cNvPr>
              <xdr:cNvCxnSpPr/>
            </xdr:nvCxnSpPr>
            <xdr:spPr>
              <a:xfrm>
                <a:off x="4000512" y="1447713"/>
                <a:ext cx="180000" cy="0"/>
              </a:xfrm>
              <a:prstGeom prst="straightConnector1">
                <a:avLst/>
              </a:prstGeom>
              <a:ln w="0">
                <a:headEnd type="triangle" w="sm" len="sm"/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" name="13 Conector recto de flecha">
                <a:extLst>
                  <a:ext uri="{FF2B5EF4-FFF2-40B4-BE49-F238E27FC236}">
                    <a16:creationId xmlns:a16="http://schemas.microsoft.com/office/drawing/2014/main" id="{00000000-0008-0000-0C00-000009000000}"/>
                  </a:ext>
                </a:extLst>
              </xdr:cNvPr>
              <xdr:cNvCxnSpPr/>
            </xdr:nvCxnSpPr>
            <xdr:spPr>
              <a:xfrm>
                <a:off x="3605167" y="1442934"/>
                <a:ext cx="180000" cy="0"/>
              </a:xfrm>
              <a:prstGeom prst="straightConnector1">
                <a:avLst/>
              </a:prstGeom>
              <a:ln w="0">
                <a:headEnd type="triangle" w="sm" len="sm"/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10" name="2 Grupo">
                <a:extLst>
                  <a:ext uri="{FF2B5EF4-FFF2-40B4-BE49-F238E27FC236}">
                    <a16:creationId xmlns:a16="http://schemas.microsoft.com/office/drawing/2014/main" id="{00000000-0008-0000-0C00-00000A000000}"/>
                  </a:ext>
                </a:extLst>
              </xdr:cNvPr>
              <xdr:cNvGrpSpPr/>
            </xdr:nvGrpSpPr>
            <xdr:grpSpPr>
              <a:xfrm>
                <a:off x="3548045" y="957247"/>
                <a:ext cx="684000" cy="1152000"/>
                <a:chOff x="3552808" y="981062"/>
                <a:chExt cx="688683" cy="1143017"/>
              </a:xfrm>
            </xdr:grpSpPr>
            <xdr:cxnSp macro="">
              <xdr:nvCxnSpPr>
                <xdr:cNvPr id="11" name="18 Conector recto">
                  <a:extLst>
                    <a:ext uri="{FF2B5EF4-FFF2-40B4-BE49-F238E27FC236}">
                      <a16:creationId xmlns:a16="http://schemas.microsoft.com/office/drawing/2014/main" id="{00000000-0008-0000-0C00-00000B000000}"/>
                    </a:ext>
                  </a:extLst>
                </xdr:cNvPr>
                <xdr:cNvCxnSpPr/>
              </xdr:nvCxnSpPr>
              <xdr:spPr>
                <a:xfrm>
                  <a:off x="3557490" y="981078"/>
                  <a:ext cx="4255" cy="1143001"/>
                </a:xfrm>
                <a:prstGeom prst="line">
                  <a:avLst/>
                </a:prstGeom>
                <a:ln w="0">
                  <a:prstDash val="lgDashDot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" name="20 Conector recto">
                  <a:extLst>
                    <a:ext uri="{FF2B5EF4-FFF2-40B4-BE49-F238E27FC236}">
                      <a16:creationId xmlns:a16="http://schemas.microsoft.com/office/drawing/2014/main" id="{00000000-0008-0000-0C00-00000C000000}"/>
                    </a:ext>
                  </a:extLst>
                </xdr:cNvPr>
                <xdr:cNvCxnSpPr/>
              </xdr:nvCxnSpPr>
              <xdr:spPr>
                <a:xfrm>
                  <a:off x="4237236" y="981062"/>
                  <a:ext cx="4255" cy="1143001"/>
                </a:xfrm>
                <a:prstGeom prst="line">
                  <a:avLst/>
                </a:prstGeom>
                <a:ln w="0">
                  <a:prstDash val="lgDashDot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3" name="22 Conector recto de flecha">
                  <a:extLst>
                    <a:ext uri="{FF2B5EF4-FFF2-40B4-BE49-F238E27FC236}">
                      <a16:creationId xmlns:a16="http://schemas.microsoft.com/office/drawing/2014/main" id="{00000000-0008-0000-0C00-00000D000000}"/>
                    </a:ext>
                  </a:extLst>
                </xdr:cNvPr>
                <xdr:cNvCxnSpPr/>
              </xdr:nvCxnSpPr>
              <xdr:spPr>
                <a:xfrm>
                  <a:off x="3552808" y="1081066"/>
                  <a:ext cx="684000" cy="0"/>
                </a:xfrm>
                <a:prstGeom prst="straightConnector1">
                  <a:avLst/>
                </a:prstGeom>
                <a:ln w="0">
                  <a:headEnd type="triangle" w="sm" len="sm"/>
                  <a:tailEnd type="triangl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cxnSp macro="">
          <xdr:nvCxnSpPr>
            <xdr:cNvPr id="7" name="14 Conector recto de flecha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CxnSpPr/>
          </xdr:nvCxnSpPr>
          <xdr:spPr>
            <a:xfrm>
              <a:off x="3795671" y="2019241"/>
              <a:ext cx="180000" cy="0"/>
            </a:xfrm>
            <a:prstGeom prst="straightConnector1">
              <a:avLst/>
            </a:prstGeom>
            <a:ln w="0">
              <a:headEnd type="triangle" w="sm" len="sm"/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16</xdr:row>
          <xdr:rowOff>57150</xdr:rowOff>
        </xdr:from>
        <xdr:to>
          <xdr:col>6</xdr:col>
          <xdr:colOff>9525</xdr:colOff>
          <xdr:row>18</xdr:row>
          <xdr:rowOff>133350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20</xdr:row>
          <xdr:rowOff>152400</xdr:rowOff>
        </xdr:from>
        <xdr:to>
          <xdr:col>9</xdr:col>
          <xdr:colOff>628650</xdr:colOff>
          <xdr:row>23</xdr:row>
          <xdr:rowOff>47625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C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552450</xdr:colOff>
          <xdr:row>3</xdr:row>
          <xdr:rowOff>76200</xdr:rowOff>
        </xdr:from>
        <xdr:to>
          <xdr:col>11</xdr:col>
          <xdr:colOff>95250</xdr:colOff>
          <xdr:row>5</xdr:row>
          <xdr:rowOff>180975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C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466725</xdr:colOff>
          <xdr:row>6</xdr:row>
          <xdr:rowOff>161925</xdr:rowOff>
        </xdr:from>
        <xdr:to>
          <xdr:col>11</xdr:col>
          <xdr:colOff>190500</xdr:colOff>
          <xdr:row>8</xdr:row>
          <xdr:rowOff>19050</xdr:rowOff>
        </xdr:to>
        <xdr:sp macro="" textlink="">
          <xdr:nvSpPr>
            <xdr:cNvPr id="13316" name="Object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C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11</xdr:row>
          <xdr:rowOff>76200</xdr:rowOff>
        </xdr:from>
        <xdr:to>
          <xdr:col>9</xdr:col>
          <xdr:colOff>638175</xdr:colOff>
          <xdr:row>13</xdr:row>
          <xdr:rowOff>142875</xdr:rowOff>
        </xdr:to>
        <xdr:sp macro="" textlink="">
          <xdr:nvSpPr>
            <xdr:cNvPr id="13317" name="Object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C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17</xdr:row>
          <xdr:rowOff>85725</xdr:rowOff>
        </xdr:from>
        <xdr:to>
          <xdr:col>9</xdr:col>
          <xdr:colOff>590550</xdr:colOff>
          <xdr:row>19</xdr:row>
          <xdr:rowOff>133350</xdr:rowOff>
        </xdr:to>
        <xdr:sp macro="" textlink="">
          <xdr:nvSpPr>
            <xdr:cNvPr id="13318" name="Object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C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609600</xdr:colOff>
          <xdr:row>14</xdr:row>
          <xdr:rowOff>47625</xdr:rowOff>
        </xdr:from>
        <xdr:to>
          <xdr:col>10</xdr:col>
          <xdr:colOff>0</xdr:colOff>
          <xdr:row>16</xdr:row>
          <xdr:rowOff>152400</xdr:rowOff>
        </xdr:to>
        <xdr:sp macro="" textlink="">
          <xdr:nvSpPr>
            <xdr:cNvPr id="13319" name="Object 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C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228599</xdr:colOff>
      <xdr:row>29</xdr:row>
      <xdr:rowOff>42861</xdr:rowOff>
    </xdr:from>
    <xdr:to>
      <xdr:col>20</xdr:col>
      <xdr:colOff>142874</xdr:colOff>
      <xdr:row>52</xdr:row>
      <xdr:rowOff>171450</xdr:rowOff>
    </xdr:to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3</xdr:row>
          <xdr:rowOff>171450</xdr:rowOff>
        </xdr:from>
        <xdr:to>
          <xdr:col>13</xdr:col>
          <xdr:colOff>619125</xdr:colOff>
          <xdr:row>5</xdr:row>
          <xdr:rowOff>19050</xdr:rowOff>
        </xdr:to>
        <xdr:sp macro="" textlink="">
          <xdr:nvSpPr>
            <xdr:cNvPr id="13320" name="Object 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C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571500</xdr:colOff>
          <xdr:row>5</xdr:row>
          <xdr:rowOff>171450</xdr:rowOff>
        </xdr:from>
        <xdr:to>
          <xdr:col>14</xdr:col>
          <xdr:colOff>0</xdr:colOff>
          <xdr:row>7</xdr:row>
          <xdr:rowOff>19050</xdr:rowOff>
        </xdr:to>
        <xdr:sp macro="" textlink="">
          <xdr:nvSpPr>
            <xdr:cNvPr id="13321" name="Object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C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628650</xdr:colOff>
          <xdr:row>8</xdr:row>
          <xdr:rowOff>171450</xdr:rowOff>
        </xdr:from>
        <xdr:to>
          <xdr:col>14</xdr:col>
          <xdr:colOff>628650</xdr:colOff>
          <xdr:row>11</xdr:row>
          <xdr:rowOff>85725</xdr:rowOff>
        </xdr:to>
        <xdr:sp macro="" textlink="">
          <xdr:nvSpPr>
            <xdr:cNvPr id="13322" name="Object 10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C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</xdr:row>
          <xdr:rowOff>161925</xdr:rowOff>
        </xdr:from>
        <xdr:to>
          <xdr:col>11</xdr:col>
          <xdr:colOff>285750</xdr:colOff>
          <xdr:row>7</xdr:row>
          <xdr:rowOff>57150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D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1</xdr:row>
          <xdr:rowOff>142875</xdr:rowOff>
        </xdr:from>
        <xdr:to>
          <xdr:col>12</xdr:col>
          <xdr:colOff>209550</xdr:colOff>
          <xdr:row>3</xdr:row>
          <xdr:rowOff>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D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619125</xdr:colOff>
          <xdr:row>3</xdr:row>
          <xdr:rowOff>161925</xdr:rowOff>
        </xdr:from>
        <xdr:to>
          <xdr:col>15</xdr:col>
          <xdr:colOff>0</xdr:colOff>
          <xdr:row>5</xdr:row>
          <xdr:rowOff>9525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D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114861</xdr:colOff>
      <xdr:row>2</xdr:row>
      <xdr:rowOff>119342</xdr:rowOff>
    </xdr:from>
    <xdr:to>
      <xdr:col>12</xdr:col>
      <xdr:colOff>114861</xdr:colOff>
      <xdr:row>17</xdr:row>
      <xdr:rowOff>5042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333375</xdr:colOff>
      <xdr:row>50</xdr:row>
      <xdr:rowOff>66675</xdr:rowOff>
    </xdr:from>
    <xdr:to>
      <xdr:col>30</xdr:col>
      <xdr:colOff>742950</xdr:colOff>
      <xdr:row>52</xdr:row>
      <xdr:rowOff>152400</xdr:rowOff>
    </xdr:to>
    <xdr:sp macro="" textlink="">
      <xdr:nvSpPr>
        <xdr:cNvPr id="6154" name="Object 10" hidden="1">
          <a:extLst>
            <a:ext uri="{63B3BB69-23CF-44E3-9099-C40C66FF867C}">
              <a14:compatExt xmlns:a14="http://schemas.microsoft.com/office/drawing/2010/main" spid="_x0000_s6154"/>
            </a:ext>
            <a:ext uri="{FF2B5EF4-FFF2-40B4-BE49-F238E27FC236}">
              <a16:creationId xmlns:a16="http://schemas.microsoft.com/office/drawing/2014/main" id="{00000000-0008-0000-0100-00000A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29</xdr:col>
      <xdr:colOff>304800</xdr:colOff>
      <xdr:row>45</xdr:row>
      <xdr:rowOff>47625</xdr:rowOff>
    </xdr:from>
    <xdr:to>
      <xdr:col>30</xdr:col>
      <xdr:colOff>752475</xdr:colOff>
      <xdr:row>47</xdr:row>
      <xdr:rowOff>142875</xdr:rowOff>
    </xdr:to>
    <xdr:sp macro="" textlink="">
      <xdr:nvSpPr>
        <xdr:cNvPr id="6155" name="Object 11" hidden="1">
          <a:extLst>
            <a:ext uri="{63B3BB69-23CF-44E3-9099-C40C66FF867C}">
              <a14:compatExt xmlns:a14="http://schemas.microsoft.com/office/drawing/2010/main" spid="_x0000_s6155"/>
            </a:ext>
            <a:ext uri="{FF2B5EF4-FFF2-40B4-BE49-F238E27FC236}">
              <a16:creationId xmlns:a16="http://schemas.microsoft.com/office/drawing/2014/main" id="{00000000-0008-0000-0100-00000B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9</xdr:col>
      <xdr:colOff>38100</xdr:colOff>
      <xdr:row>35</xdr:row>
      <xdr:rowOff>0</xdr:rowOff>
    </xdr:from>
    <xdr:to>
      <xdr:col>16</xdr:col>
      <xdr:colOff>437029</xdr:colOff>
      <xdr:row>52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561975</xdr:colOff>
      <xdr:row>0</xdr:row>
      <xdr:rowOff>38100</xdr:rowOff>
    </xdr:from>
    <xdr:to>
      <xdr:col>12</xdr:col>
      <xdr:colOff>0</xdr:colOff>
      <xdr:row>2</xdr:row>
      <xdr:rowOff>161925</xdr:rowOff>
    </xdr:to>
    <xdr:sp macro="" textlink="">
      <xdr:nvSpPr>
        <xdr:cNvPr id="6162" name="Object 18" hidden="1">
          <a:extLst>
            <a:ext uri="{63B3BB69-23CF-44E3-9099-C40C66FF867C}">
              <a14:compatExt xmlns:a14="http://schemas.microsoft.com/office/drawing/2010/main" spid="_x0000_s6162"/>
            </a:ext>
            <a:ext uri="{FF2B5EF4-FFF2-40B4-BE49-F238E27FC236}">
              <a16:creationId xmlns:a16="http://schemas.microsoft.com/office/drawing/2014/main" id="{00000000-0008-0000-0100-000012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287990</xdr:colOff>
      <xdr:row>34</xdr:row>
      <xdr:rowOff>73117</xdr:rowOff>
    </xdr:from>
    <xdr:to>
      <xdr:col>8</xdr:col>
      <xdr:colOff>240365</xdr:colOff>
      <xdr:row>52</xdr:row>
      <xdr:rowOff>144556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152400</xdr:colOff>
      <xdr:row>0</xdr:row>
      <xdr:rowOff>161925</xdr:rowOff>
    </xdr:from>
    <xdr:to>
      <xdr:col>3</xdr:col>
      <xdr:colOff>447675</xdr:colOff>
      <xdr:row>3</xdr:row>
      <xdr:rowOff>95250</xdr:rowOff>
    </xdr:to>
    <xdr:sp macro="" textlink="">
      <xdr:nvSpPr>
        <xdr:cNvPr id="6170" name="Object 26" hidden="1">
          <a:extLst>
            <a:ext uri="{63B3BB69-23CF-44E3-9099-C40C66FF867C}">
              <a14:compatExt xmlns:a14="http://schemas.microsoft.com/office/drawing/2010/main" spid="_x0000_s6170"/>
            </a:ext>
            <a:ext uri="{FF2B5EF4-FFF2-40B4-BE49-F238E27FC236}">
              <a16:creationId xmlns:a16="http://schemas.microsoft.com/office/drawing/2014/main" id="{00000000-0008-0000-0100-00001A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533400</xdr:colOff>
      <xdr:row>6</xdr:row>
      <xdr:rowOff>57150</xdr:rowOff>
    </xdr:from>
    <xdr:to>
      <xdr:col>3</xdr:col>
      <xdr:colOff>0</xdr:colOff>
      <xdr:row>9</xdr:row>
      <xdr:rowOff>133350</xdr:rowOff>
    </xdr:to>
    <xdr:sp macro="" textlink="">
      <xdr:nvSpPr>
        <xdr:cNvPr id="6172" name="Object 28" hidden="1">
          <a:extLst>
            <a:ext uri="{63B3BB69-23CF-44E3-9099-C40C66FF867C}">
              <a14:compatExt xmlns:a14="http://schemas.microsoft.com/office/drawing/2010/main" spid="_x0000_s6172"/>
            </a:ext>
            <a:ext uri="{FF2B5EF4-FFF2-40B4-BE49-F238E27FC236}">
              <a16:creationId xmlns:a16="http://schemas.microsoft.com/office/drawing/2014/main" id="{00000000-0008-0000-0100-00001C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38100</xdr:colOff>
      <xdr:row>10</xdr:row>
      <xdr:rowOff>57150</xdr:rowOff>
    </xdr:from>
    <xdr:to>
      <xdr:col>2</xdr:col>
      <xdr:colOff>752475</xdr:colOff>
      <xdr:row>12</xdr:row>
      <xdr:rowOff>161925</xdr:rowOff>
    </xdr:to>
    <xdr:sp macro="" textlink="">
      <xdr:nvSpPr>
        <xdr:cNvPr id="6174" name="Object 30" hidden="1">
          <a:extLst>
            <a:ext uri="{63B3BB69-23CF-44E3-9099-C40C66FF867C}">
              <a14:compatExt xmlns:a14="http://schemas.microsoft.com/office/drawing/2010/main" spid="_x0000_s6174"/>
            </a:ext>
            <a:ext uri="{FF2B5EF4-FFF2-40B4-BE49-F238E27FC236}">
              <a16:creationId xmlns:a16="http://schemas.microsoft.com/office/drawing/2014/main" id="{00000000-0008-0000-0100-00001E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</xdr:col>
      <xdr:colOff>285750</xdr:colOff>
      <xdr:row>13</xdr:row>
      <xdr:rowOff>66675</xdr:rowOff>
    </xdr:from>
    <xdr:to>
      <xdr:col>2</xdr:col>
      <xdr:colOff>742950</xdr:colOff>
      <xdr:row>15</xdr:row>
      <xdr:rowOff>133350</xdr:rowOff>
    </xdr:to>
    <xdr:sp macro="" textlink="">
      <xdr:nvSpPr>
        <xdr:cNvPr id="6175" name="Object 31" hidden="1">
          <a:extLst>
            <a:ext uri="{63B3BB69-23CF-44E3-9099-C40C66FF867C}">
              <a14:compatExt xmlns:a14="http://schemas.microsoft.com/office/drawing/2010/main" spid="_x0000_s6175"/>
            </a:ext>
            <a:ext uri="{FF2B5EF4-FFF2-40B4-BE49-F238E27FC236}">
              <a16:creationId xmlns:a16="http://schemas.microsoft.com/office/drawing/2014/main" id="{00000000-0008-0000-0100-00001F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333375</xdr:colOff>
      <xdr:row>50</xdr:row>
      <xdr:rowOff>66675</xdr:rowOff>
    </xdr:from>
    <xdr:to>
      <xdr:col>33</xdr:col>
      <xdr:colOff>742950</xdr:colOff>
      <xdr:row>52</xdr:row>
      <xdr:rowOff>152400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8433"/>
            </a:ex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4717375" y="9591675"/>
          <a:ext cx="1171575" cy="466725"/>
        </a:xfrm>
        <a:prstGeom prst="rect">
          <a:avLst/>
        </a:prstGeom>
      </xdr:spPr>
    </xdr:sp>
    <xdr:clientData/>
  </xdr:twoCellAnchor>
  <xdr:twoCellAnchor editAs="oneCell">
    <xdr:from>
      <xdr:col>32</xdr:col>
      <xdr:colOff>304800</xdr:colOff>
      <xdr:row>45</xdr:row>
      <xdr:rowOff>47625</xdr:rowOff>
    </xdr:from>
    <xdr:to>
      <xdr:col>33</xdr:col>
      <xdr:colOff>752475</xdr:colOff>
      <xdr:row>47</xdr:row>
      <xdr:rowOff>142875</xdr:rowOff>
    </xdr:to>
    <xdr:sp macro="" textlink="">
      <xdr:nvSpPr>
        <xdr:cNvPr id="3" name="Object 2" hidden="1">
          <a:extLst>
            <a:ext uri="{63B3BB69-23CF-44E3-9099-C40C66FF867C}">
              <a14:compatExt xmlns:a14="http://schemas.microsoft.com/office/drawing/2010/main" spid="_x0000_s18434"/>
            </a:ex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4688800" y="8620125"/>
          <a:ext cx="1209675" cy="476250"/>
        </a:xfrm>
        <a:prstGeom prst="rect">
          <a:avLst/>
        </a:prstGeom>
      </xdr:spPr>
    </xdr:sp>
    <xdr:clientData/>
  </xdr:twoCellAnchor>
  <xdr:twoCellAnchor>
    <xdr:from>
      <xdr:col>11</xdr:col>
      <xdr:colOff>571500</xdr:colOff>
      <xdr:row>35</xdr:row>
      <xdr:rowOff>19050</xdr:rowOff>
    </xdr:from>
    <xdr:to>
      <xdr:col>19</xdr:col>
      <xdr:colOff>533400</xdr:colOff>
      <xdr:row>52</xdr:row>
      <xdr:rowOff>142875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561975</xdr:colOff>
      <xdr:row>0</xdr:row>
      <xdr:rowOff>38100</xdr:rowOff>
    </xdr:from>
    <xdr:to>
      <xdr:col>15</xdr:col>
      <xdr:colOff>0</xdr:colOff>
      <xdr:row>2</xdr:row>
      <xdr:rowOff>161925</xdr:rowOff>
    </xdr:to>
    <xdr:sp macro="" textlink="">
      <xdr:nvSpPr>
        <xdr:cNvPr id="5" name="Object 3" hidden="1">
          <a:extLst>
            <a:ext uri="{63B3BB69-23CF-44E3-9099-C40C66FF867C}">
              <a14:compatExt xmlns:a14="http://schemas.microsoft.com/office/drawing/2010/main" spid="_x0000_s18435"/>
            </a:ex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943975" y="38100"/>
          <a:ext cx="2486025" cy="504825"/>
        </a:xfrm>
        <a:prstGeom prst="rect">
          <a:avLst/>
        </a:prstGeom>
      </xdr:spPr>
    </xdr:sp>
    <xdr:clientData/>
  </xdr:twoCellAnchor>
  <xdr:twoCellAnchor>
    <xdr:from>
      <xdr:col>3</xdr:col>
      <xdr:colOff>0</xdr:colOff>
      <xdr:row>35</xdr:row>
      <xdr:rowOff>14286</xdr:rowOff>
    </xdr:from>
    <xdr:to>
      <xdr:col>11</xdr:col>
      <xdr:colOff>66674</xdr:colOff>
      <xdr:row>53</xdr:row>
      <xdr:rowOff>85725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152400</xdr:colOff>
      <xdr:row>0</xdr:row>
      <xdr:rowOff>161925</xdr:rowOff>
    </xdr:from>
    <xdr:to>
      <xdr:col>4</xdr:col>
      <xdr:colOff>447675</xdr:colOff>
      <xdr:row>3</xdr:row>
      <xdr:rowOff>95250</xdr:rowOff>
    </xdr:to>
    <xdr:sp macro="" textlink="">
      <xdr:nvSpPr>
        <xdr:cNvPr id="7" name="Object 4" hidden="1">
          <a:extLst>
            <a:ext uri="{63B3BB69-23CF-44E3-9099-C40C66FF867C}">
              <a14:compatExt xmlns:a14="http://schemas.microsoft.com/office/drawing/2010/main" spid="_x0000_s18436"/>
            </a:ex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676400" y="161925"/>
          <a:ext cx="1819275" cy="504825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6</xdr:row>
      <xdr:rowOff>19050</xdr:rowOff>
    </xdr:from>
    <xdr:to>
      <xdr:col>4</xdr:col>
      <xdr:colOff>228600</xdr:colOff>
      <xdr:row>9</xdr:row>
      <xdr:rowOff>95250</xdr:rowOff>
    </xdr:to>
    <xdr:sp macro="" textlink="">
      <xdr:nvSpPr>
        <xdr:cNvPr id="8" name="Object 5" hidden="1">
          <a:extLst>
            <a:ext uri="{63B3BB69-23CF-44E3-9099-C40C66FF867C}">
              <a14:compatExt xmlns:a14="http://schemas.microsoft.com/office/drawing/2010/main" spid="_x0000_s18437"/>
            </a:ex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524000" y="1162050"/>
          <a:ext cx="1752600" cy="6477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8</xdr:row>
      <xdr:rowOff>57150</xdr:rowOff>
    </xdr:from>
    <xdr:to>
      <xdr:col>5</xdr:col>
      <xdr:colOff>714375</xdr:colOff>
      <xdr:row>10</xdr:row>
      <xdr:rowOff>161925</xdr:rowOff>
    </xdr:to>
    <xdr:sp macro="" textlink="">
      <xdr:nvSpPr>
        <xdr:cNvPr id="9" name="Object 6" hidden="1">
          <a:extLst>
            <a:ext uri="{63B3BB69-23CF-44E3-9099-C40C66FF867C}">
              <a14:compatExt xmlns:a14="http://schemas.microsoft.com/office/drawing/2010/main" spid="_x0000_s18438"/>
            </a:ex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2286000" y="1581150"/>
          <a:ext cx="2238375" cy="485775"/>
        </a:xfrm>
        <a:prstGeom prst="rect">
          <a:avLst/>
        </a:prstGeom>
      </xdr:spPr>
    </xdr:sp>
    <xdr:clientData/>
  </xdr:twoCellAnchor>
  <xdr:twoCellAnchor editAs="oneCell">
    <xdr:from>
      <xdr:col>2</xdr:col>
      <xdr:colOff>285750</xdr:colOff>
      <xdr:row>13</xdr:row>
      <xdr:rowOff>66675</xdr:rowOff>
    </xdr:from>
    <xdr:to>
      <xdr:col>3</xdr:col>
      <xdr:colOff>742950</xdr:colOff>
      <xdr:row>15</xdr:row>
      <xdr:rowOff>133350</xdr:rowOff>
    </xdr:to>
    <xdr:sp macro="" textlink="">
      <xdr:nvSpPr>
        <xdr:cNvPr id="10" name="Object 7" hidden="1">
          <a:extLst>
            <a:ext uri="{63B3BB69-23CF-44E3-9099-C40C66FF867C}">
              <a14:compatExt xmlns:a14="http://schemas.microsoft.com/office/drawing/2010/main" spid="_x0000_s18439"/>
            </a:ex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809750" y="2543175"/>
          <a:ext cx="1219200" cy="447675"/>
        </a:xfrm>
        <a:prstGeom prst="rect">
          <a:avLst/>
        </a:prstGeom>
      </xdr:spPr>
    </xdr:sp>
    <xdr:clientData/>
  </xdr:twoCellAnchor>
  <xdr:twoCellAnchor editAs="oneCell">
    <xdr:from>
      <xdr:col>2</xdr:col>
      <xdr:colOff>152400</xdr:colOff>
      <xdr:row>12</xdr:row>
      <xdr:rowOff>0</xdr:rowOff>
    </xdr:from>
    <xdr:to>
      <xdr:col>4</xdr:col>
      <xdr:colOff>447675</xdr:colOff>
      <xdr:row>14</xdr:row>
      <xdr:rowOff>123825</xdr:rowOff>
    </xdr:to>
    <xdr:sp macro="" textlink="">
      <xdr:nvSpPr>
        <xdr:cNvPr id="11" name="Object 26" hidden="1">
          <a:extLst>
            <a:ext uri="{63B3BB69-23CF-44E3-9099-C40C66FF867C}">
              <a14:compatExt xmlns:a14="http://schemas.microsoft.com/office/drawing/2010/main" spid="_x0000_s6170"/>
            </a:ex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1676400" y="2286000"/>
          <a:ext cx="1819275" cy="504825"/>
        </a:xfrm>
        <a:prstGeom prst="rect">
          <a:avLst/>
        </a:prstGeom>
      </xdr:spPr>
    </xdr:sp>
    <xdr:clientData/>
  </xdr:twoCellAnchor>
  <xdr:twoCellAnchor editAs="oneCell">
    <xdr:from>
      <xdr:col>1</xdr:col>
      <xdr:colOff>533400</xdr:colOff>
      <xdr:row>16</xdr:row>
      <xdr:rowOff>57150</xdr:rowOff>
    </xdr:from>
    <xdr:to>
      <xdr:col>4</xdr:col>
      <xdr:colOff>0</xdr:colOff>
      <xdr:row>19</xdr:row>
      <xdr:rowOff>133350</xdr:rowOff>
    </xdr:to>
    <xdr:sp macro="" textlink="">
      <xdr:nvSpPr>
        <xdr:cNvPr id="12" name="Object 28" hidden="1">
          <a:extLst>
            <a:ext uri="{63B3BB69-23CF-44E3-9099-C40C66FF867C}">
              <a14:compatExt xmlns:a14="http://schemas.microsoft.com/office/drawing/2010/main" spid="_x0000_s6172"/>
            </a:ex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295400" y="3105150"/>
          <a:ext cx="1752600" cy="647700"/>
        </a:xfrm>
        <a:prstGeom prst="rect">
          <a:avLst/>
        </a:prstGeom>
      </xdr:spPr>
    </xdr:sp>
    <xdr:clientData/>
  </xdr:twoCellAnchor>
  <xdr:twoCellAnchor editAs="oneCell">
    <xdr:from>
      <xdr:col>3</xdr:col>
      <xdr:colOff>38100</xdr:colOff>
      <xdr:row>6</xdr:row>
      <xdr:rowOff>57150</xdr:rowOff>
    </xdr:from>
    <xdr:to>
      <xdr:col>5</xdr:col>
      <xdr:colOff>752475</xdr:colOff>
      <xdr:row>8</xdr:row>
      <xdr:rowOff>161925</xdr:rowOff>
    </xdr:to>
    <xdr:sp macro="" textlink="">
      <xdr:nvSpPr>
        <xdr:cNvPr id="13" name="Object 30" hidden="1">
          <a:extLst>
            <a:ext uri="{63B3BB69-23CF-44E3-9099-C40C66FF867C}">
              <a14:compatExt xmlns:a14="http://schemas.microsoft.com/office/drawing/2010/main" spid="_x0000_s6174"/>
            </a:ex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324100" y="1200150"/>
          <a:ext cx="2238375" cy="485775"/>
        </a:xfrm>
        <a:prstGeom prst="rect">
          <a:avLst/>
        </a:prstGeom>
      </xdr:spPr>
    </xdr:sp>
    <xdr:clientData/>
  </xdr:twoCellAnchor>
  <xdr:twoCellAnchor editAs="oneCell">
    <xdr:from>
      <xdr:col>3</xdr:col>
      <xdr:colOff>285750</xdr:colOff>
      <xdr:row>10</xdr:row>
      <xdr:rowOff>66675</xdr:rowOff>
    </xdr:from>
    <xdr:to>
      <xdr:col>4</xdr:col>
      <xdr:colOff>742950</xdr:colOff>
      <xdr:row>12</xdr:row>
      <xdr:rowOff>133350</xdr:rowOff>
    </xdr:to>
    <xdr:sp macro="" textlink="">
      <xdr:nvSpPr>
        <xdr:cNvPr id="14" name="Object 31" hidden="1">
          <a:extLst>
            <a:ext uri="{63B3BB69-23CF-44E3-9099-C40C66FF867C}">
              <a14:compatExt xmlns:a14="http://schemas.microsoft.com/office/drawing/2010/main" spid="_x0000_s6175"/>
            </a:ex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2571750" y="1971675"/>
          <a:ext cx="1219200" cy="447675"/>
        </a:xfrm>
        <a:prstGeom prst="rect">
          <a:avLst/>
        </a:prstGeom>
      </xdr:spPr>
    </xdr:sp>
    <xdr:clientData/>
  </xdr:twoCellAnchor>
  <xdr:oneCellAnchor>
    <xdr:from>
      <xdr:col>1</xdr:col>
      <xdr:colOff>285750</xdr:colOff>
      <xdr:row>13</xdr:row>
      <xdr:rowOff>123825</xdr:rowOff>
    </xdr:from>
    <xdr:ext cx="1027012" cy="3184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SpPr txBox="1"/>
          </xdr:nvSpPr>
          <xdr:spPr>
            <a:xfrm>
              <a:off x="1047750" y="2600325"/>
              <a:ext cx="1027012" cy="3184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L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L" sz="1100" b="0" i="1">
                            <a:latin typeface="Cambria Math" panose="02040503050406030204" pitchFamily="18" charset="0"/>
                          </a:rPr>
                          <m:t>𝑞</m:t>
                        </m:r>
                      </m:e>
                      <m:sub>
                        <m:r>
                          <a:rPr lang="es-CL" sz="1100" b="0" i="1">
                            <a:latin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es-CL" sz="1100" b="0" i="1">
                        <a:latin typeface="Cambria Math" panose="02040503050406030204" pitchFamily="18" charset="0"/>
                      </a:rPr>
                      <m:t> </m:t>
                    </m:r>
                    <m:d>
                      <m:dPr>
                        <m:begChr m:val="["/>
                        <m:endChr m:val="]"/>
                        <m:ctrlPr>
                          <a:rPr lang="es-CL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type m:val="skw"/>
                            <m:ctrlPr>
                              <a:rPr lang="es-CL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s-CL" sz="1100" b="0" i="1">
                                <a:latin typeface="Cambria Math" panose="02040503050406030204" pitchFamily="18" charset="0"/>
                              </a:rPr>
                              <m:t>0</m:t>
                            </m:r>
                          </m:num>
                          <m:den>
                            <m:r>
                              <a:rPr lang="es-CL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e>
                    </m:d>
                    <m:r>
                      <a:rPr lang="es-CL" sz="1100" b="0" i="1">
                        <a:latin typeface="Cambria Math" panose="02040503050406030204" pitchFamily="18" charset="0"/>
                      </a:rPr>
                      <m:t>  =   </m:t>
                    </m:r>
                    <m:f>
                      <m:fPr>
                        <m:ctrlPr>
                          <a:rPr lang="es-CL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L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L" sz="1100" b="0" i="1">
                                <a:latin typeface="Cambria Math" panose="02040503050406030204" pitchFamily="18" charset="0"/>
                              </a:rPr>
                              <m:t>𝑞</m:t>
                            </m:r>
                          </m:e>
                          <m:sub>
                            <m:r>
                              <a:rPr lang="es-CL" sz="11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CL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L" sz="1100" b="0" i="1">
                                <a:latin typeface="Cambria Math" panose="02040503050406030204" pitchFamily="18" charset="0"/>
                              </a:rPr>
                              <m:t>𝑄</m:t>
                            </m:r>
                          </m:e>
                          <m:sub>
                            <m:r>
                              <a:rPr lang="es-CL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CL" sz="110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SpPr txBox="1"/>
          </xdr:nvSpPr>
          <xdr:spPr>
            <a:xfrm>
              <a:off x="1047750" y="2600325"/>
              <a:ext cx="1027012" cy="3184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L" sz="1100" b="0" i="0">
                  <a:latin typeface="Cambria Math" panose="02040503050406030204" pitchFamily="18" charset="0"/>
                </a:rPr>
                <a:t>𝑞_𝑑  [0⁄1]   =    𝑞_𝑑/𝑄_𝑛 </a:t>
              </a:r>
              <a:endParaRPr lang="es-CL" sz="1100"/>
            </a:p>
          </xdr:txBody>
        </xdr:sp>
      </mc:Fallback>
    </mc:AlternateContent>
    <xdr:clientData/>
  </xdr:oneCellAnchor>
  <xdr:oneCellAnchor>
    <xdr:from>
      <xdr:col>0</xdr:col>
      <xdr:colOff>523875</xdr:colOff>
      <xdr:row>16</xdr:row>
      <xdr:rowOff>38100</xdr:rowOff>
    </xdr:from>
    <xdr:ext cx="1276350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523875" y="3086100"/>
          <a:ext cx="127635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endParaRPr lang="es-CL" sz="1100"/>
        </a:p>
      </xdr:txBody>
    </xdr:sp>
    <xdr:clientData/>
  </xdr:oneCellAnchor>
  <xdr:oneCellAnchor>
    <xdr:from>
      <xdr:col>0</xdr:col>
      <xdr:colOff>542924</xdr:colOff>
      <xdr:row>15</xdr:row>
      <xdr:rowOff>47626</xdr:rowOff>
    </xdr:from>
    <xdr:ext cx="1743076" cy="44767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 txBox="1"/>
          </xdr:nvSpPr>
          <xdr:spPr>
            <a:xfrm>
              <a:off x="542924" y="2905126"/>
              <a:ext cx="1743076" cy="4476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L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L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es-CL" sz="1100" b="0" i="1">
                            <a:latin typeface="Cambria Math" panose="02040503050406030204" pitchFamily="18" charset="0"/>
                          </a:rPr>
                          <m:t>𝑑𝑟</m:t>
                        </m:r>
                      </m:sub>
                    </m:sSub>
                    <m:r>
                      <a:rPr lang="es-CL" sz="1100" b="0" i="1">
                        <a:latin typeface="Cambria Math" panose="02040503050406030204" pitchFamily="18" charset="0"/>
                      </a:rPr>
                      <m:t>  =   </m:t>
                    </m:r>
                    <m:sSub>
                      <m:sSubPr>
                        <m:ctrlPr>
                          <a:rPr lang="es-CL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L" sz="11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  <m:sub>
                        <m:r>
                          <a:rPr lang="es-CL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sub>
                    </m:sSub>
                    <m:r>
                      <a:rPr lang="es-CL" sz="1100" b="0" i="1">
                        <a:latin typeface="Cambria Math" panose="02040503050406030204" pitchFamily="18" charset="0"/>
                      </a:rPr>
                      <m:t>+ </m:t>
                    </m:r>
                    <m:r>
                      <a:rPr lang="es-CL" sz="1100" b="0" i="1">
                        <a:latin typeface="Cambria Math" panose="02040503050406030204" pitchFamily="18" charset="0"/>
                      </a:rPr>
                      <m:t>𝐾</m:t>
                    </m:r>
                    <m:r>
                      <a:rPr lang="es-CL" sz="1100" b="0" i="1">
                        <a:latin typeface="Cambria Math" panose="02040503050406030204" pitchFamily="18" charset="0"/>
                      </a:rPr>
                      <m:t>  </m:t>
                    </m:r>
                    <m:d>
                      <m:dPr>
                        <m:begChr m:val="{"/>
                        <m:endChr m:val="}"/>
                        <m:ctrlPr>
                          <a:rPr lang="es-CL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s-CL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s-CL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s-CL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CL" sz="1100" b="0" i="1">
                                    <a:latin typeface="Cambria Math" panose="02040503050406030204" pitchFamily="18" charset="0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es-CL" sz="11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sub>
                            </m:sSub>
                          </m:den>
                        </m:f>
                        <m:r>
                          <a:rPr lang="es-CL" sz="1100" b="0" i="1">
                            <a:latin typeface="Cambria Math" panose="02040503050406030204" pitchFamily="18" charset="0"/>
                          </a:rPr>
                          <m:t> −1</m:t>
                        </m:r>
                      </m:e>
                    </m:d>
                  </m:oMath>
                </m:oMathPara>
              </a14:m>
              <a:endParaRPr lang="es-CL" sz="1100"/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 txBox="1"/>
          </xdr:nvSpPr>
          <xdr:spPr>
            <a:xfrm>
              <a:off x="542924" y="2905126"/>
              <a:ext cx="1743076" cy="4476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L" sz="1100" b="0" i="0">
                  <a:latin typeface="Cambria Math" panose="02040503050406030204" pitchFamily="18" charset="0"/>
                </a:rPr>
                <a:t>𝑛_𝑑𝑟   =   𝑁_𝑛+ 𝐾  {1/𝑞_𝑑   −1}</a:t>
              </a:r>
              <a:endParaRPr lang="es-CL" sz="1100"/>
            </a:p>
          </xdr:txBody>
        </xdr:sp>
      </mc:Fallback>
    </mc:AlternateContent>
    <xdr:clientData/>
  </xdr:oneCellAnchor>
  <xdr:oneCellAnchor>
    <xdr:from>
      <xdr:col>0</xdr:col>
      <xdr:colOff>104773</xdr:colOff>
      <xdr:row>17</xdr:row>
      <xdr:rowOff>114299</xdr:rowOff>
    </xdr:from>
    <xdr:ext cx="3324227" cy="3714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SpPr txBox="1"/>
          </xdr:nvSpPr>
          <xdr:spPr>
            <a:xfrm>
              <a:off x="104773" y="3352799"/>
              <a:ext cx="3324227" cy="3714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CL" sz="14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L" sz="1400" b="0" i="1">
                          <a:latin typeface="Cambria Math" panose="02040503050406030204" pitchFamily="18" charset="0"/>
                        </a:rPr>
                        <m:t>𝑡</m:t>
                      </m:r>
                    </m:e>
                    <m:sub>
                      <m:r>
                        <a:rPr lang="es-CL" sz="1400" b="0" i="1">
                          <a:latin typeface="Cambria Math" panose="02040503050406030204" pitchFamily="18" charset="0"/>
                        </a:rPr>
                        <m:t>𝑣𝑢</m:t>
                      </m:r>
                    </m:sub>
                  </m:sSub>
                  <m:r>
                    <a:rPr lang="es-CL" sz="1400" b="0" i="1">
                      <a:latin typeface="Cambria Math" panose="02040503050406030204" pitchFamily="18" charset="0"/>
                    </a:rPr>
                    <m:t>  =   </m:t>
                  </m:r>
                  <m:f>
                    <m:fPr>
                      <m:ctrlPr>
                        <a:rPr lang="es-CL" sz="14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L" sz="1400" b="0" i="1">
                              <a:latin typeface="Cambria Math" panose="02040503050406030204" pitchFamily="18" charset="0"/>
                            </a:rPr>
                            <m:t>𝑛</m:t>
                          </m:r>
                        </m:e>
                        <m:sub>
                          <m:r>
                            <a:rPr lang="es-CL" sz="1400" b="0" i="1">
                              <a:latin typeface="Cambria Math" panose="02040503050406030204" pitchFamily="18" charset="0"/>
                            </a:rPr>
                            <m:t>𝑑𝑟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L" sz="1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L" sz="1400" b="0" i="1">
                              <a:latin typeface="Cambria Math" panose="02040503050406030204" pitchFamily="18" charset="0"/>
                            </a:rPr>
                            <m:t>𝑛</m:t>
                          </m:r>
                        </m:e>
                        <m:sub>
                          <m:r>
                            <a:rPr lang="es-CL" sz="1400" b="0" i="1">
                              <a:latin typeface="Cambria Math" panose="02040503050406030204" pitchFamily="18" charset="0"/>
                            </a:rPr>
                            <m:t>𝑐𝑎</m:t>
                          </m:r>
                        </m:sub>
                      </m:sSub>
                    </m:den>
                  </m:f>
                  <m:r>
                    <a:rPr lang="es-CL" sz="1400" b="0" i="1">
                      <a:latin typeface="Cambria Math" panose="02040503050406030204" pitchFamily="18" charset="0"/>
                    </a:rPr>
                    <m:t>  </m:t>
                  </m:r>
                </m:oMath>
              </a14:m>
              <a:r>
                <a:rPr lang="es-CL" sz="1400"/>
                <a:t>  =   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es-CL" sz="1400" i="1">
                          <a:latin typeface="Cambria Math" panose="02040503050406030204" pitchFamily="18" charset="0"/>
                        </a:rPr>
                      </m:ctrlPr>
                    </m:dPr>
                    <m:e>
                      <m:sSub>
                        <m:sSubPr>
                          <m:ctrlPr>
                            <a:rPr lang="es-CL" sz="14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L" sz="1400" b="0" i="1">
                              <a:latin typeface="Cambria Math" panose="02040503050406030204" pitchFamily="18" charset="0"/>
                            </a:rPr>
                            <m:t>𝑁</m:t>
                          </m:r>
                        </m:e>
                        <m:sub>
                          <m:r>
                            <a:rPr lang="es-CL" sz="1400" b="0" i="1">
                              <a:latin typeface="Cambria Math" panose="02040503050406030204" pitchFamily="18" charset="0"/>
                            </a:rPr>
                            <m:t>𝑛</m:t>
                          </m:r>
                        </m:sub>
                      </m:sSub>
                      <m:r>
                        <a:rPr lang="es-CL" sz="1400" b="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a:rPr lang="es-CL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L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𝐾</m:t>
                      </m:r>
                      <m:r>
                        <a:rPr lang="es-CL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 </m:t>
                      </m:r>
                      <m:d>
                        <m:dPr>
                          <m:begChr m:val="{"/>
                          <m:endChr m:val="}"/>
                          <m:ctrlPr>
                            <a:rPr lang="es-CL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s-CL" sz="14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CL" sz="14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lang="es-CL" sz="14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s-CL" sz="14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𝑞</m:t>
                                  </m:r>
                                </m:e>
                                <m:sub>
                                  <m:r>
                                    <a:rPr lang="es-CL" sz="14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𝑑</m:t>
                                  </m:r>
                                </m:sub>
                              </m:sSub>
                            </m:den>
                          </m:f>
                          <m:r>
                            <a:rPr lang="es-CL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−1</m:t>
                          </m:r>
                        </m:e>
                      </m:d>
                      <m:r>
                        <m:rPr>
                          <m:nor/>
                        </m:rPr>
                        <a:rPr lang="es-CL" sz="1400">
                          <a:effectLst/>
                        </a:rPr>
                        <m:t> </m:t>
                      </m:r>
                    </m:e>
                  </m:d>
                  <m:f>
                    <m:fPr>
                      <m:ctrlPr>
                        <a:rPr lang="es-CL" sz="14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CL" sz="1400" b="0" i="1">
                          <a:latin typeface="Cambria Math" panose="02040503050406030204" pitchFamily="18" charset="0"/>
                        </a:rPr>
                        <m:t>1</m:t>
                      </m:r>
                    </m:num>
                    <m:den>
                      <m:sSub>
                        <m:sSubPr>
                          <m:ctrlPr>
                            <a:rPr lang="es-CL" sz="14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L" sz="1400" b="0" i="1">
                              <a:latin typeface="Cambria Math" panose="02040503050406030204" pitchFamily="18" charset="0"/>
                            </a:rPr>
                            <m:t>𝑛</m:t>
                          </m:r>
                        </m:e>
                        <m:sub>
                          <m:r>
                            <a:rPr lang="es-CL" sz="1400" b="0" i="1">
                              <a:latin typeface="Cambria Math" panose="02040503050406030204" pitchFamily="18" charset="0"/>
                            </a:rPr>
                            <m:t>𝑐𝑎</m:t>
                          </m:r>
                        </m:sub>
                      </m:sSub>
                    </m:den>
                  </m:f>
                </m:oMath>
              </a14:m>
              <a:endParaRPr lang="es-CL" sz="1400"/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SpPr txBox="1"/>
          </xdr:nvSpPr>
          <xdr:spPr>
            <a:xfrm>
              <a:off x="104773" y="3352799"/>
              <a:ext cx="3324227" cy="3714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CL" sz="1400" b="0" i="0">
                  <a:latin typeface="Cambria Math" panose="02040503050406030204" pitchFamily="18" charset="0"/>
                </a:rPr>
                <a:t>𝑡_𝑣𝑢   =    𝑛_𝑑𝑟/𝑛_𝑐𝑎    </a:t>
              </a:r>
              <a:r>
                <a:rPr lang="es-CL" sz="1400"/>
                <a:t>  =   </a:t>
              </a:r>
              <a:r>
                <a:rPr lang="es-CL" sz="1400" i="0">
                  <a:latin typeface="Cambria Math" panose="02040503050406030204" pitchFamily="18" charset="0"/>
                </a:rPr>
                <a:t>[</a:t>
              </a:r>
              <a:r>
                <a:rPr lang="es-CL" sz="1400" b="0" i="0">
                  <a:latin typeface="Cambria Math" panose="02040503050406030204" pitchFamily="18" charset="0"/>
                </a:rPr>
                <a:t>𝑁_𝑛  </a:t>
              </a:r>
              <a:r>
                <a:rPr lang="es-CL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 𝐾  {1/𝑞_𝑑   −1}"</a:t>
              </a:r>
              <a:r>
                <a:rPr lang="es-CL" sz="1400" i="0">
                  <a:effectLst/>
                </a:rPr>
                <a:t> </a:t>
              </a:r>
              <a:r>
                <a:rPr lang="es-CL" sz="1400" i="0">
                  <a:effectLst/>
                  <a:latin typeface="Cambria Math" panose="02040503050406030204" pitchFamily="18" charset="0"/>
                </a:rPr>
                <a:t>" ] </a:t>
              </a:r>
              <a:r>
                <a:rPr lang="es-CL" sz="1400" b="0" i="0">
                  <a:latin typeface="Cambria Math" panose="02040503050406030204" pitchFamily="18" charset="0"/>
                </a:rPr>
                <a:t> 1/𝑛_𝑐𝑎 </a:t>
              </a:r>
              <a:endParaRPr lang="es-CL" sz="1400"/>
            </a:p>
          </xdr:txBody>
        </xdr:sp>
      </mc:Fallback>
    </mc:AlternateContent>
    <xdr:clientData/>
  </xdr:oneCellAnchor>
  <xdr:oneCellAnchor>
    <xdr:from>
      <xdr:col>1</xdr:col>
      <xdr:colOff>0</xdr:colOff>
      <xdr:row>6</xdr:row>
      <xdr:rowOff>19050</xdr:rowOff>
    </xdr:from>
    <xdr:ext cx="1752600" cy="647700"/>
    <xdr:sp macro="" textlink="">
      <xdr:nvSpPr>
        <xdr:cNvPr id="19" name="Object 5" hidden="1">
          <a:extLst>
            <a:ext uri="{63B3BB69-23CF-44E3-9099-C40C66FF867C}">
              <a14:compatExt xmlns:a14="http://schemas.microsoft.com/office/drawing/2010/main" spid="_x0000_s18437"/>
            </a:ex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762000" y="1162050"/>
          <a:ext cx="1752600" cy="647700"/>
        </a:xfrm>
        <a:prstGeom prst="rect">
          <a:avLst/>
        </a:prstGeom>
      </xdr:spPr>
    </xdr:sp>
    <xdr:clientData/>
  </xdr:oneCellAnchor>
  <xdr:oneCellAnchor>
    <xdr:from>
      <xdr:col>1</xdr:col>
      <xdr:colOff>0</xdr:colOff>
      <xdr:row>6</xdr:row>
      <xdr:rowOff>19050</xdr:rowOff>
    </xdr:from>
    <xdr:ext cx="1752600" cy="647700"/>
    <xdr:sp macro="" textlink="">
      <xdr:nvSpPr>
        <xdr:cNvPr id="20" name="Object 5" hidden="1">
          <a:extLst>
            <a:ext uri="{63B3BB69-23CF-44E3-9099-C40C66FF867C}">
              <a14:compatExt xmlns:a14="http://schemas.microsoft.com/office/drawing/2010/main" spid="_x0000_s18437"/>
            </a:ex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762000" y="1162050"/>
          <a:ext cx="1752600" cy="647700"/>
        </a:xfrm>
        <a:prstGeom prst="rect">
          <a:avLst/>
        </a:prstGeom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401340</xdr:colOff>
      <xdr:row>2</xdr:row>
      <xdr:rowOff>171451</xdr:rowOff>
    </xdr:from>
    <xdr:to>
      <xdr:col>6</xdr:col>
      <xdr:colOff>523826</xdr:colOff>
      <xdr:row>15</xdr:row>
      <xdr:rowOff>24002</xdr:rowOff>
    </xdr:to>
    <xdr:grpSp>
      <xdr:nvGrpSpPr>
        <xdr:cNvPr id="101" name="100 Grupo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GrpSpPr/>
      </xdr:nvGrpSpPr>
      <xdr:grpSpPr>
        <a:xfrm>
          <a:off x="401340" y="552451"/>
          <a:ext cx="4694486" cy="2329051"/>
          <a:chOff x="401340" y="1295401"/>
          <a:chExt cx="4694486" cy="2329051"/>
        </a:xfrm>
      </xdr:grpSpPr>
      <xdr:grpSp>
        <xdr:nvGrpSpPr>
          <xdr:cNvPr id="185" name="184 Grupo">
            <a:extLst>
              <a:ext uri="{FF2B5EF4-FFF2-40B4-BE49-F238E27FC236}">
                <a16:creationId xmlns:a16="http://schemas.microsoft.com/office/drawing/2014/main" id="{00000000-0008-0000-0400-0000B9000000}"/>
              </a:ext>
            </a:extLst>
          </xdr:cNvPr>
          <xdr:cNvGrpSpPr/>
        </xdr:nvGrpSpPr>
        <xdr:grpSpPr>
          <a:xfrm>
            <a:off x="401340" y="1600206"/>
            <a:ext cx="4694486" cy="2024246"/>
            <a:chOff x="396577" y="1600206"/>
            <a:chExt cx="4694486" cy="2024246"/>
          </a:xfrm>
        </xdr:grpSpPr>
        <xdr:grpSp>
          <xdr:nvGrpSpPr>
            <xdr:cNvPr id="180" name="179 Grupo">
              <a:extLst>
                <a:ext uri="{FF2B5EF4-FFF2-40B4-BE49-F238E27FC236}">
                  <a16:creationId xmlns:a16="http://schemas.microsoft.com/office/drawing/2014/main" id="{00000000-0008-0000-0400-0000B4000000}"/>
                </a:ext>
              </a:extLst>
            </xdr:cNvPr>
            <xdr:cNvGrpSpPr/>
          </xdr:nvGrpSpPr>
          <xdr:grpSpPr>
            <a:xfrm>
              <a:off x="396577" y="1600206"/>
              <a:ext cx="4648765" cy="2024246"/>
              <a:chOff x="401340" y="1600206"/>
              <a:chExt cx="4648765" cy="2024246"/>
            </a:xfrm>
          </xdr:grpSpPr>
          <xdr:grpSp>
            <xdr:nvGrpSpPr>
              <xdr:cNvPr id="179" name="178 Grupo">
                <a:extLst>
                  <a:ext uri="{FF2B5EF4-FFF2-40B4-BE49-F238E27FC236}">
                    <a16:creationId xmlns:a16="http://schemas.microsoft.com/office/drawing/2014/main" id="{00000000-0008-0000-0400-0000B3000000}"/>
                  </a:ext>
                </a:extLst>
              </xdr:cNvPr>
              <xdr:cNvGrpSpPr/>
            </xdr:nvGrpSpPr>
            <xdr:grpSpPr>
              <a:xfrm>
                <a:off x="401340" y="1600206"/>
                <a:ext cx="4648765" cy="2024246"/>
                <a:chOff x="391814" y="1600206"/>
                <a:chExt cx="4648765" cy="2024246"/>
              </a:xfrm>
            </xdr:grpSpPr>
            <xdr:grpSp>
              <xdr:nvGrpSpPr>
                <xdr:cNvPr id="154" name="153 Grupo">
                  <a:extLst>
                    <a:ext uri="{FF2B5EF4-FFF2-40B4-BE49-F238E27FC236}">
                      <a16:creationId xmlns:a16="http://schemas.microsoft.com/office/drawing/2014/main" id="{00000000-0008-0000-0400-00009A000000}"/>
                    </a:ext>
                  </a:extLst>
                </xdr:cNvPr>
                <xdr:cNvGrpSpPr/>
              </xdr:nvGrpSpPr>
              <xdr:grpSpPr>
                <a:xfrm>
                  <a:off x="391814" y="1600206"/>
                  <a:ext cx="4648765" cy="2024246"/>
                  <a:chOff x="404775" y="261938"/>
                  <a:chExt cx="4613133" cy="2024246"/>
                </a:xfrm>
              </xdr:grpSpPr>
              <xdr:grpSp>
                <xdr:nvGrpSpPr>
                  <xdr:cNvPr id="112" name="111 Grupo">
                    <a:extLst>
                      <a:ext uri="{FF2B5EF4-FFF2-40B4-BE49-F238E27FC236}">
                        <a16:creationId xmlns:a16="http://schemas.microsoft.com/office/drawing/2014/main" id="{00000000-0008-0000-0400-000070000000}"/>
                      </a:ext>
                    </a:extLst>
                  </xdr:cNvPr>
                  <xdr:cNvGrpSpPr/>
                </xdr:nvGrpSpPr>
                <xdr:grpSpPr>
                  <a:xfrm>
                    <a:off x="404775" y="976321"/>
                    <a:ext cx="720000" cy="720000"/>
                    <a:chOff x="762000" y="885824"/>
                    <a:chExt cx="904875" cy="900000"/>
                  </a:xfrm>
                </xdr:grpSpPr>
                <xdr:sp macro="" textlink="">
                  <xdr:nvSpPr>
                    <xdr:cNvPr id="2" name="1 Rectángulo">
                      <a:extLst>
                        <a:ext uri="{FF2B5EF4-FFF2-40B4-BE49-F238E27FC236}">
                          <a16:creationId xmlns:a16="http://schemas.microsoft.com/office/drawing/2014/main" id="{00000000-0008-0000-0400-000002000000}"/>
                        </a:ext>
                      </a:extLst>
                    </xdr:cNvPr>
                    <xdr:cNvSpPr/>
                  </xdr:nvSpPr>
                  <xdr:spPr>
                    <a:xfrm>
                      <a:off x="762000" y="885824"/>
                      <a:ext cx="900000" cy="900000"/>
                    </a:xfrm>
                    <a:prstGeom prst="rect">
                      <a:avLst/>
                    </a:prstGeom>
                    <a:solidFill>
                      <a:schemeClr val="accent1">
                        <a:alpha val="0"/>
                      </a:schemeClr>
                    </a:solidFill>
                    <a:ln w="1270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rtlCol="0" anchor="ctr"/>
                    <a:lstStyle/>
                    <a:p>
                      <a:pPr algn="ctr"/>
                      <a:endParaRPr lang="es-ES" sz="1100"/>
                    </a:p>
                  </xdr:txBody>
                </xdr:sp>
                <xdr:cxnSp macro="">
                  <xdr:nvCxnSpPr>
                    <xdr:cNvPr id="111" name="110 Conector recto">
                      <a:extLst>
                        <a:ext uri="{FF2B5EF4-FFF2-40B4-BE49-F238E27FC236}">
                          <a16:creationId xmlns:a16="http://schemas.microsoft.com/office/drawing/2014/main" id="{00000000-0008-0000-0400-00006F000000}"/>
                        </a:ext>
                      </a:extLst>
                    </xdr:cNvPr>
                    <xdr:cNvCxnSpPr/>
                  </xdr:nvCxnSpPr>
                  <xdr:spPr>
                    <a:xfrm flipV="1">
                      <a:off x="766763" y="885825"/>
                      <a:ext cx="900112" cy="885825"/>
                    </a:xfrm>
                    <a:prstGeom prst="line">
                      <a:avLst/>
                    </a:prstGeom>
                    <a:ln w="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grpSp>
                <xdr:nvGrpSpPr>
                  <xdr:cNvPr id="153" name="152 Grupo">
                    <a:extLst>
                      <a:ext uri="{FF2B5EF4-FFF2-40B4-BE49-F238E27FC236}">
                        <a16:creationId xmlns:a16="http://schemas.microsoft.com/office/drawing/2014/main" id="{00000000-0008-0000-0400-000099000000}"/>
                      </a:ext>
                    </a:extLst>
                  </xdr:cNvPr>
                  <xdr:cNvGrpSpPr/>
                </xdr:nvGrpSpPr>
                <xdr:grpSpPr>
                  <a:xfrm>
                    <a:off x="1114409" y="261938"/>
                    <a:ext cx="3903499" cy="2024246"/>
                    <a:chOff x="1114409" y="261938"/>
                    <a:chExt cx="3903499" cy="2024246"/>
                  </a:xfrm>
                </xdr:grpSpPr>
                <xdr:grpSp>
                  <xdr:nvGrpSpPr>
                    <xdr:cNvPr id="130" name="129 Grupo">
                      <a:extLst>
                        <a:ext uri="{FF2B5EF4-FFF2-40B4-BE49-F238E27FC236}">
                          <a16:creationId xmlns:a16="http://schemas.microsoft.com/office/drawing/2014/main" id="{00000000-0008-0000-0400-000082000000}"/>
                        </a:ext>
                      </a:extLst>
                    </xdr:cNvPr>
                    <xdr:cNvGrpSpPr/>
                  </xdr:nvGrpSpPr>
                  <xdr:grpSpPr>
                    <a:xfrm>
                      <a:off x="3048000" y="276224"/>
                      <a:ext cx="1969908" cy="2009960"/>
                      <a:chOff x="3048000" y="276224"/>
                      <a:chExt cx="1969908" cy="2009960"/>
                    </a:xfrm>
                  </xdr:grpSpPr>
                  <xdr:sp macro="" textlink="">
                    <xdr:nvSpPr>
                      <xdr:cNvPr id="115" name="114 Rectángulo">
                        <a:extLst>
                          <a:ext uri="{FF2B5EF4-FFF2-40B4-BE49-F238E27FC236}">
                            <a16:creationId xmlns:a16="http://schemas.microsoft.com/office/drawing/2014/main" id="{00000000-0008-0000-0400-000073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79795" y="938215"/>
                        <a:ext cx="138113" cy="814387"/>
                      </a:xfrm>
                      <a:prstGeom prst="rect">
                        <a:avLst/>
                      </a:prstGeom>
                      <a:solidFill>
                        <a:schemeClr val="tx1"/>
                      </a:solidFill>
                      <a:ln w="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rtlCol="0" anchor="ctr"/>
                      <a:lstStyle/>
                      <a:p>
                        <a:pPr algn="ctr"/>
                        <a:endParaRPr lang="es-ES" sz="1100"/>
                      </a:p>
                    </xdr:txBody>
                  </xdr:sp>
                  <xdr:cxnSp macro="">
                    <xdr:nvCxnSpPr>
                      <xdr:cNvPr id="117" name="116 Conector recto">
                        <a:extLst>
                          <a:ext uri="{FF2B5EF4-FFF2-40B4-BE49-F238E27FC236}">
                            <a16:creationId xmlns:a16="http://schemas.microsoft.com/office/drawing/2014/main" id="{00000000-0008-0000-0400-000075000000}"/>
                          </a:ext>
                        </a:extLst>
                      </xdr:cNvPr>
                      <xdr:cNvCxnSpPr/>
                    </xdr:nvCxnSpPr>
                    <xdr:spPr>
                      <a:xfrm flipH="1">
                        <a:off x="4946428" y="385763"/>
                        <a:ext cx="4762" cy="1890713"/>
                      </a:xfrm>
                      <a:prstGeom prst="line">
                        <a:avLst/>
                      </a:prstGeom>
                      <a:ln w="9525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20" name="119 Conector recto">
                        <a:extLst>
                          <a:ext uri="{FF2B5EF4-FFF2-40B4-BE49-F238E27FC236}">
                            <a16:creationId xmlns:a16="http://schemas.microsoft.com/office/drawing/2014/main" id="{00000000-0008-0000-0400-000078000000}"/>
                          </a:ext>
                        </a:extLst>
                      </xdr:cNvPr>
                      <xdr:cNvCxnSpPr/>
                    </xdr:nvCxnSpPr>
                    <xdr:spPr>
                      <a:xfrm flipV="1">
                        <a:off x="3052750" y="2276470"/>
                        <a:ext cx="1892428" cy="9714"/>
                      </a:xfrm>
                      <a:prstGeom prst="line">
                        <a:avLst/>
                      </a:prstGeom>
                      <a:ln w="9525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grpSp>
                    <xdr:nvGrpSpPr>
                      <xdr:cNvPr id="129" name="128 Grupo">
                        <a:extLst>
                          <a:ext uri="{FF2B5EF4-FFF2-40B4-BE49-F238E27FC236}">
                            <a16:creationId xmlns:a16="http://schemas.microsoft.com/office/drawing/2014/main" id="{00000000-0008-0000-0400-00008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3048000" y="276224"/>
                        <a:ext cx="1901905" cy="109533"/>
                        <a:chOff x="3048000" y="276224"/>
                        <a:chExt cx="1901905" cy="109533"/>
                      </a:xfrm>
                    </xdr:grpSpPr>
                    <xdr:cxnSp macro="">
                      <xdr:nvCxnSpPr>
                        <xdr:cNvPr id="119" name="118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77000000}"/>
                            </a:ext>
                          </a:extLst>
                        </xdr:cNvPr>
                        <xdr:cNvCxnSpPr/>
                      </xdr:nvCxnSpPr>
                      <xdr:spPr>
                        <a:xfrm>
                          <a:off x="3048000" y="381000"/>
                          <a:ext cx="757238" cy="0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25" name="124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7D000000}"/>
                            </a:ext>
                          </a:extLst>
                        </xdr:cNvPr>
                        <xdr:cNvCxnSpPr/>
                      </xdr:nvCxnSpPr>
                      <xdr:spPr>
                        <a:xfrm flipV="1">
                          <a:off x="3809999" y="276224"/>
                          <a:ext cx="295275" cy="100012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27" name="126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7F000000}"/>
                            </a:ext>
                          </a:extLst>
                        </xdr:cNvPr>
                        <xdr:cNvCxnSpPr/>
                      </xdr:nvCxnSpPr>
                      <xdr:spPr>
                        <a:xfrm>
                          <a:off x="4081647" y="381000"/>
                          <a:ext cx="868258" cy="4757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</xdr:grpSp>
                <xdr:grpSp>
                  <xdr:nvGrpSpPr>
                    <xdr:cNvPr id="152" name="151 Grupo">
                      <a:extLst>
                        <a:ext uri="{FF2B5EF4-FFF2-40B4-BE49-F238E27FC236}">
                          <a16:creationId xmlns:a16="http://schemas.microsoft.com/office/drawing/2014/main" id="{00000000-0008-0000-0400-000098000000}"/>
                        </a:ext>
                      </a:extLst>
                    </xdr:cNvPr>
                    <xdr:cNvGrpSpPr/>
                  </xdr:nvGrpSpPr>
                  <xdr:grpSpPr>
                    <a:xfrm>
                      <a:off x="1114409" y="261938"/>
                      <a:ext cx="1928812" cy="2024062"/>
                      <a:chOff x="1114409" y="261938"/>
                      <a:chExt cx="1928812" cy="2024062"/>
                    </a:xfrm>
                  </xdr:grpSpPr>
                  <xdr:grpSp>
                    <xdr:nvGrpSpPr>
                      <xdr:cNvPr id="143" name="142 Grupo">
                        <a:extLst>
                          <a:ext uri="{FF2B5EF4-FFF2-40B4-BE49-F238E27FC236}">
                            <a16:creationId xmlns:a16="http://schemas.microsoft.com/office/drawing/2014/main" id="{00000000-0008-0000-0400-00008F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33526" y="261938"/>
                        <a:ext cx="1509695" cy="123825"/>
                        <a:chOff x="1533526" y="261938"/>
                        <a:chExt cx="1509695" cy="123825"/>
                      </a:xfrm>
                    </xdr:grpSpPr>
                    <xdr:cxnSp macro="">
                      <xdr:nvCxnSpPr>
                        <xdr:cNvPr id="134" name="133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86000000}"/>
                            </a:ext>
                          </a:extLst>
                        </xdr:cNvPr>
                        <xdr:cNvCxnSpPr/>
                      </xdr:nvCxnSpPr>
                      <xdr:spPr>
                        <a:xfrm>
                          <a:off x="2286000" y="376238"/>
                          <a:ext cx="757221" cy="4549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37" name="136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89000000}"/>
                            </a:ext>
                          </a:extLst>
                        </xdr:cNvPr>
                        <xdr:cNvCxnSpPr/>
                      </xdr:nvCxnSpPr>
                      <xdr:spPr>
                        <a:xfrm flipV="1">
                          <a:off x="1943100" y="261938"/>
                          <a:ext cx="352425" cy="123825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41" name="140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8D000000}"/>
                            </a:ext>
                          </a:extLst>
                        </xdr:cNvPr>
                        <xdr:cNvCxnSpPr/>
                      </xdr:nvCxnSpPr>
                      <xdr:spPr>
                        <a:xfrm>
                          <a:off x="1533526" y="376238"/>
                          <a:ext cx="433387" cy="4762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  <xdr:cxnSp macro="">
                    <xdr:nvCxnSpPr>
                      <xdr:cNvPr id="145" name="144 Conector recto">
                        <a:extLst>
                          <a:ext uri="{FF2B5EF4-FFF2-40B4-BE49-F238E27FC236}">
                            <a16:creationId xmlns:a16="http://schemas.microsoft.com/office/drawing/2014/main" id="{00000000-0008-0000-0400-000091000000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1528763" y="381001"/>
                        <a:ext cx="0" cy="771524"/>
                      </a:xfrm>
                      <a:prstGeom prst="line">
                        <a:avLst/>
                      </a:prstGeom>
                      <a:ln w="9525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46" name="145 Conector recto">
                        <a:extLst>
                          <a:ext uri="{FF2B5EF4-FFF2-40B4-BE49-F238E27FC236}">
                            <a16:creationId xmlns:a16="http://schemas.microsoft.com/office/drawing/2014/main" id="{00000000-0008-0000-0400-000092000000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1523984" y="1528868"/>
                        <a:ext cx="16" cy="757132"/>
                      </a:xfrm>
                      <a:prstGeom prst="line">
                        <a:avLst/>
                      </a:prstGeom>
                      <a:ln w="9525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50" name="149 Conector recto">
                        <a:extLst>
                          <a:ext uri="{FF2B5EF4-FFF2-40B4-BE49-F238E27FC236}">
                            <a16:creationId xmlns:a16="http://schemas.microsoft.com/office/drawing/2014/main" id="{00000000-0008-0000-0400-000096000000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1114425" y="1147763"/>
                        <a:ext cx="414338" cy="0"/>
                      </a:xfrm>
                      <a:prstGeom prst="line">
                        <a:avLst/>
                      </a:prstGeom>
                      <a:ln w="9525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51" name="150 Conector recto">
                        <a:extLst>
                          <a:ext uri="{FF2B5EF4-FFF2-40B4-BE49-F238E27FC236}">
                            <a16:creationId xmlns:a16="http://schemas.microsoft.com/office/drawing/2014/main" id="{00000000-0008-0000-0400-000097000000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1114409" y="1528787"/>
                        <a:ext cx="414338" cy="0"/>
                      </a:xfrm>
                      <a:prstGeom prst="line">
                        <a:avLst/>
                      </a:prstGeom>
                      <a:ln w="9525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32" name="131 Conector recto">
                        <a:extLst>
                          <a:ext uri="{FF2B5EF4-FFF2-40B4-BE49-F238E27FC236}">
                            <a16:creationId xmlns:a16="http://schemas.microsoft.com/office/drawing/2014/main" id="{00000000-0008-0000-0400-000084000000}"/>
                          </a:ext>
                        </a:extLst>
                      </xdr:cNvPr>
                      <xdr:cNvCxnSpPr/>
                    </xdr:nvCxnSpPr>
                    <xdr:spPr>
                      <a:xfrm flipV="1">
                        <a:off x="1528763" y="2281238"/>
                        <a:ext cx="1504950" cy="4762"/>
                      </a:xfrm>
                      <a:prstGeom prst="line">
                        <a:avLst/>
                      </a:prstGeom>
                      <a:ln w="9525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</xdr:grpSp>
            </xdr:grpSp>
            <xdr:grpSp>
              <xdr:nvGrpSpPr>
                <xdr:cNvPr id="178" name="177 Grupo">
                  <a:extLst>
                    <a:ext uri="{FF2B5EF4-FFF2-40B4-BE49-F238E27FC236}">
                      <a16:creationId xmlns:a16="http://schemas.microsoft.com/office/drawing/2014/main" id="{00000000-0008-0000-0400-0000B2000000}"/>
                    </a:ext>
                  </a:extLst>
                </xdr:cNvPr>
                <xdr:cNvGrpSpPr/>
              </xdr:nvGrpSpPr>
              <xdr:grpSpPr>
                <a:xfrm>
                  <a:off x="2507243" y="1719272"/>
                  <a:ext cx="1893307" cy="1904991"/>
                  <a:chOff x="2507243" y="1719272"/>
                  <a:chExt cx="1893307" cy="1904991"/>
                </a:xfrm>
              </xdr:grpSpPr>
              <xdr:sp macro="" textlink="">
                <xdr:nvSpPr>
                  <xdr:cNvPr id="123" name="122 Rectángulo">
                    <a:extLst>
                      <a:ext uri="{FF2B5EF4-FFF2-40B4-BE49-F238E27FC236}">
                        <a16:creationId xmlns:a16="http://schemas.microsoft.com/office/drawing/2014/main" id="{00000000-0008-0000-0400-00007B000000}"/>
                      </a:ext>
                    </a:extLst>
                  </xdr:cNvPr>
                  <xdr:cNvSpPr/>
                </xdr:nvSpPr>
                <xdr:spPr>
                  <a:xfrm>
                    <a:off x="2507243" y="1809322"/>
                    <a:ext cx="1893307" cy="1695451"/>
                  </a:xfrm>
                  <a:prstGeom prst="rect">
                    <a:avLst/>
                  </a:prstGeom>
                  <a:solidFill>
                    <a:schemeClr val="accent1">
                      <a:alpha val="0"/>
                    </a:schemeClr>
                  </a:solidFill>
                  <a:ln w="0">
                    <a:solidFill>
                      <a:schemeClr val="tx1"/>
                    </a:solidFill>
                    <a:prstDash val="lgDash"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rtlCol="0" anchor="ctr"/>
                  <a:lstStyle/>
                  <a:p>
                    <a:pPr algn="ctr"/>
                    <a:endParaRPr lang="es-ES" sz="1100"/>
                  </a:p>
                </xdr:txBody>
              </xdr:sp>
              <xdr:grpSp>
                <xdr:nvGrpSpPr>
                  <xdr:cNvPr id="176" name="175 Grupo">
                    <a:extLst>
                      <a:ext uri="{FF2B5EF4-FFF2-40B4-BE49-F238E27FC236}">
                        <a16:creationId xmlns:a16="http://schemas.microsoft.com/office/drawing/2014/main" id="{00000000-0008-0000-0400-0000B0000000}"/>
                      </a:ext>
                    </a:extLst>
                  </xdr:cNvPr>
                  <xdr:cNvGrpSpPr/>
                </xdr:nvGrpSpPr>
                <xdr:grpSpPr>
                  <a:xfrm>
                    <a:off x="2606203" y="1719272"/>
                    <a:ext cx="1615771" cy="1904991"/>
                    <a:chOff x="1848886" y="3629235"/>
                    <a:chExt cx="1615771" cy="1904991"/>
                  </a:xfrm>
                </xdr:grpSpPr>
                <xdr:grpSp>
                  <xdr:nvGrpSpPr>
                    <xdr:cNvPr id="175" name="174 Grupo">
                      <a:extLst>
                        <a:ext uri="{FF2B5EF4-FFF2-40B4-BE49-F238E27FC236}">
                          <a16:creationId xmlns:a16="http://schemas.microsoft.com/office/drawing/2014/main" id="{00000000-0008-0000-0400-0000AF000000}"/>
                        </a:ext>
                      </a:extLst>
                    </xdr:cNvPr>
                    <xdr:cNvGrpSpPr/>
                  </xdr:nvGrpSpPr>
                  <xdr:grpSpPr>
                    <a:xfrm>
                      <a:off x="2283904" y="3629235"/>
                      <a:ext cx="1164146" cy="1904991"/>
                      <a:chOff x="2283904" y="3629235"/>
                      <a:chExt cx="1164146" cy="1904991"/>
                    </a:xfrm>
                  </xdr:grpSpPr>
                  <xdr:grpSp>
                    <xdr:nvGrpSpPr>
                      <xdr:cNvPr id="108" name="107 Grupo">
                        <a:extLst>
                          <a:ext uri="{FF2B5EF4-FFF2-40B4-BE49-F238E27FC236}">
                            <a16:creationId xmlns:a16="http://schemas.microsoft.com/office/drawing/2014/main" id="{00000000-0008-0000-0400-00006C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2283904" y="3629235"/>
                        <a:ext cx="6832" cy="1904991"/>
                        <a:chOff x="2281194" y="390526"/>
                        <a:chExt cx="6779" cy="1904991"/>
                      </a:xfrm>
                    </xdr:grpSpPr>
                    <xdr:cxnSp macro="">
                      <xdr:nvCxnSpPr>
                        <xdr:cNvPr id="106" name="105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6A000000}"/>
                            </a:ext>
                          </a:extLst>
                        </xdr:cNvPr>
                        <xdr:cNvCxnSpPr/>
                      </xdr:nvCxnSpPr>
                      <xdr:spPr>
                        <a:xfrm>
                          <a:off x="2281194" y="390526"/>
                          <a:ext cx="0" cy="180000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  <a:headEnd type="oval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07" name="106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6B000000}"/>
                            </a:ext>
                          </a:extLst>
                        </xdr:cNvPr>
                        <xdr:cNvCxnSpPr/>
                      </xdr:nvCxnSpPr>
                      <xdr:spPr>
                        <a:xfrm>
                          <a:off x="2285941" y="2095664"/>
                          <a:ext cx="2032" cy="199853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  <a:tailEnd type="oval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  <xdr:cxnSp macro="">
                    <xdr:nvCxnSpPr>
                      <xdr:cNvPr id="97" name="96 Conector recto">
                        <a:extLst>
                          <a:ext uri="{FF2B5EF4-FFF2-40B4-BE49-F238E27FC236}">
                            <a16:creationId xmlns:a16="http://schemas.microsoft.com/office/drawing/2014/main" id="{00000000-0008-0000-0400-000061000000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2288730" y="3810006"/>
                        <a:ext cx="1159320" cy="9519"/>
                      </a:xfrm>
                      <a:prstGeom prst="line">
                        <a:avLst/>
                      </a:prstGeom>
                      <a:ln w="9525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00" name="99 Conector recto">
                        <a:extLst>
                          <a:ext uri="{FF2B5EF4-FFF2-40B4-BE49-F238E27FC236}">
                            <a16:creationId xmlns:a16="http://schemas.microsoft.com/office/drawing/2014/main" id="{00000000-0008-0000-0400-000064000000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2293477" y="5327667"/>
                        <a:ext cx="1145048" cy="6333"/>
                      </a:xfrm>
                      <a:prstGeom prst="line">
                        <a:avLst/>
                      </a:prstGeom>
                      <a:ln w="9525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  <xdr:grpSp>
                  <xdr:nvGrpSpPr>
                    <xdr:cNvPr id="170" name="169 Grupo">
                      <a:extLst>
                        <a:ext uri="{FF2B5EF4-FFF2-40B4-BE49-F238E27FC236}">
                          <a16:creationId xmlns:a16="http://schemas.microsoft.com/office/drawing/2014/main" id="{00000000-0008-0000-0400-0000AA000000}"/>
                        </a:ext>
                      </a:extLst>
                    </xdr:cNvPr>
                    <xdr:cNvGrpSpPr/>
                  </xdr:nvGrpSpPr>
                  <xdr:grpSpPr>
                    <a:xfrm>
                      <a:off x="2975628" y="3809460"/>
                      <a:ext cx="489029" cy="1524540"/>
                      <a:chOff x="2975628" y="3809460"/>
                      <a:chExt cx="489029" cy="1524540"/>
                    </a:xfrm>
                  </xdr:grpSpPr>
                  <xdr:grpSp>
                    <xdr:nvGrpSpPr>
                      <xdr:cNvPr id="91" name="90 Grupo">
                        <a:extLst>
                          <a:ext uri="{FF2B5EF4-FFF2-40B4-BE49-F238E27FC236}">
                            <a16:creationId xmlns:a16="http://schemas.microsoft.com/office/drawing/2014/main" id="{00000000-0008-0000-0400-00005B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3428568" y="3809460"/>
                        <a:ext cx="36089" cy="1524540"/>
                        <a:chOff x="4547614" y="572032"/>
                        <a:chExt cx="36000" cy="1907692"/>
                      </a:xfrm>
                    </xdr:grpSpPr>
                    <xdr:cxnSp macro="">
                      <xdr:nvCxnSpPr>
                        <xdr:cNvPr id="92" name="91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5C000000}"/>
                            </a:ext>
                          </a:extLst>
                        </xdr:cNvPr>
                        <xdr:cNvCxnSpPr/>
                      </xdr:nvCxnSpPr>
                      <xdr:spPr>
                        <a:xfrm flipH="1">
                          <a:off x="4566999" y="572032"/>
                          <a:ext cx="216" cy="1907692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sp macro="" textlink="">
                      <xdr:nvSpPr>
                        <xdr:cNvPr id="93" name="92 Rectángulo">
                          <a:extLst>
                            <a:ext uri="{FF2B5EF4-FFF2-40B4-BE49-F238E27FC236}">
                              <a16:creationId xmlns:a16="http://schemas.microsoft.com/office/drawing/2014/main" id="{00000000-0008-0000-0400-00005D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547614" y="2180152"/>
                          <a:ext cx="36000" cy="144000"/>
                        </a:xfrm>
                        <a:prstGeom prst="rect">
                          <a:avLst/>
                        </a:prstGeom>
                        <a:solidFill>
                          <a:schemeClr val="tx1"/>
                        </a:solidFill>
                        <a:ln w="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rtlCol="0" anchor="ctr"/>
                        <a:lstStyle/>
                        <a:p>
                          <a:pPr algn="ctr"/>
                          <a:endParaRPr lang="es-ES" sz="1100"/>
                        </a:p>
                      </xdr:txBody>
                    </xdr:sp>
                  </xdr:grpSp>
                  <xdr:grpSp>
                    <xdr:nvGrpSpPr>
                      <xdr:cNvPr id="96" name="95 Grupo">
                        <a:extLst>
                          <a:ext uri="{FF2B5EF4-FFF2-40B4-BE49-F238E27FC236}">
                            <a16:creationId xmlns:a16="http://schemas.microsoft.com/office/drawing/2014/main" id="{00000000-0008-0000-0400-000060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2975628" y="3814763"/>
                        <a:ext cx="144352" cy="1514475"/>
                        <a:chOff x="3742471" y="1928615"/>
                        <a:chExt cx="144352" cy="1514475"/>
                      </a:xfrm>
                    </xdr:grpSpPr>
                    <xdr:grpSp>
                      <xdr:nvGrpSpPr>
                        <xdr:cNvPr id="94" name="93 Grupo">
                          <a:extLst>
                            <a:ext uri="{FF2B5EF4-FFF2-40B4-BE49-F238E27FC236}">
                              <a16:creationId xmlns:a16="http://schemas.microsoft.com/office/drawing/2014/main" id="{00000000-0008-0000-0400-00005E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3742471" y="1928615"/>
                          <a:ext cx="144352" cy="1514475"/>
                          <a:chOff x="4106169" y="607012"/>
                          <a:chExt cx="143998" cy="1895097"/>
                        </a:xfrm>
                      </xdr:grpSpPr>
                      <xdr:grpSp>
                        <xdr:nvGrpSpPr>
                          <xdr:cNvPr id="86" name="85 Grupo">
                            <a:extLst>
                              <a:ext uri="{FF2B5EF4-FFF2-40B4-BE49-F238E27FC236}">
                                <a16:creationId xmlns:a16="http://schemas.microsoft.com/office/drawing/2014/main" id="{00000000-0008-0000-0400-00005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 rot="10800000">
                            <a:off x="4106169" y="1734160"/>
                            <a:ext cx="143998" cy="105428"/>
                            <a:chOff x="3373488" y="1327547"/>
                            <a:chExt cx="143998" cy="105428"/>
                          </a:xfrm>
                        </xdr:grpSpPr>
                        <xdr:sp macro="" textlink="">
                          <xdr:nvSpPr>
                            <xdr:cNvPr id="81" name="80 Triángulo isósceles">
                              <a:extLst>
                                <a:ext uri="{FF2B5EF4-FFF2-40B4-BE49-F238E27FC236}">
                                  <a16:creationId xmlns:a16="http://schemas.microsoft.com/office/drawing/2014/main" id="{00000000-0008-0000-0400-000051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 rot="10800000">
                              <a:off x="3398382" y="1327547"/>
                              <a:ext cx="104774" cy="66674"/>
                            </a:xfrm>
                            <a:prstGeom prst="triangle">
                              <a:avLst/>
                            </a:prstGeom>
                            <a:solidFill>
                              <a:schemeClr val="tx1"/>
                            </a:solidFill>
                            <a:ln w="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rtlCol="0" anchor="ctr"/>
                            <a:lstStyle/>
                            <a:p>
                              <a:pPr algn="ctr"/>
                              <a:endParaRPr lang="es-ES" sz="1100"/>
                            </a:p>
                          </xdr:txBody>
                        </xdr:sp>
                        <xdr:cxnSp macro="">
                          <xdr:nvCxnSpPr>
                            <xdr:cNvPr id="83" name="82 Conector angular">
                              <a:extLst>
                                <a:ext uri="{FF2B5EF4-FFF2-40B4-BE49-F238E27FC236}">
                                  <a16:creationId xmlns:a16="http://schemas.microsoft.com/office/drawing/2014/main" id="{00000000-0008-0000-0400-000053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 rot="5400000" flipH="1">
                              <a:off x="3409487" y="1324976"/>
                              <a:ext cx="72000" cy="143998"/>
                            </a:xfrm>
                            <a:prstGeom prst="bentConnector3">
                              <a:avLst>
                                <a:gd name="adj1" fmla="val 50000"/>
                              </a:avLst>
                            </a:prstGeom>
                            <a:ln w="1270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  <xdr:grpSp>
                        <xdr:nvGrpSpPr>
                          <xdr:cNvPr id="90" name="89 Grupo">
                            <a:extLst>
                              <a:ext uri="{FF2B5EF4-FFF2-40B4-BE49-F238E27FC236}">
                                <a16:creationId xmlns:a16="http://schemas.microsoft.com/office/drawing/2014/main" id="{00000000-0008-0000-0400-00005A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164426" y="607012"/>
                            <a:ext cx="36000" cy="1895097"/>
                            <a:chOff x="4164426" y="607012"/>
                            <a:chExt cx="36000" cy="1895097"/>
                          </a:xfrm>
                        </xdr:grpSpPr>
                        <xdr:cxnSp macro="">
                          <xdr:nvCxnSpPr>
                            <xdr:cNvPr id="88" name="87 Conector recto">
                              <a:extLst>
                                <a:ext uri="{FF2B5EF4-FFF2-40B4-BE49-F238E27FC236}">
                                  <a16:creationId xmlns:a16="http://schemas.microsoft.com/office/drawing/2014/main" id="{00000000-0008-0000-0400-000058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 flipH="1">
                              <a:off x="4183114" y="607012"/>
                              <a:ext cx="1" cy="1895097"/>
                            </a:xfrm>
                            <a:prstGeom prst="line">
                              <a:avLst/>
                            </a:prstGeom>
                            <a:ln w="9525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sp macro="" textlink="">
                          <xdr:nvSpPr>
                            <xdr:cNvPr id="89" name="88 Rectángulo">
                              <a:extLst>
                                <a:ext uri="{FF2B5EF4-FFF2-40B4-BE49-F238E27FC236}">
                                  <a16:creationId xmlns:a16="http://schemas.microsoft.com/office/drawing/2014/main" id="{00000000-0008-0000-0400-00005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164426" y="1977512"/>
                              <a:ext cx="36000" cy="144000"/>
                            </a:xfrm>
                            <a:prstGeom prst="rect">
                              <a:avLst/>
                            </a:prstGeom>
                            <a:solidFill>
                              <a:schemeClr val="tx1"/>
                            </a:solidFill>
                            <a:ln w="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rtlCol="0" anchor="ctr"/>
                            <a:lstStyle/>
                            <a:p>
                              <a:pPr algn="ctr"/>
                              <a:endParaRPr lang="es-ES" sz="1100"/>
                            </a:p>
                          </xdr:txBody>
                        </xdr:sp>
                      </xdr:grpSp>
                    </xdr:grpSp>
                    <xdr:grpSp>
                      <xdr:nvGrpSpPr>
                        <xdr:cNvPr id="138" name="137 Grupo">
                          <a:extLst>
                            <a:ext uri="{FF2B5EF4-FFF2-40B4-BE49-F238E27FC236}">
                              <a16:creationId xmlns:a16="http://schemas.microsoft.com/office/drawing/2014/main" id="{00000000-0008-0000-0400-00008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3746664" y="2586151"/>
                          <a:ext cx="134377" cy="57063"/>
                          <a:chOff x="5257911" y="2100376"/>
                          <a:chExt cx="133347" cy="57063"/>
                        </a:xfrm>
                      </xdr:grpSpPr>
                      <xdr:sp macro="" textlink="">
                        <xdr:nvSpPr>
                          <xdr:cNvPr id="131" name="130 Triángulo isósceles">
                            <a:extLst>
                              <a:ext uri="{FF2B5EF4-FFF2-40B4-BE49-F238E27FC236}">
                                <a16:creationId xmlns:a16="http://schemas.microsoft.com/office/drawing/2014/main" id="{00000000-0008-0000-0400-000083000000}"/>
                              </a:ext>
                            </a:extLst>
                          </xdr:cNvPr>
                          <xdr:cNvSpPr/>
                        </xdr:nvSpPr>
                        <xdr:spPr>
                          <a:xfrm rot="10800000">
                            <a:off x="5267749" y="2100376"/>
                            <a:ext cx="104227" cy="53283"/>
                          </a:xfrm>
                          <a:prstGeom prst="triangle">
                            <a:avLst/>
                          </a:prstGeom>
                          <a:solidFill>
                            <a:schemeClr val="tx1"/>
                          </a:solidFill>
                          <a:ln w="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rtlCol="0" anchor="ctr"/>
                          <a:lstStyle/>
                          <a:p>
                            <a:pPr algn="ctr"/>
                            <a:endParaRPr lang="es-ES" sz="1100"/>
                          </a:p>
                        </xdr:txBody>
                      </xdr:sp>
                      <xdr:cxnSp macro="">
                        <xdr:nvCxnSpPr>
                          <xdr:cNvPr id="135" name="134 Conector recto">
                            <a:extLst>
                              <a:ext uri="{FF2B5EF4-FFF2-40B4-BE49-F238E27FC236}">
                                <a16:creationId xmlns:a16="http://schemas.microsoft.com/office/drawing/2014/main" id="{00000000-0008-0000-0400-000087000000}"/>
                              </a:ext>
                            </a:extLst>
                          </xdr:cNvPr>
                          <xdr:cNvCxnSpPr/>
                        </xdr:nvCxnSpPr>
                        <xdr:spPr>
                          <a:xfrm>
                            <a:off x="5257911" y="2157379"/>
                            <a:ext cx="133347" cy="60"/>
                          </a:xfrm>
                          <a:prstGeom prst="line">
                            <a:avLst/>
                          </a:prstGeom>
                          <a:ln w="15875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</xdr:grpSp>
                  </xdr:grpSp>
                </xdr:grpSp>
                <xdr:grpSp>
                  <xdr:nvGrpSpPr>
                    <xdr:cNvPr id="174" name="173 Grupo">
                      <a:extLst>
                        <a:ext uri="{FF2B5EF4-FFF2-40B4-BE49-F238E27FC236}">
                          <a16:creationId xmlns:a16="http://schemas.microsoft.com/office/drawing/2014/main" id="{00000000-0008-0000-0400-0000AE000000}"/>
                        </a:ext>
                      </a:extLst>
                    </xdr:cNvPr>
                    <xdr:cNvGrpSpPr/>
                  </xdr:nvGrpSpPr>
                  <xdr:grpSpPr>
                    <a:xfrm>
                      <a:off x="1848886" y="3809048"/>
                      <a:ext cx="883204" cy="1522389"/>
                      <a:chOff x="1848886" y="3809048"/>
                      <a:chExt cx="883204" cy="1522389"/>
                    </a:xfrm>
                  </xdr:grpSpPr>
                  <xdr:grpSp>
                    <xdr:nvGrpSpPr>
                      <xdr:cNvPr id="169" name="168 Grupo">
                        <a:extLst>
                          <a:ext uri="{FF2B5EF4-FFF2-40B4-BE49-F238E27FC236}">
                            <a16:creationId xmlns:a16="http://schemas.microsoft.com/office/drawing/2014/main" id="{00000000-0008-0000-0400-0000A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848886" y="3809048"/>
                        <a:ext cx="883204" cy="1522389"/>
                        <a:chOff x="1848886" y="3809048"/>
                        <a:chExt cx="883204" cy="1522389"/>
                      </a:xfrm>
                    </xdr:grpSpPr>
                    <xdr:grpSp>
                      <xdr:nvGrpSpPr>
                        <xdr:cNvPr id="160" name="159 Grupo">
                          <a:extLst>
                            <a:ext uri="{FF2B5EF4-FFF2-40B4-BE49-F238E27FC236}">
                              <a16:creationId xmlns:a16="http://schemas.microsoft.com/office/drawing/2014/main" id="{00000000-0008-0000-0400-0000A0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1920390" y="3809048"/>
                          <a:ext cx="738000" cy="392015"/>
                          <a:chOff x="1920390" y="3809048"/>
                          <a:chExt cx="738000" cy="392015"/>
                        </a:xfrm>
                      </xdr:grpSpPr>
                      <xdr:cxnSp macro="">
                        <xdr:nvCxnSpPr>
                          <xdr:cNvPr id="54" name="53 Conector recto">
                            <a:extLst>
                              <a:ext uri="{FF2B5EF4-FFF2-40B4-BE49-F238E27FC236}">
                                <a16:creationId xmlns:a16="http://schemas.microsoft.com/office/drawing/2014/main" id="{00000000-0008-0000-0400-000036000000}"/>
                              </a:ext>
                            </a:extLst>
                          </xdr:cNvPr>
                          <xdr:cNvCxnSpPr/>
                        </xdr:nvCxnSpPr>
                        <xdr:spPr>
                          <a:xfrm>
                            <a:off x="1920390" y="4194117"/>
                            <a:ext cx="738000" cy="0"/>
                          </a:xfrm>
                          <a:prstGeom prst="line">
                            <a:avLst/>
                          </a:prstGeom>
                          <a:ln w="9525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grpSp>
                        <xdr:nvGrpSpPr>
                          <xdr:cNvPr id="159" name="158 Grupo">
                            <a:extLst>
                              <a:ext uri="{FF2B5EF4-FFF2-40B4-BE49-F238E27FC236}">
                                <a16:creationId xmlns:a16="http://schemas.microsoft.com/office/drawing/2014/main" id="{00000000-0008-0000-0400-00009F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2263539" y="3809048"/>
                            <a:ext cx="45832" cy="392015"/>
                            <a:chOff x="2263539" y="3809048"/>
                            <a:chExt cx="45832" cy="392015"/>
                          </a:xfrm>
                        </xdr:grpSpPr>
                        <xdr:cxnSp macro="">
                          <xdr:nvCxnSpPr>
                            <xdr:cNvPr id="70" name="69 Conector recto">
                              <a:extLst>
                                <a:ext uri="{FF2B5EF4-FFF2-40B4-BE49-F238E27FC236}">
                                  <a16:creationId xmlns:a16="http://schemas.microsoft.com/office/drawing/2014/main" id="{00000000-0008-0000-0400-000046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 flipH="1">
                              <a:off x="2287283" y="3809048"/>
                              <a:ext cx="1" cy="392015"/>
                            </a:xfrm>
                            <a:prstGeom prst="line">
                              <a:avLst/>
                            </a:prstGeom>
                            <a:ln w="9525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sp macro="" textlink="">
                          <xdr:nvSpPr>
                            <xdr:cNvPr id="63" name="62 Rectángulo">
                              <a:extLst>
                                <a:ext uri="{FF2B5EF4-FFF2-40B4-BE49-F238E27FC236}">
                                  <a16:creationId xmlns:a16="http://schemas.microsoft.com/office/drawing/2014/main" id="{00000000-0008-0000-0400-00003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2263539" y="3911732"/>
                              <a:ext cx="45832" cy="171269"/>
                            </a:xfrm>
                            <a:prstGeom prst="rect">
                              <a:avLst/>
                            </a:prstGeom>
                            <a:solidFill>
                              <a:schemeClr val="tx1"/>
                            </a:solidFill>
                            <a:ln w="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rtlCol="0" anchor="ctr"/>
                            <a:lstStyle/>
                            <a:p>
                              <a:pPr algn="ctr"/>
                              <a:endParaRPr lang="es-ES" sz="1100"/>
                            </a:p>
                          </xdr:txBody>
                        </xdr:sp>
                      </xdr:grpSp>
                    </xdr:grpSp>
                    <xdr:grpSp>
                      <xdr:nvGrpSpPr>
                        <xdr:cNvPr id="161" name="160 Grupo">
                          <a:extLst>
                            <a:ext uri="{FF2B5EF4-FFF2-40B4-BE49-F238E27FC236}">
                              <a16:creationId xmlns:a16="http://schemas.microsoft.com/office/drawing/2014/main" id="{00000000-0008-0000-0400-0000A1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1925206" y="4953201"/>
                          <a:ext cx="732190" cy="378236"/>
                          <a:chOff x="1925206" y="4953201"/>
                          <a:chExt cx="732190" cy="378236"/>
                        </a:xfrm>
                      </xdr:grpSpPr>
                      <xdr:grpSp>
                        <xdr:nvGrpSpPr>
                          <xdr:cNvPr id="10" name="9 Grupo">
                            <a:extLst>
                              <a:ext uri="{FF2B5EF4-FFF2-40B4-BE49-F238E27FC236}">
                                <a16:creationId xmlns:a16="http://schemas.microsoft.com/office/drawing/2014/main" id="{00000000-0008-0000-0400-00000A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2048569" y="5053620"/>
                            <a:ext cx="505240" cy="71924"/>
                            <a:chOff x="2084930" y="1843081"/>
                            <a:chExt cx="452533" cy="66682"/>
                          </a:xfrm>
                        </xdr:grpSpPr>
                        <xdr:cxnSp macro="">
                          <xdr:nvCxnSpPr>
                            <xdr:cNvPr id="4" name="3 Conector recto">
                              <a:extLst>
                                <a:ext uri="{FF2B5EF4-FFF2-40B4-BE49-F238E27FC236}">
                                  <a16:creationId xmlns:a16="http://schemas.microsoft.com/office/drawing/2014/main" id="{00000000-0008-0000-0400-000004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>
                              <a:off x="2184505" y="1843081"/>
                              <a:ext cx="242888" cy="0"/>
                            </a:xfrm>
                            <a:prstGeom prst="line">
                              <a:avLst/>
                            </a:prstGeom>
                            <a:ln w="3810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6" name="5 Conector recto">
                              <a:extLst>
                                <a:ext uri="{FF2B5EF4-FFF2-40B4-BE49-F238E27FC236}">
                                  <a16:creationId xmlns:a16="http://schemas.microsoft.com/office/drawing/2014/main" id="{00000000-0008-0000-0400-000006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>
                              <a:off x="2084930" y="1909748"/>
                              <a:ext cx="452533" cy="15"/>
                            </a:xfrm>
                            <a:prstGeom prst="line">
                              <a:avLst/>
                            </a:prstGeom>
                            <a:ln w="3810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  <xdr:grpSp>
                        <xdr:nvGrpSpPr>
                          <xdr:cNvPr id="158" name="157 Grupo">
                            <a:extLst>
                              <a:ext uri="{FF2B5EF4-FFF2-40B4-BE49-F238E27FC236}">
                                <a16:creationId xmlns:a16="http://schemas.microsoft.com/office/drawing/2014/main" id="{00000000-0008-0000-0400-00009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1925206" y="4953201"/>
                            <a:ext cx="732190" cy="90629"/>
                            <a:chOff x="1925206" y="4953201"/>
                            <a:chExt cx="732190" cy="90629"/>
                          </a:xfrm>
                        </xdr:grpSpPr>
                        <xdr:cxnSp macro="">
                          <xdr:nvCxnSpPr>
                            <xdr:cNvPr id="44" name="43 Conector recto">
                              <a:extLst>
                                <a:ext uri="{FF2B5EF4-FFF2-40B4-BE49-F238E27FC236}">
                                  <a16:creationId xmlns:a16="http://schemas.microsoft.com/office/drawing/2014/main" id="{00000000-0008-0000-0400-00002C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 flipV="1">
                              <a:off x="1925206" y="4953201"/>
                              <a:ext cx="732190" cy="1569"/>
                            </a:xfrm>
                            <a:prstGeom prst="line">
                              <a:avLst/>
                            </a:prstGeom>
                            <a:ln w="9525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58" name="57 Conector recto">
                              <a:extLst>
                                <a:ext uri="{FF2B5EF4-FFF2-40B4-BE49-F238E27FC236}">
                                  <a16:creationId xmlns:a16="http://schemas.microsoft.com/office/drawing/2014/main" id="{00000000-0008-0000-0400-00003A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>
                              <a:off x="2287329" y="4953830"/>
                              <a:ext cx="0" cy="90000"/>
                            </a:xfrm>
                            <a:prstGeom prst="line">
                              <a:avLst/>
                            </a:prstGeom>
                            <a:ln w="9525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  <xdr:cxnSp macro="">
                        <xdr:nvCxnSpPr>
                          <xdr:cNvPr id="76" name="75 Conector recto">
                            <a:extLst>
                              <a:ext uri="{FF2B5EF4-FFF2-40B4-BE49-F238E27FC236}">
                                <a16:creationId xmlns:a16="http://schemas.microsoft.com/office/drawing/2014/main" id="{00000000-0008-0000-0400-00004C000000}"/>
                              </a:ext>
                            </a:extLst>
                          </xdr:cNvPr>
                          <xdr:cNvCxnSpPr/>
                        </xdr:nvCxnSpPr>
                        <xdr:spPr>
                          <a:xfrm flipH="1">
                            <a:off x="2292083" y="5129721"/>
                            <a:ext cx="1" cy="201716"/>
                          </a:xfrm>
                          <a:prstGeom prst="line">
                            <a:avLst/>
                          </a:prstGeom>
                          <a:ln w="9525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</xdr:grpSp>
                    <xdr:grpSp>
                      <xdr:nvGrpSpPr>
                        <xdr:cNvPr id="128" name="127 Grupo">
                          <a:extLst>
                            <a:ext uri="{FF2B5EF4-FFF2-40B4-BE49-F238E27FC236}">
                              <a16:creationId xmlns:a16="http://schemas.microsoft.com/office/drawing/2014/main" id="{00000000-0008-0000-0400-000080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1848886" y="4194140"/>
                          <a:ext cx="144353" cy="756000"/>
                          <a:chOff x="1834594" y="4384660"/>
                          <a:chExt cx="144353" cy="756000"/>
                        </a:xfrm>
                      </xdr:grpSpPr>
                      <xdr:grpSp>
                        <xdr:nvGrpSpPr>
                          <xdr:cNvPr id="126" name="125 Grupo">
                            <a:extLst>
                              <a:ext uri="{FF2B5EF4-FFF2-40B4-BE49-F238E27FC236}">
                                <a16:creationId xmlns:a16="http://schemas.microsoft.com/office/drawing/2014/main" id="{00000000-0008-0000-0400-00007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1834594" y="4513382"/>
                            <a:ext cx="144353" cy="56877"/>
                            <a:chOff x="2110848" y="4513382"/>
                            <a:chExt cx="144353" cy="56877"/>
                          </a:xfrm>
                        </xdr:grpSpPr>
                        <xdr:sp macro="" textlink="">
                          <xdr:nvSpPr>
                            <xdr:cNvPr id="46" name="45 Triángulo isósceles">
                              <a:extLst>
                                <a:ext uri="{FF2B5EF4-FFF2-40B4-BE49-F238E27FC236}">
                                  <a16:creationId xmlns:a16="http://schemas.microsoft.com/office/drawing/2014/main" id="{00000000-0008-0000-0400-00002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 rot="10800000">
                              <a:off x="2148919" y="4513382"/>
                              <a:ext cx="66840" cy="49878"/>
                            </a:xfrm>
                            <a:prstGeom prst="triangle">
                              <a:avLst/>
                            </a:prstGeom>
                            <a:solidFill>
                              <a:schemeClr val="tx1"/>
                            </a:solidFill>
                            <a:ln w="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rtlCol="0" anchor="ctr"/>
                            <a:lstStyle/>
                            <a:p>
                              <a:pPr algn="ctr"/>
                              <a:endParaRPr lang="es-ES" sz="1100"/>
                            </a:p>
                          </xdr:txBody>
                        </xdr:sp>
                        <xdr:cxnSp macro="">
                          <xdr:nvCxnSpPr>
                            <xdr:cNvPr id="21" name="20 Conector recto">
                              <a:extLst>
                                <a:ext uri="{FF2B5EF4-FFF2-40B4-BE49-F238E27FC236}">
                                  <a16:creationId xmlns:a16="http://schemas.microsoft.com/office/drawing/2014/main" id="{00000000-0008-0000-0400-000015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>
                              <a:off x="2110848" y="4570259"/>
                              <a:ext cx="144353" cy="0"/>
                            </a:xfrm>
                            <a:prstGeom prst="line">
                              <a:avLst/>
                            </a:prstGeom>
                            <a:ln w="1270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  <xdr:cxnSp macro="">
                        <xdr:nvCxnSpPr>
                          <xdr:cNvPr id="26" name="25 Conector recto">
                            <a:extLst>
                              <a:ext uri="{FF2B5EF4-FFF2-40B4-BE49-F238E27FC236}">
                                <a16:creationId xmlns:a16="http://schemas.microsoft.com/office/drawing/2014/main" id="{00000000-0008-0000-0400-00001A000000}"/>
                              </a:ext>
                            </a:extLst>
                          </xdr:cNvPr>
                          <xdr:cNvCxnSpPr/>
                        </xdr:nvCxnSpPr>
                        <xdr:spPr>
                          <a:xfrm>
                            <a:off x="1911028" y="4384660"/>
                            <a:ext cx="1" cy="756000"/>
                          </a:xfrm>
                          <a:prstGeom prst="line">
                            <a:avLst/>
                          </a:prstGeom>
                          <a:ln w="9525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sp macro="" textlink="">
                        <xdr:nvSpPr>
                          <xdr:cNvPr id="17" name="16 Rectángulo">
                            <a:extLst>
                              <a:ext uri="{FF2B5EF4-FFF2-40B4-BE49-F238E27FC236}">
                                <a16:creationId xmlns:a16="http://schemas.microsoft.com/office/drawing/2014/main" id="{00000000-0008-0000-0400-000011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1887120" y="4671127"/>
                            <a:ext cx="45719" cy="171269"/>
                          </a:xfrm>
                          <a:prstGeom prst="rect">
                            <a:avLst/>
                          </a:prstGeom>
                          <a:solidFill>
                            <a:schemeClr val="tx1"/>
                          </a:solidFill>
                          <a:ln w="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rtlCol="0" anchor="ctr"/>
                          <a:lstStyle/>
                          <a:p>
                            <a:pPr algn="ctr"/>
                            <a:endParaRPr lang="es-ES" sz="1100"/>
                          </a:p>
                        </xdr:txBody>
                      </xdr:sp>
                    </xdr:grpSp>
                    <xdr:grpSp>
                      <xdr:nvGrpSpPr>
                        <xdr:cNvPr id="136" name="135 Grupo">
                          <a:extLst>
                            <a:ext uri="{FF2B5EF4-FFF2-40B4-BE49-F238E27FC236}">
                              <a16:creationId xmlns:a16="http://schemas.microsoft.com/office/drawing/2014/main" id="{00000000-0008-0000-0400-000088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2587737" y="4202315"/>
                          <a:ext cx="144353" cy="756000"/>
                          <a:chOff x="2668708" y="4373783"/>
                          <a:chExt cx="144353" cy="756000"/>
                        </a:xfrm>
                      </xdr:grpSpPr>
                      <xdr:cxnSp macro="">
                        <xdr:nvCxnSpPr>
                          <xdr:cNvPr id="48" name="47 Conector recto">
                            <a:extLst>
                              <a:ext uri="{FF2B5EF4-FFF2-40B4-BE49-F238E27FC236}">
                                <a16:creationId xmlns:a16="http://schemas.microsoft.com/office/drawing/2014/main" id="{00000000-0008-0000-0400-000030000000}"/>
                              </a:ext>
                            </a:extLst>
                          </xdr:cNvPr>
                          <xdr:cNvCxnSpPr/>
                        </xdr:nvCxnSpPr>
                        <xdr:spPr>
                          <a:xfrm rot="10800000">
                            <a:off x="2739271" y="4373783"/>
                            <a:ext cx="0" cy="756000"/>
                          </a:xfrm>
                          <a:prstGeom prst="line">
                            <a:avLst/>
                          </a:prstGeom>
                          <a:ln w="9525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grpSp>
                        <xdr:nvGrpSpPr>
                          <xdr:cNvPr id="116" name="115 Grupo">
                            <a:extLst>
                              <a:ext uri="{FF2B5EF4-FFF2-40B4-BE49-F238E27FC236}">
                                <a16:creationId xmlns:a16="http://schemas.microsoft.com/office/drawing/2014/main" id="{00000000-0008-0000-0400-000074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2668708" y="4570921"/>
                            <a:ext cx="144353" cy="66403"/>
                            <a:chOff x="2382928" y="4561395"/>
                            <a:chExt cx="144353" cy="66403"/>
                          </a:xfrm>
                        </xdr:grpSpPr>
                        <xdr:cxnSp macro="">
                          <xdr:nvCxnSpPr>
                            <xdr:cNvPr id="47" name="46 Conector recto">
                              <a:extLst>
                                <a:ext uri="{FF2B5EF4-FFF2-40B4-BE49-F238E27FC236}">
                                  <a16:creationId xmlns:a16="http://schemas.microsoft.com/office/drawing/2014/main" id="{00000000-0008-0000-0400-00002F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 rot="10800000">
                              <a:off x="2382928" y="4561395"/>
                              <a:ext cx="144353" cy="0"/>
                            </a:xfrm>
                            <a:prstGeom prst="line">
                              <a:avLst/>
                            </a:prstGeom>
                            <a:ln w="1270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sp macro="" textlink="">
                          <xdr:nvSpPr>
                            <xdr:cNvPr id="19" name="18 Triángulo isósceles">
                              <a:extLst>
                                <a:ext uri="{FF2B5EF4-FFF2-40B4-BE49-F238E27FC236}">
                                  <a16:creationId xmlns:a16="http://schemas.microsoft.com/office/drawing/2014/main" id="{00000000-0008-0000-0400-000013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2412809" y="4577920"/>
                              <a:ext cx="66839" cy="49878"/>
                            </a:xfrm>
                            <a:prstGeom prst="triangle">
                              <a:avLst/>
                            </a:prstGeom>
                            <a:solidFill>
                              <a:schemeClr val="tx1"/>
                            </a:solidFill>
                            <a:ln w="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rtlCol="0" anchor="ctr"/>
                            <a:lstStyle/>
                            <a:p>
                              <a:pPr algn="ctr"/>
                              <a:endParaRPr lang="es-ES" sz="1100"/>
                            </a:p>
                          </xdr:txBody>
                        </xdr:sp>
                      </xdr:grpSp>
                      <xdr:sp macro="" textlink="">
                        <xdr:nvSpPr>
                          <xdr:cNvPr id="18" name="17 Rectángulo">
                            <a:extLst>
                              <a:ext uri="{FF2B5EF4-FFF2-40B4-BE49-F238E27FC236}">
                                <a16:creationId xmlns:a16="http://schemas.microsoft.com/office/drawing/2014/main" id="{00000000-0008-0000-0400-000012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2712129" y="4674919"/>
                            <a:ext cx="45719" cy="172800"/>
                          </a:xfrm>
                          <a:prstGeom prst="rect">
                            <a:avLst/>
                          </a:prstGeom>
                          <a:solidFill>
                            <a:schemeClr val="tx1"/>
                          </a:solidFill>
                          <a:ln w="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rtlCol="0" anchor="ctr"/>
                          <a:lstStyle/>
                          <a:p>
                            <a:pPr algn="ctr"/>
                            <a:endParaRPr lang="es-ES" sz="1100"/>
                          </a:p>
                        </xdr:txBody>
                      </xdr:sp>
                    </xdr:grpSp>
                  </xdr:grpSp>
                  <xdr:grpSp>
                    <xdr:nvGrpSpPr>
                      <xdr:cNvPr id="149" name="148 Grupo">
                        <a:extLst>
                          <a:ext uri="{FF2B5EF4-FFF2-40B4-BE49-F238E27FC236}">
                            <a16:creationId xmlns:a16="http://schemas.microsoft.com/office/drawing/2014/main" id="{00000000-0008-0000-0400-00009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2191869" y="4200525"/>
                        <a:ext cx="180443" cy="749336"/>
                        <a:chOff x="2191869" y="4200525"/>
                        <a:chExt cx="180443" cy="749336"/>
                      </a:xfrm>
                    </xdr:grpSpPr>
                    <xdr:grpSp>
                      <xdr:nvGrpSpPr>
                        <xdr:cNvPr id="61" name="60 Grupo">
                          <a:extLst>
                            <a:ext uri="{FF2B5EF4-FFF2-40B4-BE49-F238E27FC236}">
                              <a16:creationId xmlns:a16="http://schemas.microsoft.com/office/drawing/2014/main" id="{00000000-0008-0000-0400-00003D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2191869" y="4576297"/>
                          <a:ext cx="180443" cy="373564"/>
                          <a:chOff x="2957583" y="1066696"/>
                          <a:chExt cx="180000" cy="467451"/>
                        </a:xfrm>
                      </xdr:grpSpPr>
                      <xdr:grpSp>
                        <xdr:nvGrpSpPr>
                          <xdr:cNvPr id="16" name="15 Grupo">
                            <a:extLst>
                              <a:ext uri="{FF2B5EF4-FFF2-40B4-BE49-F238E27FC236}">
                                <a16:creationId xmlns:a16="http://schemas.microsoft.com/office/drawing/2014/main" id="{00000000-0008-0000-0400-000010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2957583" y="1066696"/>
                            <a:ext cx="180000" cy="71037"/>
                            <a:chOff x="2957583" y="1123852"/>
                            <a:chExt cx="180000" cy="71037"/>
                          </a:xfrm>
                        </xdr:grpSpPr>
                        <xdr:cxnSp macro="">
                          <xdr:nvCxnSpPr>
                            <xdr:cNvPr id="12" name="11 Conector recto">
                              <a:extLst>
                                <a:ext uri="{FF2B5EF4-FFF2-40B4-BE49-F238E27FC236}">
                                  <a16:creationId xmlns:a16="http://schemas.microsoft.com/office/drawing/2014/main" id="{00000000-0008-0000-0400-00000C000000}"/>
                                </a:ext>
                              </a:extLst>
                            </xdr:cNvPr>
                            <xdr:cNvCxnSpPr/>
                          </xdr:nvCxnSpPr>
                          <xdr:spPr>
                            <a:xfrm>
                              <a:off x="2990876" y="1123852"/>
                              <a:ext cx="121444" cy="0"/>
                            </a:xfrm>
                            <a:prstGeom prst="line">
                              <a:avLst/>
                            </a:prstGeom>
                            <a:ln w="190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sp macro="" textlink="">
                          <xdr:nvSpPr>
                            <xdr:cNvPr id="14" name="13 Forma libre">
                              <a:extLst>
                                <a:ext uri="{FF2B5EF4-FFF2-40B4-BE49-F238E27FC236}">
                                  <a16:creationId xmlns:a16="http://schemas.microsoft.com/office/drawing/2014/main" id="{00000000-0008-0000-0400-00000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2957583" y="1176889"/>
                              <a:ext cx="180000" cy="18000"/>
                            </a:xfrm>
                            <a:custGeom>
                              <a:avLst/>
                              <a:gdLst>
                                <a:gd name="connsiteX0" fmla="*/ 0 w 1528763"/>
                                <a:gd name="connsiteY0" fmla="*/ 196057 h 196057"/>
                                <a:gd name="connsiteX1" fmla="*/ 766763 w 1528763"/>
                                <a:gd name="connsiteY1" fmla="*/ 794 h 196057"/>
                                <a:gd name="connsiteX2" fmla="*/ 1528763 w 1528763"/>
                                <a:gd name="connsiteY2" fmla="*/ 191294 h 196057"/>
                              </a:gdLst>
                              <a:ahLst/>
                              <a:cxnLst>
                                <a:cxn ang="0">
                                  <a:pos x="connsiteX0" y="connsiteY0"/>
                                </a:cxn>
                                <a:cxn ang="0">
                                  <a:pos x="connsiteX1" y="connsiteY1"/>
                                </a:cxn>
                                <a:cxn ang="0">
                                  <a:pos x="connsiteX2" y="connsiteY2"/>
                                </a:cxn>
                              </a:cxnLst>
                              <a:rect l="l" t="t" r="r" b="b"/>
                              <a:pathLst>
                                <a:path w="1528763" h="196057">
                                  <a:moveTo>
                                    <a:pt x="0" y="196057"/>
                                  </a:moveTo>
                                  <a:cubicBezTo>
                                    <a:pt x="255984" y="98822"/>
                                    <a:pt x="511969" y="1588"/>
                                    <a:pt x="766763" y="794"/>
                                  </a:cubicBezTo>
                                  <a:cubicBezTo>
                                    <a:pt x="1021557" y="0"/>
                                    <a:pt x="1275160" y="95647"/>
                                    <a:pt x="1528763" y="191294"/>
                                  </a:cubicBezTo>
                                </a:path>
                              </a:pathLst>
                            </a:custGeom>
                            <a:ln w="190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  <xdr:txBody>
                            <a:bodyPr vertOverflow="clip" rtlCol="0" anchor="ctr"/>
                            <a:lstStyle/>
                            <a:p>
                              <a:pPr algn="ctr"/>
                              <a:endParaRPr lang="es-ES" sz="1100"/>
                            </a:p>
                          </xdr:txBody>
                        </xdr:sp>
                      </xdr:grpSp>
                      <xdr:cxnSp macro="">
                        <xdr:nvCxnSpPr>
                          <xdr:cNvPr id="57" name="56 Conector recto">
                            <a:extLst>
                              <a:ext uri="{FF2B5EF4-FFF2-40B4-BE49-F238E27FC236}">
                                <a16:creationId xmlns:a16="http://schemas.microsoft.com/office/drawing/2014/main" id="{00000000-0008-0000-0400-000039000000}"/>
                              </a:ext>
                            </a:extLst>
                          </xdr:cNvPr>
                          <xdr:cNvCxnSpPr/>
                        </xdr:nvCxnSpPr>
                        <xdr:spPr>
                          <a:xfrm>
                            <a:off x="3052788" y="1128716"/>
                            <a:ext cx="0" cy="405431"/>
                          </a:xfrm>
                          <a:prstGeom prst="line">
                            <a:avLst/>
                          </a:prstGeom>
                          <a:ln w="9525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</xdr:grpSp>
                    <xdr:cxnSp macro="">
                      <xdr:nvCxnSpPr>
                        <xdr:cNvPr id="147" name="146 Conector recto">
                          <a:extLst>
                            <a:ext uri="{FF2B5EF4-FFF2-40B4-BE49-F238E27FC236}">
                              <a16:creationId xmlns:a16="http://schemas.microsoft.com/office/drawing/2014/main" id="{00000000-0008-0000-0400-000093000000}"/>
                            </a:ext>
                          </a:extLst>
                        </xdr:cNvPr>
                        <xdr:cNvCxnSpPr/>
                      </xdr:nvCxnSpPr>
                      <xdr:spPr>
                        <a:xfrm flipH="1">
                          <a:off x="2286000" y="4200525"/>
                          <a:ext cx="1" cy="376238"/>
                        </a:xfrm>
                        <a:prstGeom prst="line">
                          <a:avLst/>
                        </a:prstGeom>
                        <a:ln w="952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</xdr:grpSp>
              </xdr:grpSp>
            </xdr:grpSp>
          </xdr:grpSp>
          <xdr:grpSp>
            <xdr:nvGrpSpPr>
              <xdr:cNvPr id="121" name="120 Grupo">
                <a:extLst>
                  <a:ext uri="{FF2B5EF4-FFF2-40B4-BE49-F238E27FC236}">
                    <a16:creationId xmlns:a16="http://schemas.microsoft.com/office/drawing/2014/main" id="{00000000-0008-0000-0400-000079000000}"/>
                  </a:ext>
                </a:extLst>
              </xdr:cNvPr>
              <xdr:cNvGrpSpPr/>
            </xdr:nvGrpSpPr>
            <xdr:grpSpPr>
              <a:xfrm>
                <a:off x="1691242" y="1709855"/>
                <a:ext cx="2275933" cy="1143002"/>
                <a:chOff x="3143797" y="1152524"/>
                <a:chExt cx="2275933" cy="1143002"/>
              </a:xfrm>
            </xdr:grpSpPr>
            <xdr:grpSp>
              <xdr:nvGrpSpPr>
                <xdr:cNvPr id="105" name="104 Grupo">
                  <a:extLst>
                    <a:ext uri="{FF2B5EF4-FFF2-40B4-BE49-F238E27FC236}">
                      <a16:creationId xmlns:a16="http://schemas.microsoft.com/office/drawing/2014/main" id="{00000000-0008-0000-0400-000069000000}"/>
                    </a:ext>
                  </a:extLst>
                </xdr:cNvPr>
                <xdr:cNvGrpSpPr/>
              </xdr:nvGrpSpPr>
              <xdr:grpSpPr>
                <a:xfrm>
                  <a:off x="3143797" y="1152524"/>
                  <a:ext cx="1072677" cy="1142986"/>
                  <a:chOff x="3143797" y="1152524"/>
                  <a:chExt cx="1072677" cy="1142986"/>
                </a:xfrm>
              </xdr:grpSpPr>
              <xdr:grpSp>
                <xdr:nvGrpSpPr>
                  <xdr:cNvPr id="104" name="103 Grupo">
                    <a:extLst>
                      <a:ext uri="{FF2B5EF4-FFF2-40B4-BE49-F238E27FC236}">
                        <a16:creationId xmlns:a16="http://schemas.microsoft.com/office/drawing/2014/main" id="{00000000-0008-0000-0400-000068000000}"/>
                      </a:ext>
                    </a:extLst>
                  </xdr:cNvPr>
                  <xdr:cNvGrpSpPr/>
                </xdr:nvGrpSpPr>
                <xdr:grpSpPr>
                  <a:xfrm>
                    <a:off x="3143797" y="1195415"/>
                    <a:ext cx="890036" cy="1100095"/>
                    <a:chOff x="3143797" y="1195415"/>
                    <a:chExt cx="890036" cy="1100095"/>
                  </a:xfrm>
                </xdr:grpSpPr>
                <xdr:cxnSp macro="">
                  <xdr:nvCxnSpPr>
                    <xdr:cNvPr id="82" name="81 Conector recto de flecha">
                      <a:extLst>
                        <a:ext uri="{FF2B5EF4-FFF2-40B4-BE49-F238E27FC236}">
                          <a16:creationId xmlns:a16="http://schemas.microsoft.com/office/drawing/2014/main" id="{00000000-0008-0000-0400-000052000000}"/>
                        </a:ext>
                      </a:extLst>
                    </xdr:cNvPr>
                    <xdr:cNvCxnSpPr/>
                  </xdr:nvCxnSpPr>
                  <xdr:spPr>
                    <a:xfrm>
                      <a:off x="3143797" y="1195415"/>
                      <a:ext cx="782489" cy="1"/>
                    </a:xfrm>
                    <a:prstGeom prst="straightConnector1">
                      <a:avLst/>
                    </a:prstGeom>
                    <a:ln w="12700">
                      <a:solidFill>
                        <a:srgbClr val="00B0F0"/>
                      </a:solidFill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7" name="86 Conector recto de flecha">
                      <a:extLst>
                        <a:ext uri="{FF2B5EF4-FFF2-40B4-BE49-F238E27FC236}">
                          <a16:creationId xmlns:a16="http://schemas.microsoft.com/office/drawing/2014/main" id="{00000000-0008-0000-0400-000057000000}"/>
                        </a:ext>
                      </a:extLst>
                    </xdr:cNvPr>
                    <xdr:cNvCxnSpPr/>
                  </xdr:nvCxnSpPr>
                  <xdr:spPr>
                    <a:xfrm>
                      <a:off x="4033833" y="1857360"/>
                      <a:ext cx="0" cy="438150"/>
                    </a:xfrm>
                    <a:prstGeom prst="straightConnector1">
                      <a:avLst/>
                    </a:prstGeom>
                    <a:ln w="12700">
                      <a:solidFill>
                        <a:srgbClr val="00B0F0"/>
                      </a:solidFill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sp macro="" textlink="">
                <xdr:nvSpPr>
                  <xdr:cNvPr id="99" name="98 CuadroTexto">
                    <a:extLst>
                      <a:ext uri="{FF2B5EF4-FFF2-40B4-BE49-F238E27FC236}">
                        <a16:creationId xmlns:a16="http://schemas.microsoft.com/office/drawing/2014/main" id="{00000000-0008-0000-0400-000063000000}"/>
                      </a:ext>
                    </a:extLst>
                  </xdr:cNvPr>
                  <xdr:cNvSpPr txBox="1"/>
                </xdr:nvSpPr>
                <xdr:spPr>
                  <a:xfrm>
                    <a:off x="3186115" y="1152524"/>
                    <a:ext cx="1030359" cy="8429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t"/>
                  <a:lstStyle/>
                  <a:p>
                    <a:r>
                      <a:rPr lang="es-ES" sz="1100"/>
                      <a:t>    </a:t>
                    </a:r>
                    <a:r>
                      <a:rPr lang="es-ES" sz="1100" b="1" i="1">
                        <a:latin typeface="Times New Roman" pitchFamily="18" charset="0"/>
                        <a:cs typeface="Times New Roman" pitchFamily="18" charset="0"/>
                      </a:rPr>
                      <a:t>I</a:t>
                    </a:r>
                    <a:r>
                      <a:rPr lang="es-ES" sz="800" b="1" i="1">
                        <a:latin typeface="Times New Roman" pitchFamily="18" charset="0"/>
                        <a:cs typeface="Times New Roman" pitchFamily="18" charset="0"/>
                      </a:rPr>
                      <a:t>r</a:t>
                    </a:r>
                    <a:r>
                      <a:rPr lang="es-ES" sz="1100" b="1" i="1">
                        <a:latin typeface="Times New Roman" pitchFamily="18" charset="0"/>
                        <a:cs typeface="Times New Roman" pitchFamily="18" charset="0"/>
                      </a:rPr>
                      <a:t>+I</a:t>
                    </a:r>
                    <a:r>
                      <a:rPr lang="es-ES" sz="800" b="1" i="1">
                        <a:latin typeface="Times New Roman" pitchFamily="18" charset="0"/>
                        <a:cs typeface="Times New Roman" pitchFamily="18" charset="0"/>
                      </a:rPr>
                      <a:t>c</a:t>
                    </a:r>
                    <a:endParaRPr lang="es-ES" sz="1100" b="1" i="1">
                      <a:latin typeface="Times New Roman" pitchFamily="18" charset="0"/>
                      <a:cs typeface="Times New Roman" pitchFamily="18" charset="0"/>
                    </a:endParaRPr>
                  </a:p>
                  <a:p>
                    <a:endParaRPr lang="es-ES" sz="1100" b="1" i="1">
                      <a:latin typeface="Times New Roman" pitchFamily="18" charset="0"/>
                      <a:cs typeface="Times New Roman" pitchFamily="18" charset="0"/>
                    </a:endParaRPr>
                  </a:p>
                  <a:p>
                    <a:r>
                      <a:rPr lang="es-ES" sz="1100" b="1" i="1">
                        <a:latin typeface="Times New Roman" pitchFamily="18" charset="0"/>
                        <a:cs typeface="Times New Roman" pitchFamily="18" charset="0"/>
                      </a:rPr>
                      <a:t>                    </a:t>
                    </a:r>
                  </a:p>
                  <a:p>
                    <a:r>
                      <a:rPr lang="es-ES" sz="1100" b="1" i="1">
                        <a:latin typeface="Times New Roman" pitchFamily="18" charset="0"/>
                        <a:cs typeface="Times New Roman" pitchFamily="18" charset="0"/>
                      </a:rPr>
                      <a:t>                    I</a:t>
                    </a:r>
                    <a:r>
                      <a:rPr lang="es-ES" sz="800" b="1" i="1">
                        <a:latin typeface="Times New Roman" pitchFamily="18" charset="0"/>
                        <a:cs typeface="Times New Roman" pitchFamily="18" charset="0"/>
                      </a:rPr>
                      <a:t>r</a:t>
                    </a:r>
                  </a:p>
                </xdr:txBody>
              </xdr:sp>
            </xdr:grpSp>
            <xdr:grpSp>
              <xdr:nvGrpSpPr>
                <xdr:cNvPr id="118" name="117 Grupo">
                  <a:extLst>
                    <a:ext uri="{FF2B5EF4-FFF2-40B4-BE49-F238E27FC236}">
                      <a16:creationId xmlns:a16="http://schemas.microsoft.com/office/drawing/2014/main" id="{00000000-0008-0000-0400-000076000000}"/>
                    </a:ext>
                  </a:extLst>
                </xdr:cNvPr>
                <xdr:cNvGrpSpPr/>
              </xdr:nvGrpSpPr>
              <xdr:grpSpPr>
                <a:xfrm>
                  <a:off x="4910143" y="1157288"/>
                  <a:ext cx="509587" cy="1138238"/>
                  <a:chOff x="4910143" y="1157288"/>
                  <a:chExt cx="509587" cy="1138238"/>
                </a:xfrm>
              </xdr:grpSpPr>
              <xdr:sp macro="" textlink="">
                <xdr:nvSpPr>
                  <xdr:cNvPr id="114" name="113 CuadroTexto">
                    <a:extLst>
                      <a:ext uri="{FF2B5EF4-FFF2-40B4-BE49-F238E27FC236}">
                        <a16:creationId xmlns:a16="http://schemas.microsoft.com/office/drawing/2014/main" id="{00000000-0008-0000-0400-000072000000}"/>
                      </a:ext>
                    </a:extLst>
                  </xdr:cNvPr>
                  <xdr:cNvSpPr txBox="1"/>
                </xdr:nvSpPr>
                <xdr:spPr>
                  <a:xfrm>
                    <a:off x="4910143" y="1157288"/>
                    <a:ext cx="509587" cy="838200"/>
                  </a:xfrm>
                  <a:prstGeom prst="rect">
                    <a:avLst/>
                  </a:prstGeom>
                  <a:solidFill>
                    <a:schemeClr val="lt1">
                      <a:alpha val="0"/>
                    </a:schemeClr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t"/>
                  <a:lstStyle/>
                  <a:p>
                    <a:r>
                      <a:rPr lang="es-ES" sz="1100" b="1" i="1">
                        <a:latin typeface="Times New Roman" pitchFamily="18" charset="0"/>
                        <a:cs typeface="Times New Roman" pitchFamily="18" charset="0"/>
                      </a:rPr>
                      <a:t>I</a:t>
                    </a:r>
                    <a:r>
                      <a:rPr lang="es-ES" sz="800" b="1" i="1">
                        <a:latin typeface="Times New Roman" pitchFamily="18" charset="0"/>
                        <a:cs typeface="Times New Roman" pitchFamily="18" charset="0"/>
                      </a:rPr>
                      <a:t>c</a:t>
                    </a:r>
                  </a:p>
                  <a:p>
                    <a:endParaRPr lang="es-ES" sz="1100" b="1" i="1">
                      <a:latin typeface="Times New Roman" pitchFamily="18" charset="0"/>
                      <a:cs typeface="Times New Roman" pitchFamily="18" charset="0"/>
                    </a:endParaRPr>
                  </a:p>
                  <a:p>
                    <a:endParaRPr lang="es-ES" sz="1100" b="1" i="1">
                      <a:latin typeface="Times New Roman" pitchFamily="18" charset="0"/>
                      <a:cs typeface="Times New Roman" pitchFamily="18" charset="0"/>
                    </a:endParaRPr>
                  </a:p>
                  <a:p>
                    <a:r>
                      <a:rPr lang="es-ES" sz="1100" b="1" i="1">
                        <a:latin typeface="Times New Roman" pitchFamily="18" charset="0"/>
                        <a:cs typeface="Times New Roman" pitchFamily="18" charset="0"/>
                      </a:rPr>
                      <a:t>I</a:t>
                    </a:r>
                    <a:r>
                      <a:rPr lang="es-ES" sz="800" b="1" i="1">
                        <a:latin typeface="Times New Roman" pitchFamily="18" charset="0"/>
                        <a:cs typeface="Times New Roman" pitchFamily="18" charset="0"/>
                      </a:rPr>
                      <a:t>d</a:t>
                    </a:r>
                  </a:p>
                </xdr:txBody>
              </xdr:sp>
              <xdr:grpSp>
                <xdr:nvGrpSpPr>
                  <xdr:cNvPr id="113" name="112 Grupo">
                    <a:extLst>
                      <a:ext uri="{FF2B5EF4-FFF2-40B4-BE49-F238E27FC236}">
                        <a16:creationId xmlns:a16="http://schemas.microsoft.com/office/drawing/2014/main" id="{00000000-0008-0000-0400-000071000000}"/>
                      </a:ext>
                    </a:extLst>
                  </xdr:cNvPr>
                  <xdr:cNvGrpSpPr/>
                </xdr:nvGrpSpPr>
                <xdr:grpSpPr>
                  <a:xfrm>
                    <a:off x="4924206" y="1214332"/>
                    <a:ext cx="438150" cy="1081194"/>
                    <a:chOff x="4900391" y="1214332"/>
                    <a:chExt cx="438150" cy="1081194"/>
                  </a:xfrm>
                </xdr:grpSpPr>
                <xdr:cxnSp macro="">
                  <xdr:nvCxnSpPr>
                    <xdr:cNvPr id="78" name="77 Conector recto de flecha">
                      <a:extLst>
                        <a:ext uri="{FF2B5EF4-FFF2-40B4-BE49-F238E27FC236}">
                          <a16:creationId xmlns:a16="http://schemas.microsoft.com/office/drawing/2014/main" id="{00000000-0008-0000-0400-00004E000000}"/>
                        </a:ext>
                      </a:extLst>
                    </xdr:cNvPr>
                    <xdr:cNvCxnSpPr/>
                  </xdr:nvCxnSpPr>
                  <xdr:spPr>
                    <a:xfrm rot="10800000">
                      <a:off x="4981355" y="1857376"/>
                      <a:ext cx="0" cy="438150"/>
                    </a:xfrm>
                    <a:prstGeom prst="straightConnector1">
                      <a:avLst/>
                    </a:prstGeom>
                    <a:ln w="12700">
                      <a:solidFill>
                        <a:srgbClr val="FF0000"/>
                      </a:solidFill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0" name="109 Conector recto de flecha">
                      <a:extLst>
                        <a:ext uri="{FF2B5EF4-FFF2-40B4-BE49-F238E27FC236}">
                          <a16:creationId xmlns:a16="http://schemas.microsoft.com/office/drawing/2014/main" id="{00000000-0008-0000-0400-00006E000000}"/>
                        </a:ext>
                      </a:extLst>
                    </xdr:cNvPr>
                    <xdr:cNvCxnSpPr/>
                  </xdr:nvCxnSpPr>
                  <xdr:spPr>
                    <a:xfrm rot="16200000">
                      <a:off x="5119466" y="995257"/>
                      <a:ext cx="0" cy="438150"/>
                    </a:xfrm>
                    <a:prstGeom prst="straightConnector1">
                      <a:avLst/>
                    </a:prstGeom>
                    <a:ln w="12700">
                      <a:solidFill>
                        <a:srgbClr val="FF0000"/>
                      </a:solidFill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</xdr:grpSp>
          </xdr:grpSp>
        </xdr:grpSp>
        <xdr:sp macro="" textlink="">
          <xdr:nvSpPr>
            <xdr:cNvPr id="181" name="180 CuadroTexto">
              <a:extLst>
                <a:ext uri="{FF2B5EF4-FFF2-40B4-BE49-F238E27FC236}">
                  <a16:creationId xmlns:a16="http://schemas.microsoft.com/office/drawing/2014/main" id="{00000000-0008-0000-0400-0000B5000000}"/>
                </a:ext>
              </a:extLst>
            </xdr:cNvPr>
            <xdr:cNvSpPr txBox="1"/>
          </xdr:nvSpPr>
          <xdr:spPr>
            <a:xfrm flipH="1">
              <a:off x="500011" y="1942943"/>
              <a:ext cx="4591052" cy="14573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wrap="square" rtlCol="0" anchor="t">
              <a:noAutofit/>
            </a:bodyPr>
            <a:lstStyle/>
            <a:p>
              <a:r>
                <a:rPr lang="es-ES" sz="1100" b="1" i="1">
                  <a:latin typeface="Times New Roman" pitchFamily="18" charset="0"/>
                  <a:cs typeface="Times New Roman" pitchFamily="18" charset="0"/>
                </a:rPr>
                <a:t>		           R</a:t>
              </a:r>
              <a:r>
                <a:rPr lang="es-ES" sz="800" b="1" i="1">
                  <a:latin typeface="Times New Roman" pitchFamily="18" charset="0"/>
                  <a:cs typeface="Times New Roman" pitchFamily="18" charset="0"/>
                </a:rPr>
                <a:t>e</a:t>
              </a:r>
            </a:p>
            <a:p>
              <a:endParaRPr lang="es-ES" sz="800" b="1" i="1">
                <a:latin typeface="Times New Roman" pitchFamily="18" charset="0"/>
                <a:cs typeface="Times New Roman" pitchFamily="18" charset="0"/>
              </a:endParaRPr>
            </a:p>
            <a:p>
              <a:endParaRPr lang="es-ES" sz="800" b="1" i="1">
                <a:latin typeface="Times New Roman" pitchFamily="18" charset="0"/>
                <a:cs typeface="Times New Roman" pitchFamily="18" charset="0"/>
              </a:endParaRPr>
            </a:p>
            <a:p>
              <a:endParaRPr lang="es-ES" sz="800" b="1" i="1">
                <a:latin typeface="Times New Roman" pitchFamily="18" charset="0"/>
                <a:cs typeface="Times New Roman" pitchFamily="18" charset="0"/>
              </a:endParaRPr>
            </a:p>
            <a:p>
              <a:r>
                <a:rPr lang="es-ES" sz="1100" b="1" i="1">
                  <a:latin typeface="Times New Roman" pitchFamily="18" charset="0"/>
                  <a:cs typeface="Times New Roman" pitchFamily="18" charset="0"/>
                </a:rPr>
                <a:t>≈		              C	</a:t>
              </a:r>
            </a:p>
            <a:p>
              <a:r>
                <a:rPr lang="es-ES" sz="1100" b="1" i="1">
                  <a:latin typeface="Times New Roman" pitchFamily="18" charset="0"/>
                  <a:cs typeface="Times New Roman" pitchFamily="18" charset="0"/>
                </a:rPr>
                <a:t>		         R</a:t>
              </a:r>
              <a:r>
                <a:rPr lang="es-ES" sz="800" b="1" i="1">
                  <a:latin typeface="Times New Roman" pitchFamily="18" charset="0"/>
                  <a:cs typeface="Times New Roman" pitchFamily="18" charset="0"/>
                </a:rPr>
                <a:t>pr</a:t>
              </a:r>
              <a:r>
                <a:rPr lang="es-ES" sz="1100" b="1" i="1">
                  <a:latin typeface="Times New Roman" pitchFamily="18" charset="0"/>
                  <a:cs typeface="Times New Roman" pitchFamily="18" charset="0"/>
                </a:rPr>
                <a:t>       R</a:t>
              </a:r>
              <a:r>
                <a:rPr lang="es-ES" sz="800" b="1" i="1">
                  <a:latin typeface="Times New Roman" pitchFamily="18" charset="0"/>
                  <a:cs typeface="Times New Roman" pitchFamily="18" charset="0"/>
                </a:rPr>
                <a:t>pd</a:t>
              </a:r>
              <a:r>
                <a:rPr lang="es-ES" sz="1100" b="1" i="1">
                  <a:latin typeface="Times New Roman" pitchFamily="18" charset="0"/>
                  <a:cs typeface="Times New Roman" pitchFamily="18" charset="0"/>
                </a:rPr>
                <a:t>	             R</a:t>
              </a:r>
              <a:r>
                <a:rPr lang="es-ES" sz="800" b="1" i="1">
                  <a:latin typeface="Times New Roman" pitchFamily="18" charset="0"/>
                  <a:cs typeface="Times New Roman" pitchFamily="18" charset="0"/>
                </a:rPr>
                <a:t>c</a:t>
              </a:r>
            </a:p>
            <a:p>
              <a:r>
                <a:rPr lang="es-ES" sz="1200" b="1" i="1">
                  <a:latin typeface="Times New Roman" pitchFamily="18" charset="0"/>
                  <a:cs typeface="Times New Roman" pitchFamily="18" charset="0"/>
                </a:rPr>
                <a:t>      = </a:t>
              </a:r>
            </a:p>
            <a:p>
              <a:endParaRPr lang="es-ES" sz="800" b="1" i="1">
                <a:latin typeface="Times New Roman" pitchFamily="18" charset="0"/>
                <a:cs typeface="Times New Roman" pitchFamily="18" charset="0"/>
              </a:endParaRPr>
            </a:p>
            <a:p>
              <a:r>
                <a:rPr lang="es-ES" sz="800" b="1" i="1">
                  <a:latin typeface="Times New Roman" pitchFamily="18" charset="0"/>
                  <a:cs typeface="Times New Roman" pitchFamily="18" charset="0"/>
                </a:rPr>
                <a:t>		      </a:t>
              </a:r>
              <a:r>
                <a:rPr lang="es-ES" sz="1100" b="1" i="1">
                  <a:latin typeface="Times New Roman" pitchFamily="18" charset="0"/>
                  <a:cs typeface="Times New Roman" pitchFamily="18" charset="0"/>
                </a:rPr>
                <a:t>U</a:t>
              </a:r>
              <a:r>
                <a:rPr lang="es-ES" sz="800" b="1" i="1">
                  <a:latin typeface="Times New Roman" pitchFamily="18" charset="0"/>
                  <a:cs typeface="Times New Roman" pitchFamily="18" charset="0"/>
                </a:rPr>
                <a:t>e 	                      </a:t>
              </a:r>
              <a:r>
                <a:rPr lang="es-ES" sz="1100" b="1" i="1">
                  <a:latin typeface="Times New Roman" pitchFamily="18" charset="0"/>
                  <a:cs typeface="Times New Roman" pitchFamily="18" charset="0"/>
                </a:rPr>
                <a:t>R</a:t>
              </a:r>
              <a:r>
                <a:rPr lang="es-ES" sz="800" b="1" i="1">
                  <a:latin typeface="Times New Roman" pitchFamily="18" charset="0"/>
                  <a:cs typeface="Times New Roman" pitchFamily="18" charset="0"/>
                </a:rPr>
                <a:t>Fug	</a:t>
              </a:r>
              <a:endParaRPr lang="es-ES" sz="1100" b="1" i="1">
                <a:latin typeface="Times New Roman" pitchFamily="18" charset="0"/>
                <a:cs typeface="Times New Roman" pitchFamily="18" charset="0"/>
              </a:endParaRPr>
            </a:p>
          </xdr:txBody>
        </xdr:sp>
      </xdr:grpSp>
      <xdr:sp macro="" textlink="">
        <xdr:nvSpPr>
          <xdr:cNvPr id="98" name="97 CuadroTexto">
            <a:extLst>
              <a:ext uri="{FF2B5EF4-FFF2-40B4-BE49-F238E27FC236}">
                <a16:creationId xmlns:a16="http://schemas.microsoft.com/office/drawing/2014/main" id="{00000000-0008-0000-0400-000062000000}"/>
              </a:ext>
            </a:extLst>
          </xdr:cNvPr>
          <xdr:cNvSpPr txBox="1"/>
        </xdr:nvSpPr>
        <xdr:spPr>
          <a:xfrm>
            <a:off x="1981200" y="1295401"/>
            <a:ext cx="2295525" cy="476250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100" b="1" i="1">
                <a:latin typeface="Times New Roman" pitchFamily="18" charset="0"/>
                <a:cs typeface="Times New Roman" pitchFamily="18" charset="0"/>
              </a:rPr>
              <a:t>S</a:t>
            </a:r>
            <a:r>
              <a:rPr lang="es-ES" sz="800" b="1" i="1">
                <a:latin typeface="Times New Roman" pitchFamily="18" charset="0"/>
                <a:cs typeface="Times New Roman" pitchFamily="18" charset="0"/>
              </a:rPr>
              <a:t>1</a:t>
            </a:r>
            <a:r>
              <a:rPr lang="es-ES" sz="1100" b="1" i="1">
                <a:latin typeface="Times New Roman" pitchFamily="18" charset="0"/>
                <a:cs typeface="Times New Roman" pitchFamily="18" charset="0"/>
              </a:rPr>
              <a:t>		  S</a:t>
            </a:r>
            <a:r>
              <a:rPr lang="es-ES" sz="800" b="1" i="1"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104774</xdr:colOff>
      <xdr:row>1</xdr:row>
      <xdr:rowOff>114301</xdr:rowOff>
    </xdr:from>
    <xdr:to>
      <xdr:col>18</xdr:col>
      <xdr:colOff>209550</xdr:colOff>
      <xdr:row>23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85724</xdr:colOff>
      <xdr:row>24</xdr:row>
      <xdr:rowOff>66674</xdr:rowOff>
    </xdr:from>
    <xdr:to>
      <xdr:col>18</xdr:col>
      <xdr:colOff>219075</xdr:colOff>
      <xdr:row>42</xdr:row>
      <xdr:rowOff>104775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123825</xdr:colOff>
      <xdr:row>43</xdr:row>
      <xdr:rowOff>85724</xdr:rowOff>
    </xdr:from>
    <xdr:to>
      <xdr:col>18</xdr:col>
      <xdr:colOff>257175</xdr:colOff>
      <xdr:row>61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133351</xdr:colOff>
      <xdr:row>62</xdr:row>
      <xdr:rowOff>76199</xdr:rowOff>
    </xdr:from>
    <xdr:to>
      <xdr:col>18</xdr:col>
      <xdr:colOff>266701</xdr:colOff>
      <xdr:row>81</xdr:row>
      <xdr:rowOff>76200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20</xdr:col>
      <xdr:colOff>66675</xdr:colOff>
      <xdr:row>0</xdr:row>
      <xdr:rowOff>0</xdr:rowOff>
    </xdr:from>
    <xdr:to>
      <xdr:col>32</xdr:col>
      <xdr:colOff>0</xdr:colOff>
      <xdr:row>3</xdr:row>
      <xdr:rowOff>142875</xdr:rowOff>
    </xdr:to>
    <xdr:sp macro="" textlink="">
      <xdr:nvSpPr>
        <xdr:cNvPr id="4100" name="Object 4" hidden="1">
          <a:extLst>
            <a:ext uri="{63B3BB69-23CF-44E3-9099-C40C66FF867C}">
              <a14:compatExt xmlns:a14="http://schemas.microsoft.com/office/drawing/2010/main" spid="_x0000_s4100"/>
            </a:ext>
            <a:ext uri="{FF2B5EF4-FFF2-40B4-BE49-F238E27FC236}">
              <a16:creationId xmlns:a16="http://schemas.microsoft.com/office/drawing/2014/main" id="{00000000-0008-0000-0500-0000041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33</xdr:col>
      <xdr:colOff>38100</xdr:colOff>
      <xdr:row>0</xdr:row>
      <xdr:rowOff>66675</xdr:rowOff>
    </xdr:from>
    <xdr:to>
      <xdr:col>38</xdr:col>
      <xdr:colOff>9525</xdr:colOff>
      <xdr:row>3</xdr:row>
      <xdr:rowOff>152400</xdr:rowOff>
    </xdr:to>
    <xdr:sp macro="" textlink="">
      <xdr:nvSpPr>
        <xdr:cNvPr id="4101" name="Object 5" hidden="1">
          <a:extLst>
            <a:ext uri="{63B3BB69-23CF-44E3-9099-C40C66FF867C}">
              <a14:compatExt xmlns:a14="http://schemas.microsoft.com/office/drawing/2010/main" spid="_x0000_s4101"/>
            </a:ext>
            <a:ext uri="{FF2B5EF4-FFF2-40B4-BE49-F238E27FC236}">
              <a16:creationId xmlns:a16="http://schemas.microsoft.com/office/drawing/2014/main" id="{00000000-0008-0000-0500-0000051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38</xdr:col>
      <xdr:colOff>76200</xdr:colOff>
      <xdr:row>0</xdr:row>
      <xdr:rowOff>38100</xdr:rowOff>
    </xdr:from>
    <xdr:to>
      <xdr:col>46</xdr:col>
      <xdr:colOff>57150</xdr:colOff>
      <xdr:row>4</xdr:row>
      <xdr:rowOff>142875</xdr:rowOff>
    </xdr:to>
    <xdr:sp macro="" textlink="">
      <xdr:nvSpPr>
        <xdr:cNvPr id="4108" name="Object 12" hidden="1">
          <a:extLst>
            <a:ext uri="{63B3BB69-23CF-44E3-9099-C40C66FF867C}">
              <a14:compatExt xmlns:a14="http://schemas.microsoft.com/office/drawing/2010/main" spid="_x0000_s4108"/>
            </a:ext>
            <a:ext uri="{FF2B5EF4-FFF2-40B4-BE49-F238E27FC236}">
              <a16:creationId xmlns:a16="http://schemas.microsoft.com/office/drawing/2014/main" id="{00000000-0008-0000-0500-00000C1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114298</xdr:colOff>
      <xdr:row>1</xdr:row>
      <xdr:rowOff>95250</xdr:rowOff>
    </xdr:from>
    <xdr:to>
      <xdr:col>18</xdr:col>
      <xdr:colOff>361949</xdr:colOff>
      <xdr:row>23</xdr:row>
      <xdr:rowOff>133349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104774</xdr:colOff>
      <xdr:row>24</xdr:row>
      <xdr:rowOff>95250</xdr:rowOff>
    </xdr:from>
    <xdr:to>
      <xdr:col>18</xdr:col>
      <xdr:colOff>380999</xdr:colOff>
      <xdr:row>46</xdr:row>
      <xdr:rowOff>104775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142875</xdr:colOff>
      <xdr:row>47</xdr:row>
      <xdr:rowOff>66674</xdr:rowOff>
    </xdr:from>
    <xdr:to>
      <xdr:col>18</xdr:col>
      <xdr:colOff>419100</xdr:colOff>
      <xdr:row>69</xdr:row>
      <xdr:rowOff>85725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47625</xdr:colOff>
      <xdr:row>0</xdr:row>
      <xdr:rowOff>47625</xdr:rowOff>
    </xdr:from>
    <xdr:to>
      <xdr:col>33</xdr:col>
      <xdr:colOff>200025</xdr:colOff>
      <xdr:row>4</xdr:row>
      <xdr:rowOff>171450</xdr:rowOff>
    </xdr:to>
    <xdr:sp macro="" textlink="">
      <xdr:nvSpPr>
        <xdr:cNvPr id="5128" name="Object 8" hidden="1">
          <a:extLst>
            <a:ext uri="{63B3BB69-23CF-44E3-9099-C40C66FF867C}">
              <a14:compatExt xmlns:a14="http://schemas.microsoft.com/office/drawing/2010/main" spid="_x0000_s5128"/>
            </a:ext>
            <a:ext uri="{FF2B5EF4-FFF2-40B4-BE49-F238E27FC236}">
              <a16:creationId xmlns:a16="http://schemas.microsoft.com/office/drawing/2014/main" id="{00000000-0008-0000-0600-0000081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33</xdr:col>
      <xdr:colOff>219075</xdr:colOff>
      <xdr:row>0</xdr:row>
      <xdr:rowOff>47625</xdr:rowOff>
    </xdr:from>
    <xdr:to>
      <xdr:col>47</xdr:col>
      <xdr:colOff>142875</xdr:colOff>
      <xdr:row>4</xdr:row>
      <xdr:rowOff>171450</xdr:rowOff>
    </xdr:to>
    <xdr:sp macro="" textlink="">
      <xdr:nvSpPr>
        <xdr:cNvPr id="5129" name="Object 9" hidden="1">
          <a:extLst>
            <a:ext uri="{63B3BB69-23CF-44E3-9099-C40C66FF867C}">
              <a14:compatExt xmlns:a14="http://schemas.microsoft.com/office/drawing/2010/main" spid="_x0000_s5129"/>
            </a:ext>
            <a:ext uri="{FF2B5EF4-FFF2-40B4-BE49-F238E27FC236}">
              <a16:creationId xmlns:a16="http://schemas.microsoft.com/office/drawing/2014/main" id="{00000000-0008-0000-0600-0000091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48</xdr:col>
      <xdr:colOff>76200</xdr:colOff>
      <xdr:row>0</xdr:row>
      <xdr:rowOff>66675</xdr:rowOff>
    </xdr:from>
    <xdr:to>
      <xdr:col>56</xdr:col>
      <xdr:colOff>57150</xdr:colOff>
      <xdr:row>4</xdr:row>
      <xdr:rowOff>171450</xdr:rowOff>
    </xdr:to>
    <xdr:sp macro="" textlink="">
      <xdr:nvSpPr>
        <xdr:cNvPr id="5130" name="Object 10" hidden="1">
          <a:extLst>
            <a:ext uri="{63B3BB69-23CF-44E3-9099-C40C66FF867C}">
              <a14:compatExt xmlns:a14="http://schemas.microsoft.com/office/drawing/2010/main" spid="_x0000_s5130"/>
            </a:ext>
            <a:ext uri="{FF2B5EF4-FFF2-40B4-BE49-F238E27FC236}">
              <a16:creationId xmlns:a16="http://schemas.microsoft.com/office/drawing/2014/main" id="{00000000-0008-0000-0600-00000A1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28575</xdr:colOff>
      <xdr:row>1</xdr:row>
      <xdr:rowOff>0</xdr:rowOff>
    </xdr:from>
    <xdr:to>
      <xdr:col>47</xdr:col>
      <xdr:colOff>419100</xdr:colOff>
      <xdr:row>23</xdr:row>
      <xdr:rowOff>85725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295274</xdr:colOff>
      <xdr:row>33</xdr:row>
      <xdr:rowOff>38099</xdr:rowOff>
    </xdr:from>
    <xdr:to>
      <xdr:col>59</xdr:col>
      <xdr:colOff>28574</xdr:colOff>
      <xdr:row>58</xdr:row>
      <xdr:rowOff>9524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428625</xdr:colOff>
          <xdr:row>2</xdr:row>
          <xdr:rowOff>19050</xdr:rowOff>
        </xdr:from>
        <xdr:to>
          <xdr:col>24</xdr:col>
          <xdr:colOff>304800</xdr:colOff>
          <xdr:row>7</xdr:row>
          <xdr:rowOff>66675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438150</xdr:colOff>
          <xdr:row>8</xdr:row>
          <xdr:rowOff>123825</xdr:rowOff>
        </xdr:from>
        <xdr:to>
          <xdr:col>26</xdr:col>
          <xdr:colOff>352425</xdr:colOff>
          <xdr:row>11</xdr:row>
          <xdr:rowOff>85725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7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390525</xdr:colOff>
          <xdr:row>12</xdr:row>
          <xdr:rowOff>66675</xdr:rowOff>
        </xdr:from>
        <xdr:to>
          <xdr:col>25</xdr:col>
          <xdr:colOff>219075</xdr:colOff>
          <xdr:row>14</xdr:row>
          <xdr:rowOff>171450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7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15</xdr:row>
          <xdr:rowOff>0</xdr:rowOff>
        </xdr:from>
        <xdr:to>
          <xdr:col>28</xdr:col>
          <xdr:colOff>219075</xdr:colOff>
          <xdr:row>19</xdr:row>
          <xdr:rowOff>28575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7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412750</xdr:colOff>
      <xdr:row>2</xdr:row>
      <xdr:rowOff>158749</xdr:rowOff>
    </xdr:from>
    <xdr:to>
      <xdr:col>54</xdr:col>
      <xdr:colOff>441325</xdr:colOff>
      <xdr:row>22</xdr:row>
      <xdr:rowOff>102721</xdr:rowOff>
    </xdr:to>
    <xdr:graphicFrame macro="">
      <xdr:nvGraphicFramePr>
        <xdr:cNvPr id="2" name="1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0</xdr:colOff>
      <xdr:row>3</xdr:row>
      <xdr:rowOff>19050</xdr:rowOff>
    </xdr:from>
    <xdr:to>
      <xdr:col>68</xdr:col>
      <xdr:colOff>438150</xdr:colOff>
      <xdr:row>20</xdr:row>
      <xdr:rowOff>171450</xdr:rowOff>
    </xdr:to>
    <xdr:graphicFrame macro="">
      <xdr:nvGraphicFramePr>
        <xdr:cNvPr id="3" name="13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90</xdr:col>
      <xdr:colOff>19050</xdr:colOff>
      <xdr:row>39</xdr:row>
      <xdr:rowOff>9525</xdr:rowOff>
    </xdr:from>
    <xdr:to>
      <xdr:col>102</xdr:col>
      <xdr:colOff>438150</xdr:colOff>
      <xdr:row>60</xdr:row>
      <xdr:rowOff>28575</xdr:rowOff>
    </xdr:to>
    <xdr:graphicFrame macro="">
      <xdr:nvGraphicFramePr>
        <xdr:cNvPr id="4" name="14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90</xdr:col>
      <xdr:colOff>0</xdr:colOff>
      <xdr:row>61</xdr:row>
      <xdr:rowOff>0</xdr:rowOff>
    </xdr:from>
    <xdr:to>
      <xdr:col>103</xdr:col>
      <xdr:colOff>9525</xdr:colOff>
      <xdr:row>81</xdr:row>
      <xdr:rowOff>9525</xdr:rowOff>
    </xdr:to>
    <xdr:graphicFrame macro="">
      <xdr:nvGraphicFramePr>
        <xdr:cNvPr id="5" name="15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90</xdr:col>
      <xdr:colOff>9524</xdr:colOff>
      <xdr:row>83</xdr:row>
      <xdr:rowOff>9525</xdr:rowOff>
    </xdr:from>
    <xdr:to>
      <xdr:col>102</xdr:col>
      <xdr:colOff>428624</xdr:colOff>
      <xdr:row>103</xdr:row>
      <xdr:rowOff>180974</xdr:rowOff>
    </xdr:to>
    <xdr:graphicFrame macro="">
      <xdr:nvGraphicFramePr>
        <xdr:cNvPr id="6" name="6 Gráfic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89</xdr:col>
      <xdr:colOff>438150</xdr:colOff>
      <xdr:row>105</xdr:row>
      <xdr:rowOff>9525</xdr:rowOff>
    </xdr:from>
    <xdr:to>
      <xdr:col>102</xdr:col>
      <xdr:colOff>428625</xdr:colOff>
      <xdr:row>125</xdr:row>
      <xdr:rowOff>152400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89</xdr:col>
      <xdr:colOff>428624</xdr:colOff>
      <xdr:row>126</xdr:row>
      <xdr:rowOff>19049</xdr:rowOff>
    </xdr:from>
    <xdr:to>
      <xdr:col>102</xdr:col>
      <xdr:colOff>428625</xdr:colOff>
      <xdr:row>146</xdr:row>
      <xdr:rowOff>19050</xdr:rowOff>
    </xdr:to>
    <xdr:graphicFrame macro="">
      <xdr:nvGraphicFramePr>
        <xdr:cNvPr id="8" name="20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69</xdr:col>
      <xdr:colOff>438150</xdr:colOff>
      <xdr:row>3</xdr:row>
      <xdr:rowOff>9526</xdr:rowOff>
    </xdr:from>
    <xdr:to>
      <xdr:col>89</xdr:col>
      <xdr:colOff>9524</xdr:colOff>
      <xdr:row>21</xdr:row>
      <xdr:rowOff>9526</xdr:rowOff>
    </xdr:to>
    <xdr:graphicFrame macro="">
      <xdr:nvGraphicFramePr>
        <xdr:cNvPr id="9" name="10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7</xdr:row>
          <xdr:rowOff>9525</xdr:rowOff>
        </xdr:from>
        <xdr:to>
          <xdr:col>26</xdr:col>
          <xdr:colOff>0</xdr:colOff>
          <xdr:row>12</xdr:row>
          <xdr:rowOff>9525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190500</xdr:colOff>
          <xdr:row>12</xdr:row>
          <xdr:rowOff>104775</xdr:rowOff>
        </xdr:from>
        <xdr:to>
          <xdr:col>27</xdr:col>
          <xdr:colOff>19050</xdr:colOff>
          <xdr:row>16</xdr:row>
          <xdr:rowOff>152400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8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17</xdr:row>
          <xdr:rowOff>28575</xdr:rowOff>
        </xdr:from>
        <xdr:to>
          <xdr:col>26</xdr:col>
          <xdr:colOff>142875</xdr:colOff>
          <xdr:row>18</xdr:row>
          <xdr:rowOff>142875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8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91</xdr:col>
          <xdr:colOff>28575</xdr:colOff>
          <xdr:row>2</xdr:row>
          <xdr:rowOff>28575</xdr:rowOff>
        </xdr:from>
        <xdr:to>
          <xdr:col>100</xdr:col>
          <xdr:colOff>190500</xdr:colOff>
          <xdr:row>7</xdr:row>
          <xdr:rowOff>161925</xdr:rowOff>
        </xdr:to>
        <xdr:sp macro="" textlink="">
          <xdr:nvSpPr>
            <xdr:cNvPr id="9220" name="Object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8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98</xdr:col>
          <xdr:colOff>66675</xdr:colOff>
          <xdr:row>20</xdr:row>
          <xdr:rowOff>9525</xdr:rowOff>
        </xdr:from>
        <xdr:to>
          <xdr:col>102</xdr:col>
          <xdr:colOff>19050</xdr:colOff>
          <xdr:row>22</xdr:row>
          <xdr:rowOff>180975</xdr:rowOff>
        </xdr:to>
        <xdr:sp macro="" textlink="">
          <xdr:nvSpPr>
            <xdr:cNvPr id="9221" name="Object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8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90</xdr:col>
          <xdr:colOff>381000</xdr:colOff>
          <xdr:row>12</xdr:row>
          <xdr:rowOff>66675</xdr:rowOff>
        </xdr:from>
        <xdr:to>
          <xdr:col>93</xdr:col>
          <xdr:colOff>438150</xdr:colOff>
          <xdr:row>14</xdr:row>
          <xdr:rowOff>133350</xdr:rowOff>
        </xdr:to>
        <xdr:sp macro="" textlink="">
          <xdr:nvSpPr>
            <xdr:cNvPr id="9222" name="Object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8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98</xdr:col>
          <xdr:colOff>190500</xdr:colOff>
          <xdr:row>23</xdr:row>
          <xdr:rowOff>171450</xdr:rowOff>
        </xdr:from>
        <xdr:to>
          <xdr:col>100</xdr:col>
          <xdr:colOff>352425</xdr:colOff>
          <xdr:row>26</xdr:row>
          <xdr:rowOff>0</xdr:rowOff>
        </xdr:to>
        <xdr:sp macro="" textlink="">
          <xdr:nvSpPr>
            <xdr:cNvPr id="9223" name="Object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8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</xdr:col>
          <xdr:colOff>390525</xdr:colOff>
          <xdr:row>15</xdr:row>
          <xdr:rowOff>95250</xdr:rowOff>
        </xdr:from>
        <xdr:to>
          <xdr:col>100</xdr:col>
          <xdr:colOff>390525</xdr:colOff>
          <xdr:row>18</xdr:row>
          <xdr:rowOff>9525</xdr:rowOff>
        </xdr:to>
        <xdr:sp macro="" textlink="">
          <xdr:nvSpPr>
            <xdr:cNvPr id="9224" name="Object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8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</xdr:col>
          <xdr:colOff>419100</xdr:colOff>
          <xdr:row>27</xdr:row>
          <xdr:rowOff>28575</xdr:rowOff>
        </xdr:from>
        <xdr:to>
          <xdr:col>101</xdr:col>
          <xdr:colOff>9525</xdr:colOff>
          <xdr:row>29</xdr:row>
          <xdr:rowOff>133350</xdr:rowOff>
        </xdr:to>
        <xdr:sp macro="" textlink="">
          <xdr:nvSpPr>
            <xdr:cNvPr id="9225" name="Object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8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</xdr:col>
          <xdr:colOff>76200</xdr:colOff>
          <xdr:row>12</xdr:row>
          <xdr:rowOff>57150</xdr:rowOff>
        </xdr:from>
        <xdr:to>
          <xdr:col>100</xdr:col>
          <xdr:colOff>438150</xdr:colOff>
          <xdr:row>14</xdr:row>
          <xdr:rowOff>142875</xdr:rowOff>
        </xdr:to>
        <xdr:sp macro="" textlink="">
          <xdr:nvSpPr>
            <xdr:cNvPr id="9226" name="Object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8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90</xdr:col>
          <xdr:colOff>428625</xdr:colOff>
          <xdr:row>8</xdr:row>
          <xdr:rowOff>142875</xdr:rowOff>
        </xdr:from>
        <xdr:to>
          <xdr:col>99</xdr:col>
          <xdr:colOff>209550</xdr:colOff>
          <xdr:row>11</xdr:row>
          <xdr:rowOff>142875</xdr:rowOff>
        </xdr:to>
        <xdr:sp macro="" textlink="">
          <xdr:nvSpPr>
            <xdr:cNvPr id="9227" name="Object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8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90</xdr:col>
          <xdr:colOff>0</xdr:colOff>
          <xdr:row>15</xdr:row>
          <xdr:rowOff>57150</xdr:rowOff>
        </xdr:from>
        <xdr:to>
          <xdr:col>97</xdr:col>
          <xdr:colOff>152400</xdr:colOff>
          <xdr:row>18</xdr:row>
          <xdr:rowOff>114300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8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314325</xdr:colOff>
          <xdr:row>23</xdr:row>
          <xdr:rowOff>47625</xdr:rowOff>
        </xdr:from>
        <xdr:to>
          <xdr:col>88</xdr:col>
          <xdr:colOff>190500</xdr:colOff>
          <xdr:row>28</xdr:row>
          <xdr:rowOff>47625</xdr:rowOff>
        </xdr:to>
        <xdr:sp macro="" textlink="">
          <xdr:nvSpPr>
            <xdr:cNvPr id="9229" name="Object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8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181</xdr:col>
          <xdr:colOff>257175</xdr:colOff>
          <xdr:row>2</xdr:row>
          <xdr:rowOff>47625</xdr:rowOff>
        </xdr:from>
        <xdr:to>
          <xdr:col>187</xdr:col>
          <xdr:colOff>171450</xdr:colOff>
          <xdr:row>7</xdr:row>
          <xdr:rowOff>171450</xdr:rowOff>
        </xdr:to>
        <xdr:sp macro="" textlink="">
          <xdr:nvSpPr>
            <xdr:cNvPr id="9230" name="Object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8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181</xdr:col>
          <xdr:colOff>409575</xdr:colOff>
          <xdr:row>11</xdr:row>
          <xdr:rowOff>0</xdr:rowOff>
        </xdr:from>
        <xdr:to>
          <xdr:col>189</xdr:col>
          <xdr:colOff>419100</xdr:colOff>
          <xdr:row>15</xdr:row>
          <xdr:rowOff>95250</xdr:rowOff>
        </xdr:to>
        <xdr:sp macro="" textlink="">
          <xdr:nvSpPr>
            <xdr:cNvPr id="9231" name="Object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8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181</xdr:col>
          <xdr:colOff>390525</xdr:colOff>
          <xdr:row>8</xdr:row>
          <xdr:rowOff>180975</xdr:rowOff>
        </xdr:from>
        <xdr:to>
          <xdr:col>187</xdr:col>
          <xdr:colOff>161925</xdr:colOff>
          <xdr:row>10</xdr:row>
          <xdr:rowOff>123825</xdr:rowOff>
        </xdr:to>
        <xdr:sp macro="" textlink="">
          <xdr:nvSpPr>
            <xdr:cNvPr id="9232" name="Object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8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219075</xdr:colOff>
          <xdr:row>1</xdr:row>
          <xdr:rowOff>95250</xdr:rowOff>
        </xdr:from>
        <xdr:to>
          <xdr:col>29</xdr:col>
          <xdr:colOff>304800</xdr:colOff>
          <xdr:row>6</xdr:row>
          <xdr:rowOff>152400</xdr:rowOff>
        </xdr:to>
        <xdr:sp macro="" textlink="">
          <xdr:nvSpPr>
            <xdr:cNvPr id="9233" name="Object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8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428623</xdr:colOff>
      <xdr:row>7</xdr:row>
      <xdr:rowOff>180976</xdr:rowOff>
    </xdr:from>
    <xdr:to>
      <xdr:col>51</xdr:col>
      <xdr:colOff>19050</xdr:colOff>
      <xdr:row>25</xdr:row>
      <xdr:rowOff>161926</xdr:rowOff>
    </xdr:to>
    <xdr:graphicFrame macro="">
      <xdr:nvGraphicFramePr>
        <xdr:cNvPr id="2" name="9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381000</xdr:colOff>
          <xdr:row>3</xdr:row>
          <xdr:rowOff>9525</xdr:rowOff>
        </xdr:from>
        <xdr:to>
          <xdr:col>27</xdr:col>
          <xdr:colOff>38100</xdr:colOff>
          <xdr:row>8</xdr:row>
          <xdr:rowOff>76200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390525</xdr:colOff>
          <xdr:row>10</xdr:row>
          <xdr:rowOff>19050</xdr:rowOff>
        </xdr:from>
        <xdr:to>
          <xdr:col>27</xdr:col>
          <xdr:colOff>400050</xdr:colOff>
          <xdr:row>15</xdr:row>
          <xdr:rowOff>161925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9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295275</xdr:colOff>
          <xdr:row>16</xdr:row>
          <xdr:rowOff>161925</xdr:rowOff>
        </xdr:from>
        <xdr:to>
          <xdr:col>62</xdr:col>
          <xdr:colOff>161925</xdr:colOff>
          <xdr:row>22</xdr:row>
          <xdr:rowOff>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9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30</xdr:row>
          <xdr:rowOff>171450</xdr:rowOff>
        </xdr:from>
        <xdr:to>
          <xdr:col>14</xdr:col>
          <xdr:colOff>438150</xdr:colOff>
          <xdr:row>32</xdr:row>
          <xdr:rowOff>19050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9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276225</xdr:colOff>
          <xdr:row>30</xdr:row>
          <xdr:rowOff>171450</xdr:rowOff>
        </xdr:from>
        <xdr:to>
          <xdr:col>18</xdr:col>
          <xdr:colOff>438150</xdr:colOff>
          <xdr:row>32</xdr:row>
          <xdr:rowOff>19050</xdr:rowOff>
        </xdr:to>
        <xdr:sp macro="" textlink="">
          <xdr:nvSpPr>
            <xdr:cNvPr id="10245" name="Object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9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drigo/Downloads/Par&#225;metros%20acuumula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V50A09 2 parámetros"/>
      <sheetName val="100 A 39, 3 par. rev."/>
      <sheetName val="100 A 39; Q = f(I)"/>
      <sheetName val="100 A 39; Q = f(I) (2)"/>
      <sheetName val="SLPB68106100 4 parámetros"/>
      <sheetName val="Superficie 100 A 63"/>
      <sheetName val="Conductividad H2 O"/>
      <sheetName val="Penetración Pb SO4 y Pb O2"/>
    </sheetNames>
    <sheetDataSet>
      <sheetData sheetId="0">
        <row r="33">
          <cell r="L33">
            <v>0</v>
          </cell>
        </row>
      </sheetData>
      <sheetData sheetId="1">
        <row r="6">
          <cell r="DB6">
            <v>0</v>
          </cell>
        </row>
        <row r="36">
          <cell r="AI36">
            <v>0</v>
          </cell>
          <cell r="AK36">
            <v>2.25</v>
          </cell>
          <cell r="AL36">
            <v>2.25</v>
          </cell>
          <cell r="AN36">
            <v>2.25</v>
          </cell>
          <cell r="AO36">
            <v>2.25</v>
          </cell>
          <cell r="AP36">
            <v>2.25</v>
          </cell>
          <cell r="AQ36">
            <v>2.25</v>
          </cell>
          <cell r="AU36">
            <v>1.8</v>
          </cell>
          <cell r="AV36">
            <v>1.81</v>
          </cell>
          <cell r="AW36">
            <v>1.83</v>
          </cell>
          <cell r="AX36">
            <v>1.84</v>
          </cell>
          <cell r="AZ36">
            <v>1.88</v>
          </cell>
          <cell r="BA36">
            <v>1.9</v>
          </cell>
          <cell r="BZ36">
            <v>0</v>
          </cell>
          <cell r="CB36">
            <v>2.25</v>
          </cell>
          <cell r="CC36">
            <v>2.25</v>
          </cell>
          <cell r="CE36">
            <v>2.25</v>
          </cell>
          <cell r="CF36">
            <v>2.25</v>
          </cell>
          <cell r="CG36">
            <v>2.25</v>
          </cell>
          <cell r="CH36">
            <v>2.25</v>
          </cell>
        </row>
        <row r="37">
          <cell r="AI37">
            <v>0</v>
          </cell>
          <cell r="AK37">
            <v>2.2424648611111109</v>
          </cell>
          <cell r="AL37">
            <v>2.238697291666667</v>
          </cell>
          <cell r="AN37">
            <v>2.2276933333333333</v>
          </cell>
          <cell r="AO37">
            <v>2.223471</v>
          </cell>
          <cell r="AP37">
            <v>2.2073783333333332</v>
          </cell>
          <cell r="AQ37">
            <v>2.2003358</v>
          </cell>
          <cell r="AU37">
            <v>1.8</v>
          </cell>
          <cell r="AV37">
            <v>1.81</v>
          </cell>
          <cell r="AW37">
            <v>1.83</v>
          </cell>
          <cell r="AX37">
            <v>1.84</v>
          </cell>
          <cell r="AZ37">
            <v>1.88</v>
          </cell>
          <cell r="BA37">
            <v>1.9</v>
          </cell>
          <cell r="BZ37">
            <v>0</v>
          </cell>
          <cell r="CB37">
            <v>2.2424648611111113</v>
          </cell>
          <cell r="CC37">
            <v>2.2386972916666665</v>
          </cell>
          <cell r="CE37">
            <v>2.2276933333333333</v>
          </cell>
          <cell r="CF37">
            <v>2.223471</v>
          </cell>
          <cell r="CG37">
            <v>2.2073783333333332</v>
          </cell>
          <cell r="CH37">
            <v>2.2003358</v>
          </cell>
        </row>
        <row r="38">
          <cell r="AI38">
            <v>1.125</v>
          </cell>
          <cell r="AK38">
            <v>2.2289949683417407</v>
          </cell>
          <cell r="AL38">
            <v>2.2251958048846916</v>
          </cell>
          <cell r="AN38">
            <v>2.214099569765644</v>
          </cell>
          <cell r="AO38">
            <v>2.2098418288692852</v>
          </cell>
          <cell r="AP38">
            <v>2.1936142126227867</v>
          </cell>
          <cell r="AQ38">
            <v>2.186512622146596</v>
          </cell>
          <cell r="AU38">
            <v>1.8</v>
          </cell>
          <cell r="AV38">
            <v>1.81</v>
          </cell>
          <cell r="AW38">
            <v>1.83</v>
          </cell>
          <cell r="AX38">
            <v>1.84</v>
          </cell>
          <cell r="AZ38">
            <v>1.88</v>
          </cell>
          <cell r="BA38">
            <v>1.9</v>
          </cell>
          <cell r="BZ38">
            <v>1</v>
          </cell>
          <cell r="CB38">
            <v>2.2237798670316815</v>
          </cell>
          <cell r="CC38">
            <v>2.2110898899472984</v>
          </cell>
          <cell r="CE38">
            <v>2.1754936530344104</v>
          </cell>
          <cell r="CF38">
            <v>2.1623720649585843</v>
          </cell>
          <cell r="CG38">
            <v>2.1147541316165772</v>
          </cell>
          <cell r="CH38">
            <v>2.094971470877157</v>
          </cell>
        </row>
        <row r="39">
          <cell r="AI39">
            <v>2.25</v>
          </cell>
          <cell r="AK39">
            <v>2.2161923409412276</v>
          </cell>
          <cell r="AL39">
            <v>2.2123610479798335</v>
          </cell>
          <cell r="AN39">
            <v>2.2011709720617545</v>
          </cell>
          <cell r="AO39">
            <v>2.1968772234741838</v>
          </cell>
          <cell r="AP39">
            <v>2.1805123703668396</v>
          </cell>
          <cell r="AQ39">
            <v>2.1733507217792689</v>
          </cell>
          <cell r="AU39">
            <v>1.8</v>
          </cell>
          <cell r="AV39">
            <v>1.81</v>
          </cell>
          <cell r="AW39">
            <v>1.83</v>
          </cell>
          <cell r="AX39">
            <v>1.84</v>
          </cell>
          <cell r="AZ39">
            <v>1.88</v>
          </cell>
          <cell r="BA39">
            <v>1.9</v>
          </cell>
          <cell r="BZ39">
            <v>2</v>
          </cell>
          <cell r="CB39">
            <v>2.2063786190472108</v>
          </cell>
          <cell r="CC39">
            <v>2.1862680700117689</v>
          </cell>
          <cell r="CE39">
            <v>2.1330595369067247</v>
          </cell>
          <cell r="CF39">
            <v>2.1145414330857171</v>
          </cell>
          <cell r="CG39">
            <v>2.0515345215940508</v>
          </cell>
          <cell r="CH39">
            <v>2.0269607429090888</v>
          </cell>
        </row>
        <row r="40">
          <cell r="AI40">
            <v>3.375</v>
          </cell>
          <cell r="AK40">
            <v>2.2040236342770569</v>
          </cell>
          <cell r="AL40">
            <v>2.2001596625890225</v>
          </cell>
          <cell r="AN40">
            <v>2.1888741417556892</v>
          </cell>
          <cell r="AO40">
            <v>2.1845437699608174</v>
          </cell>
          <cell r="AP40">
            <v>2.1680393340633817</v>
          </cell>
          <cell r="AQ40">
            <v>2.1608166007300484</v>
          </cell>
          <cell r="AU40">
            <v>1.8</v>
          </cell>
          <cell r="AV40">
            <v>1.81</v>
          </cell>
          <cell r="AW40">
            <v>1.83</v>
          </cell>
          <cell r="AX40">
            <v>1.84</v>
          </cell>
          <cell r="AZ40">
            <v>1.88</v>
          </cell>
          <cell r="BA40">
            <v>1.9</v>
          </cell>
          <cell r="BZ40">
            <v>3</v>
          </cell>
          <cell r="CB40">
            <v>2.1901721257927718</v>
          </cell>
          <cell r="CC40">
            <v>2.1639468143247598</v>
          </cell>
          <cell r="CE40">
            <v>2.098506296442451</v>
          </cell>
          <cell r="CF40">
            <v>2.0769837301920728</v>
          </cell>
          <cell r="CG40">
            <v>2.0076554599718146</v>
          </cell>
          <cell r="CH40">
            <v>1.9817344220764981</v>
          </cell>
        </row>
        <row r="41">
          <cell r="AI41">
            <v>4.5</v>
          </cell>
          <cell r="AK41">
            <v>2.1924571636608965</v>
          </cell>
          <cell r="AL41">
            <v>2.1885599498199007</v>
          </cell>
          <cell r="AN41">
            <v>2.1771773384693258</v>
          </cell>
          <cell r="AO41">
            <v>2.1728097120325445</v>
          </cell>
          <cell r="AP41">
            <v>2.1561632867451879</v>
          </cell>
          <cell r="AQ41">
            <v>2.1488784154808203</v>
          </cell>
          <cell r="AU41">
            <v>1.8</v>
          </cell>
          <cell r="AV41">
            <v>1.81</v>
          </cell>
          <cell r="AW41">
            <v>1.83</v>
          </cell>
          <cell r="AX41">
            <v>1.84</v>
          </cell>
          <cell r="AZ41">
            <v>1.88</v>
          </cell>
          <cell r="BA41">
            <v>1.9</v>
          </cell>
          <cell r="BZ41">
            <v>4</v>
          </cell>
          <cell r="CB41">
            <v>2.1750775402889091</v>
          </cell>
          <cell r="CC41">
            <v>2.1438700787238281</v>
          </cell>
          <cell r="CE41">
            <v>2.0703070618672172</v>
          </cell>
          <cell r="CF41">
            <v>2.0473654472521798</v>
          </cell>
          <cell r="CG41">
            <v>1.976328176529178</v>
          </cell>
          <cell r="CH41">
            <v>1.9500220645740478</v>
          </cell>
        </row>
        <row r="42">
          <cell r="AI42">
            <v>5.625</v>
          </cell>
          <cell r="AK42">
            <v>2.1814628215105007</v>
          </cell>
          <cell r="AL42">
            <v>2.1775317873921436</v>
          </cell>
          <cell r="AN42">
            <v>2.1660503969935929</v>
          </cell>
          <cell r="AO42">
            <v>2.1616448680080853</v>
          </cell>
          <cell r="AP42">
            <v>2.1448539839501146</v>
          </cell>
          <cell r="AQ42">
            <v>2.137505894095042</v>
          </cell>
          <cell r="AU42">
            <v>1.8</v>
          </cell>
          <cell r="AV42">
            <v>1.81</v>
          </cell>
          <cell r="AW42">
            <v>1.83</v>
          </cell>
          <cell r="AX42">
            <v>1.84</v>
          </cell>
          <cell r="AZ42">
            <v>1.88</v>
          </cell>
          <cell r="BA42">
            <v>1.9</v>
          </cell>
          <cell r="BZ42">
            <v>5</v>
          </cell>
          <cell r="CB42">
            <v>2.1610177345794881</v>
          </cell>
          <cell r="CC42">
            <v>2.1258078338094393</v>
          </cell>
          <cell r="CE42">
            <v>2.0472239513478327</v>
          </cell>
          <cell r="CF42">
            <v>2.0238660099625951</v>
          </cell>
          <cell r="CG42">
            <v>1.9529142041613823</v>
          </cell>
          <cell r="CH42">
            <v>1.9257568621249499</v>
          </cell>
        </row>
        <row r="43">
          <cell r="AI43">
            <v>6.75</v>
          </cell>
          <cell r="AK43">
            <v>2.1710119986369483</v>
          </cell>
          <cell r="AL43">
            <v>2.1670465509030303</v>
          </cell>
          <cell r="AN43">
            <v>2.1554646484907498</v>
          </cell>
          <cell r="AO43">
            <v>2.1510205519995216</v>
          </cell>
          <cell r="AP43">
            <v>2.1340826748065389</v>
          </cell>
          <cell r="AQ43">
            <v>2.1266702572626794</v>
          </cell>
          <cell r="AU43">
            <v>1.8</v>
          </cell>
          <cell r="AV43">
            <v>1.81</v>
          </cell>
          <cell r="AW43">
            <v>1.83</v>
          </cell>
          <cell r="AX43">
            <v>1.84</v>
          </cell>
          <cell r="AZ43">
            <v>1.88</v>
          </cell>
          <cell r="BA43">
            <v>1.9</v>
          </cell>
          <cell r="BZ43">
            <v>6</v>
          </cell>
          <cell r="CB43">
            <v>2.1479209037482594</v>
          </cell>
          <cell r="CC43">
            <v>2.1095534071943511</v>
          </cell>
          <cell r="CE43">
            <v>2.0282522920745683</v>
          </cell>
          <cell r="CF43">
            <v>2.0050616539565165</v>
          </cell>
          <cell r="CG43">
            <v>1.9341554542812127</v>
          </cell>
          <cell r="CH43">
            <v>1.9046916539988459</v>
          </cell>
        </row>
        <row r="44">
          <cell r="AI44">
            <v>7.875</v>
          </cell>
          <cell r="AK44">
            <v>2.1610775094513253</v>
          </cell>
          <cell r="AL44">
            <v>2.1570770390113054</v>
          </cell>
          <cell r="AN44">
            <v>2.1453928456116005</v>
          </cell>
          <cell r="AO44">
            <v>2.1409094990039308</v>
          </cell>
          <cell r="AP44">
            <v>2.1238220270275296</v>
          </cell>
          <cell r="AQ44">
            <v>2.1163441432517183</v>
          </cell>
          <cell r="AU44">
            <v>1.8</v>
          </cell>
          <cell r="AV44">
            <v>1.81</v>
          </cell>
          <cell r="AW44">
            <v>1.83</v>
          </cell>
          <cell r="AX44">
            <v>1.84</v>
          </cell>
          <cell r="AZ44">
            <v>1.88</v>
          </cell>
          <cell r="BA44">
            <v>1.9</v>
          </cell>
          <cell r="BZ44">
            <v>7</v>
          </cell>
          <cell r="CB44">
            <v>2.1357201972798938</v>
          </cell>
          <cell r="CC44">
            <v>2.0949210958697604</v>
          </cell>
          <cell r="CE44">
            <v>2.0125753679007503</v>
          </cell>
          <cell r="CF44">
            <v>1.9898346415288106</v>
          </cell>
          <cell r="CG44">
            <v>1.9176253392179274</v>
          </cell>
          <cell r="CH44">
            <v>1.8833751841418045</v>
          </cell>
        </row>
        <row r="45">
          <cell r="AI45">
            <v>9</v>
          </cell>
          <cell r="AK45">
            <v>2.151633520895198</v>
          </cell>
          <cell r="AL45">
            <v>2.1475974023436106</v>
          </cell>
          <cell r="AN45">
            <v>2.1358090913317058</v>
          </cell>
          <cell r="AO45">
            <v>2.1312857937126584</v>
          </cell>
          <cell r="AP45">
            <v>2.1140460556174201</v>
          </cell>
          <cell r="AQ45">
            <v>2.1065015365698012</v>
          </cell>
          <cell r="AU45">
            <v>1.8</v>
          </cell>
          <cell r="AV45">
            <v>1.81</v>
          </cell>
          <cell r="AW45">
            <v>1.83</v>
          </cell>
          <cell r="AX45">
            <v>1.84</v>
          </cell>
          <cell r="AZ45">
            <v>1.88</v>
          </cell>
          <cell r="BA45">
            <v>1.9</v>
          </cell>
          <cell r="BZ45">
            <v>8</v>
          </cell>
          <cell r="CB45">
            <v>2.124353375871638</v>
          </cell>
          <cell r="CC45">
            <v>2.0817440210657572</v>
          </cell>
          <cell r="CE45">
            <v>1.9995276398955835</v>
          </cell>
          <cell r="CF45">
            <v>1.9773019512650636</v>
          </cell>
          <cell r="CG45">
            <v>1.9012951587618547</v>
          </cell>
          <cell r="CH45">
            <v>1.8581453017916931</v>
          </cell>
        </row>
        <row r="46">
          <cell r="AI46">
            <v>10.125</v>
          </cell>
          <cell r="AK46">
            <v>2.1426554849089743</v>
          </cell>
          <cell r="AL46">
            <v>2.1385830759375031</v>
          </cell>
          <cell r="AN46">
            <v>2.1266887713203859</v>
          </cell>
          <cell r="AO46">
            <v>2.1221248028519173</v>
          </cell>
          <cell r="AP46">
            <v>2.1047300551041692</v>
          </cell>
          <cell r="AQ46">
            <v>2.0971177001492145</v>
          </cell>
          <cell r="AU46">
            <v>1.8</v>
          </cell>
          <cell r="AV46">
            <v>1.81</v>
          </cell>
          <cell r="AW46">
            <v>1.83</v>
          </cell>
          <cell r="AX46">
            <v>1.84</v>
          </cell>
          <cell r="AZ46">
            <v>1.88</v>
          </cell>
          <cell r="BA46">
            <v>1.9</v>
          </cell>
          <cell r="BZ46">
            <v>9</v>
          </cell>
          <cell r="CB46">
            <v>2.1137624919323805</v>
          </cell>
          <cell r="CC46">
            <v>2.0698722007835682</v>
          </cell>
          <cell r="CE46">
            <v>1.9885647629737597</v>
          </cell>
          <cell r="CF46">
            <v>1.9667587734848273</v>
          </cell>
          <cell r="CG46">
            <v>1.8831059912036432</v>
          </cell>
          <cell r="CH46">
            <v>1.8235353724708154</v>
          </cell>
        </row>
        <row r="47">
          <cell r="AI47">
            <v>11.25</v>
          </cell>
          <cell r="AK47">
            <v>2.1341200742614825</v>
          </cell>
          <cell r="AL47">
            <v>2.1300107150443108</v>
          </cell>
          <cell r="AN47">
            <v>2.1180084896655229</v>
          </cell>
          <cell r="AO47">
            <v>2.1134031108776443</v>
          </cell>
          <cell r="AP47">
            <v>2.0958505351200682</v>
          </cell>
          <cell r="AQ47">
            <v>2.0881691108776446</v>
          </cell>
          <cell r="AU47">
            <v>1.8</v>
          </cell>
          <cell r="AV47">
            <v>1.81</v>
          </cell>
          <cell r="AW47">
            <v>1.83</v>
          </cell>
          <cell r="AX47">
            <v>1.84</v>
          </cell>
          <cell r="AZ47">
            <v>1.88</v>
          </cell>
          <cell r="BA47">
            <v>1.9</v>
          </cell>
          <cell r="BZ47">
            <v>10</v>
          </cell>
          <cell r="CB47">
            <v>2.1038935921275259</v>
          </cell>
          <cell r="CC47">
            <v>2.0591708176889094</v>
          </cell>
          <cell r="CE47">
            <v>1.979239019457002</v>
          </cell>
          <cell r="CF47">
            <v>1.9576330142072278</v>
          </cell>
          <cell r="CG47">
            <v>1.8603685751497092</v>
          </cell>
          <cell r="CH47">
            <v>1.7682180075647862</v>
          </cell>
        </row>
        <row r="48">
          <cell r="AI48">
            <v>12.375</v>
          </cell>
          <cell r="AK48">
            <v>2.1260051215729012</v>
          </cell>
          <cell r="AL48">
            <v>2.1218581341238694</v>
          </cell>
          <cell r="AN48">
            <v>2.1097460077859491</v>
          </cell>
          <cell r="AO48">
            <v>2.1050984588562853</v>
          </cell>
          <cell r="AP48">
            <v>2.0873851591620958</v>
          </cell>
          <cell r="AQ48">
            <v>2.0796333983058268</v>
          </cell>
          <cell r="AU48">
            <v>1.8</v>
          </cell>
          <cell r="AV48">
            <v>1.81</v>
          </cell>
          <cell r="AW48">
            <v>1.83</v>
          </cell>
          <cell r="AX48">
            <v>1.84</v>
          </cell>
          <cell r="AZ48">
            <v>1.88</v>
          </cell>
          <cell r="BA48">
            <v>1.9</v>
          </cell>
          <cell r="BZ48">
            <v>11</v>
          </cell>
          <cell r="CB48">
            <v>2.0946964404411901</v>
          </cell>
          <cell r="CC48">
            <v>2.0495186623083939</v>
          </cell>
          <cell r="CE48">
            <v>1.9711790203298007</v>
          </cell>
          <cell r="CF48">
            <v>1.9494475765343544</v>
          </cell>
          <cell r="CG48">
            <v>1.8285530602626496</v>
          </cell>
          <cell r="CH48">
            <v>1.6593878208044344</v>
          </cell>
        </row>
        <row r="49">
          <cell r="AI49">
            <v>13.5</v>
          </cell>
          <cell r="AK49">
            <v>2.1182895613715034</v>
          </cell>
          <cell r="AL49">
            <v>2.1141042488715036</v>
          </cell>
          <cell r="AN49">
            <v>2.1018801863715035</v>
          </cell>
          <cell r="AO49">
            <v>2.0971896863715029</v>
          </cell>
          <cell r="AP49">
            <v>2.0793126863715035</v>
          </cell>
          <cell r="AQ49">
            <v>2.0714892863715031</v>
          </cell>
          <cell r="AU49">
            <v>1.8</v>
          </cell>
          <cell r="AV49">
            <v>1.81</v>
          </cell>
          <cell r="AW49">
            <v>1.83</v>
          </cell>
          <cell r="AX49">
            <v>1.84</v>
          </cell>
          <cell r="AZ49">
            <v>1.88</v>
          </cell>
          <cell r="BA49">
            <v>1.9</v>
          </cell>
          <cell r="BZ49">
            <v>12</v>
          </cell>
          <cell r="CB49">
            <v>2.0861242603325278</v>
          </cell>
          <cell r="CC49">
            <v>2.0408067334899891</v>
          </cell>
          <cell r="CE49">
            <v>1.96407269386599</v>
          </cell>
          <cell r="CF49">
            <v>1.9417874333298015</v>
          </cell>
          <cell r="CG49">
            <v>1.7779842010828861</v>
          </cell>
          <cell r="CH49"/>
        </row>
        <row r="50">
          <cell r="AI50">
            <v>14.625</v>
          </cell>
          <cell r="AK50">
            <v>2.1109533750326235</v>
          </cell>
          <cell r="AL50">
            <v>2.1067290211255623</v>
          </cell>
          <cell r="AN50">
            <v>2.0943909301987711</v>
          </cell>
          <cell r="AO50">
            <v>2.0896566763046898</v>
          </cell>
          <cell r="AP50">
            <v>2.0716129161800794</v>
          </cell>
          <cell r="AQ50">
            <v>2.0637165379869327</v>
          </cell>
          <cell r="AU50">
            <v>1.8</v>
          </cell>
          <cell r="AV50">
            <v>1.81</v>
          </cell>
          <cell r="AW50">
            <v>1.83</v>
          </cell>
          <cell r="AX50">
            <v>1.84</v>
          </cell>
          <cell r="AZ50">
            <v>1.88</v>
          </cell>
          <cell r="BA50">
            <v>1.9</v>
          </cell>
          <cell r="BZ50">
            <v>13</v>
          </cell>
          <cell r="CB50">
            <v>2.0781334946609213</v>
          </cell>
          <cell r="CC50">
            <v>2.0329369798969434</v>
          </cell>
          <cell r="CE50">
            <v>1.9576526906118885</v>
          </cell>
          <cell r="CF50">
            <v>1.934268335268484</v>
          </cell>
          <cell r="CG50">
            <v>1.6814746288444711</v>
          </cell>
          <cell r="CH50"/>
        </row>
        <row r="51">
          <cell r="AI51">
            <v>15.75</v>
          </cell>
          <cell r="AK51">
            <v>2.1039775384557715</v>
          </cell>
          <cell r="AL51">
            <v>2.0997134065113272</v>
          </cell>
          <cell r="AN51">
            <v>2.0872591356779941</v>
          </cell>
          <cell r="AO51">
            <v>2.0824803023446607</v>
          </cell>
          <cell r="AP51">
            <v>2.0642666356779937</v>
          </cell>
          <cell r="AQ51">
            <v>2.0562959023446603</v>
          </cell>
          <cell r="AU51">
            <v>1.8</v>
          </cell>
          <cell r="AV51">
            <v>1.81</v>
          </cell>
          <cell r="AW51">
            <v>1.83</v>
          </cell>
          <cell r="AX51">
            <v>1.84</v>
          </cell>
          <cell r="AZ51">
            <v>1.88</v>
          </cell>
          <cell r="BA51">
            <v>1.9</v>
          </cell>
          <cell r="BZ51">
            <v>14</v>
          </cell>
          <cell r="CB51">
            <v>2.0706835821459015</v>
          </cell>
          <cell r="CC51">
            <v>2.0258211679228508</v>
          </cell>
          <cell r="CE51">
            <v>1.9516833772314643</v>
          </cell>
          <cell r="CF51">
            <v>1.926503171102842</v>
          </cell>
          <cell r="CG51"/>
          <cell r="CH51"/>
        </row>
        <row r="52">
          <cell r="AI52">
            <v>16.875</v>
          </cell>
          <cell r="AK52">
            <v>2.097343972342987</v>
          </cell>
          <cell r="AL52">
            <v>2.093039304684257</v>
          </cell>
          <cell r="AN52">
            <v>2.0804666409937806</v>
          </cell>
          <cell r="AO52">
            <v>2.0756423790890191</v>
          </cell>
          <cell r="AP52">
            <v>2.0572555695652093</v>
          </cell>
          <cell r="AQ52">
            <v>2.0492090648033043</v>
          </cell>
          <cell r="AU52">
            <v>1.8</v>
          </cell>
          <cell r="AV52">
            <v>1.81</v>
          </cell>
          <cell r="AW52">
            <v>1.83</v>
          </cell>
          <cell r="AX52">
            <v>1.84</v>
          </cell>
          <cell r="AZ52">
            <v>1.88</v>
          </cell>
          <cell r="BA52">
            <v>1.9</v>
          </cell>
          <cell r="BZ52">
            <v>15</v>
          </cell>
          <cell r="CB52">
            <v>2.0637367492123997</v>
          </cell>
          <cell r="CC52">
            <v>2.0193798628614954</v>
          </cell>
          <cell r="CE52">
            <v>1.9459485510340202</v>
          </cell>
          <cell r="CF52">
            <v>1.9180599416694466</v>
          </cell>
          <cell r="CG52"/>
          <cell r="CH52"/>
        </row>
        <row r="53">
          <cell r="AI53">
            <v>18</v>
          </cell>
          <cell r="AK53">
            <v>2.091035494948307</v>
          </cell>
          <cell r="AL53">
            <v>2.0866895120423243</v>
          </cell>
          <cell r="AN53">
            <v>2.0739961787089909</v>
          </cell>
          <cell r="AO53">
            <v>2.0691256146064267</v>
          </cell>
          <cell r="AP53">
            <v>2.0505623325551445</v>
          </cell>
          <cell r="AQ53">
            <v>2.042438599221811</v>
          </cell>
          <cell r="AU53">
            <v>1.8</v>
          </cell>
          <cell r="AV53">
            <v>1.81</v>
          </cell>
          <cell r="AW53">
            <v>1.83</v>
          </cell>
          <cell r="AX53">
            <v>1.84</v>
          </cell>
          <cell r="AZ53">
            <v>1.88</v>
          </cell>
          <cell r="BA53">
            <v>1.9</v>
          </cell>
          <cell r="BZ53">
            <v>16</v>
          </cell>
          <cell r="CB53">
            <v>2.0572578161507789</v>
          </cell>
          <cell r="CC53">
            <v>2.0135415114547977</v>
          </cell>
          <cell r="CE53">
            <v>1.9402388417184762</v>
          </cell>
          <cell r="CF53">
            <v>1.908400665273069</v>
          </cell>
          <cell r="CG53"/>
          <cell r="CH53"/>
        </row>
        <row r="54">
          <cell r="AI54">
            <v>19.125</v>
          </cell>
          <cell r="AK54">
            <v>2.0850357771746912</v>
          </cell>
          <cell r="AL54">
            <v>2.080647676783645</v>
          </cell>
          <cell r="AN54">
            <v>2.0678313307075933</v>
          </cell>
          <cell r="AO54">
            <v>2.0629135653354251</v>
          </cell>
          <cell r="AP54">
            <v>2.0441703841056516</v>
          </cell>
          <cell r="AQ54">
            <v>2.0359679226169782</v>
          </cell>
          <cell r="AU54">
            <v>1.8</v>
          </cell>
          <cell r="AV54">
            <v>1.81</v>
          </cell>
          <cell r="AW54">
            <v>1.83</v>
          </cell>
          <cell r="AX54">
            <v>1.84</v>
          </cell>
          <cell r="AZ54">
            <v>1.88</v>
          </cell>
          <cell r="BA54">
            <v>1.9</v>
          </cell>
          <cell r="BZ54">
            <v>17</v>
          </cell>
          <cell r="CB54">
            <v>2.051214016594344</v>
          </cell>
          <cell r="CC54">
            <v>2.0082416150892488</v>
          </cell>
          <cell r="CE54">
            <v>1.9343373938753714</v>
          </cell>
          <cell r="CF54">
            <v>1.8967798649276104</v>
          </cell>
          <cell r="CG54"/>
          <cell r="CH54"/>
        </row>
        <row r="55">
          <cell r="AI55">
            <v>20.25</v>
          </cell>
          <cell r="AK55">
            <v>2.0793292999008646</v>
          </cell>
          <cell r="AL55">
            <v>2.0748982561917146</v>
          </cell>
          <cell r="AN55">
            <v>2.0619564853583809</v>
          </cell>
          <cell r="AO55">
            <v>2.0569905932015184</v>
          </cell>
          <cell r="AP55">
            <v>2.0380639853583808</v>
          </cell>
          <cell r="AQ55">
            <v>2.0297812520250478</v>
          </cell>
          <cell r="AU55">
            <v>1.8</v>
          </cell>
          <cell r="AV55">
            <v>1.81</v>
          </cell>
          <cell r="AW55">
            <v>1.83</v>
          </cell>
          <cell r="AX55">
            <v>1.84</v>
          </cell>
          <cell r="AZ55">
            <v>1.88</v>
          </cell>
          <cell r="BA55">
            <v>1.9</v>
          </cell>
          <cell r="BZ55">
            <v>18</v>
          </cell>
          <cell r="CB55">
            <v>2.0455748293851954</v>
          </cell>
          <cell r="CC55">
            <v>2.0034219839274789</v>
          </cell>
          <cell r="CE55">
            <v>1.9280016715872588</v>
          </cell>
          <cell r="CF55">
            <v>1.8820551613530001</v>
          </cell>
          <cell r="CG55"/>
          <cell r="CH55"/>
        </row>
        <row r="56">
          <cell r="AI56">
            <v>21.375</v>
          </cell>
          <cell r="AK56">
            <v>2.0739013134263615</v>
          </cell>
          <cell r="AL56">
            <v>2.0694264760363725</v>
          </cell>
          <cell r="AN56">
            <v>2.0563567967871976</v>
          </cell>
          <cell r="AO56">
            <v>2.0513418248400028</v>
          </cell>
          <cell r="AP56">
            <v>2.0322281581733361</v>
          </cell>
          <cell r="AQ56">
            <v>2.0238635634538644</v>
          </cell>
          <cell r="AU56">
            <v>1.8</v>
          </cell>
          <cell r="AV56">
            <v>1.81</v>
          </cell>
          <cell r="AW56">
            <v>1.83</v>
          </cell>
          <cell r="AX56">
            <v>1.84</v>
          </cell>
          <cell r="AZ56">
            <v>1.88</v>
          </cell>
          <cell r="BA56">
            <v>1.9</v>
          </cell>
          <cell r="BZ56">
            <v>19</v>
          </cell>
          <cell r="CB56">
            <v>2.040311821962562</v>
          </cell>
          <cell r="CC56">
            <v>1.9990300631569238</v>
          </cell>
          <cell r="CE56">
            <v>1.9209377293853771</v>
          </cell>
          <cell r="CF56">
            <v>1.8622919536346896</v>
          </cell>
          <cell r="CG56"/>
          <cell r="CH56"/>
        </row>
        <row r="57">
          <cell r="AI57">
            <v>22.5</v>
          </cell>
          <cell r="AK57">
            <v>2.0687377989285891</v>
          </cell>
          <cell r="AL57">
            <v>2.0642182919841443</v>
          </cell>
          <cell r="AN57">
            <v>2.051018146150811</v>
          </cell>
          <cell r="AO57">
            <v>2.0459531128174775</v>
          </cell>
          <cell r="AP57">
            <v>2.0266486461508113</v>
          </cell>
          <cell r="AQ57">
            <v>2.0182005528174778</v>
          </cell>
          <cell r="AU57">
            <v>1.8</v>
          </cell>
          <cell r="AV57">
            <v>1.81</v>
          </cell>
          <cell r="AW57">
            <v>1.83</v>
          </cell>
          <cell r="AX57">
            <v>1.84</v>
          </cell>
          <cell r="AZ57">
            <v>1.88</v>
          </cell>
          <cell r="BA57">
            <v>1.9</v>
          </cell>
          <cell r="BZ57">
            <v>20</v>
          </cell>
          <cell r="CB57">
            <v>2.0353985044665892</v>
          </cell>
          <cell r="CC57">
            <v>1.9950183233196546</v>
          </cell>
          <cell r="CE57">
            <v>1.912760231978466</v>
          </cell>
          <cell r="CF57">
            <v>1.8338265759266441</v>
          </cell>
          <cell r="CG57"/>
          <cell r="CH57"/>
        </row>
        <row r="58">
          <cell r="AI58">
            <v>23.625</v>
          </cell>
          <cell r="AK58">
            <v>2.0638254318309679</v>
          </cell>
          <cell r="AL58">
            <v>2.0592603529168265</v>
          </cell>
          <cell r="AN58">
            <v>2.0459271048107661</v>
          </cell>
          <cell r="AO58">
            <v>2.0408109987501595</v>
          </cell>
          <cell r="AP58">
            <v>2.0213118775380385</v>
          </cell>
          <cell r="AQ58">
            <v>2.0127785987501596</v>
          </cell>
          <cell r="AU58">
            <v>1.8</v>
          </cell>
          <cell r="AV58">
            <v>1.81</v>
          </cell>
          <cell r="AW58">
            <v>1.83</v>
          </cell>
          <cell r="AX58">
            <v>1.84</v>
          </cell>
          <cell r="AZ58">
            <v>1.88</v>
          </cell>
          <cell r="BA58">
            <v>1.9</v>
          </cell>
          <cell r="BZ58">
            <v>21</v>
          </cell>
          <cell r="CB58">
            <v>2.0308101938051402</v>
          </cell>
          <cell r="CC58">
            <v>1.9913437073620763</v>
          </cell>
          <cell r="CE58">
            <v>1.902924917892457</v>
          </cell>
          <cell r="CF58">
            <v>1.7886453971693272</v>
          </cell>
          <cell r="CG58"/>
          <cell r="CH58"/>
        </row>
        <row r="59">
          <cell r="AI59">
            <v>24.75</v>
          </cell>
          <cell r="AK59">
            <v>2.0591515469861976</v>
          </cell>
          <cell r="AL59">
            <v>2.0545399660621615</v>
          </cell>
          <cell r="AN59">
            <v>2.0410708993104612</v>
          </cell>
          <cell r="AO59">
            <v>2.0359026782220258</v>
          </cell>
          <cell r="AP59">
            <v>2.0162049299227056</v>
          </cell>
          <cell r="AQ59">
            <v>2.0075847272016172</v>
          </cell>
          <cell r="AU59">
            <v>1.8</v>
          </cell>
          <cell r="AV59">
            <v>1.81</v>
          </cell>
          <cell r="AW59">
            <v>1.83</v>
          </cell>
          <cell r="AX59">
            <v>1.84</v>
          </cell>
          <cell r="AZ59">
            <v>1.88</v>
          </cell>
          <cell r="BA59">
            <v>1.9</v>
          </cell>
          <cell r="BZ59">
            <v>22</v>
          </cell>
          <cell r="CB59">
            <v>2.0265238869818263</v>
          </cell>
          <cell r="CC59">
            <v>1.987967127613651</v>
          </cell>
          <cell r="CE59">
            <v>1.890605012928215</v>
          </cell>
          <cell r="CF59">
            <v>1.7050056813756433</v>
          </cell>
          <cell r="CG59"/>
          <cell r="CH59"/>
        </row>
        <row r="60">
          <cell r="AI60">
            <v>25.875</v>
          </cell>
          <cell r="AK60">
            <v>2.0547041055834163</v>
          </cell>
          <cell r="AL60">
            <v>2.0500450638451571</v>
          </cell>
          <cell r="AN60">
            <v>2.0364373780633707</v>
          </cell>
          <cell r="AO60">
            <v>2.0312159674104491</v>
          </cell>
          <cell r="AP60">
            <v>2.0113154966200715</v>
          </cell>
          <cell r="AQ60">
            <v>2.0026065777197277</v>
          </cell>
          <cell r="AU60">
            <v>1.8</v>
          </cell>
          <cell r="AV60">
            <v>1.81</v>
          </cell>
          <cell r="AW60">
            <v>1.83</v>
          </cell>
          <cell r="AX60">
            <v>1.84</v>
          </cell>
          <cell r="AZ60">
            <v>1.88</v>
          </cell>
          <cell r="BA60">
            <v>1.9</v>
          </cell>
          <cell r="BZ60">
            <v>23</v>
          </cell>
          <cell r="CB60">
            <v>2.02251814303047</v>
          </cell>
          <cell r="CC60">
            <v>1.984853006370692</v>
          </cell>
          <cell r="CE60">
            <v>1.8744448097456055</v>
          </cell>
          <cell r="CF60"/>
          <cell r="CG60"/>
          <cell r="CH60"/>
        </row>
        <row r="61">
          <cell r="AI61">
            <v>27</v>
          </cell>
          <cell r="AK61">
            <v>2.0504716636925191</v>
          </cell>
          <cell r="AL61">
            <v>2.0457641723730751</v>
          </cell>
          <cell r="AN61">
            <v>2.0320149796647415</v>
          </cell>
          <cell r="AO61">
            <v>2.0267392713314081</v>
          </cell>
          <cell r="AP61">
            <v>2.0066318546647413</v>
          </cell>
          <cell r="AQ61">
            <v>1.9978323713314083</v>
          </cell>
          <cell r="AU61">
            <v>1.8</v>
          </cell>
          <cell r="AV61">
            <v>1.81</v>
          </cell>
          <cell r="AW61">
            <v>1.83</v>
          </cell>
          <cell r="AX61">
            <v>1.84</v>
          </cell>
          <cell r="AZ61">
            <v>1.88</v>
          </cell>
          <cell r="BA61">
            <v>1.9</v>
          </cell>
          <cell r="BZ61">
            <v>24</v>
          </cell>
          <cell r="CB61">
            <v>2.0187729729446966</v>
          </cell>
          <cell r="CC61">
            <v>1.981968854121883</v>
          </cell>
          <cell r="CE61">
            <v>1.8520153800365717</v>
          </cell>
          <cell r="CF61"/>
          <cell r="CG61"/>
          <cell r="CH61"/>
        </row>
        <row r="62">
          <cell r="AI62">
            <v>28.125</v>
          </cell>
          <cell r="AK62">
            <v>2.0464433423631676</v>
          </cell>
          <cell r="AL62">
            <v>2.0416863814713548</v>
          </cell>
          <cell r="AN62">
            <v>2.0277927027432847</v>
          </cell>
          <cell r="AO62">
            <v>2.0224615536204777</v>
          </cell>
          <cell r="AP62">
            <v>2.0021428343222318</v>
          </cell>
          <cell r="AQ62">
            <v>1.9932508799362669</v>
          </cell>
          <cell r="AU62">
            <v>1.8</v>
          </cell>
          <cell r="AV62">
            <v>1.81</v>
          </cell>
          <cell r="AW62">
            <v>1.83</v>
          </cell>
          <cell r="AX62">
            <v>1.84</v>
          </cell>
          <cell r="AZ62">
            <v>1.88</v>
          </cell>
          <cell r="BA62">
            <v>1.9</v>
          </cell>
          <cell r="BZ62">
            <v>25</v>
          </cell>
          <cell r="CB62">
            <v>2.0152697370316028</v>
          </cell>
          <cell r="CC62">
            <v>1.9792848796997136</v>
          </cell>
          <cell r="CE62">
            <v>1.8184411054298966</v>
          </cell>
          <cell r="CF62"/>
          <cell r="CG62"/>
          <cell r="CH62"/>
        </row>
        <row r="63">
          <cell r="AI63">
            <v>29.25</v>
          </cell>
          <cell r="AK63">
            <v>2.0426087992000395</v>
          </cell>
          <cell r="AL63">
            <v>2.0378013161917652</v>
          </cell>
          <cell r="AN63">
            <v>2.0237600772733253</v>
          </cell>
          <cell r="AO63">
            <v>2.0183723077697793</v>
          </cell>
          <cell r="AP63">
            <v>1.9978377900392827</v>
          </cell>
          <cell r="AQ63">
            <v>1.9888513971314814</v>
          </cell>
          <cell r="AU63">
            <v>1.8</v>
          </cell>
          <cell r="AV63">
            <v>1.81</v>
          </cell>
          <cell r="AW63">
            <v>1.83</v>
          </cell>
          <cell r="AX63">
            <v>1.84</v>
          </cell>
          <cell r="AZ63">
            <v>1.88</v>
          </cell>
          <cell r="BA63">
            <v>1.9</v>
          </cell>
          <cell r="BZ63">
            <v>26</v>
          </cell>
          <cell r="CB63">
            <v>2.0119910491556179</v>
          </cell>
          <cell r="CC63">
            <v>1.9767736267642513</v>
          </cell>
          <cell r="CE63">
            <v>1.7622144802327013</v>
          </cell>
          <cell r="CF63"/>
          <cell r="CG63"/>
          <cell r="CH63"/>
        </row>
        <row r="64">
          <cell r="AI64">
            <v>30.375</v>
          </cell>
          <cell r="AK64">
            <v>2.0389582013397365</v>
          </cell>
          <cell r="AL64">
            <v>2.0340991097178729</v>
          </cell>
          <cell r="AN64">
            <v>2.0199071372716362</v>
          </cell>
          <cell r="AO64">
            <v>2.0144615297447546</v>
          </cell>
          <cell r="AP64">
            <v>1.993706572755507</v>
          </cell>
          <cell r="AQ64">
            <v>1.9846237103899158</v>
          </cell>
          <cell r="AU64">
            <v>1.8</v>
          </cell>
          <cell r="AV64">
            <v>1.81</v>
          </cell>
          <cell r="AW64">
            <v>1.83</v>
          </cell>
          <cell r="AX64">
            <v>1.84</v>
          </cell>
          <cell r="AZ64">
            <v>1.88</v>
          </cell>
          <cell r="BA64">
            <v>1.9</v>
          </cell>
          <cell r="BZ64">
            <v>27</v>
          </cell>
          <cell r="CB64">
            <v>2.0089206873729379</v>
          </cell>
          <cell r="CC64">
            <v>1.9744096310032846</v>
          </cell>
          <cell r="CE64">
            <v>1.6479929341170019</v>
          </cell>
          <cell r="CF64"/>
          <cell r="CG64"/>
          <cell r="CH64"/>
        </row>
        <row r="65">
          <cell r="AI65">
            <v>31.5</v>
          </cell>
          <cell r="AK65">
            <v>2.0354821997583734</v>
          </cell>
          <cell r="AL65">
            <v>2.030570377596538</v>
          </cell>
          <cell r="AN65">
            <v>2.0162243948066827</v>
          </cell>
          <cell r="AO65">
            <v>2.010719691908132</v>
          </cell>
          <cell r="AP65">
            <v>1.9897395035023353</v>
          </cell>
          <cell r="AQ65">
            <v>1.9805580745168279</v>
          </cell>
          <cell r="AU65">
            <v>1.8</v>
          </cell>
          <cell r="AV65">
            <v>1.81</v>
          </cell>
          <cell r="AW65">
            <v>1.83</v>
          </cell>
          <cell r="AX65">
            <v>1.84</v>
          </cell>
          <cell r="AZ65">
            <v>1.88</v>
          </cell>
          <cell r="BA65">
            <v>1.9</v>
          </cell>
          <cell r="BZ65">
            <v>28</v>
          </cell>
          <cell r="CB65">
            <v>2.0060435104884053</v>
          </cell>
          <cell r="CC65">
            <v>1.9721690922365973</v>
          </cell>
          <cell r="CE65"/>
          <cell r="CF65"/>
          <cell r="CG65"/>
          <cell r="CH65"/>
        </row>
        <row r="66">
          <cell r="AI66">
            <v>32.625</v>
          </cell>
          <cell r="AK66">
            <v>2.0321719048423383</v>
          </cell>
          <cell r="AL66">
            <v>2.0272061932275642</v>
          </cell>
          <cell r="AN66">
            <v>2.012702815251374</v>
          </cell>
          <cell r="AO66">
            <v>2.0071377181817769</v>
          </cell>
          <cell r="AP66">
            <v>1.9859273482184068</v>
          </cell>
          <cell r="AQ66">
            <v>1.9766451863136449</v>
          </cell>
          <cell r="AU66">
            <v>1.8</v>
          </cell>
          <cell r="AV66">
            <v>1.81</v>
          </cell>
          <cell r="AW66">
            <v>1.83</v>
          </cell>
          <cell r="AX66">
            <v>1.84</v>
          </cell>
          <cell r="AZ66">
            <v>1.88</v>
          </cell>
          <cell r="BA66">
            <v>1.9</v>
          </cell>
          <cell r="BZ66">
            <v>29</v>
          </cell>
          <cell r="CB66">
            <v>2.0033453800955607</v>
          </cell>
          <cell r="CC66">
            <v>1.9700295551991218</v>
          </cell>
          <cell r="CE66"/>
          <cell r="CF66"/>
          <cell r="CG66"/>
          <cell r="CH66"/>
        </row>
        <row r="67">
          <cell r="AI67">
            <v>33.75</v>
          </cell>
          <cell r="AK67">
            <v>2.029018863157968</v>
          </cell>
          <cell r="AL67">
            <v>2.0239980645468569</v>
          </cell>
          <cell r="AN67">
            <v>2.0093337937135236</v>
          </cell>
          <cell r="AO67">
            <v>2.0037069603801902</v>
          </cell>
          <cell r="AP67">
            <v>1.9822612937135236</v>
          </cell>
          <cell r="AQ67">
            <v>1.9728761603801899</v>
          </cell>
          <cell r="AU67">
            <v>1.8</v>
          </cell>
          <cell r="AV67">
            <v>1.81</v>
          </cell>
          <cell r="AW67">
            <v>1.83</v>
          </cell>
          <cell r="AX67">
            <v>1.84</v>
          </cell>
          <cell r="AZ67">
            <v>1.88</v>
          </cell>
          <cell r="BA67">
            <v>1.9</v>
          </cell>
          <cell r="BZ67">
            <v>30</v>
          </cell>
          <cell r="CB67">
            <v>2.0008130876869017</v>
          </cell>
          <cell r="CC67">
            <v>1.9679695920853371</v>
          </cell>
          <cell r="CE67"/>
          <cell r="CF67"/>
          <cell r="CG67"/>
          <cell r="CH67"/>
        </row>
        <row r="68">
          <cell r="AI68">
            <v>34.875</v>
          </cell>
          <cell r="AK68">
            <v>2.0260150353589879</v>
          </cell>
          <cell r="AL68">
            <v>2.0209379118415098</v>
          </cell>
          <cell r="AN68">
            <v>2.0061091325812104</v>
          </cell>
          <cell r="AO68">
            <v>2.0004191756523713</v>
          </cell>
          <cell r="AP68">
            <v>1.9787329247160419</v>
          </cell>
          <cell r="AQ68">
            <v>1.9692425059894498</v>
          </cell>
          <cell r="AU68">
            <v>1.8</v>
          </cell>
          <cell r="AV68">
            <v>1.81</v>
          </cell>
          <cell r="AW68">
            <v>1.83</v>
          </cell>
          <cell r="AX68">
            <v>1.84</v>
          </cell>
          <cell r="AZ68">
            <v>1.88</v>
          </cell>
          <cell r="BA68">
            <v>1.9</v>
          </cell>
          <cell r="BZ68">
            <v>31.000000000000004</v>
          </cell>
          <cell r="CB68">
            <v>1.9984342864452385</v>
          </cell>
          <cell r="CC68">
            <v>1.9659684788747658</v>
          </cell>
          <cell r="CE68"/>
          <cell r="CF68"/>
          <cell r="CG68"/>
          <cell r="CH68"/>
        </row>
        <row r="69">
          <cell r="AI69">
            <v>36</v>
          </cell>
          <cell r="AK69">
            <v>2.0231527751734846</v>
          </cell>
          <cell r="AL69">
            <v>2.0180180466381308</v>
          </cell>
          <cell r="AN69">
            <v>2.0030210201229792</v>
          </cell>
          <cell r="AO69">
            <v>1.9972665049714644</v>
          </cell>
          <cell r="AP69">
            <v>1.975334201941161</v>
          </cell>
          <cell r="AQ69">
            <v>1.9657361049714643</v>
          </cell>
          <cell r="AU69">
            <v>1.8</v>
          </cell>
          <cell r="AV69">
            <v>1.81</v>
          </cell>
          <cell r="AW69">
            <v>1.83</v>
          </cell>
          <cell r="AX69">
            <v>1.84</v>
          </cell>
          <cell r="AZ69">
            <v>1.88</v>
          </cell>
          <cell r="BA69">
            <v>1.9</v>
          </cell>
          <cell r="BZ69">
            <v>32</v>
          </cell>
          <cell r="CB69">
            <v>1.9961974273484786</v>
          </cell>
          <cell r="CC69">
            <v>1.9640058558931628</v>
          </cell>
          <cell r="CE69"/>
          <cell r="CF69"/>
          <cell r="CG69"/>
          <cell r="CH69"/>
        </row>
        <row r="70">
          <cell r="AI70">
            <v>37.125</v>
          </cell>
          <cell r="AK70">
            <v>2.0204248094149517</v>
          </cell>
          <cell r="AL70">
            <v>2.0152311516084382</v>
          </cell>
          <cell r="AN70">
            <v>2.0000620100854496</v>
          </cell>
          <cell r="AO70">
            <v>1.9942414526141854</v>
          </cell>
          <cell r="AP70">
            <v>1.9720574411199325</v>
          </cell>
          <cell r="AQ70">
            <v>1.9623491905452202</v>
          </cell>
          <cell r="AU70">
            <v>1.8</v>
          </cell>
          <cell r="AV70">
            <v>1.81</v>
          </cell>
          <cell r="AW70">
            <v>1.83</v>
          </cell>
          <cell r="AX70">
            <v>1.84</v>
          </cell>
          <cell r="AZ70">
            <v>1.88</v>
          </cell>
          <cell r="BA70">
            <v>1.9</v>
          </cell>
          <cell r="BZ70">
            <v>33</v>
          </cell>
          <cell r="CB70">
            <v>1.9940916992392403</v>
          </cell>
          <cell r="CC70">
            <v>1.9620613608012996</v>
          </cell>
          <cell r="CE70"/>
          <cell r="CF70"/>
          <cell r="CG70"/>
          <cell r="CH70"/>
        </row>
        <row r="71">
          <cell r="AI71">
            <v>38.25</v>
          </cell>
          <cell r="AK71">
            <v>2.0178242189645803</v>
          </cell>
          <cell r="AL71">
            <v>2.0125702614387406</v>
          </cell>
          <cell r="AN71">
            <v>1.9972250022333145</v>
          </cell>
          <cell r="AO71">
            <v>1.9913368665743993</v>
          </cell>
          <cell r="AP71">
            <v>1.9688952929309884</v>
          </cell>
          <cell r="AQ71">
            <v>1.9590743270395155</v>
          </cell>
          <cell r="AU71">
            <v>1.8</v>
          </cell>
          <cell r="AV71">
            <v>1.81</v>
          </cell>
          <cell r="AW71">
            <v>1.83</v>
          </cell>
          <cell r="AX71">
            <v>1.84</v>
          </cell>
          <cell r="AZ71">
            <v>1.88</v>
          </cell>
          <cell r="BA71">
            <v>1.9</v>
          </cell>
          <cell r="BZ71">
            <v>34</v>
          </cell>
          <cell r="CB71">
            <v>1.9921069725273779</v>
          </cell>
          <cell r="CC71">
            <v>1.9601142189539804</v>
          </cell>
          <cell r="CE71"/>
          <cell r="CF71"/>
          <cell r="CG71"/>
          <cell r="CH71"/>
        </row>
        <row r="72">
          <cell r="AI72">
            <v>39.375</v>
          </cell>
          <cell r="AK72">
            <v>2.0153444206744218</v>
          </cell>
          <cell r="AL72">
            <v>2.0100287446123306</v>
          </cell>
          <cell r="AN72">
            <v>1.9945032237789975</v>
          </cell>
          <cell r="AO72">
            <v>1.9885459198574287</v>
          </cell>
          <cell r="AP72">
            <v>1.9658407237789974</v>
          </cell>
          <cell r="AQ72">
            <v>1.9559043904456639</v>
          </cell>
          <cell r="AU72">
            <v>1.8</v>
          </cell>
          <cell r="AV72">
            <v>1.81</v>
          </cell>
          <cell r="AW72">
            <v>1.83</v>
          </cell>
          <cell r="AX72">
            <v>1.84</v>
          </cell>
          <cell r="AZ72">
            <v>1.88</v>
          </cell>
          <cell r="BA72">
            <v>1.9</v>
          </cell>
          <cell r="BZ72">
            <v>35</v>
          </cell>
          <cell r="CB72">
            <v>1.9902337462077591</v>
          </cell>
          <cell r="CC72">
            <v>1.9581427714015875</v>
          </cell>
          <cell r="CE72"/>
          <cell r="CF72"/>
          <cell r="CG72"/>
          <cell r="CH72"/>
        </row>
        <row r="73">
          <cell r="AI73">
            <v>40.5</v>
          </cell>
          <cell r="AK73">
            <v>2.0129791501434049</v>
          </cell>
          <cell r="AL73">
            <v>2.0076002860561029</v>
          </cell>
          <cell r="AN73">
            <v>1.9918902116513411</v>
          </cell>
          <cell r="AO73">
            <v>1.985862092603722</v>
          </cell>
          <cell r="AP73">
            <v>1.9628869973656269</v>
          </cell>
          <cell r="AQ73">
            <v>1.952832549746579</v>
          </cell>
          <cell r="AU73">
            <v>1.8</v>
          </cell>
          <cell r="AV73">
            <v>1.81</v>
          </cell>
          <cell r="AW73">
            <v>1.83</v>
          </cell>
          <cell r="AX73">
            <v>1.84</v>
          </cell>
          <cell r="AZ73">
            <v>1.88</v>
          </cell>
          <cell r="BA73">
            <v>1.9</v>
          </cell>
          <cell r="BZ73">
            <v>36</v>
          </cell>
          <cell r="CB73">
            <v>1.9884630978874138</v>
          </cell>
          <cell r="CC73">
            <v>1.9561239140525077</v>
          </cell>
          <cell r="CE73"/>
          <cell r="CF73"/>
          <cell r="CG73"/>
          <cell r="CH73"/>
        </row>
        <row r="74">
          <cell r="AI74">
            <v>41.625</v>
          </cell>
          <cell r="AK74">
            <v>2.010722445320368</v>
          </cell>
          <cell r="AL74">
            <v>2.005278870604839</v>
          </cell>
          <cell r="AN74">
            <v>1.9893797955546384</v>
          </cell>
          <cell r="AO74">
            <v>1.9832791549923894</v>
          </cell>
          <cell r="AP74">
            <v>1.9600276570004218</v>
          </cell>
          <cell r="AQ74">
            <v>1.949852248968293</v>
          </cell>
          <cell r="AU74">
            <v>1.8</v>
          </cell>
          <cell r="AV74">
            <v>1.81</v>
          </cell>
          <cell r="AW74">
            <v>1.83</v>
          </cell>
          <cell r="AX74">
            <v>1.84</v>
          </cell>
          <cell r="AZ74">
            <v>1.88</v>
          </cell>
          <cell r="BA74">
            <v>1.9</v>
          </cell>
          <cell r="BZ74">
            <v>37</v>
          </cell>
          <cell r="CB74">
            <v>1.9867866365252915</v>
          </cell>
          <cell r="CC74">
            <v>1.9540324116507677</v>
          </cell>
          <cell r="CE74"/>
          <cell r="CF74"/>
          <cell r="CG74"/>
          <cell r="CH74"/>
        </row>
        <row r="75">
          <cell r="AI75">
            <v>42.75</v>
          </cell>
          <cell r="AK75">
            <v>2.0085686308903656</v>
          </cell>
          <cell r="AL75">
            <v>2.003058767238604</v>
          </cell>
          <cell r="AN75">
            <v>1.9869660817711243</v>
          </cell>
          <cell r="AO75">
            <v>1.9807911508768152</v>
          </cell>
          <cell r="AP75">
            <v>1.9572565086003926</v>
          </cell>
          <cell r="AQ75">
            <v>1.9469571899012057</v>
          </cell>
          <cell r="AU75">
            <v>1.8</v>
          </cell>
          <cell r="AV75">
            <v>1.81</v>
          </cell>
          <cell r="AW75">
            <v>1.83</v>
          </cell>
          <cell r="AX75">
            <v>1.84</v>
          </cell>
          <cell r="AZ75">
            <v>1.88</v>
          </cell>
          <cell r="BA75">
            <v>1.9</v>
          </cell>
          <cell r="BZ75">
            <v>38</v>
          </cell>
          <cell r="CB75">
            <v>1.985196457594198</v>
          </cell>
          <cell r="CC75">
            <v>1.9518400356299312</v>
          </cell>
          <cell r="CE75"/>
          <cell r="CF75"/>
          <cell r="CG75"/>
          <cell r="CH75"/>
        </row>
        <row r="76">
          <cell r="AI76">
            <v>43.875</v>
          </cell>
          <cell r="AK76">
            <v>2.0065123034024164</v>
          </cell>
          <cell r="AL76">
            <v>2.0009345140505648</v>
          </cell>
          <cell r="AN76">
            <v>1.9846434376616755</v>
          </cell>
          <cell r="AO76">
            <v>1.9783923821061202</v>
          </cell>
          <cell r="AP76">
            <v>1.9545676043283424</v>
          </cell>
          <cell r="AQ76">
            <v>1.9441413154394536</v>
          </cell>
          <cell r="AU76">
            <v>1.8</v>
          </cell>
          <cell r="AV76">
            <v>1.81</v>
          </cell>
          <cell r="AW76">
            <v>1.83</v>
          </cell>
          <cell r="AX76">
            <v>1.84</v>
          </cell>
          <cell r="AZ76">
            <v>1.88</v>
          </cell>
          <cell r="BA76">
            <v>1.9</v>
          </cell>
          <cell r="BZ76">
            <v>39</v>
          </cell>
          <cell r="CB76">
            <v>1.9836851003777238</v>
          </cell>
          <cell r="CC76">
            <v>1.9495144529771629</v>
          </cell>
          <cell r="CE76"/>
          <cell r="CF76"/>
          <cell r="CG76"/>
          <cell r="CH76"/>
        </row>
        <row r="77">
          <cell r="AI77">
            <v>45</v>
          </cell>
          <cell r="AK77">
            <v>2.0045483170987173</v>
          </cell>
          <cell r="AL77">
            <v>1.9989009039042727</v>
          </cell>
          <cell r="AN77">
            <v>1.9824064768209395</v>
          </cell>
          <cell r="AO77">
            <v>1.9760773934876057</v>
          </cell>
          <cell r="AP77">
            <v>1.951955226820939</v>
          </cell>
          <cell r="AQ77">
            <v>1.9413987934876062</v>
          </cell>
          <cell r="AU77">
            <v>1.8</v>
          </cell>
          <cell r="AV77">
            <v>1.81</v>
          </cell>
          <cell r="AW77">
            <v>1.83</v>
          </cell>
          <cell r="AX77">
            <v>1.84</v>
          </cell>
          <cell r="AZ77">
            <v>1.88</v>
          </cell>
          <cell r="BA77">
            <v>1.9</v>
          </cell>
          <cell r="BZ77">
            <v>40</v>
          </cell>
          <cell r="CB77">
            <v>1.9822455071148088</v>
          </cell>
          <cell r="CC77">
            <v>1.947017759698316</v>
          </cell>
          <cell r="CE77"/>
          <cell r="CF77"/>
          <cell r="CG77"/>
          <cell r="CH77"/>
        </row>
        <row r="78">
          <cell r="AI78">
            <v>46.125</v>
          </cell>
          <cell r="AK78">
            <v>2.002671770407022</v>
          </cell>
          <cell r="AL78">
            <v>1.9969529707410583</v>
          </cell>
          <cell r="AN78">
            <v>1.980250044844434</v>
          </cell>
          <cell r="AO78">
            <v>1.9738409583465435</v>
          </cell>
          <cell r="AP78">
            <v>1.949413873958358</v>
          </cell>
          <cell r="AQ78">
            <v>1.9387240013845184</v>
          </cell>
          <cell r="AU78">
            <v>1.8</v>
          </cell>
          <cell r="AV78">
            <v>1.81</v>
          </cell>
          <cell r="AW78">
            <v>1.83</v>
          </cell>
          <cell r="AX78">
            <v>1.84</v>
          </cell>
          <cell r="AZ78">
            <v>1.88</v>
          </cell>
          <cell r="BA78">
            <v>1.9</v>
          </cell>
          <cell r="BZ78">
            <v>41</v>
          </cell>
          <cell r="CB78">
            <v>1.9808709837005296</v>
          </cell>
          <cell r="CC78">
            <v>1.9443045001059904</v>
          </cell>
          <cell r="CE78"/>
          <cell r="CF78"/>
          <cell r="CG78"/>
          <cell r="CH78"/>
        </row>
        <row r="79">
          <cell r="AI79">
            <v>47.25</v>
          </cell>
          <cell r="AK79">
            <v>2.0008779930594875</v>
          </cell>
          <cell r="AL79">
            <v>1.9950859764996587</v>
          </cell>
          <cell r="AN79">
            <v>1.9781692056663249</v>
          </cell>
          <cell r="AO79">
            <v>1.9716780646406842</v>
          </cell>
          <cell r="AP79">
            <v>1.9469382441278635</v>
          </cell>
          <cell r="AQ79">
            <v>1.9361115107945301</v>
          </cell>
          <cell r="AU79">
            <v>1.8</v>
          </cell>
          <cell r="AV79">
            <v>1.81</v>
          </cell>
          <cell r="AW79">
            <v>1.83</v>
          </cell>
          <cell r="AX79">
            <v>1.84</v>
          </cell>
          <cell r="AZ79">
            <v>1.88</v>
          </cell>
          <cell r="BA79">
            <v>1.9</v>
          </cell>
          <cell r="BZ79">
            <v>42</v>
          </cell>
          <cell r="CB79">
            <v>1.9795551616431861</v>
          </cell>
          <cell r="CC79">
            <v>1.9413189294919331</v>
          </cell>
          <cell r="CE79"/>
          <cell r="CF79"/>
          <cell r="CG79"/>
          <cell r="CH79"/>
        </row>
        <row r="80">
          <cell r="AI80">
            <v>48.375</v>
          </cell>
          <cell r="AK80">
            <v>1.9991625338027468</v>
          </cell>
          <cell r="AL80">
            <v>1.9932953986115489</v>
          </cell>
          <cell r="AN80">
            <v>1.9761592284275662</v>
          </cell>
          <cell r="AO80">
            <v>1.9695839015877397</v>
          </cell>
          <cell r="AP80">
            <v>1.9445232219340596</v>
          </cell>
          <cell r="AQ80">
            <v>1.9335560730163108</v>
          </cell>
          <cell r="AU80">
            <v>1.8</v>
          </cell>
          <cell r="AV80">
            <v>1.81</v>
          </cell>
          <cell r="AW80">
            <v>1.83</v>
          </cell>
          <cell r="AX80">
            <v>1.84</v>
          </cell>
          <cell r="AZ80">
            <v>1.88</v>
          </cell>
          <cell r="BA80">
            <v>1.9</v>
          </cell>
          <cell r="BZ80">
            <v>43</v>
          </cell>
          <cell r="CB80">
            <v>1.9782919609639797</v>
          </cell>
          <cell r="CC80">
            <v>1.9379911405959005</v>
          </cell>
          <cell r="CE80"/>
          <cell r="CF80"/>
          <cell r="CG80"/>
          <cell r="CH80"/>
        </row>
        <row r="81">
          <cell r="AI81">
            <v>49.5</v>
          </cell>
          <cell r="AK81">
            <v>1.9975211486653275</v>
          </cell>
          <cell r="AL81">
            <v>1.9915769180366727</v>
          </cell>
          <cell r="AN81">
            <v>1.9742155748349184</v>
          </cell>
          <cell r="AO81">
            <v>1.9675538467647427</v>
          </cell>
          <cell r="AP81">
            <v>1.9421638643086025</v>
          </cell>
          <cell r="AQ81">
            <v>1.9310526046594798</v>
          </cell>
          <cell r="AU81">
            <v>1.8</v>
          </cell>
          <cell r="AV81">
            <v>1.81</v>
          </cell>
          <cell r="AW81">
            <v>1.83</v>
          </cell>
          <cell r="AX81">
            <v>1.84</v>
          </cell>
          <cell r="AZ81">
            <v>1.88</v>
          </cell>
          <cell r="BA81">
            <v>1.9</v>
          </cell>
          <cell r="BZ81">
            <v>44</v>
          </cell>
          <cell r="CB81">
            <v>1.977075553705578</v>
          </cell>
          <cell r="CC81">
            <v>1.934231442797846</v>
          </cell>
          <cell r="CE81"/>
          <cell r="CF81"/>
          <cell r="CG81"/>
          <cell r="CH81"/>
        </row>
        <row r="82">
          <cell r="AI82">
            <v>50.625</v>
          </cell>
          <cell r="AK82">
            <v>1.9959497897497844</v>
          </cell>
          <cell r="AL82">
            <v>1.9899264078053398</v>
          </cell>
          <cell r="AN82">
            <v>1.9723338869720064</v>
          </cell>
          <cell r="AO82">
            <v>1.9655834536386734</v>
          </cell>
          <cell r="AP82">
            <v>1.9398553869720068</v>
          </cell>
          <cell r="AQ82">
            <v>1.9285961736386732</v>
          </cell>
          <cell r="AU82">
            <v>1.8</v>
          </cell>
          <cell r="AV82">
            <v>1.81</v>
          </cell>
          <cell r="AW82">
            <v>1.83</v>
          </cell>
          <cell r="AX82">
            <v>1.84</v>
          </cell>
          <cell r="AZ82">
            <v>1.88</v>
          </cell>
          <cell r="BA82">
            <v>1.9</v>
          </cell>
          <cell r="BZ82">
            <v>45</v>
          </cell>
          <cell r="CB82">
            <v>1.9759003276883182</v>
          </cell>
          <cell r="CC82">
            <v>1.9299219791341167</v>
          </cell>
          <cell r="CE82"/>
          <cell r="CF82"/>
          <cell r="CG82"/>
          <cell r="CH82"/>
        </row>
        <row r="83">
          <cell r="AI83">
            <v>51.75</v>
          </cell>
          <cell r="AK83">
            <v>1.9944445945180216</v>
          </cell>
          <cell r="AL83">
            <v>1.9883399220330362</v>
          </cell>
          <cell r="AN83">
            <v>1.9705099755240276</v>
          </cell>
          <cell r="AO83">
            <v>1.9636684394879913</v>
          </cell>
          <cell r="AP83">
            <v>1.9375931511997031</v>
          </cell>
          <cell r="AQ83">
            <v>1.9261819854339373</v>
          </cell>
          <cell r="AU83">
            <v>1.8</v>
          </cell>
          <cell r="AV83">
            <v>1.81</v>
          </cell>
          <cell r="AW83">
            <v>1.83</v>
          </cell>
          <cell r="AX83">
            <v>1.84</v>
          </cell>
          <cell r="AZ83">
            <v>1.88</v>
          </cell>
          <cell r="BA83">
            <v>1.9</v>
          </cell>
          <cell r="BZ83">
            <v>46</v>
          </cell>
          <cell r="CB83">
            <v>1.9747608501160749</v>
          </cell>
          <cell r="CC83">
            <v>1.924903834710858</v>
          </cell>
          <cell r="CE83"/>
          <cell r="CF83"/>
          <cell r="CG83"/>
          <cell r="CH83"/>
        </row>
        <row r="84">
          <cell r="AI84">
            <v>52.875</v>
          </cell>
          <cell r="AK84">
            <v>1.9930018755393173</v>
          </cell>
          <cell r="AL84">
            <v>1.9868136853756946</v>
          </cell>
          <cell r="AN84">
            <v>1.9687398083779779</v>
          </cell>
          <cell r="AO84">
            <v>1.9618046736747816</v>
          </cell>
          <cell r="AP84">
            <v>1.9353726508437312</v>
          </cell>
          <cell r="AQ84">
            <v>1.9238053695651924</v>
          </cell>
          <cell r="AU84">
            <v>1.8</v>
          </cell>
          <cell r="AV84">
            <v>1.81</v>
          </cell>
          <cell r="AW84">
            <v>1.83</v>
          </cell>
          <cell r="AX84">
            <v>1.84</v>
          </cell>
          <cell r="AZ84">
            <v>1.88</v>
          </cell>
          <cell r="BA84">
            <v>1.9</v>
          </cell>
          <cell r="BZ84">
            <v>47</v>
          </cell>
          <cell r="CB84">
            <v>1.973651830585748</v>
          </cell>
          <cell r="CC84">
            <v>1.9189565061681866</v>
          </cell>
          <cell r="CE84"/>
          <cell r="CF84"/>
          <cell r="CG84"/>
          <cell r="CH84"/>
        </row>
        <row r="85">
          <cell r="AI85">
            <v>54</v>
          </cell>
          <cell r="AK85">
            <v>1.9916181106714359</v>
          </cell>
          <cell r="AL85">
            <v>1.9853440828936579</v>
          </cell>
          <cell r="AN85">
            <v>1.9670194995603245</v>
          </cell>
          <cell r="AO85">
            <v>1.9599881662269916</v>
          </cell>
          <cell r="AP85">
            <v>1.9331894995603247</v>
          </cell>
          <cell r="AQ85">
            <v>1.9214617662269913</v>
          </cell>
          <cell r="AU85">
            <v>1.8</v>
          </cell>
          <cell r="AV85">
            <v>1.81</v>
          </cell>
          <cell r="AW85">
            <v>1.83</v>
          </cell>
          <cell r="AX85">
            <v>1.84</v>
          </cell>
          <cell r="AZ85">
            <v>1.88</v>
          </cell>
          <cell r="BA85">
            <v>1.9</v>
          </cell>
          <cell r="BZ85">
            <v>48</v>
          </cell>
          <cell r="CB85">
            <v>1.972568082992102</v>
          </cell>
          <cell r="CC85">
            <v>1.911763848038315</v>
          </cell>
          <cell r="CE85"/>
          <cell r="CF85"/>
          <cell r="CG85"/>
          <cell r="CH85"/>
        </row>
        <row r="86">
          <cell r="AI86">
            <v>55.125</v>
          </cell>
          <cell r="AK86">
            <v>1.9902899336459983</v>
          </cell>
          <cell r="AL86">
            <v>1.9839276502931029</v>
          </cell>
          <cell r="AN86">
            <v>1.9653452984738542</v>
          </cell>
          <cell r="AO86">
            <v>1.9582150566898169</v>
          </cell>
          <cell r="AP86">
            <v>1.931039418192164</v>
          </cell>
          <cell r="AQ86">
            <v>1.9191467130278448</v>
          </cell>
          <cell r="AU86">
            <v>1.8</v>
          </cell>
          <cell r="AV86">
            <v>1.81</v>
          </cell>
          <cell r="AW86">
            <v>1.83</v>
          </cell>
          <cell r="AX86">
            <v>1.84</v>
          </cell>
          <cell r="AZ86">
            <v>1.88</v>
          </cell>
          <cell r="BA86">
            <v>1.9</v>
          </cell>
          <cell r="BZ86">
            <v>49</v>
          </cell>
          <cell r="CB86">
            <v>1.9715044857396875</v>
          </cell>
          <cell r="CC86">
            <v>1.9028547953580417</v>
          </cell>
          <cell r="CE86"/>
          <cell r="CF86"/>
          <cell r="CG86"/>
          <cell r="CH86"/>
        </row>
        <row r="87">
          <cell r="AI87">
            <v>56.25</v>
          </cell>
          <cell r="AK87">
            <v>1.9890141250299256</v>
          </cell>
          <cell r="AL87">
            <v>1.9825610645140526</v>
          </cell>
          <cell r="AN87">
            <v>1.9637135793950049</v>
          </cell>
          <cell r="AO87">
            <v>1.9564816032045289</v>
          </cell>
          <cell r="AP87">
            <v>1.9289182222521477</v>
          </cell>
          <cell r="AQ87">
            <v>1.9168558317759572</v>
          </cell>
          <cell r="AU87">
            <v>1.8</v>
          </cell>
          <cell r="AV87">
            <v>1.81</v>
          </cell>
          <cell r="AW87">
            <v>1.83</v>
          </cell>
          <cell r="AX87">
            <v>1.84</v>
          </cell>
          <cell r="AZ87">
            <v>1.88</v>
          </cell>
          <cell r="BA87">
            <v>1.9</v>
          </cell>
          <cell r="BZ87">
            <v>50</v>
          </cell>
          <cell r="CB87">
            <v>1.9704559395709418</v>
          </cell>
          <cell r="CC87">
            <v>1.8914939645693467</v>
          </cell>
          <cell r="CE87"/>
          <cell r="CF87"/>
          <cell r="CG87"/>
          <cell r="CH87"/>
        </row>
        <row r="88">
          <cell r="AI88">
            <v>57.375</v>
          </cell>
          <cell r="AK88">
            <v>1.9877876035352866</v>
          </cell>
          <cell r="AL88">
            <v>1.9812411346343206</v>
          </cell>
          <cell r="AN88">
            <v>1.9621208311922913</v>
          </cell>
          <cell r="AO88">
            <v>1.9547841717720018</v>
          </cell>
          <cell r="AP88">
            <v>1.9268218094531608</v>
          </cell>
          <cell r="AQ88">
            <v>1.9145848152502625</v>
          </cell>
          <cell r="AU88">
            <v>1.8</v>
          </cell>
          <cell r="AV88">
            <v>1.81</v>
          </cell>
          <cell r="AW88">
            <v>1.83</v>
          </cell>
          <cell r="AX88">
            <v>1.84</v>
          </cell>
          <cell r="AZ88">
            <v>1.88</v>
          </cell>
          <cell r="BA88">
            <v>1.9</v>
          </cell>
          <cell r="BZ88">
            <v>51</v>
          </cell>
          <cell r="CB88">
            <v>1.9694173221880094</v>
          </cell>
          <cell r="CC88">
            <v>1.8764645419610657</v>
          </cell>
          <cell r="CE88"/>
          <cell r="CF88"/>
          <cell r="CG88"/>
          <cell r="CH88"/>
        </row>
        <row r="89">
          <cell r="AI89">
            <v>58.5</v>
          </cell>
          <cell r="AK89">
            <v>1.9866074176502584</v>
          </cell>
          <cell r="AL89">
            <v>1.9799647930587549</v>
          </cell>
          <cell r="AN89">
            <v>1.9605636472254218</v>
          </cell>
          <cell r="AO89">
            <v>1.9531192256567942</v>
          </cell>
          <cell r="AP89">
            <v>1.9247461472254217</v>
          </cell>
          <cell r="AQ89">
            <v>1.9123294138920883</v>
          </cell>
          <cell r="AU89">
            <v>1.8</v>
          </cell>
          <cell r="AV89">
            <v>1.81</v>
          </cell>
          <cell r="AW89">
            <v>1.83</v>
          </cell>
          <cell r="AX89">
            <v>1.84</v>
          </cell>
          <cell r="AZ89">
            <v>1.88</v>
          </cell>
          <cell r="BA89">
            <v>1.9</v>
          </cell>
          <cell r="BZ89">
            <v>52</v>
          </cell>
          <cell r="CB89">
            <v>1.9683834386768935</v>
          </cell>
          <cell r="CC89">
            <v>1.8555953980808233</v>
          </cell>
          <cell r="CE89"/>
          <cell r="CF89"/>
          <cell r="CG89"/>
          <cell r="CH89"/>
        </row>
        <row r="90">
          <cell r="AI90">
            <v>59.625</v>
          </cell>
          <cell r="AK90">
            <v>1.9854707375641363</v>
          </cell>
          <cell r="AL90">
            <v>1.9787290869629752</v>
          </cell>
          <cell r="AN90">
            <v>1.9590387153833733</v>
          </cell>
          <cell r="AO90">
            <v>1.9514833148858608</v>
          </cell>
          <cell r="AP90">
            <v>1.9226872601594929</v>
          </cell>
          <cell r="AQ90">
            <v>1.9100854223485475</v>
          </cell>
          <cell r="AU90">
            <v>1.8</v>
          </cell>
          <cell r="AV90">
            <v>1.81</v>
          </cell>
          <cell r="AW90">
            <v>1.83</v>
          </cell>
          <cell r="AX90">
            <v>1.84</v>
          </cell>
          <cell r="AZ90">
            <v>1.88</v>
          </cell>
          <cell r="BA90">
            <v>1.9</v>
          </cell>
          <cell r="BZ90">
            <v>53</v>
          </cell>
          <cell r="CB90">
            <v>1.9673489665249555</v>
          </cell>
          <cell r="CC90">
            <v>1.8245949377549053</v>
          </cell>
          <cell r="CE90"/>
          <cell r="CF90"/>
          <cell r="CG90"/>
          <cell r="CH90"/>
        </row>
        <row r="91">
          <cell r="AI91">
            <v>60.75</v>
          </cell>
          <cell r="AK91">
            <v>1.9843748473594036</v>
          </cell>
          <cell r="AL91">
            <v>1.9775311699604137</v>
          </cell>
          <cell r="AN91">
            <v>1.9575428082179895</v>
          </cell>
          <cell r="AO91">
            <v>1.9498730657937471</v>
          </cell>
          <cell r="AP91">
            <v>1.9206412173088985</v>
          </cell>
          <cell r="AQ91">
            <v>1.907848665793747</v>
          </cell>
          <cell r="AU91">
            <v>1.8</v>
          </cell>
          <cell r="AV91">
            <v>1.81</v>
          </cell>
          <cell r="AW91">
            <v>1.83</v>
          </cell>
          <cell r="AX91">
            <v>1.84</v>
          </cell>
          <cell r="AZ91">
            <v>1.88</v>
          </cell>
          <cell r="BA91">
            <v>1.9</v>
          </cell>
          <cell r="BZ91">
            <v>54</v>
          </cell>
          <cell r="CB91">
            <v>1.9663083937413131</v>
          </cell>
          <cell r="CC91">
            <v>1.7736224544916865</v>
          </cell>
          <cell r="CE91"/>
          <cell r="CF91"/>
          <cell r="CG91"/>
          <cell r="CH91"/>
        </row>
        <row r="92">
          <cell r="AI92">
            <v>61.875</v>
          </cell>
          <cell r="AK92">
            <v>1.9833171374437584</v>
          </cell>
          <cell r="AL92">
            <v>1.9763682939608525</v>
          </cell>
          <cell r="AN92">
            <v>1.9560727731275187</v>
          </cell>
          <cell r="AO92">
            <v>1.9482851705634165</v>
          </cell>
          <cell r="AP92">
            <v>1.9186041192813652</v>
          </cell>
          <cell r="AQ92">
            <v>1.9056149859480318</v>
          </cell>
          <cell r="AU92">
            <v>1.8</v>
          </cell>
          <cell r="AV92">
            <v>1.81</v>
          </cell>
          <cell r="AW92">
            <v>1.83</v>
          </cell>
          <cell r="AX92">
            <v>1.84</v>
          </cell>
          <cell r="AZ92">
            <v>1.88</v>
          </cell>
          <cell r="BA92">
            <v>1.9</v>
          </cell>
          <cell r="BZ92">
            <v>55</v>
          </cell>
          <cell r="CB92">
            <v>1.965255948223684</v>
          </cell>
          <cell r="CC92">
            <v>1.6740283400710092</v>
          </cell>
          <cell r="CE92"/>
          <cell r="CF92"/>
          <cell r="CG92"/>
          <cell r="CH92"/>
        </row>
        <row r="93">
          <cell r="AI93">
            <v>63</v>
          </cell>
          <cell r="AK93">
            <v>1.9822950971947004</v>
          </cell>
          <cell r="AL93">
            <v>1.9752378011877558</v>
          </cell>
          <cell r="AN93">
            <v>1.9546255225419225</v>
          </cell>
          <cell r="AO93">
            <v>1.9467163767085893</v>
          </cell>
          <cell r="AP93">
            <v>1.9165720850419223</v>
          </cell>
          <cell r="AQ93">
            <v>1.9033802267085891</v>
          </cell>
          <cell r="AU93">
            <v>1.8</v>
          </cell>
          <cell r="AV93">
            <v>1.81</v>
          </cell>
          <cell r="AW93">
            <v>1.83</v>
          </cell>
          <cell r="AX93">
            <v>1.84</v>
          </cell>
          <cell r="AZ93">
            <v>1.88</v>
          </cell>
          <cell r="BA93">
            <v>1.9</v>
          </cell>
          <cell r="BZ93">
            <v>56</v>
          </cell>
          <cell r="CB93">
            <v>1.9641855160362109</v>
          </cell>
          <cell r="CC93"/>
          <cell r="CE93"/>
          <cell r="CF93"/>
          <cell r="CG93"/>
          <cell r="CH93"/>
        </row>
        <row r="94">
          <cell r="AI94">
            <v>64.125</v>
          </cell>
          <cell r="AK94">
            <v>1.9813063077887823</v>
          </cell>
          <cell r="AL94">
            <v>1.9741371163205281</v>
          </cell>
          <cell r="AN94">
            <v>1.9531980240586231</v>
          </cell>
          <cell r="AO94">
            <v>1.9451634764395758</v>
          </cell>
          <cell r="AP94">
            <v>1.9145412383443376</v>
          </cell>
          <cell r="AQ94">
            <v>1.9011402192967186</v>
          </cell>
          <cell r="AU94">
            <v>1.8</v>
          </cell>
          <cell r="AV94">
            <v>1.81</v>
          </cell>
          <cell r="AW94">
            <v>1.83</v>
          </cell>
          <cell r="AX94">
            <v>1.84</v>
          </cell>
          <cell r="AZ94">
            <v>1.88</v>
          </cell>
          <cell r="BA94">
            <v>1.9</v>
          </cell>
          <cell r="BZ94">
            <v>57</v>
          </cell>
          <cell r="CB94">
            <v>1.9630905456315975</v>
          </cell>
          <cell r="CC94"/>
          <cell r="CE94"/>
          <cell r="CF94"/>
          <cell r="CG94"/>
          <cell r="CH94"/>
        </row>
        <row r="95">
          <cell r="AI95">
            <v>65.25</v>
          </cell>
          <cell r="AK95">
            <v>1.9803484351868621</v>
          </cell>
          <cell r="AL95">
            <v>1.9730637387262888</v>
          </cell>
          <cell r="AN95">
            <v>1.9517872904736002</v>
          </cell>
          <cell r="AO95">
            <v>1.9436232958499446</v>
          </cell>
          <cell r="AP95">
            <v>1.912507693699407</v>
          </cell>
          <cell r="AQ95">
            <v>1.8988907668176864</v>
          </cell>
          <cell r="AU95">
            <v>1.8</v>
          </cell>
          <cell r="AV95">
            <v>1.81</v>
          </cell>
          <cell r="AW95">
            <v>1.83</v>
          </cell>
          <cell r="AX95">
            <v>1.84</v>
          </cell>
          <cell r="AZ95">
            <v>1.88</v>
          </cell>
          <cell r="BA95">
            <v>1.9</v>
          </cell>
          <cell r="BZ95">
            <v>58</v>
          </cell>
          <cell r="CB95">
            <v>1.9619639342124335</v>
          </cell>
          <cell r="CC95"/>
          <cell r="CE95"/>
          <cell r="CF95"/>
          <cell r="CG95"/>
          <cell r="CH95"/>
        </row>
        <row r="96">
          <cell r="AI96">
            <v>66.375</v>
          </cell>
          <cell r="AK96">
            <v>1.9794192232457042</v>
          </cell>
          <cell r="AL96">
            <v>1.9720152347438826</v>
          </cell>
          <cell r="AN96">
            <v>1.9503903696482545</v>
          </cell>
          <cell r="AO96">
            <v>1.9420926838559047</v>
          </cell>
          <cell r="AP96">
            <v>1.9104675417794019</v>
          </cell>
          <cell r="AQ96">
            <v>1.8966276281181997</v>
          </cell>
          <cell r="AU96">
            <v>1.8</v>
          </cell>
          <cell r="AV96">
            <v>1.81</v>
          </cell>
          <cell r="AW96">
            <v>1.83</v>
          </cell>
          <cell r="AX96">
            <v>1.84</v>
          </cell>
          <cell r="AZ96">
            <v>1.88</v>
          </cell>
          <cell r="BA96">
            <v>1.9</v>
          </cell>
          <cell r="BZ96">
            <v>59</v>
          </cell>
          <cell r="CB96">
            <v>1.9607978913032931</v>
          </cell>
          <cell r="CC96"/>
          <cell r="CE96"/>
          <cell r="CF96"/>
          <cell r="CG96"/>
          <cell r="CH96"/>
        </row>
        <row r="97">
          <cell r="AI97">
            <v>67.5</v>
          </cell>
          <cell r="AK97">
            <v>1.9785164869249392</v>
          </cell>
          <cell r="AL97">
            <v>1.9709892299804945</v>
          </cell>
          <cell r="AN97">
            <v>1.9490043341471615</v>
          </cell>
          <cell r="AO97">
            <v>1.940568500813828</v>
          </cell>
          <cell r="AP97">
            <v>1.9084168341471615</v>
          </cell>
          <cell r="AQ97">
            <v>1.894346500813828</v>
          </cell>
          <cell r="AU97">
            <v>1.8</v>
          </cell>
          <cell r="AV97">
            <v>1.81</v>
          </cell>
          <cell r="AW97">
            <v>1.83</v>
          </cell>
          <cell r="AX97">
            <v>1.84</v>
          </cell>
          <cell r="AZ97">
            <v>1.88</v>
          </cell>
          <cell r="BA97">
            <v>1.9</v>
          </cell>
          <cell r="BZ97">
            <v>60</v>
          </cell>
          <cell r="CB97">
            <v>1.9595837730860595</v>
          </cell>
          <cell r="CC97"/>
          <cell r="CE97"/>
          <cell r="CF97"/>
          <cell r="CG97"/>
          <cell r="CH97"/>
        </row>
        <row r="98">
          <cell r="AI98">
            <v>68.625</v>
          </cell>
          <cell r="AK98">
            <v>1.9776381055567458</v>
          </cell>
          <cell r="AL98">
            <v>1.9699834015784032</v>
          </cell>
          <cell r="AN98">
            <v>1.9476262705755782</v>
          </cell>
          <cell r="AO98">
            <v>1.9390476067337705</v>
          </cell>
          <cell r="AP98">
            <v>1.9063515671857478</v>
          </cell>
          <cell r="AQ98">
            <v>1.8920430033439397</v>
          </cell>
          <cell r="AU98">
            <v>1.8</v>
          </cell>
          <cell r="AV98">
            <v>1.81</v>
          </cell>
          <cell r="AW98">
            <v>1.83</v>
          </cell>
          <cell r="AX98">
            <v>1.84</v>
          </cell>
          <cell r="AZ98">
            <v>1.88</v>
          </cell>
          <cell r="BA98">
            <v>1.9</v>
          </cell>
          <cell r="BZ98">
            <v>61</v>
          </cell>
          <cell r="CB98">
            <v>1.9583118789754081</v>
          </cell>
          <cell r="CC98"/>
          <cell r="CE98"/>
          <cell r="CF98"/>
          <cell r="CG98"/>
          <cell r="CH98"/>
        </row>
        <row r="99">
          <cell r="AI99">
            <v>69.75</v>
          </cell>
          <cell r="AK99">
            <v>1.9767820161435508</v>
          </cell>
          <cell r="AL99">
            <v>1.9689954704060026</v>
          </cell>
          <cell r="AN99">
            <v>1.9462532685381868</v>
          </cell>
          <cell r="AO99">
            <v>1.9375268489979569</v>
          </cell>
          <cell r="AP99">
            <v>1.9042676650899109</v>
          </cell>
          <cell r="AQ99">
            <v>1.8897126558945085</v>
          </cell>
          <cell r="AU99">
            <v>1.8</v>
          </cell>
          <cell r="AV99">
            <v>1.81</v>
          </cell>
          <cell r="AW99">
            <v>1.83</v>
          </cell>
          <cell r="AX99">
            <v>1.84</v>
          </cell>
          <cell r="AZ99">
            <v>1.88</v>
          </cell>
          <cell r="BA99">
            <v>1.9</v>
          </cell>
          <cell r="BZ99">
            <v>62.000000000000007</v>
          </cell>
          <cell r="CB99">
            <v>1.9569711990442336</v>
          </cell>
          <cell r="CC99"/>
          <cell r="CE99"/>
          <cell r="CF99"/>
          <cell r="CG99"/>
          <cell r="CH99"/>
        </row>
        <row r="100">
          <cell r="AI100">
            <v>70.875</v>
          </cell>
          <cell r="AK100">
            <v>1.9759462066465201</v>
          </cell>
          <cell r="AL100">
            <v>1.9680231931231282</v>
          </cell>
          <cell r="AN100">
            <v>1.9448824091319004</v>
          </cell>
          <cell r="AO100">
            <v>1.9360030494827773</v>
          </cell>
          <cell r="AP100">
            <v>1.9021609617634792</v>
          </cell>
          <cell r="AQ100">
            <v>1.8873508600090931</v>
          </cell>
          <cell r="AU100">
            <v>1.8</v>
          </cell>
          <cell r="AV100">
            <v>1.81</v>
          </cell>
          <cell r="AW100">
            <v>1.83</v>
          </cell>
          <cell r="AX100">
            <v>1.84</v>
          </cell>
          <cell r="AZ100">
            <v>1.88</v>
          </cell>
          <cell r="BA100">
            <v>1.9</v>
          </cell>
          <cell r="BZ100">
            <v>63</v>
          </cell>
          <cell r="CB100">
            <v>1.9555490969004756</v>
          </cell>
          <cell r="CC100"/>
          <cell r="CE100"/>
          <cell r="CF100"/>
          <cell r="CG100"/>
          <cell r="CH100"/>
        </row>
        <row r="101">
          <cell r="AI101">
            <v>72</v>
          </cell>
          <cell r="AK101">
            <v>1.9751287092245664</v>
          </cell>
          <cell r="AL101">
            <v>1.9670643540658366</v>
          </cell>
          <cell r="AN101">
            <v>1.9435107528753603</v>
          </cell>
          <cell r="AO101">
            <v>1.9344729909705982</v>
          </cell>
          <cell r="AP101">
            <v>1.9000271814467888</v>
          </cell>
          <cell r="AQ101">
            <v>1.884952876684884</v>
          </cell>
          <cell r="AU101">
            <v>1.8</v>
          </cell>
          <cell r="AV101">
            <v>1.81</v>
          </cell>
          <cell r="AW101">
            <v>1.83</v>
          </cell>
          <cell r="AX101">
            <v>1.84</v>
          </cell>
          <cell r="AZ101">
            <v>1.88</v>
          </cell>
          <cell r="BA101">
            <v>1.9</v>
          </cell>
          <cell r="BZ101">
            <v>64</v>
          </cell>
          <cell r="CB101">
            <v>1.9540309069399682</v>
          </cell>
          <cell r="CC101"/>
          <cell r="CE101"/>
          <cell r="CF101"/>
          <cell r="CG101"/>
          <cell r="CH101"/>
        </row>
        <row r="102">
          <cell r="AI102">
            <v>73.125</v>
          </cell>
          <cell r="AK102">
            <v>1.9743275933799123</v>
          </cell>
          <cell r="AL102">
            <v>1.9661167568900133</v>
          </cell>
          <cell r="AN102">
            <v>1.9421353269657708</v>
          </cell>
          <cell r="AO102">
            <v>1.9329334027233465</v>
          </cell>
          <cell r="AP102">
            <v>1.8978619178748617</v>
          </cell>
          <cell r="AQ102">
            <v>1.8825138027233466</v>
          </cell>
          <cell r="AU102">
            <v>1.8</v>
          </cell>
          <cell r="AV102">
            <v>1.81</v>
          </cell>
          <cell r="AW102">
            <v>1.83</v>
          </cell>
          <cell r="AX102">
            <v>1.84</v>
          </cell>
          <cell r="AZ102">
            <v>1.88</v>
          </cell>
          <cell r="BA102">
            <v>1.9</v>
          </cell>
          <cell r="BZ102">
            <v>65</v>
          </cell>
          <cell r="CB102">
            <v>1.9523994167463392</v>
          </cell>
          <cell r="CC102"/>
          <cell r="CE102"/>
          <cell r="CF102"/>
          <cell r="CG102"/>
          <cell r="CH102"/>
        </row>
        <row r="103">
          <cell r="AI103">
            <v>74.25</v>
          </cell>
          <cell r="AK103">
            <v>1.9735409589618358</v>
          </cell>
          <cell r="AL103">
            <v>1.9651782159062803</v>
          </cell>
          <cell r="AN103">
            <v>1.9407531117396137</v>
          </cell>
          <cell r="AO103">
            <v>1.9313809450729469</v>
          </cell>
          <cell r="AP103">
            <v>1.8956606117396135</v>
          </cell>
          <cell r="AQ103">
            <v>1.8800285450729468</v>
          </cell>
          <cell r="AU103">
            <v>1.8</v>
          </cell>
          <cell r="AV103">
            <v>1.81</v>
          </cell>
          <cell r="AW103">
            <v>1.83</v>
          </cell>
          <cell r="AX103">
            <v>1.84</v>
          </cell>
          <cell r="AZ103">
            <v>1.88</v>
          </cell>
          <cell r="BA103">
            <v>1.9</v>
          </cell>
          <cell r="BZ103">
            <v>66</v>
          </cell>
          <cell r="CB103">
            <v>1.950634193517526</v>
          </cell>
          <cell r="CC103"/>
          <cell r="CE103"/>
          <cell r="CF103"/>
          <cell r="CG103"/>
          <cell r="CH103"/>
        </row>
        <row r="104">
          <cell r="AI104">
            <v>75.375</v>
          </cell>
          <cell r="AK104">
            <v>1.972766928974953</v>
          </cell>
          <cell r="AL104">
            <v>1.9642465470305084</v>
          </cell>
          <cell r="AN104">
            <v>1.9393610261971748</v>
          </cell>
          <cell r="AO104">
            <v>1.9298121928638414</v>
          </cell>
          <cell r="AP104">
            <v>1.893418526197175</v>
          </cell>
          <cell r="AQ104">
            <v>1.8774917928638417</v>
          </cell>
          <cell r="AU104">
            <v>1.8</v>
          </cell>
          <cell r="AV104">
            <v>1.81</v>
          </cell>
          <cell r="AW104">
            <v>1.83</v>
          </cell>
          <cell r="AX104">
            <v>1.84</v>
          </cell>
          <cell r="AZ104">
            <v>1.88</v>
          </cell>
          <cell r="BA104">
            <v>1.9</v>
          </cell>
          <cell r="BZ104">
            <v>67</v>
          </cell>
          <cell r="CB104">
            <v>1.9487106957638101</v>
          </cell>
          <cell r="CC104"/>
          <cell r="CE104"/>
          <cell r="CF104"/>
          <cell r="CG104"/>
          <cell r="CH104"/>
        </row>
        <row r="105">
          <cell r="AI105">
            <v>76.5</v>
          </cell>
          <cell r="AK105">
            <v>1.9720036421320699</v>
          </cell>
          <cell r="AL105">
            <v>1.9633195582645482</v>
          </cell>
          <cell r="AN105">
            <v>1.9379559124312153</v>
          </cell>
          <cell r="AO105">
            <v>1.9282236175594201</v>
          </cell>
          <cell r="AP105">
            <v>1.8911307201235228</v>
          </cell>
          <cell r="AQ105">
            <v>1.8748979867901894</v>
          </cell>
          <cell r="AU105">
            <v>1.8</v>
          </cell>
          <cell r="AV105">
            <v>1.81</v>
          </cell>
          <cell r="AW105">
            <v>1.83</v>
          </cell>
          <cell r="AX105">
            <v>1.84</v>
          </cell>
          <cell r="AZ105">
            <v>1.88</v>
          </cell>
          <cell r="BA105">
            <v>1.9</v>
          </cell>
          <cell r="BZ105">
            <v>68</v>
          </cell>
          <cell r="CB105">
            <v>1.9465990848885613</v>
          </cell>
          <cell r="CC105"/>
          <cell r="CE105"/>
          <cell r="CF105"/>
          <cell r="CG105"/>
          <cell r="CH105"/>
        </row>
        <row r="106">
          <cell r="AI106">
            <v>77.625</v>
          </cell>
          <cell r="AK106">
            <v>1.9712492450841343</v>
          </cell>
          <cell r="AL106">
            <v>1.9623950396102781</v>
          </cell>
          <cell r="AN106">
            <v>1.9365345187769449</v>
          </cell>
          <cell r="AO106">
            <v>1.9266115677965527</v>
          </cell>
          <cell r="AP106">
            <v>1.8887920187769449</v>
          </cell>
          <cell r="AQ106">
            <v>1.8722412854436117</v>
          </cell>
          <cell r="AU106">
            <v>1.8</v>
          </cell>
          <cell r="AV106">
            <v>1.81</v>
          </cell>
          <cell r="AW106">
            <v>1.83</v>
          </cell>
          <cell r="AX106">
            <v>1.84</v>
          </cell>
          <cell r="AZ106">
            <v>1.88</v>
          </cell>
          <cell r="BA106">
            <v>1.9</v>
          </cell>
          <cell r="BZ106">
            <v>69</v>
          </cell>
          <cell r="CB106">
            <v>1.9442626102216252</v>
          </cell>
          <cell r="CC106"/>
          <cell r="CE106"/>
          <cell r="CF106"/>
          <cell r="CG106"/>
          <cell r="CH106"/>
        </row>
        <row r="107">
          <cell r="AI107">
            <v>78.75</v>
          </cell>
          <cell r="AK107">
            <v>1.9705018842508117</v>
          </cell>
          <cell r="AL107">
            <v>1.9614707523063675</v>
          </cell>
          <cell r="AN107">
            <v>1.9350934814730338</v>
          </cell>
          <cell r="AO107">
            <v>1.9249722481397009</v>
          </cell>
          <cell r="AP107">
            <v>1.8863969814730341</v>
          </cell>
          <cell r="AQ107">
            <v>1.8695155281397007</v>
          </cell>
          <cell r="AU107">
            <v>1.8</v>
          </cell>
          <cell r="AV107">
            <v>1.81</v>
          </cell>
          <cell r="AW107">
            <v>1.83</v>
          </cell>
          <cell r="AX107">
            <v>1.84</v>
          </cell>
          <cell r="AZ107">
            <v>1.88</v>
          </cell>
          <cell r="BA107">
            <v>1.9</v>
          </cell>
          <cell r="BZ107">
            <v>70</v>
          </cell>
          <cell r="CB107">
            <v>1.9416553764139983</v>
          </cell>
          <cell r="CC107"/>
          <cell r="CE107"/>
          <cell r="CF107"/>
          <cell r="CG107"/>
          <cell r="CH107"/>
        </row>
        <row r="108">
          <cell r="AI108">
            <v>79.875</v>
          </cell>
          <cell r="AK108">
            <v>1.9697596971644877</v>
          </cell>
          <cell r="AL108">
            <v>1.9605444172608595</v>
          </cell>
          <cell r="AN108">
            <v>1.9336293045907913</v>
          </cell>
          <cell r="AO108">
            <v>1.9233016957472542</v>
          </cell>
          <cell r="AP108">
            <v>1.8839398658152813</v>
          </cell>
          <cell r="AQ108">
            <v>1.8667141937064375</v>
          </cell>
          <cell r="AU108">
            <v>1.8</v>
          </cell>
          <cell r="AV108">
            <v>1.81</v>
          </cell>
          <cell r="AW108">
            <v>1.83</v>
          </cell>
          <cell r="AX108">
            <v>1.84</v>
          </cell>
          <cell r="AZ108">
            <v>1.88</v>
          </cell>
          <cell r="BA108">
            <v>1.9</v>
          </cell>
          <cell r="BZ108">
            <v>71</v>
          </cell>
          <cell r="CB108">
            <v>1.938719197685802</v>
          </cell>
          <cell r="CC108"/>
          <cell r="CE108"/>
          <cell r="CF108"/>
          <cell r="CG108"/>
          <cell r="CH108"/>
        </row>
        <row r="109">
          <cell r="AI109">
            <v>81</v>
          </cell>
          <cell r="AK109">
            <v>1.9690208032276508</v>
          </cell>
          <cell r="AL109">
            <v>1.9596137025332063</v>
          </cell>
          <cell r="AN109">
            <v>1.9321383379498731</v>
          </cell>
          <cell r="AO109">
            <v>1.9215957546165399</v>
          </cell>
          <cell r="AP109">
            <v>1.8814145879498732</v>
          </cell>
          <cell r="AQ109">
            <v>1.8638303546165398</v>
          </cell>
          <cell r="AU109">
            <v>1.8</v>
          </cell>
          <cell r="AV109">
            <v>1.81</v>
          </cell>
          <cell r="AW109">
            <v>1.83</v>
          </cell>
          <cell r="AX109">
            <v>1.84</v>
          </cell>
          <cell r="AZ109">
            <v>1.88</v>
          </cell>
          <cell r="BA109">
            <v>1.9</v>
          </cell>
          <cell r="BZ109">
            <v>72</v>
          </cell>
          <cell r="CB109">
            <v>1.9353790700990385</v>
          </cell>
          <cell r="CC109"/>
          <cell r="CE109"/>
          <cell r="CF109"/>
          <cell r="CG109"/>
          <cell r="CH109"/>
        </row>
        <row r="110">
          <cell r="AI110">
            <v>82.125</v>
          </cell>
          <cell r="AK110">
            <v>1.968283293768214</v>
          </cell>
          <cell r="AL110">
            <v>1.9586762096961099</v>
          </cell>
          <cell r="AN110">
            <v>1.9306167526925639</v>
          </cell>
          <cell r="AO110">
            <v>1.9198500470188051</v>
          </cell>
          <cell r="AP110">
            <v>1.8788146782244788</v>
          </cell>
          <cell r="AQ110">
            <v>1.8608566257422094</v>
          </cell>
          <cell r="AU110">
            <v>1.8</v>
          </cell>
          <cell r="AV110">
            <v>1.81</v>
          </cell>
          <cell r="AW110">
            <v>1.83</v>
          </cell>
          <cell r="AX110">
            <v>1.84</v>
          </cell>
          <cell r="AZ110">
            <v>1.88</v>
          </cell>
          <cell r="BA110">
            <v>1.9</v>
          </cell>
          <cell r="BZ110">
            <v>73</v>
          </cell>
          <cell r="CB110">
            <v>1.9315364962842771</v>
          </cell>
          <cell r="CC110"/>
          <cell r="CE110"/>
          <cell r="CF110"/>
          <cell r="CG110"/>
          <cell r="CH110"/>
        </row>
        <row r="111">
          <cell r="AI111">
            <v>83.25</v>
          </cell>
          <cell r="AK111">
            <v>1.9675452212588189</v>
          </cell>
          <cell r="AL111">
            <v>1.9577294588795917</v>
          </cell>
          <cell r="AN111">
            <v>1.9290605141332151</v>
          </cell>
          <cell r="AO111">
            <v>1.9180599416694468</v>
          </cell>
          <cell r="AP111">
            <v>1.8761332315245192</v>
          </cell>
          <cell r="AQ111">
            <v>1.8577851068868381</v>
          </cell>
          <cell r="AU111">
            <v>1.8</v>
          </cell>
          <cell r="AV111">
            <v>1.81</v>
          </cell>
          <cell r="AW111">
            <v>1.83</v>
          </cell>
          <cell r="AX111">
            <v>1.84</v>
          </cell>
          <cell r="AZ111">
            <v>1.88</v>
          </cell>
          <cell r="BA111">
            <v>1.9</v>
          </cell>
          <cell r="BZ111">
            <v>74</v>
          </cell>
          <cell r="CB111">
            <v>1.9270593708427</v>
          </cell>
          <cell r="CC111"/>
          <cell r="CE111"/>
          <cell r="CF111"/>
          <cell r="CG111"/>
          <cell r="CH111"/>
        </row>
        <row r="112">
          <cell r="AI112">
            <v>84.375</v>
          </cell>
          <cell r="AK112">
            <v>1.9668045875438966</v>
          </cell>
          <cell r="AL112">
            <v>1.956770872266119</v>
          </cell>
          <cell r="AN112">
            <v>1.9274653514327857</v>
          </cell>
          <cell r="AO112">
            <v>1.9162205180994523</v>
          </cell>
          <cell r="AP112">
            <v>1.8733628514327856</v>
          </cell>
          <cell r="AQ112">
            <v>1.8546073180994522</v>
          </cell>
          <cell r="AU112">
            <v>1.8</v>
          </cell>
          <cell r="AV112">
            <v>1.81</v>
          </cell>
          <cell r="AW112">
            <v>1.83</v>
          </cell>
          <cell r="AX112">
            <v>1.84</v>
          </cell>
          <cell r="AZ112">
            <v>1.88</v>
          </cell>
          <cell r="BA112">
            <v>1.9</v>
          </cell>
          <cell r="BZ112">
            <v>75</v>
          </cell>
          <cell r="CB112">
            <v>1.9217661632839775</v>
          </cell>
          <cell r="CC112"/>
          <cell r="CE112"/>
          <cell r="CF112"/>
          <cell r="CG112"/>
          <cell r="CH112"/>
        </row>
        <row r="113">
          <cell r="AI113">
            <v>85.5</v>
          </cell>
          <cell r="AK113">
            <v>1.9660593308913106</v>
          </cell>
          <cell r="AL113">
            <v>1.9557977557650479</v>
          </cell>
          <cell r="AN113">
            <v>1.9258267235680782</v>
          </cell>
          <cell r="AO113">
            <v>1.9143265265983811</v>
          </cell>
          <cell r="AP113">
            <v>1.870495587204442</v>
          </cell>
          <cell r="AQ113">
            <v>1.8513141265983815</v>
          </cell>
          <cell r="AU113">
            <v>1.8</v>
          </cell>
          <cell r="AV113">
            <v>1.81</v>
          </cell>
          <cell r="AW113">
            <v>1.83</v>
          </cell>
          <cell r="AX113">
            <v>1.84</v>
          </cell>
          <cell r="AZ113">
            <v>1.88</v>
          </cell>
          <cell r="BA113">
            <v>1.9</v>
          </cell>
          <cell r="BZ113">
            <v>76</v>
          </cell>
          <cell r="CB113">
            <v>1.9154002570100026</v>
          </cell>
          <cell r="CC113"/>
          <cell r="CE113"/>
          <cell r="CF113"/>
          <cell r="CG113"/>
          <cell r="CH113"/>
        </row>
        <row r="114">
          <cell r="AI114">
            <v>86.625</v>
          </cell>
          <cell r="AK114">
            <v>1.9653073116527535</v>
          </cell>
          <cell r="AL114">
            <v>1.9548072785455182</v>
          </cell>
          <cell r="AN114">
            <v>1.9241397809679988</v>
          </cell>
          <cell r="AO114">
            <v>1.9123723429835024</v>
          </cell>
          <cell r="AP114">
            <v>1.8675228623633477</v>
          </cell>
          <cell r="AQ114">
            <v>1.8478956639137354</v>
          </cell>
          <cell r="AU114">
            <v>1.8</v>
          </cell>
          <cell r="AV114">
            <v>1.81</v>
          </cell>
          <cell r="AW114">
            <v>1.83</v>
          </cell>
          <cell r="AX114">
            <v>1.84</v>
          </cell>
          <cell r="AZ114">
            <v>1.88</v>
          </cell>
          <cell r="BA114">
            <v>1.9</v>
          </cell>
          <cell r="BZ114">
            <v>77</v>
          </cell>
          <cell r="CB114">
            <v>1.9075864676084227</v>
          </cell>
          <cell r="CC114"/>
          <cell r="CE114"/>
          <cell r="CF114"/>
          <cell r="CG114"/>
          <cell r="CH114"/>
        </row>
        <row r="115">
          <cell r="AI115">
            <v>87.75</v>
          </cell>
          <cell r="AK115">
            <v>1.9645462962773506</v>
          </cell>
          <cell r="AL115">
            <v>1.953796450047192</v>
          </cell>
          <cell r="AN115">
            <v>1.9223993220710014</v>
          </cell>
          <cell r="AO115">
            <v>1.9103519173090968</v>
          </cell>
          <cell r="AP115">
            <v>1.864435393499573</v>
          </cell>
          <cell r="AQ115">
            <v>1.8443412315948111</v>
          </cell>
          <cell r="AU115">
            <v>1.8</v>
          </cell>
          <cell r="AV115">
            <v>1.81</v>
          </cell>
          <cell r="AW115">
            <v>1.83</v>
          </cell>
          <cell r="AX115">
            <v>1.84</v>
          </cell>
          <cell r="AZ115">
            <v>1.88</v>
          </cell>
          <cell r="BA115">
            <v>1.9</v>
          </cell>
          <cell r="BZ115">
            <v>78</v>
          </cell>
          <cell r="CB115">
            <v>1.8977534097830533</v>
          </cell>
          <cell r="CC115"/>
          <cell r="CE115"/>
          <cell r="CF115"/>
          <cell r="CG115"/>
          <cell r="CH115"/>
        </row>
        <row r="116">
          <cell r="AI116">
            <v>88.875</v>
          </cell>
          <cell r="AK116">
            <v>1.9637739393743825</v>
          </cell>
          <cell r="AL116">
            <v>1.9527620940153041</v>
          </cell>
          <cell r="AN116">
            <v>1.9205997439136777</v>
          </cell>
          <cell r="AO116">
            <v>1.9082587154583932</v>
          </cell>
          <cell r="AP116">
            <v>1.8612230975722146</v>
          </cell>
          <cell r="AQ116">
            <v>1.8406391935071738</v>
          </cell>
          <cell r="AU116">
            <v>1.8</v>
          </cell>
          <cell r="AV116">
            <v>1.81</v>
          </cell>
          <cell r="AW116">
            <v>1.83</v>
          </cell>
          <cell r="AX116">
            <v>1.84</v>
          </cell>
          <cell r="AZ116">
            <v>1.88</v>
          </cell>
          <cell r="BA116">
            <v>1.9</v>
          </cell>
          <cell r="BZ116">
            <v>79</v>
          </cell>
          <cell r="CB116">
            <v>1.8849857030989683</v>
          </cell>
          <cell r="CC116"/>
          <cell r="CE116"/>
          <cell r="CF116"/>
          <cell r="CG116"/>
          <cell r="CH116"/>
        </row>
        <row r="117">
          <cell r="AI117">
            <v>90</v>
          </cell>
          <cell r="AK117">
            <v>1.9629877634615198</v>
          </cell>
          <cell r="AL117">
            <v>1.9517008190170755</v>
          </cell>
          <cell r="AN117">
            <v>1.9187349856837421</v>
          </cell>
          <cell r="AO117">
            <v>1.9060856523504091</v>
          </cell>
          <cell r="AP117">
            <v>1.8578749856837422</v>
          </cell>
          <cell r="AQ117">
            <v>1.8367768523504089</v>
          </cell>
          <cell r="AU117">
            <v>1.8</v>
          </cell>
          <cell r="AV117">
            <v>1.81</v>
          </cell>
          <cell r="AW117">
            <v>1.83</v>
          </cell>
          <cell r="AX117">
            <v>1.84</v>
          </cell>
          <cell r="AZ117">
            <v>1.88</v>
          </cell>
          <cell r="BA117">
            <v>1.9</v>
          </cell>
          <cell r="BZ117">
            <v>80</v>
          </cell>
          <cell r="CB117">
            <v>1.8677189178022051</v>
          </cell>
          <cell r="CC117"/>
          <cell r="CE117"/>
          <cell r="CF117"/>
          <cell r="CG117"/>
          <cell r="CH117"/>
        </row>
        <row r="118">
          <cell r="AI118">
            <v>91.125</v>
          </cell>
          <cell r="AK118">
            <v>1.9621851359616405</v>
          </cell>
          <cell r="AL118">
            <v>1.9506089847864267</v>
          </cell>
          <cell r="AN118">
            <v>1.9167984639530935</v>
          </cell>
          <cell r="AO118">
            <v>1.9038250152351448</v>
          </cell>
          <cell r="AP118">
            <v>1.8543790408761704</v>
          </cell>
          <cell r="AQ118">
            <v>1.832740307542837</v>
          </cell>
          <cell r="AU118">
            <v>1.8</v>
          </cell>
          <cell r="AV118">
            <v>1.81</v>
          </cell>
          <cell r="AW118">
            <v>1.83</v>
          </cell>
          <cell r="AX118">
            <v>1.84</v>
          </cell>
          <cell r="AZ118">
            <v>1.88</v>
          </cell>
          <cell r="BA118">
            <v>1.9</v>
          </cell>
          <cell r="BZ118">
            <v>81</v>
          </cell>
          <cell r="CB118">
            <v>1.8430399518207468</v>
          </cell>
          <cell r="CC118"/>
          <cell r="CE118"/>
          <cell r="CF118"/>
          <cell r="CG118"/>
          <cell r="CH118"/>
        </row>
        <row r="119">
          <cell r="AI119">
            <v>92.25</v>
          </cell>
          <cell r="AK119">
            <v>1.9613632429205163</v>
          </cell>
          <cell r="AL119">
            <v>1.9494826636076508</v>
          </cell>
          <cell r="AN119">
            <v>1.9147829980374755</v>
          </cell>
          <cell r="AO119">
            <v>1.901468375230458</v>
          </cell>
          <cell r="AP119">
            <v>1.850722076984844</v>
          </cell>
          <cell r="AQ119">
            <v>1.8285142910199317</v>
          </cell>
          <cell r="AU119">
            <v>1.8</v>
          </cell>
          <cell r="AV119">
            <v>1.81</v>
          </cell>
          <cell r="AW119">
            <v>1.83</v>
          </cell>
          <cell r="AX119">
            <v>1.84</v>
          </cell>
          <cell r="AZ119">
            <v>1.88</v>
          </cell>
          <cell r="BA119">
            <v>1.9</v>
          </cell>
          <cell r="BZ119">
            <v>82</v>
          </cell>
          <cell r="CB119">
            <v>1.8048337952696936</v>
          </cell>
          <cell r="CC119"/>
          <cell r="CE119"/>
          <cell r="CF119"/>
          <cell r="CG119"/>
          <cell r="CH119"/>
        </row>
        <row r="120">
          <cell r="AI120">
            <v>93.375</v>
          </cell>
          <cell r="AK120">
            <v>1.9605190588047559</v>
          </cell>
          <cell r="AL120">
            <v>1.9483175957792305</v>
          </cell>
          <cell r="AN120">
            <v>1.9126807235945458</v>
          </cell>
          <cell r="AO120">
            <v>1.899006484855807</v>
          </cell>
          <cell r="AP120">
            <v>1.8468895749458971</v>
          </cell>
          <cell r="AQ120">
            <v>1.824081976747699</v>
          </cell>
          <cell r="AU120">
            <v>1.8</v>
          </cell>
          <cell r="AV120">
            <v>1.81</v>
          </cell>
          <cell r="AW120">
            <v>1.83</v>
          </cell>
          <cell r="AX120">
            <v>1.84</v>
          </cell>
          <cell r="AZ120">
            <v>1.88</v>
          </cell>
          <cell r="BA120">
            <v>1.9</v>
          </cell>
          <cell r="BZ120">
            <v>83</v>
          </cell>
          <cell r="CB120">
            <v>1.7377164312709443</v>
          </cell>
          <cell r="CC120"/>
          <cell r="CE120"/>
          <cell r="CF120"/>
          <cell r="CG120"/>
          <cell r="CH120"/>
        </row>
        <row r="121">
          <cell r="AI121">
            <v>94.5</v>
          </cell>
          <cell r="AK121">
            <v>1.9596493115981655</v>
          </cell>
          <cell r="AL121">
            <v>1.947109137987054</v>
          </cell>
          <cell r="AN121">
            <v>1.910482992153721</v>
          </cell>
          <cell r="AO121">
            <v>1.8964291588203877</v>
          </cell>
          <cell r="AP121">
            <v>1.8428654921537209</v>
          </cell>
          <cell r="AQ121">
            <v>1.8194247588203876</v>
          </cell>
          <cell r="AU121">
            <v>1.8</v>
          </cell>
          <cell r="AV121">
            <v>1.81</v>
          </cell>
          <cell r="AW121">
            <v>1.83</v>
          </cell>
          <cell r="AX121">
            <v>1.84</v>
          </cell>
          <cell r="AZ121">
            <v>1.88</v>
          </cell>
          <cell r="BA121">
            <v>1.9</v>
          </cell>
          <cell r="BZ121">
            <v>84</v>
          </cell>
          <cell r="CB121"/>
          <cell r="CC121"/>
          <cell r="CE121"/>
          <cell r="CF121"/>
          <cell r="CG121"/>
          <cell r="CH121"/>
        </row>
        <row r="122">
          <cell r="AI122">
            <v>95.625</v>
          </cell>
          <cell r="AK122">
            <v>1.9587504422371103</v>
          </cell>
          <cell r="AL122">
            <v>1.9458522031498087</v>
          </cell>
          <cell r="AN122">
            <v>1.9081802537450467</v>
          </cell>
          <cell r="AO122">
            <v>1.8937251346974275</v>
          </cell>
          <cell r="AP122">
            <v>1.8386320394593325</v>
          </cell>
          <cell r="AQ122">
            <v>1.8145219918402848</v>
          </cell>
          <cell r="AU122">
            <v>1.8</v>
          </cell>
          <cell r="AV122">
            <v>1.81</v>
          </cell>
          <cell r="AW122">
            <v>1.83</v>
          </cell>
          <cell r="AX122">
            <v>1.84</v>
          </cell>
          <cell r="AZ122">
            <v>1.88</v>
          </cell>
          <cell r="BA122">
            <v>1.9</v>
          </cell>
          <cell r="BZ122">
            <v>85</v>
          </cell>
          <cell r="CB122"/>
          <cell r="CC122"/>
          <cell r="CE122"/>
          <cell r="CF122"/>
          <cell r="CG122"/>
          <cell r="CH122"/>
        </row>
        <row r="123">
          <cell r="AI123">
            <v>96.75</v>
          </cell>
          <cell r="AK123">
            <v>1.9578185572007987</v>
          </cell>
          <cell r="AL123">
            <v>1.9445411899622367</v>
          </cell>
          <cell r="AN123">
            <v>1.9057619191289032</v>
          </cell>
          <cell r="AO123">
            <v>1.890881909324982</v>
          </cell>
          <cell r="AP123">
            <v>1.8341694191289035</v>
          </cell>
          <cell r="AQ123">
            <v>1.8093506857955701</v>
          </cell>
          <cell r="AU123">
            <v>1.8</v>
          </cell>
          <cell r="AV123">
            <v>1.81</v>
          </cell>
          <cell r="AW123">
            <v>1.83</v>
          </cell>
          <cell r="AX123">
            <v>1.84</v>
          </cell>
          <cell r="AZ123">
            <v>1.88</v>
          </cell>
          <cell r="BA123">
            <v>1.9</v>
          </cell>
          <cell r="BZ123">
            <v>86</v>
          </cell>
          <cell r="CB123"/>
          <cell r="CC123"/>
          <cell r="CE123"/>
          <cell r="CF123"/>
          <cell r="CG123"/>
          <cell r="CH123"/>
        </row>
        <row r="124">
          <cell r="AI124">
            <v>97.875</v>
          </cell>
          <cell r="AK124">
            <v>1.9568493727864171</v>
          </cell>
          <cell r="AL124">
            <v>1.9431698999328817</v>
          </cell>
          <cell r="AN124">
            <v>1.9032161972813668</v>
          </cell>
          <cell r="AO124">
            <v>1.8878855457662154</v>
          </cell>
          <cell r="AP124">
            <v>1.8294555154631851</v>
          </cell>
          <cell r="AQ124">
            <v>1.8038851457662153</v>
          </cell>
          <cell r="AU124">
            <v>1.8</v>
          </cell>
          <cell r="AV124">
            <v>1.81</v>
          </cell>
          <cell r="AW124">
            <v>1.83</v>
          </cell>
          <cell r="AX124">
            <v>1.84</v>
          </cell>
          <cell r="AZ124">
            <v>1.88</v>
          </cell>
          <cell r="BA124">
            <v>1.9</v>
          </cell>
          <cell r="BZ124">
            <v>87</v>
          </cell>
          <cell r="CB124"/>
          <cell r="CC124"/>
          <cell r="CE124"/>
          <cell r="CF124"/>
          <cell r="CG124"/>
          <cell r="CH124"/>
        </row>
        <row r="125">
          <cell r="AI125">
            <v>99</v>
          </cell>
          <cell r="AK125">
            <v>1.9558381492325581</v>
          </cell>
          <cell r="AL125">
            <v>1.9417314391631137</v>
          </cell>
          <cell r="AN125">
            <v>1.9005299027047804</v>
          </cell>
          <cell r="AO125">
            <v>1.8847204443714471</v>
          </cell>
          <cell r="AP125">
            <v>1.8244655277047805</v>
          </cell>
          <cell r="AQ125">
            <v>1.7980965443714472</v>
          </cell>
          <cell r="AU125">
            <v>1.8</v>
          </cell>
          <cell r="AV125">
            <v>1.81</v>
          </cell>
          <cell r="AW125">
            <v>1.83</v>
          </cell>
          <cell r="AX125">
            <v>1.84</v>
          </cell>
          <cell r="AZ125">
            <v>1.88</v>
          </cell>
          <cell r="BA125">
            <v>1.9</v>
          </cell>
          <cell r="BZ125">
            <v>88</v>
          </cell>
          <cell r="CB125"/>
          <cell r="CC125"/>
          <cell r="CE125"/>
          <cell r="CF125"/>
          <cell r="CG125"/>
          <cell r="CH125"/>
        </row>
        <row r="126">
          <cell r="AI126">
            <v>100.125</v>
          </cell>
          <cell r="AK126">
            <v>1.95477961238145</v>
          </cell>
          <cell r="AL126">
            <v>1.9402181014047475</v>
          </cell>
          <cell r="AN126">
            <v>1.8976882257327046</v>
          </cell>
          <cell r="AO126">
            <v>1.8813690698187262</v>
          </cell>
          <cell r="AP126">
            <v>1.8191715321843176</v>
          </cell>
          <cell r="AQ126">
            <v>1.7919524117542098</v>
          </cell>
          <cell r="AU126">
            <v>1.8</v>
          </cell>
          <cell r="AV126">
            <v>1.81</v>
          </cell>
          <cell r="AW126">
            <v>1.83</v>
          </cell>
          <cell r="AX126">
            <v>1.84</v>
          </cell>
          <cell r="AZ126">
            <v>1.88</v>
          </cell>
          <cell r="BA126">
            <v>1.9</v>
          </cell>
          <cell r="BZ126">
            <v>89</v>
          </cell>
          <cell r="CB126"/>
          <cell r="CC126"/>
          <cell r="CE126"/>
          <cell r="CF126"/>
          <cell r="CG126"/>
          <cell r="CH126"/>
        </row>
        <row r="127">
          <cell r="AI127">
            <v>101.25</v>
          </cell>
          <cell r="AK127">
            <v>1.9536678599555986</v>
          </cell>
          <cell r="AL127">
            <v>1.9386212280111541</v>
          </cell>
          <cell r="AN127">
            <v>1.8946744571778207</v>
          </cell>
          <cell r="AO127">
            <v>1.8778116238444875</v>
          </cell>
          <cell r="AP127">
            <v>1.8135419571778209</v>
          </cell>
          <cell r="AQ127">
            <v>1.7854160238444874</v>
          </cell>
          <cell r="AU127">
            <v>1.8</v>
          </cell>
          <cell r="AV127">
            <v>1.81</v>
          </cell>
          <cell r="AW127">
            <v>1.83</v>
          </cell>
          <cell r="AX127">
            <v>1.84</v>
          </cell>
          <cell r="AZ127">
            <v>1.88</v>
          </cell>
          <cell r="BA127">
            <v>1.9</v>
          </cell>
          <cell r="BZ127">
            <v>90</v>
          </cell>
          <cell r="CB127"/>
          <cell r="CC127"/>
          <cell r="CE127"/>
          <cell r="CF127"/>
          <cell r="CG127"/>
          <cell r="CH127"/>
        </row>
        <row r="128">
          <cell r="AI128">
            <v>102.375</v>
          </cell>
          <cell r="AK128">
            <v>1.9524962487186999</v>
          </cell>
          <cell r="AL128">
            <v>1.9369310391880485</v>
          </cell>
          <cell r="AN128">
            <v>1.8914696562857496</v>
          </cell>
          <cell r="AO128">
            <v>1.8740256505386232</v>
          </cell>
          <cell r="AP128">
            <v>1.8075409493891978</v>
          </cell>
          <cell r="AQ128">
            <v>1.7784456643317266</v>
          </cell>
          <cell r="AU128">
            <v>1.8</v>
          </cell>
          <cell r="AV128">
            <v>1.81</v>
          </cell>
          <cell r="AW128">
            <v>1.83</v>
          </cell>
          <cell r="AX128">
            <v>1.84</v>
          </cell>
          <cell r="AZ128">
            <v>1.88</v>
          </cell>
          <cell r="BA128">
            <v>1.9</v>
          </cell>
          <cell r="BZ128">
            <v>91</v>
          </cell>
          <cell r="CB128"/>
          <cell r="CC128"/>
          <cell r="CE128"/>
          <cell r="CF128"/>
          <cell r="CG128"/>
          <cell r="CH128"/>
        </row>
        <row r="129">
          <cell r="AI129">
            <v>103.5</v>
          </cell>
          <cell r="AK129">
            <v>1.9512572577258605</v>
          </cell>
          <cell r="AL129">
            <v>1.9351364293528444</v>
          </cell>
          <cell r="AN129">
            <v>1.8880522478052255</v>
          </cell>
          <cell r="AO129">
            <v>1.8699855573290352</v>
          </cell>
          <cell r="AP129">
            <v>1.8011276049480827</v>
          </cell>
          <cell r="AQ129">
            <v>1.7709937287576063</v>
          </cell>
          <cell r="AU129">
            <v>1.8</v>
          </cell>
          <cell r="AV129">
            <v>1.81</v>
          </cell>
          <cell r="AW129">
            <v>1.83</v>
          </cell>
          <cell r="AX129">
            <v>1.84</v>
          </cell>
          <cell r="AZ129">
            <v>1.88</v>
          </cell>
          <cell r="BA129">
            <v>1.9</v>
          </cell>
          <cell r="BZ129">
            <v>92</v>
          </cell>
          <cell r="CB129"/>
          <cell r="CC129"/>
          <cell r="CE129"/>
          <cell r="CF129"/>
          <cell r="CG129"/>
          <cell r="CH129"/>
        </row>
        <row r="130">
          <cell r="AI130">
            <v>104.625</v>
          </cell>
          <cell r="AK130">
            <v>1.9499423214483584</v>
          </cell>
          <cell r="AL130">
            <v>1.9332247172816914</v>
          </cell>
          <cell r="AN130">
            <v>1.8843975297816915</v>
          </cell>
          <cell r="AO130">
            <v>1.8656620297816915</v>
          </cell>
          <cell r="AP130">
            <v>1.7942550297816915</v>
          </cell>
          <cell r="AQ130">
            <v>1.7630056297816916</v>
          </cell>
          <cell r="AU130">
            <v>1.8</v>
          </cell>
          <cell r="AV130">
            <v>1.81</v>
          </cell>
          <cell r="AW130">
            <v>1.83</v>
          </cell>
          <cell r="AX130">
            <v>1.84</v>
          </cell>
          <cell r="AZ130">
            <v>1.88</v>
          </cell>
          <cell r="BA130">
            <v>1.9</v>
          </cell>
          <cell r="BZ130">
            <v>93</v>
          </cell>
          <cell r="CB130"/>
          <cell r="CC130"/>
          <cell r="CE130"/>
          <cell r="CF130"/>
          <cell r="CG130"/>
          <cell r="CH130"/>
        </row>
        <row r="131">
          <cell r="AI131">
            <v>105.75</v>
          </cell>
          <cell r="AK131">
            <v>1.948541624646843</v>
          </cell>
          <cell r="AL131">
            <v>1.9311813388562449</v>
          </cell>
          <cell r="AN131">
            <v>1.8804770680229115</v>
          </cell>
          <cell r="AO131">
            <v>1.861021311612655</v>
          </cell>
          <cell r="AP131">
            <v>1.786869183407527</v>
          </cell>
          <cell r="AQ131">
            <v>1.7544184500741935</v>
          </cell>
          <cell r="AU131">
            <v>1.8</v>
          </cell>
          <cell r="AV131">
            <v>1.81</v>
          </cell>
          <cell r="AW131">
            <v>1.83</v>
          </cell>
          <cell r="AX131">
            <v>1.84</v>
          </cell>
          <cell r="AZ131">
            <v>1.88</v>
          </cell>
          <cell r="BA131">
            <v>1.9</v>
          </cell>
          <cell r="BZ131">
            <v>94</v>
          </cell>
          <cell r="CB131"/>
          <cell r="CC131"/>
          <cell r="CE131"/>
          <cell r="CF131"/>
          <cell r="CG131"/>
          <cell r="CH131"/>
        </row>
        <row r="132">
          <cell r="AI132">
            <v>106.875</v>
          </cell>
          <cell r="AK132">
            <v>1.9470438482674199</v>
          </cell>
          <cell r="AL132">
            <v>1.9289894663229759</v>
          </cell>
          <cell r="AN132">
            <v>1.8762579454896424</v>
          </cell>
          <cell r="AO132">
            <v>1.8560243121563089</v>
          </cell>
          <cell r="AP132">
            <v>1.7789074454896423</v>
          </cell>
          <cell r="AQ132">
            <v>1.7451592721563092</v>
          </cell>
          <cell r="AU132">
            <v>1.8</v>
          </cell>
          <cell r="AV132">
            <v>1.81</v>
          </cell>
          <cell r="AW132">
            <v>1.83</v>
          </cell>
          <cell r="AX132">
            <v>1.84</v>
          </cell>
          <cell r="AZ132">
            <v>1.88</v>
          </cell>
          <cell r="BA132">
            <v>1.9</v>
          </cell>
          <cell r="BZ132">
            <v>95</v>
          </cell>
          <cell r="CB132"/>
          <cell r="CC132"/>
          <cell r="CE132"/>
          <cell r="CF132"/>
          <cell r="CG132"/>
          <cell r="CH132"/>
        </row>
        <row r="133">
          <cell r="AI133">
            <v>108</v>
          </cell>
          <cell r="AK133">
            <v>1.9454358520607387</v>
          </cell>
          <cell r="AL133">
            <v>1.9266295326162945</v>
          </cell>
          <cell r="AN133">
            <v>1.8717018242829613</v>
          </cell>
          <cell r="AO133">
            <v>1.8506254909496278</v>
          </cell>
          <cell r="AP133">
            <v>1.7702968242829611</v>
          </cell>
          <cell r="AQ133"/>
          <cell r="AU133">
            <v>1.8</v>
          </cell>
          <cell r="AV133">
            <v>1.81</v>
          </cell>
          <cell r="AW133">
            <v>1.83</v>
          </cell>
          <cell r="AX133">
            <v>1.84</v>
          </cell>
          <cell r="AZ133">
            <v>1.88</v>
          </cell>
          <cell r="BA133">
            <v>1.9</v>
          </cell>
          <cell r="BZ133">
            <v>96</v>
          </cell>
          <cell r="CB133"/>
          <cell r="CC133"/>
          <cell r="CE133"/>
          <cell r="CF133"/>
          <cell r="CG133"/>
          <cell r="CH133"/>
        </row>
        <row r="134">
          <cell r="AI134">
            <v>109.125</v>
          </cell>
          <cell r="AK134">
            <v>1.9437022746512149</v>
          </cell>
          <cell r="AL134">
            <v>1.9240786318372054</v>
          </cell>
          <cell r="AN134">
            <v>1.8667637631777851</v>
          </cell>
          <cell r="AO134">
            <v>1.8447714515835822</v>
          </cell>
          <cell r="AP134">
            <v>1.7609516979603939</v>
          </cell>
          <cell r="AQ134"/>
          <cell r="AU134">
            <v>1.8</v>
          </cell>
          <cell r="AV134">
            <v>1.81</v>
          </cell>
          <cell r="AW134">
            <v>1.83</v>
          </cell>
          <cell r="AX134">
            <v>1.84</v>
          </cell>
          <cell r="AZ134">
            <v>1.88</v>
          </cell>
          <cell r="BA134">
            <v>1.9</v>
          </cell>
          <cell r="BZ134">
            <v>97</v>
          </cell>
          <cell r="CB134"/>
          <cell r="CC134"/>
          <cell r="CE134"/>
          <cell r="CF134"/>
          <cell r="CG134"/>
          <cell r="CH134"/>
        </row>
        <row r="135">
          <cell r="AI135">
            <v>110.25</v>
          </cell>
          <cell r="AK135">
            <v>1.9418250247760402</v>
          </cell>
          <cell r="AL135">
            <v>1.9213097564679598</v>
          </cell>
          <cell r="AN135">
            <v>1.8613907129073535</v>
          </cell>
          <cell r="AO135">
            <v>1.838399152301293</v>
          </cell>
          <cell r="AP135">
            <v>1.7507709401800808</v>
          </cell>
          <cell r="AQ135"/>
          <cell r="AU135">
            <v>1.8</v>
          </cell>
          <cell r="AV135">
            <v>1.81</v>
          </cell>
          <cell r="AW135">
            <v>1.83</v>
          </cell>
          <cell r="AX135">
            <v>1.84</v>
          </cell>
          <cell r="AZ135">
            <v>1.88</v>
          </cell>
          <cell r="BA135">
            <v>1.9</v>
          </cell>
          <cell r="BZ135">
            <v>98</v>
          </cell>
          <cell r="CB135"/>
          <cell r="CC135"/>
          <cell r="CE135"/>
          <cell r="CF135"/>
          <cell r="CG135"/>
          <cell r="CH135"/>
        </row>
        <row r="136">
          <cell r="AI136">
            <v>111.375</v>
          </cell>
          <cell r="AK136">
            <v>1.9397826274029255</v>
          </cell>
          <cell r="AL136">
            <v>1.9182908168870525</v>
          </cell>
          <cell r="AN136">
            <v>1.855519581768005</v>
          </cell>
          <cell r="AO136">
            <v>1.8314336055775287</v>
          </cell>
          <cell r="AP136">
            <v>1.7396342246251477</v>
          </cell>
          <cell r="AQ136"/>
          <cell r="AU136">
            <v>1.8</v>
          </cell>
          <cell r="AV136">
            <v>1.81</v>
          </cell>
          <cell r="AW136">
            <v>1.83</v>
          </cell>
          <cell r="AX136">
            <v>1.84</v>
          </cell>
          <cell r="AZ136">
            <v>1.88</v>
          </cell>
          <cell r="BA136">
            <v>1.9</v>
          </cell>
          <cell r="BZ136">
            <v>99</v>
          </cell>
          <cell r="CB136"/>
          <cell r="CC136"/>
          <cell r="CE136"/>
          <cell r="CF136"/>
          <cell r="CG136"/>
          <cell r="CH136"/>
        </row>
        <row r="137">
          <cell r="AI137">
            <v>112.5</v>
          </cell>
          <cell r="AK137">
            <v>1.9375493739199319</v>
          </cell>
          <cell r="AL137">
            <v>1.9149833669754872</v>
          </cell>
          <cell r="AN137">
            <v>1.8490747211421539</v>
          </cell>
          <cell r="AO137">
            <v>1.8237848878088208</v>
          </cell>
          <cell r="AP137"/>
          <cell r="AQ137"/>
          <cell r="AU137">
            <v>1.8</v>
          </cell>
          <cell r="AV137">
            <v>1.81</v>
          </cell>
          <cell r="AW137">
            <v>1.83</v>
          </cell>
          <cell r="AX137">
            <v>1.84</v>
          </cell>
          <cell r="AZ137">
            <v>1.88</v>
          </cell>
          <cell r="BA137">
            <v>1.9</v>
          </cell>
          <cell r="BZ137">
            <v>100</v>
          </cell>
          <cell r="CB137"/>
          <cell r="CC137"/>
          <cell r="CE137"/>
          <cell r="CF137"/>
          <cell r="CG137"/>
          <cell r="CH137"/>
        </row>
        <row r="138">
          <cell r="AI138">
            <v>113.625</v>
          </cell>
          <cell r="AK138">
            <v>1.9350942041993171</v>
          </cell>
          <cell r="AL138">
            <v>1.9113409275180304</v>
          </cell>
          <cell r="AN138">
            <v>1.8419646172110127</v>
          </cell>
          <cell r="AO138">
            <v>1.815344204930311</v>
          </cell>
          <cell r="AP138"/>
          <cell r="AQ138"/>
          <cell r="AU138">
            <v>1.8</v>
          </cell>
          <cell r="AV138">
            <v>1.81</v>
          </cell>
          <cell r="AW138">
            <v>1.83</v>
          </cell>
          <cell r="AX138">
            <v>1.84</v>
          </cell>
          <cell r="AZ138">
            <v>1.88</v>
          </cell>
          <cell r="BA138">
            <v>1.9</v>
          </cell>
          <cell r="BZ138">
            <v>101</v>
          </cell>
          <cell r="CB138"/>
          <cell r="CC138"/>
          <cell r="CE138"/>
          <cell r="CF138"/>
          <cell r="CG138"/>
          <cell r="CH138"/>
        </row>
        <row r="139">
          <cell r="AI139">
            <v>114.75</v>
          </cell>
          <cell r="AK139">
            <v>1.9323792162501099</v>
          </cell>
          <cell r="AL139">
            <v>1.9073067509723323</v>
          </cell>
          <cell r="AN139">
            <v>1.8340774801389987</v>
          </cell>
          <cell r="AO139">
            <v>1.8059786468056656</v>
          </cell>
          <cell r="AP139"/>
          <cell r="AQ139"/>
          <cell r="AU139">
            <v>1.8</v>
          </cell>
          <cell r="AV139">
            <v>1.81</v>
          </cell>
          <cell r="AW139">
            <v>1.83</v>
          </cell>
          <cell r="AX139">
            <v>1.84</v>
          </cell>
          <cell r="AZ139">
            <v>1.88</v>
          </cell>
          <cell r="BA139">
            <v>1.9</v>
          </cell>
          <cell r="BZ139">
            <v>102</v>
          </cell>
          <cell r="CB139"/>
          <cell r="CC139"/>
          <cell r="CE139"/>
          <cell r="CF139"/>
          <cell r="CG139"/>
          <cell r="CH139"/>
        </row>
        <row r="140">
          <cell r="AI140">
            <v>115.875</v>
          </cell>
          <cell r="AK140">
            <v>1.9293576500995424</v>
          </cell>
          <cell r="AL140">
            <v>1.9028107975668629</v>
          </cell>
          <cell r="AN140">
            <v>1.8252752767335294</v>
          </cell>
          <cell r="AO140">
            <v>1.7955240904590195</v>
          </cell>
          <cell r="AP140"/>
          <cell r="AQ140"/>
          <cell r="AU140">
            <v>1.8</v>
          </cell>
          <cell r="AV140">
            <v>1.81</v>
          </cell>
          <cell r="AW140">
            <v>1.83</v>
          </cell>
          <cell r="AX140">
            <v>1.84</v>
          </cell>
          <cell r="AZ140">
            <v>1.88</v>
          </cell>
          <cell r="BA140">
            <v>1.9</v>
          </cell>
          <cell r="BZ140">
            <v>103</v>
          </cell>
          <cell r="CB140"/>
          <cell r="CC140"/>
          <cell r="CE140"/>
          <cell r="CF140"/>
          <cell r="CG140"/>
          <cell r="CH140"/>
        </row>
        <row r="141">
          <cell r="AI141">
            <v>117</v>
          </cell>
          <cell r="AK141">
            <v>1.9259711158643513</v>
          </cell>
          <cell r="AL141">
            <v>1.8977655776699067</v>
          </cell>
          <cell r="AN141">
            <v>1.8153855255865736</v>
          </cell>
          <cell r="AO141">
            <v>1.7837754422532401</v>
          </cell>
          <cell r="AP141"/>
          <cell r="AQ141"/>
          <cell r="AU141">
            <v>1.8</v>
          </cell>
          <cell r="AV141">
            <v>1.81</v>
          </cell>
          <cell r="AW141">
            <v>1.83</v>
          </cell>
          <cell r="AX141">
            <v>1.84</v>
          </cell>
          <cell r="AZ141">
            <v>1.88</v>
          </cell>
          <cell r="BA141">
            <v>1.9</v>
          </cell>
          <cell r="BZ141">
            <v>104</v>
          </cell>
          <cell r="CB141"/>
          <cell r="CC141"/>
          <cell r="CE141"/>
          <cell r="CF141"/>
          <cell r="CG141"/>
          <cell r="CH141"/>
        </row>
        <row r="142">
          <cell r="AI142">
            <v>118.125</v>
          </cell>
          <cell r="AK142">
            <v>1.9221457132863653</v>
          </cell>
          <cell r="AL142">
            <v>1.8920603313419209</v>
          </cell>
          <cell r="AN142">
            <v>1.8041898105085874</v>
          </cell>
          <cell r="AO142">
            <v>1.7704729771752541</v>
          </cell>
          <cell r="AP142"/>
          <cell r="AQ142"/>
          <cell r="AU142">
            <v>1.8</v>
          </cell>
          <cell r="AV142">
            <v>1.81</v>
          </cell>
          <cell r="AW142">
            <v>1.83</v>
          </cell>
          <cell r="AX142">
            <v>1.84</v>
          </cell>
          <cell r="AZ142">
            <v>1.88</v>
          </cell>
          <cell r="BA142">
            <v>1.9</v>
          </cell>
          <cell r="BZ142">
            <v>105</v>
          </cell>
          <cell r="CB142"/>
          <cell r="CC142"/>
          <cell r="CE142"/>
          <cell r="CF142"/>
          <cell r="CG142"/>
          <cell r="CH142"/>
        </row>
        <row r="143">
          <cell r="AI143">
            <v>119.25</v>
          </cell>
          <cell r="AK143">
            <v>1.9177864884501434</v>
          </cell>
          <cell r="AL143">
            <v>1.8855527136485561</v>
          </cell>
          <cell r="AN143">
            <v>1.7914073713866514</v>
          </cell>
          <cell r="AO143">
            <v>1.7552828237676039</v>
          </cell>
          <cell r="AP143"/>
          <cell r="AQ143"/>
          <cell r="AU143">
            <v>1.8</v>
          </cell>
          <cell r="AV143">
            <v>1.81</v>
          </cell>
          <cell r="AW143">
            <v>1.83</v>
          </cell>
          <cell r="AX143">
            <v>1.84</v>
          </cell>
          <cell r="AZ143">
            <v>1.88</v>
          </cell>
          <cell r="BA143">
            <v>1.9</v>
          </cell>
          <cell r="BZ143">
            <v>106</v>
          </cell>
          <cell r="CB143"/>
          <cell r="CC143"/>
          <cell r="CE143"/>
          <cell r="CF143"/>
          <cell r="CG143"/>
          <cell r="CH143"/>
        </row>
        <row r="144">
          <cell r="AI144">
            <v>120.375</v>
          </cell>
          <cell r="AK144">
            <v>1.9127693323045563</v>
          </cell>
          <cell r="AL144">
            <v>1.8780566426678043</v>
          </cell>
          <cell r="AN144">
            <v>1.7766711218344708</v>
          </cell>
          <cell r="AO144">
            <v>1.7377684423472914</v>
          </cell>
          <cell r="AP144"/>
          <cell r="AQ144"/>
          <cell r="AU144">
            <v>1.8</v>
          </cell>
          <cell r="AV144">
            <v>1.81</v>
          </cell>
          <cell r="AW144">
            <v>1.83</v>
          </cell>
          <cell r="AX144">
            <v>1.84</v>
          </cell>
          <cell r="AZ144">
            <v>1.88</v>
          </cell>
          <cell r="BA144">
            <v>1.9</v>
          </cell>
          <cell r="BZ144">
            <v>107</v>
          </cell>
          <cell r="CB144"/>
          <cell r="CC144"/>
          <cell r="CE144"/>
          <cell r="CF144"/>
          <cell r="CG144"/>
          <cell r="CH144"/>
        </row>
        <row r="145">
          <cell r="AI145">
            <v>121.5</v>
          </cell>
          <cell r="AK145">
            <v>1.9069288286923425</v>
          </cell>
          <cell r="AL145">
            <v>1.8693240717478981</v>
          </cell>
          <cell r="AN145">
            <v>1.7594916759145647</v>
          </cell>
          <cell r="AO145"/>
          <cell r="AP145"/>
          <cell r="AQ145"/>
          <cell r="AU145">
            <v>1.8</v>
          </cell>
          <cell r="AV145">
            <v>1.81</v>
          </cell>
          <cell r="AW145">
            <v>1.83</v>
          </cell>
          <cell r="AX145">
            <v>1.84</v>
          </cell>
          <cell r="AZ145">
            <v>1.88</v>
          </cell>
          <cell r="BA145">
            <v>1.9</v>
          </cell>
          <cell r="BZ145">
            <v>108</v>
          </cell>
          <cell r="CB145"/>
          <cell r="CC145"/>
          <cell r="CE145"/>
          <cell r="CF145"/>
          <cell r="CG145"/>
          <cell r="CH145"/>
        </row>
        <row r="146">
          <cell r="AI146">
            <v>122.625</v>
          </cell>
          <cell r="AK146">
            <v>1.9000394742864222</v>
          </cell>
          <cell r="AL146">
            <v>1.859016819614705</v>
          </cell>
          <cell r="AN146">
            <v>1.7392017533268262</v>
          </cell>
          <cell r="AO146"/>
          <cell r="AP146"/>
          <cell r="AQ146"/>
          <cell r="AU146">
            <v>1.8</v>
          </cell>
          <cell r="AV146">
            <v>1.81</v>
          </cell>
          <cell r="AW146">
            <v>1.83</v>
          </cell>
          <cell r="AX146">
            <v>1.84</v>
          </cell>
          <cell r="AZ146">
            <v>1.88</v>
          </cell>
          <cell r="BA146">
            <v>1.9</v>
          </cell>
          <cell r="BZ146">
            <v>109</v>
          </cell>
          <cell r="CB146"/>
          <cell r="CC146"/>
          <cell r="CE146"/>
          <cell r="CF146"/>
          <cell r="CG146"/>
          <cell r="CH146"/>
        </row>
        <row r="147">
          <cell r="AI147">
            <v>123.75</v>
          </cell>
          <cell r="AK147">
            <v>1.8917856307517409</v>
          </cell>
          <cell r="AL147">
            <v>1.8466614988072965</v>
          </cell>
          <cell r="AN147"/>
          <cell r="AO147"/>
          <cell r="AP147"/>
          <cell r="AQ147"/>
          <cell r="AU147">
            <v>1.8</v>
          </cell>
          <cell r="AV147">
            <v>1.81</v>
          </cell>
          <cell r="AW147">
            <v>1.83</v>
          </cell>
          <cell r="AX147">
            <v>1.84</v>
          </cell>
          <cell r="AZ147">
            <v>1.88</v>
          </cell>
          <cell r="BA147">
            <v>1.9</v>
          </cell>
          <cell r="BZ147">
            <v>110</v>
          </cell>
          <cell r="CB147"/>
          <cell r="CC147"/>
          <cell r="CE147"/>
          <cell r="CF147"/>
          <cell r="CG147"/>
          <cell r="CH147"/>
        </row>
        <row r="148">
          <cell r="AI148">
            <v>124.875</v>
          </cell>
          <cell r="AK148">
            <v>1.8817114452913017</v>
          </cell>
          <cell r="AL148">
            <v>1.8315743966801907</v>
          </cell>
          <cell r="AN148"/>
          <cell r="AO148"/>
          <cell r="AP148"/>
          <cell r="AQ148"/>
          <cell r="AU148">
            <v>1.8</v>
          </cell>
          <cell r="AV148">
            <v>1.81</v>
          </cell>
          <cell r="AW148">
            <v>1.83</v>
          </cell>
          <cell r="AX148">
            <v>1.84</v>
          </cell>
          <cell r="AZ148">
            <v>1.88</v>
          </cell>
          <cell r="BA148">
            <v>1.9</v>
          </cell>
          <cell r="BZ148">
            <v>111</v>
          </cell>
          <cell r="CB148"/>
          <cell r="CC148"/>
          <cell r="CE148"/>
          <cell r="CF148"/>
          <cell r="CG148"/>
          <cell r="CH148"/>
        </row>
        <row r="149">
          <cell r="AI149">
            <v>126</v>
          </cell>
          <cell r="AK149">
            <v>1.8691332118947803</v>
          </cell>
          <cell r="AL149">
            <v>1.8127300174503358</v>
          </cell>
          <cell r="AN149"/>
          <cell r="AO149"/>
          <cell r="AP149"/>
          <cell r="AQ149"/>
          <cell r="AU149">
            <v>1.8</v>
          </cell>
          <cell r="AV149">
            <v>1.81</v>
          </cell>
          <cell r="AW149">
            <v>1.83</v>
          </cell>
          <cell r="AX149">
            <v>1.84</v>
          </cell>
          <cell r="AZ149">
            <v>1.88</v>
          </cell>
          <cell r="BA149">
            <v>1.9</v>
          </cell>
          <cell r="BZ149">
            <v>112</v>
          </cell>
          <cell r="CB149"/>
          <cell r="CC149"/>
          <cell r="CE149"/>
          <cell r="CF149"/>
          <cell r="CG149"/>
          <cell r="CH149"/>
        </row>
        <row r="150">
          <cell r="AI150">
            <v>127.125</v>
          </cell>
          <cell r="AK150">
            <v>1.8529766139731225</v>
          </cell>
          <cell r="AL150">
            <v>1.7885169463143924</v>
          </cell>
          <cell r="AN150"/>
          <cell r="AO150"/>
          <cell r="AP150"/>
          <cell r="AQ150"/>
          <cell r="AU150">
            <v>1.8</v>
          </cell>
          <cell r="AV150">
            <v>1.81</v>
          </cell>
          <cell r="AW150">
            <v>1.83</v>
          </cell>
          <cell r="AX150">
            <v>1.84</v>
          </cell>
          <cell r="AZ150">
            <v>1.88</v>
          </cell>
          <cell r="BA150">
            <v>1.9</v>
          </cell>
          <cell r="BZ150">
            <v>113</v>
          </cell>
          <cell r="CB150"/>
          <cell r="CC150"/>
          <cell r="CE150"/>
          <cell r="CF150"/>
          <cell r="CG150"/>
          <cell r="CH150"/>
        </row>
        <row r="151">
          <cell r="AI151">
            <v>128.25</v>
          </cell>
          <cell r="AK151">
            <v>1.8314512099750029</v>
          </cell>
          <cell r="AL151">
            <v>1.7562495780305585</v>
          </cell>
          <cell r="AN151"/>
          <cell r="AO151"/>
          <cell r="AP151"/>
          <cell r="AQ151"/>
          <cell r="AU151">
            <v>1.8</v>
          </cell>
          <cell r="AV151">
            <v>1.81</v>
          </cell>
          <cell r="AW151">
            <v>1.83</v>
          </cell>
          <cell r="AX151">
            <v>1.84</v>
          </cell>
          <cell r="AZ151">
            <v>1.88</v>
          </cell>
          <cell r="BA151">
            <v>1.9</v>
          </cell>
          <cell r="BZ151">
            <v>114</v>
          </cell>
          <cell r="CB151"/>
          <cell r="CC151"/>
          <cell r="CE151"/>
          <cell r="CF151"/>
          <cell r="CG151"/>
          <cell r="CH151"/>
        </row>
        <row r="152">
          <cell r="AI152">
            <v>129.375</v>
          </cell>
          <cell r="AK152">
            <v>1.8013343021358295</v>
          </cell>
          <cell r="AL152">
            <v>1.7110939201913848</v>
          </cell>
          <cell r="AN152"/>
          <cell r="AO152"/>
          <cell r="AP152"/>
          <cell r="AQ152"/>
          <cell r="AU152">
            <v>1.8</v>
          </cell>
          <cell r="AV152">
            <v>1.81</v>
          </cell>
          <cell r="AW152">
            <v>1.83</v>
          </cell>
          <cell r="AX152">
            <v>1.84</v>
          </cell>
          <cell r="AZ152">
            <v>1.88</v>
          </cell>
          <cell r="BA152">
            <v>1.9</v>
          </cell>
          <cell r="BZ152">
            <v>115</v>
          </cell>
          <cell r="CB152"/>
          <cell r="CC152"/>
          <cell r="CE152"/>
          <cell r="CF152"/>
          <cell r="CG152"/>
          <cell r="CH152"/>
        </row>
        <row r="153">
          <cell r="AI153">
            <v>130.5</v>
          </cell>
          <cell r="AK153">
            <v>1.7561806088130671</v>
          </cell>
          <cell r="AL153"/>
          <cell r="AN153"/>
          <cell r="AO153"/>
          <cell r="AP153"/>
          <cell r="AQ153"/>
          <cell r="AU153">
            <v>1.8</v>
          </cell>
          <cell r="AV153">
            <v>1.81</v>
          </cell>
          <cell r="AW153">
            <v>1.83</v>
          </cell>
          <cell r="AX153">
            <v>1.84</v>
          </cell>
          <cell r="AZ153">
            <v>1.88</v>
          </cell>
          <cell r="BA153">
            <v>1.9</v>
          </cell>
          <cell r="BZ153">
            <v>116</v>
          </cell>
          <cell r="CB153"/>
          <cell r="CC153"/>
          <cell r="CE153"/>
          <cell r="CF153"/>
          <cell r="CG153"/>
          <cell r="CH153"/>
        </row>
        <row r="154">
          <cell r="AI154">
            <v>131.625</v>
          </cell>
          <cell r="AK154">
            <v>1.6809512820737968</v>
          </cell>
          <cell r="AL154"/>
          <cell r="AN154"/>
          <cell r="AO154"/>
          <cell r="AP154"/>
          <cell r="AQ154"/>
          <cell r="AU154">
            <v>1.8</v>
          </cell>
          <cell r="AV154">
            <v>1.81</v>
          </cell>
          <cell r="AW154">
            <v>1.83</v>
          </cell>
          <cell r="AX154">
            <v>1.84</v>
          </cell>
          <cell r="AZ154">
            <v>1.88</v>
          </cell>
          <cell r="BA154">
            <v>1.9</v>
          </cell>
          <cell r="BZ154">
            <v>117</v>
          </cell>
          <cell r="CB154"/>
          <cell r="CC154"/>
          <cell r="CE154"/>
          <cell r="CF154"/>
          <cell r="CG154"/>
          <cell r="CH154"/>
        </row>
        <row r="155">
          <cell r="AI155">
            <v>132.75</v>
          </cell>
          <cell r="AK155"/>
          <cell r="AL155"/>
          <cell r="AN155"/>
          <cell r="AO155"/>
          <cell r="AP155"/>
          <cell r="AQ155"/>
          <cell r="AU155">
            <v>1.8</v>
          </cell>
          <cell r="AV155">
            <v>1.81</v>
          </cell>
          <cell r="AW155">
            <v>1.83</v>
          </cell>
          <cell r="AX155">
            <v>1.84</v>
          </cell>
          <cell r="AZ155">
            <v>1.88</v>
          </cell>
          <cell r="BA155">
            <v>1.9</v>
          </cell>
          <cell r="BZ155">
            <v>118</v>
          </cell>
          <cell r="CB155"/>
          <cell r="CC155"/>
          <cell r="CE155"/>
          <cell r="CF155"/>
          <cell r="CG155"/>
          <cell r="CH155"/>
        </row>
        <row r="156">
          <cell r="AI156">
            <v>133.875</v>
          </cell>
          <cell r="AK156"/>
          <cell r="AL156"/>
          <cell r="AN156"/>
          <cell r="AO156"/>
          <cell r="AP156"/>
          <cell r="AQ156"/>
          <cell r="AU156">
            <v>1.8</v>
          </cell>
          <cell r="AV156">
            <v>1.81</v>
          </cell>
          <cell r="AW156">
            <v>1.83</v>
          </cell>
          <cell r="AX156">
            <v>1.84</v>
          </cell>
          <cell r="AZ156">
            <v>1.88</v>
          </cell>
          <cell r="BA156">
            <v>1.9</v>
          </cell>
          <cell r="BZ156">
            <v>119</v>
          </cell>
          <cell r="CB156"/>
          <cell r="CC156"/>
          <cell r="CE156"/>
          <cell r="CF156"/>
          <cell r="CG156"/>
          <cell r="CH156"/>
        </row>
        <row r="157">
          <cell r="AI157">
            <v>135</v>
          </cell>
          <cell r="AK157"/>
          <cell r="AL157"/>
          <cell r="AN157"/>
          <cell r="AO157"/>
          <cell r="AP157"/>
          <cell r="AQ157"/>
          <cell r="AU157">
            <v>1.8</v>
          </cell>
          <cell r="AV157">
            <v>1.81</v>
          </cell>
          <cell r="AW157">
            <v>1.83</v>
          </cell>
          <cell r="AX157">
            <v>1.84</v>
          </cell>
          <cell r="AZ157">
            <v>1.88</v>
          </cell>
          <cell r="BA157">
            <v>1.9</v>
          </cell>
          <cell r="BZ157">
            <v>120</v>
          </cell>
          <cell r="CB157"/>
          <cell r="CC157"/>
          <cell r="CE157"/>
          <cell r="CF157"/>
          <cell r="CG157"/>
          <cell r="CH157"/>
        </row>
      </sheetData>
      <sheetData sheetId="2">
        <row r="36">
          <cell r="B36">
            <v>0</v>
          </cell>
        </row>
      </sheetData>
      <sheetData sheetId="3"/>
      <sheetData sheetId="4">
        <row r="5">
          <cell r="W5">
            <v>0</v>
          </cell>
          <cell r="AC5">
            <v>3.8693606857010856</v>
          </cell>
        </row>
        <row r="6">
          <cell r="W6">
            <v>0</v>
          </cell>
          <cell r="AC6">
            <v>3.8693606857010856</v>
          </cell>
        </row>
        <row r="7">
          <cell r="W7">
            <v>7.0882492282908618E-2</v>
          </cell>
          <cell r="AC7">
            <v>3.8693606857010856</v>
          </cell>
        </row>
        <row r="8">
          <cell r="W8">
            <v>0.14176498456581724</v>
          </cell>
          <cell r="AC8">
            <v>3.8693606857010856</v>
          </cell>
        </row>
        <row r="9">
          <cell r="W9">
            <v>0.21264747684872587</v>
          </cell>
          <cell r="AC9">
            <v>3.8693606857010856</v>
          </cell>
        </row>
        <row r="10">
          <cell r="W10">
            <v>0.28352996913163447</v>
          </cell>
          <cell r="AC10">
            <v>3.8693606857010856</v>
          </cell>
        </row>
        <row r="11">
          <cell r="W11">
            <v>0.35441246141454308</v>
          </cell>
          <cell r="AC11">
            <v>3.8693606857010856</v>
          </cell>
        </row>
        <row r="12">
          <cell r="W12">
            <v>0.42529495369745174</v>
          </cell>
          <cell r="AC12">
            <v>3.8693606857010856</v>
          </cell>
        </row>
        <row r="13">
          <cell r="W13">
            <v>0.49617744598036034</v>
          </cell>
          <cell r="AC13">
            <v>3.8693606857010856</v>
          </cell>
        </row>
        <row r="14">
          <cell r="W14">
            <v>0.56705993826326895</v>
          </cell>
          <cell r="AC14">
            <v>3.8693606857010856</v>
          </cell>
        </row>
        <row r="15">
          <cell r="W15">
            <v>0.63794243054617761</v>
          </cell>
          <cell r="AC15">
            <v>3.8693606857010856</v>
          </cell>
        </row>
        <row r="16">
          <cell r="W16">
            <v>0.70882492282908616</v>
          </cell>
          <cell r="AC16">
            <v>3.8693606857010856</v>
          </cell>
        </row>
        <row r="17">
          <cell r="W17">
            <v>0.77970741511199482</v>
          </cell>
          <cell r="AC17">
            <v>3.8693606857010856</v>
          </cell>
        </row>
        <row r="18">
          <cell r="W18">
            <v>0.85058990739490348</v>
          </cell>
          <cell r="AC18">
            <v>3.8693606857010856</v>
          </cell>
        </row>
        <row r="19">
          <cell r="W19">
            <v>0.92147239967781214</v>
          </cell>
          <cell r="AC19">
            <v>3.8693606857010856</v>
          </cell>
        </row>
        <row r="20">
          <cell r="W20">
            <v>0.99235489196072069</v>
          </cell>
          <cell r="AC20">
            <v>3.8693606857010856</v>
          </cell>
        </row>
        <row r="21">
          <cell r="W21">
            <v>1.0632373842436293</v>
          </cell>
          <cell r="AC21">
            <v>3.8693606857010856</v>
          </cell>
        </row>
        <row r="22">
          <cell r="W22">
            <v>1.1341198765265379</v>
          </cell>
          <cell r="AC22">
            <v>3.8693606857010856</v>
          </cell>
        </row>
        <row r="23">
          <cell r="W23">
            <v>1.2050023688094467</v>
          </cell>
          <cell r="AC23">
            <v>3.8693606857010856</v>
          </cell>
        </row>
        <row r="24">
          <cell r="W24">
            <v>1.2758848610923552</v>
          </cell>
          <cell r="AC24">
            <v>3.8693606857010856</v>
          </cell>
        </row>
        <row r="25">
          <cell r="W25">
            <v>1.3467673533752638</v>
          </cell>
          <cell r="AC25">
            <v>3.8693606857010856</v>
          </cell>
        </row>
        <row r="26">
          <cell r="W26">
            <v>1.4176498456581723</v>
          </cell>
          <cell r="AC26">
            <v>3.8693606857010856</v>
          </cell>
        </row>
        <row r="27">
          <cell r="W27">
            <v>1.4885323379410811</v>
          </cell>
          <cell r="AC27">
            <v>3.8693606857010856</v>
          </cell>
        </row>
        <row r="28">
          <cell r="W28">
            <v>1.5594148302239896</v>
          </cell>
          <cell r="AC28">
            <v>3.8693606857010856</v>
          </cell>
        </row>
        <row r="29">
          <cell r="W29">
            <v>1.6302973225068984</v>
          </cell>
          <cell r="AC29">
            <v>3.8693606857010856</v>
          </cell>
        </row>
        <row r="30">
          <cell r="W30">
            <v>1.701179814789807</v>
          </cell>
          <cell r="AC30">
            <v>3.8693606857010856</v>
          </cell>
        </row>
        <row r="31">
          <cell r="W31">
            <v>1.7720623070727157</v>
          </cell>
          <cell r="AC31">
            <v>3.8693606857010856</v>
          </cell>
        </row>
        <row r="32">
          <cell r="W32">
            <v>1.8429447993556243</v>
          </cell>
          <cell r="AC32">
            <v>3.8693606857010856</v>
          </cell>
        </row>
        <row r="33">
          <cell r="W33">
            <v>1.9138272916385328</v>
          </cell>
          <cell r="AC33">
            <v>3.8693606857010856</v>
          </cell>
        </row>
        <row r="34">
          <cell r="W34">
            <v>1.9847097839214414</v>
          </cell>
          <cell r="AC34">
            <v>3.8693606857010856</v>
          </cell>
        </row>
        <row r="35">
          <cell r="W35">
            <v>2.0555922762043499</v>
          </cell>
          <cell r="AC35">
            <v>3.8693606857010856</v>
          </cell>
        </row>
        <row r="36">
          <cell r="W36">
            <v>2.1264747684872587</v>
          </cell>
          <cell r="AC36">
            <v>3.8693606857010856</v>
          </cell>
        </row>
        <row r="37">
          <cell r="W37">
            <v>2.1973572607701675</v>
          </cell>
          <cell r="AC37">
            <v>3.8693606857010856</v>
          </cell>
        </row>
        <row r="38">
          <cell r="W38">
            <v>2.2682397530530758</v>
          </cell>
          <cell r="AC38">
            <v>3.8693606857010856</v>
          </cell>
        </row>
        <row r="39">
          <cell r="W39">
            <v>2.3391222453359846</v>
          </cell>
          <cell r="AC39">
            <v>3.8693606857010856</v>
          </cell>
        </row>
        <row r="40">
          <cell r="W40">
            <v>2.4100047376188933</v>
          </cell>
          <cell r="AC40">
            <v>3.8693606857010856</v>
          </cell>
        </row>
        <row r="41">
          <cell r="W41">
            <v>2.4808872299018021</v>
          </cell>
          <cell r="AC41">
            <v>3.8693606857010856</v>
          </cell>
        </row>
        <row r="42">
          <cell r="W42">
            <v>2.5517697221847104</v>
          </cell>
          <cell r="AC42">
            <v>3.8693606857010856</v>
          </cell>
        </row>
        <row r="43">
          <cell r="W43">
            <v>2.6226522144676192</v>
          </cell>
          <cell r="AC43">
            <v>3.8693606857010856</v>
          </cell>
        </row>
        <row r="44">
          <cell r="W44">
            <v>2.6935347067505275</v>
          </cell>
          <cell r="AC44">
            <v>3.8693606857010856</v>
          </cell>
        </row>
        <row r="45">
          <cell r="W45">
            <v>2.7644171990334363</v>
          </cell>
          <cell r="AC45">
            <v>3.8693606857010856</v>
          </cell>
        </row>
        <row r="46">
          <cell r="W46">
            <v>2.8352996913163446</v>
          </cell>
          <cell r="AC46">
            <v>3.8693606857010856</v>
          </cell>
        </row>
        <row r="47">
          <cell r="W47">
            <v>2.9061821835992534</v>
          </cell>
          <cell r="AC47">
            <v>3.8693606857010856</v>
          </cell>
        </row>
        <row r="48">
          <cell r="W48">
            <v>2.9770646758821622</v>
          </cell>
          <cell r="AC48">
            <v>3.8693606857010856</v>
          </cell>
        </row>
        <row r="49">
          <cell r="W49">
            <v>3.0479471681650709</v>
          </cell>
          <cell r="AC49">
            <v>3.8693606857010856</v>
          </cell>
        </row>
        <row r="50">
          <cell r="W50">
            <v>3.1188296604479793</v>
          </cell>
          <cell r="AC50">
            <v>3.8693606857010856</v>
          </cell>
        </row>
        <row r="51">
          <cell r="W51">
            <v>3.189712152730888</v>
          </cell>
          <cell r="AC51">
            <v>3.8693606857010856</v>
          </cell>
        </row>
        <row r="52">
          <cell r="W52">
            <v>3.2605946450137968</v>
          </cell>
          <cell r="AC52">
            <v>3.8693606857010856</v>
          </cell>
        </row>
        <row r="53">
          <cell r="W53">
            <v>3.3314771372967051</v>
          </cell>
          <cell r="AC53">
            <v>3.8693606857010856</v>
          </cell>
        </row>
        <row r="54">
          <cell r="W54">
            <v>3.4023596295796139</v>
          </cell>
          <cell r="AC54">
            <v>3.8693606857010856</v>
          </cell>
        </row>
        <row r="55">
          <cell r="W55">
            <v>3.4732421218625227</v>
          </cell>
          <cell r="AC55">
            <v>3.8693606857010856</v>
          </cell>
        </row>
        <row r="56">
          <cell r="W56">
            <v>3.5441246141454315</v>
          </cell>
          <cell r="AC56">
            <v>3.8693606857010856</v>
          </cell>
        </row>
        <row r="57">
          <cell r="W57">
            <v>3.6150071064283398</v>
          </cell>
          <cell r="AC57">
            <v>3.8693606857010856</v>
          </cell>
        </row>
        <row r="58">
          <cell r="W58">
            <v>3.6858895987112485</v>
          </cell>
          <cell r="AC58">
            <v>3.8693606857010856</v>
          </cell>
        </row>
        <row r="59">
          <cell r="W59">
            <v>3.7567720909941569</v>
          </cell>
          <cell r="AC59">
            <v>3.8693606857010856</v>
          </cell>
        </row>
        <row r="60">
          <cell r="W60">
            <v>3.8276545832770656</v>
          </cell>
          <cell r="AC60">
            <v>3.8693606857010856</v>
          </cell>
        </row>
        <row r="61">
          <cell r="W61">
            <v>3.898537075559974</v>
          </cell>
          <cell r="AC61">
            <v>3.8693606857010856</v>
          </cell>
        </row>
        <row r="62">
          <cell r="W62">
            <v>3.9694195678428827</v>
          </cell>
          <cell r="AC62">
            <v>3.8693606857010856</v>
          </cell>
        </row>
        <row r="63">
          <cell r="W63">
            <v>4.0403020601257911</v>
          </cell>
          <cell r="AC63">
            <v>3.8693606857010856</v>
          </cell>
        </row>
        <row r="64">
          <cell r="W64">
            <v>4.1111845524086998</v>
          </cell>
          <cell r="AC64">
            <v>3.8693606857010856</v>
          </cell>
        </row>
        <row r="65">
          <cell r="W65">
            <v>4.1820670446916086</v>
          </cell>
          <cell r="AC65">
            <v>3.8693606857010856</v>
          </cell>
        </row>
        <row r="66">
          <cell r="W66">
            <v>4.2529495369745174</v>
          </cell>
          <cell r="AC66">
            <v>3.8693606857010856</v>
          </cell>
        </row>
        <row r="67">
          <cell r="W67">
            <v>4.3238320292574262</v>
          </cell>
          <cell r="AC67">
            <v>3.8693606857010856</v>
          </cell>
        </row>
        <row r="68">
          <cell r="W68">
            <v>4.3947145215403349</v>
          </cell>
          <cell r="AC68">
            <v>3.8693606857010856</v>
          </cell>
        </row>
        <row r="69">
          <cell r="W69">
            <v>4.4655970138232437</v>
          </cell>
          <cell r="AC69">
            <v>3.8693606857010856</v>
          </cell>
        </row>
        <row r="70">
          <cell r="W70">
            <v>4.5364795061061516</v>
          </cell>
          <cell r="AC70">
            <v>3.8693606857010856</v>
          </cell>
        </row>
        <row r="71">
          <cell r="W71">
            <v>4.6073619983890604</v>
          </cell>
          <cell r="AC71">
            <v>3.8693606857010856</v>
          </cell>
        </row>
        <row r="72">
          <cell r="W72">
            <v>4.6782444906719691</v>
          </cell>
          <cell r="AC72">
            <v>3.8693606857010856</v>
          </cell>
        </row>
        <row r="73">
          <cell r="W73">
            <v>4.7491269829548779</v>
          </cell>
          <cell r="AC73">
            <v>3.8693606857010856</v>
          </cell>
        </row>
        <row r="74">
          <cell r="W74">
            <v>4.8200094752377867</v>
          </cell>
          <cell r="AC74">
            <v>3.8693606857010856</v>
          </cell>
        </row>
        <row r="75">
          <cell r="W75">
            <v>4.8908919675206945</v>
          </cell>
          <cell r="AC75">
            <v>3.8693606857010856</v>
          </cell>
        </row>
        <row r="76">
          <cell r="W76">
            <v>4.9617744598036042</v>
          </cell>
          <cell r="AC76">
            <v>3.8693606857010856</v>
          </cell>
        </row>
        <row r="77">
          <cell r="W77">
            <v>5.0326569520865121</v>
          </cell>
          <cell r="AC77">
            <v>3.8693606857010856</v>
          </cell>
        </row>
        <row r="78">
          <cell r="W78">
            <v>5.1035394443694209</v>
          </cell>
          <cell r="AC78">
            <v>3.8693606857010856</v>
          </cell>
        </row>
        <row r="79">
          <cell r="W79">
            <v>5.1744219366523287</v>
          </cell>
          <cell r="AC79">
            <v>3.8693606857010856</v>
          </cell>
        </row>
        <row r="80">
          <cell r="W80">
            <v>5.2453044289352384</v>
          </cell>
          <cell r="AC80">
            <v>3.8693606857010856</v>
          </cell>
        </row>
        <row r="81">
          <cell r="W81">
            <v>5.3161869212181472</v>
          </cell>
          <cell r="AC81">
            <v>3.8693606857010856</v>
          </cell>
        </row>
        <row r="82">
          <cell r="W82">
            <v>5.3870694135010551</v>
          </cell>
          <cell r="AC82">
            <v>3.8693606857010856</v>
          </cell>
        </row>
        <row r="83">
          <cell r="W83">
            <v>5.4579519057839647</v>
          </cell>
          <cell r="AC83">
            <v>3.8693606857010856</v>
          </cell>
        </row>
        <row r="84">
          <cell r="W84">
            <v>5.5288343980668726</v>
          </cell>
          <cell r="AC84">
            <v>3.8693606857010856</v>
          </cell>
        </row>
        <row r="85">
          <cell r="W85">
            <v>5.5997168903497814</v>
          </cell>
          <cell r="AC85">
            <v>3.8693606857010856</v>
          </cell>
        </row>
        <row r="86">
          <cell r="W86">
            <v>5.6705993826326893</v>
          </cell>
          <cell r="AC86">
            <v>3.8693606857010856</v>
          </cell>
        </row>
        <row r="87">
          <cell r="W87">
            <v>5.7414818749155989</v>
          </cell>
          <cell r="AC87">
            <v>3.8693606857010856</v>
          </cell>
        </row>
        <row r="88">
          <cell r="W88">
            <v>5.8123643671985068</v>
          </cell>
          <cell r="AC88">
            <v>3.8693606857010856</v>
          </cell>
        </row>
        <row r="89">
          <cell r="W89">
            <v>5.8832468594814156</v>
          </cell>
          <cell r="AC89">
            <v>3.8693606857010856</v>
          </cell>
        </row>
        <row r="90">
          <cell r="W90">
            <v>5.9541293517643243</v>
          </cell>
          <cell r="AC90">
            <v>3.8693606857010856</v>
          </cell>
        </row>
        <row r="91">
          <cell r="W91">
            <v>6.0250118440472331</v>
          </cell>
          <cell r="AC91">
            <v>3.8693606857010856</v>
          </cell>
        </row>
        <row r="92">
          <cell r="W92">
            <v>6.0958943363301419</v>
          </cell>
          <cell r="AC92">
            <v>3.8693606857010856</v>
          </cell>
        </row>
        <row r="93">
          <cell r="W93">
            <v>6.1667768286130498</v>
          </cell>
          <cell r="AC93">
            <v>3.8693606857010856</v>
          </cell>
        </row>
        <row r="94">
          <cell r="W94">
            <v>6.2376593208959585</v>
          </cell>
          <cell r="AC94">
            <v>3.8693606857010856</v>
          </cell>
        </row>
        <row r="95">
          <cell r="W95">
            <v>6.3085418131788673</v>
          </cell>
          <cell r="AC95">
            <v>3.8693606857010856</v>
          </cell>
        </row>
        <row r="96">
          <cell r="W96">
            <v>6.3794243054617761</v>
          </cell>
          <cell r="AC96">
            <v>3.8693606857010856</v>
          </cell>
        </row>
        <row r="97">
          <cell r="W97">
            <v>6.4503067977446849</v>
          </cell>
          <cell r="AC97">
            <v>3.8693606857010856</v>
          </cell>
        </row>
        <row r="98">
          <cell r="W98">
            <v>6.5211892900275936</v>
          </cell>
          <cell r="AC98">
            <v>3.8693606857010856</v>
          </cell>
        </row>
        <row r="99">
          <cell r="W99">
            <v>6.5920717823105024</v>
          </cell>
          <cell r="AC99">
            <v>3.8693606857010856</v>
          </cell>
        </row>
        <row r="100">
          <cell r="W100">
            <v>6.6629542745934103</v>
          </cell>
          <cell r="AC100">
            <v>3.8693606857010856</v>
          </cell>
        </row>
        <row r="101">
          <cell r="W101">
            <v>6.733836766876319</v>
          </cell>
          <cell r="AC101">
            <v>3.8693606857010856</v>
          </cell>
        </row>
        <row r="102">
          <cell r="W102">
            <v>6.8047192591592278</v>
          </cell>
          <cell r="AC102">
            <v>3.8693606857010856</v>
          </cell>
        </row>
        <row r="103">
          <cell r="W103">
            <v>6.8756017514421366</v>
          </cell>
          <cell r="AC103">
            <v>3.8693606857010856</v>
          </cell>
        </row>
        <row r="104">
          <cell r="W104">
            <v>6.9464842437250454</v>
          </cell>
          <cell r="AC104">
            <v>3.8693606857010856</v>
          </cell>
        </row>
        <row r="105">
          <cell r="W105">
            <v>7.0173667360079532</v>
          </cell>
          <cell r="AC105">
            <v>3.8693606857010856</v>
          </cell>
        </row>
        <row r="106">
          <cell r="W106">
            <v>7.0882492282908629</v>
          </cell>
          <cell r="AC106">
            <v>3.8693606857010856</v>
          </cell>
        </row>
        <row r="107">
          <cell r="W107">
            <v>7.1591317205737708</v>
          </cell>
          <cell r="AC107">
            <v>3.8693606857010856</v>
          </cell>
        </row>
        <row r="108">
          <cell r="W108">
            <v>7.2300142128566796</v>
          </cell>
          <cell r="AC108">
            <v>3.8693606857010856</v>
          </cell>
        </row>
        <row r="109">
          <cell r="W109">
            <v>7.3008967051395874</v>
          </cell>
          <cell r="AC109">
            <v>3.8693606857010856</v>
          </cell>
        </row>
        <row r="110">
          <cell r="W110">
            <v>7.3717791974224971</v>
          </cell>
          <cell r="AC110">
            <v>3.8693606857010856</v>
          </cell>
        </row>
        <row r="111">
          <cell r="W111">
            <v>7.442661689705405</v>
          </cell>
          <cell r="AC111">
            <v>3.8693606857010856</v>
          </cell>
        </row>
        <row r="112">
          <cell r="W112">
            <v>7.5135441819883138</v>
          </cell>
          <cell r="AC112">
            <v>3.8693606857010856</v>
          </cell>
        </row>
        <row r="113">
          <cell r="W113">
            <v>7.5844266742712234</v>
          </cell>
          <cell r="AC113">
            <v>3.8693606857010856</v>
          </cell>
        </row>
        <row r="114">
          <cell r="W114">
            <v>7.6553091665541313</v>
          </cell>
          <cell r="AC114">
            <v>3.8693606857010856</v>
          </cell>
        </row>
        <row r="115">
          <cell r="W115">
            <v>7.7261916588370401</v>
          </cell>
          <cell r="AC115">
            <v>3.8693606857010856</v>
          </cell>
        </row>
        <row r="116">
          <cell r="W116">
            <v>7.7970741511199479</v>
          </cell>
          <cell r="AC116">
            <v>3.8693606857010856</v>
          </cell>
        </row>
        <row r="117">
          <cell r="W117">
            <v>7.8679566434028576</v>
          </cell>
          <cell r="AC117">
            <v>3.8693606857010856</v>
          </cell>
        </row>
        <row r="118">
          <cell r="W118">
            <v>7.9388391356857655</v>
          </cell>
          <cell r="AC118">
            <v>3.8693606857010856</v>
          </cell>
        </row>
        <row r="119">
          <cell r="W119">
            <v>8.0097216279686752</v>
          </cell>
          <cell r="AC119">
            <v>3.8693606857010856</v>
          </cell>
        </row>
        <row r="120">
          <cell r="W120">
            <v>8.0806041202515821</v>
          </cell>
          <cell r="AC120">
            <v>3.8693606857010856</v>
          </cell>
        </row>
        <row r="121">
          <cell r="W121">
            <v>8.1514866125344927</v>
          </cell>
          <cell r="AC121">
            <v>3.8693606857010856</v>
          </cell>
        </row>
        <row r="122">
          <cell r="W122">
            <v>8.2223691048173997</v>
          </cell>
          <cell r="AC122">
            <v>3.8693606857010856</v>
          </cell>
        </row>
        <row r="123">
          <cell r="W123">
            <v>8.2932515971003085</v>
          </cell>
          <cell r="AC123">
            <v>3.8693606857010856</v>
          </cell>
        </row>
        <row r="124">
          <cell r="W124">
            <v>8.3641340893832172</v>
          </cell>
          <cell r="AC124">
            <v>3.8693606857010856</v>
          </cell>
        </row>
        <row r="125">
          <cell r="W125">
            <v>8.435016581666126</v>
          </cell>
          <cell r="AC125">
            <v>3.8693606857010856</v>
          </cell>
        </row>
        <row r="126">
          <cell r="W126">
            <v>8.5058990739490348</v>
          </cell>
          <cell r="AC126">
            <v>3.8693606857010856</v>
          </cell>
        </row>
      </sheetData>
      <sheetData sheetId="5">
        <row r="32">
          <cell r="B32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0">
          <a:solidFill>
            <a:schemeClr val="tx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4.bin"/><Relationship Id="rId13" Type="http://schemas.openxmlformats.org/officeDocument/2006/relationships/image" Target="../media/image26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23.emf"/><Relationship Id="rId12" Type="http://schemas.openxmlformats.org/officeDocument/2006/relationships/oleObject" Target="../embeddings/oleObject26.bin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3.bin"/><Relationship Id="rId11" Type="http://schemas.openxmlformats.org/officeDocument/2006/relationships/image" Target="../media/image25.emf"/><Relationship Id="rId5" Type="http://schemas.openxmlformats.org/officeDocument/2006/relationships/image" Target="../media/image22.emf"/><Relationship Id="rId10" Type="http://schemas.openxmlformats.org/officeDocument/2006/relationships/oleObject" Target="../embeddings/oleObject25.bin"/><Relationship Id="rId4" Type="http://schemas.openxmlformats.org/officeDocument/2006/relationships/oleObject" Target="../embeddings/oleObject22.bin"/><Relationship Id="rId9" Type="http://schemas.openxmlformats.org/officeDocument/2006/relationships/image" Target="../media/image24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9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27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22.emf"/><Relationship Id="rId4" Type="http://schemas.openxmlformats.org/officeDocument/2006/relationships/oleObject" Target="../embeddings/oleObject27.bin"/><Relationship Id="rId9" Type="http://schemas.openxmlformats.org/officeDocument/2006/relationships/image" Target="../media/image28.emf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emf"/><Relationship Id="rId18" Type="http://schemas.openxmlformats.org/officeDocument/2006/relationships/oleObject" Target="../embeddings/oleObject37.bin"/><Relationship Id="rId26" Type="http://schemas.openxmlformats.org/officeDocument/2006/relationships/oleObject" Target="../embeddings/oleObject41.bin"/><Relationship Id="rId3" Type="http://schemas.openxmlformats.org/officeDocument/2006/relationships/vmlDrawing" Target="../drawings/vmlDrawing5.vml"/><Relationship Id="rId21" Type="http://schemas.openxmlformats.org/officeDocument/2006/relationships/image" Target="../media/image13.emf"/><Relationship Id="rId34" Type="http://schemas.openxmlformats.org/officeDocument/2006/relationships/oleObject" Target="../embeddings/oleObject45.bin"/><Relationship Id="rId7" Type="http://schemas.openxmlformats.org/officeDocument/2006/relationships/image" Target="../media/image30.emf"/><Relationship Id="rId12" Type="http://schemas.openxmlformats.org/officeDocument/2006/relationships/oleObject" Target="../embeddings/oleObject34.bin"/><Relationship Id="rId17" Type="http://schemas.openxmlformats.org/officeDocument/2006/relationships/image" Target="../media/image11.emf"/><Relationship Id="rId25" Type="http://schemas.openxmlformats.org/officeDocument/2006/relationships/image" Target="../media/image33.emf"/><Relationship Id="rId33" Type="http://schemas.openxmlformats.org/officeDocument/2006/relationships/image" Target="../media/image37.emf"/><Relationship Id="rId2" Type="http://schemas.openxmlformats.org/officeDocument/2006/relationships/drawing" Target="../drawings/drawing11.xml"/><Relationship Id="rId16" Type="http://schemas.openxmlformats.org/officeDocument/2006/relationships/oleObject" Target="../embeddings/oleObject36.bin"/><Relationship Id="rId20" Type="http://schemas.openxmlformats.org/officeDocument/2006/relationships/oleObject" Target="../embeddings/oleObject38.bin"/><Relationship Id="rId29" Type="http://schemas.openxmlformats.org/officeDocument/2006/relationships/image" Target="../media/image35.emf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31.bin"/><Relationship Id="rId11" Type="http://schemas.openxmlformats.org/officeDocument/2006/relationships/image" Target="../media/image8.emf"/><Relationship Id="rId24" Type="http://schemas.openxmlformats.org/officeDocument/2006/relationships/oleObject" Target="../embeddings/oleObject40.bin"/><Relationship Id="rId32" Type="http://schemas.openxmlformats.org/officeDocument/2006/relationships/oleObject" Target="../embeddings/oleObject44.bin"/><Relationship Id="rId5" Type="http://schemas.openxmlformats.org/officeDocument/2006/relationships/image" Target="../media/image29.emf"/><Relationship Id="rId15" Type="http://schemas.openxmlformats.org/officeDocument/2006/relationships/image" Target="../media/image10.emf"/><Relationship Id="rId23" Type="http://schemas.openxmlformats.org/officeDocument/2006/relationships/image" Target="../media/image32.emf"/><Relationship Id="rId28" Type="http://schemas.openxmlformats.org/officeDocument/2006/relationships/oleObject" Target="../embeddings/oleObject42.bin"/><Relationship Id="rId10" Type="http://schemas.openxmlformats.org/officeDocument/2006/relationships/oleObject" Target="../embeddings/oleObject33.bin"/><Relationship Id="rId19" Type="http://schemas.openxmlformats.org/officeDocument/2006/relationships/image" Target="../media/image12.emf"/><Relationship Id="rId31" Type="http://schemas.openxmlformats.org/officeDocument/2006/relationships/image" Target="../media/image36.emf"/><Relationship Id="rId4" Type="http://schemas.openxmlformats.org/officeDocument/2006/relationships/oleObject" Target="../embeddings/oleObject30.bin"/><Relationship Id="rId9" Type="http://schemas.openxmlformats.org/officeDocument/2006/relationships/image" Target="../media/image31.emf"/><Relationship Id="rId14" Type="http://schemas.openxmlformats.org/officeDocument/2006/relationships/oleObject" Target="../embeddings/oleObject35.bin"/><Relationship Id="rId22" Type="http://schemas.openxmlformats.org/officeDocument/2006/relationships/oleObject" Target="../embeddings/oleObject39.bin"/><Relationship Id="rId27" Type="http://schemas.openxmlformats.org/officeDocument/2006/relationships/image" Target="../media/image34.emf"/><Relationship Id="rId30" Type="http://schemas.openxmlformats.org/officeDocument/2006/relationships/oleObject" Target="../embeddings/oleObject43.bin"/><Relationship Id="rId35" Type="http://schemas.openxmlformats.org/officeDocument/2006/relationships/image" Target="../media/image38.emf"/><Relationship Id="rId8" Type="http://schemas.openxmlformats.org/officeDocument/2006/relationships/oleObject" Target="../embeddings/oleObject3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8.bin"/><Relationship Id="rId13" Type="http://schemas.openxmlformats.org/officeDocument/2006/relationships/image" Target="../media/image43.emf"/><Relationship Id="rId18" Type="http://schemas.openxmlformats.org/officeDocument/2006/relationships/oleObject" Target="../embeddings/oleObject53.bin"/><Relationship Id="rId3" Type="http://schemas.openxmlformats.org/officeDocument/2006/relationships/vmlDrawing" Target="../drawings/vmlDrawing6.vml"/><Relationship Id="rId21" Type="http://schemas.openxmlformats.org/officeDocument/2006/relationships/image" Target="../media/image47.emf"/><Relationship Id="rId7" Type="http://schemas.openxmlformats.org/officeDocument/2006/relationships/image" Target="../media/image40.emf"/><Relationship Id="rId12" Type="http://schemas.openxmlformats.org/officeDocument/2006/relationships/oleObject" Target="../embeddings/oleObject50.bin"/><Relationship Id="rId17" Type="http://schemas.openxmlformats.org/officeDocument/2006/relationships/image" Target="../media/image45.emf"/><Relationship Id="rId2" Type="http://schemas.openxmlformats.org/officeDocument/2006/relationships/drawing" Target="../drawings/drawing12.xml"/><Relationship Id="rId16" Type="http://schemas.openxmlformats.org/officeDocument/2006/relationships/oleObject" Target="../embeddings/oleObject52.bin"/><Relationship Id="rId20" Type="http://schemas.openxmlformats.org/officeDocument/2006/relationships/oleObject" Target="../embeddings/oleObject54.bin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47.bin"/><Relationship Id="rId11" Type="http://schemas.openxmlformats.org/officeDocument/2006/relationships/image" Target="../media/image42.emf"/><Relationship Id="rId5" Type="http://schemas.openxmlformats.org/officeDocument/2006/relationships/image" Target="../media/image39.emf"/><Relationship Id="rId15" Type="http://schemas.openxmlformats.org/officeDocument/2006/relationships/image" Target="../media/image44.emf"/><Relationship Id="rId23" Type="http://schemas.openxmlformats.org/officeDocument/2006/relationships/image" Target="../media/image48.emf"/><Relationship Id="rId10" Type="http://schemas.openxmlformats.org/officeDocument/2006/relationships/oleObject" Target="../embeddings/oleObject49.bin"/><Relationship Id="rId19" Type="http://schemas.openxmlformats.org/officeDocument/2006/relationships/image" Target="../media/image46.emf"/><Relationship Id="rId4" Type="http://schemas.openxmlformats.org/officeDocument/2006/relationships/oleObject" Target="../embeddings/oleObject46.bin"/><Relationship Id="rId9" Type="http://schemas.openxmlformats.org/officeDocument/2006/relationships/image" Target="../media/image41.emf"/><Relationship Id="rId14" Type="http://schemas.openxmlformats.org/officeDocument/2006/relationships/oleObject" Target="../embeddings/oleObject51.bin"/><Relationship Id="rId22" Type="http://schemas.openxmlformats.org/officeDocument/2006/relationships/oleObject" Target="../embeddings/oleObject5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8.bin"/><Relationship Id="rId3" Type="http://schemas.openxmlformats.org/officeDocument/2006/relationships/vmlDrawing" Target="../drawings/vmlDrawing7.vml"/><Relationship Id="rId7" Type="http://schemas.openxmlformats.org/officeDocument/2006/relationships/image" Target="../media/image50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57.bin"/><Relationship Id="rId5" Type="http://schemas.openxmlformats.org/officeDocument/2006/relationships/image" Target="../media/image49.emf"/><Relationship Id="rId4" Type="http://schemas.openxmlformats.org/officeDocument/2006/relationships/oleObject" Target="../embeddings/oleObject56.bin"/><Relationship Id="rId9" Type="http://schemas.openxmlformats.org/officeDocument/2006/relationships/image" Target="../media/image51.emf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emf"/><Relationship Id="rId18" Type="http://schemas.openxmlformats.org/officeDocument/2006/relationships/oleObject" Target="../embeddings/oleObject12.bin"/><Relationship Id="rId26" Type="http://schemas.openxmlformats.org/officeDocument/2006/relationships/oleObject" Target="../embeddings/oleObject16.bin"/><Relationship Id="rId21" Type="http://schemas.openxmlformats.org/officeDocument/2006/relationships/image" Target="../media/image13.emf"/><Relationship Id="rId34" Type="http://schemas.openxmlformats.org/officeDocument/2006/relationships/oleObject" Target="../embeddings/oleObject20.bin"/><Relationship Id="rId7" Type="http://schemas.openxmlformats.org/officeDocument/2006/relationships/image" Target="../media/image6.emf"/><Relationship Id="rId12" Type="http://schemas.openxmlformats.org/officeDocument/2006/relationships/oleObject" Target="../embeddings/oleObject9.bin"/><Relationship Id="rId17" Type="http://schemas.openxmlformats.org/officeDocument/2006/relationships/image" Target="../media/image11.emf"/><Relationship Id="rId25" Type="http://schemas.openxmlformats.org/officeDocument/2006/relationships/image" Target="../media/image15.emf"/><Relationship Id="rId33" Type="http://schemas.openxmlformats.org/officeDocument/2006/relationships/image" Target="../media/image19.emf"/><Relationship Id="rId2" Type="http://schemas.openxmlformats.org/officeDocument/2006/relationships/drawing" Target="../drawings/drawing8.xml"/><Relationship Id="rId16" Type="http://schemas.openxmlformats.org/officeDocument/2006/relationships/oleObject" Target="../embeddings/oleObject11.bin"/><Relationship Id="rId20" Type="http://schemas.openxmlformats.org/officeDocument/2006/relationships/oleObject" Target="../embeddings/oleObject13.bin"/><Relationship Id="rId29" Type="http://schemas.openxmlformats.org/officeDocument/2006/relationships/image" Target="../media/image17.emf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6.bin"/><Relationship Id="rId11" Type="http://schemas.openxmlformats.org/officeDocument/2006/relationships/image" Target="../media/image8.emf"/><Relationship Id="rId24" Type="http://schemas.openxmlformats.org/officeDocument/2006/relationships/oleObject" Target="../embeddings/oleObject15.bin"/><Relationship Id="rId32" Type="http://schemas.openxmlformats.org/officeDocument/2006/relationships/oleObject" Target="../embeddings/oleObject19.bin"/><Relationship Id="rId37" Type="http://schemas.openxmlformats.org/officeDocument/2006/relationships/image" Target="../media/image21.emf"/><Relationship Id="rId5" Type="http://schemas.openxmlformats.org/officeDocument/2006/relationships/image" Target="../media/image5.emf"/><Relationship Id="rId15" Type="http://schemas.openxmlformats.org/officeDocument/2006/relationships/image" Target="../media/image10.emf"/><Relationship Id="rId23" Type="http://schemas.openxmlformats.org/officeDocument/2006/relationships/image" Target="../media/image14.emf"/><Relationship Id="rId28" Type="http://schemas.openxmlformats.org/officeDocument/2006/relationships/oleObject" Target="../embeddings/oleObject17.bin"/><Relationship Id="rId36" Type="http://schemas.openxmlformats.org/officeDocument/2006/relationships/oleObject" Target="../embeddings/oleObject21.bin"/><Relationship Id="rId10" Type="http://schemas.openxmlformats.org/officeDocument/2006/relationships/oleObject" Target="../embeddings/oleObject8.bin"/><Relationship Id="rId19" Type="http://schemas.openxmlformats.org/officeDocument/2006/relationships/image" Target="../media/image12.emf"/><Relationship Id="rId31" Type="http://schemas.openxmlformats.org/officeDocument/2006/relationships/image" Target="../media/image18.emf"/><Relationship Id="rId4" Type="http://schemas.openxmlformats.org/officeDocument/2006/relationships/oleObject" Target="../embeddings/oleObject5.bin"/><Relationship Id="rId9" Type="http://schemas.openxmlformats.org/officeDocument/2006/relationships/image" Target="../media/image7.emf"/><Relationship Id="rId14" Type="http://schemas.openxmlformats.org/officeDocument/2006/relationships/oleObject" Target="../embeddings/oleObject10.bin"/><Relationship Id="rId22" Type="http://schemas.openxmlformats.org/officeDocument/2006/relationships/oleObject" Target="../embeddings/oleObject14.bin"/><Relationship Id="rId27" Type="http://schemas.openxmlformats.org/officeDocument/2006/relationships/image" Target="../media/image16.emf"/><Relationship Id="rId30" Type="http://schemas.openxmlformats.org/officeDocument/2006/relationships/oleObject" Target="../embeddings/oleObject18.bin"/><Relationship Id="rId35" Type="http://schemas.openxmlformats.org/officeDocument/2006/relationships/image" Target="../media/image20.emf"/><Relationship Id="rId8" Type="http://schemas.openxmlformats.org/officeDocument/2006/relationships/oleObject" Target="../embeddings/oleObject7.bin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55"/>
  <sheetViews>
    <sheetView zoomScale="40" zoomScaleNormal="40" workbookViewId="0">
      <selection activeCell="Y26" sqref="Y26"/>
    </sheetView>
  </sheetViews>
  <sheetFormatPr baseColWidth="10" defaultColWidth="9.7109375" defaultRowHeight="15" customHeight="1" x14ac:dyDescent="0.25"/>
  <cols>
    <col min="1" max="16384" width="9.7109375" style="6"/>
  </cols>
  <sheetData>
    <row r="1" spans="2:34" ht="15" customHeight="1" x14ac:dyDescent="0.25">
      <c r="Q1" s="11"/>
      <c r="R1" s="11"/>
      <c r="S1" s="118"/>
      <c r="T1" s="120"/>
      <c r="U1" s="119" t="s">
        <v>0</v>
      </c>
      <c r="V1" s="117" t="s">
        <v>1</v>
      </c>
      <c r="W1" s="11"/>
      <c r="X1" s="11"/>
      <c r="Y1" s="11"/>
    </row>
    <row r="2" spans="2:34" ht="15" customHeight="1" x14ac:dyDescent="0.25">
      <c r="B2" s="1193" t="s">
        <v>2</v>
      </c>
      <c r="C2" s="1194"/>
      <c r="D2" s="1194"/>
      <c r="E2" s="1194"/>
      <c r="F2" s="1194"/>
      <c r="G2" s="1194"/>
      <c r="H2" s="1195"/>
      <c r="Q2" s="29"/>
      <c r="R2" s="29"/>
      <c r="S2" s="109"/>
      <c r="T2" s="115" t="s">
        <v>3</v>
      </c>
      <c r="U2" s="13">
        <v>1210</v>
      </c>
      <c r="V2" s="110">
        <v>1200</v>
      </c>
      <c r="X2" s="29"/>
      <c r="Y2" s="11"/>
      <c r="AE2" s="102" t="s">
        <v>4</v>
      </c>
      <c r="AF2" s="108">
        <f>M25</f>
        <v>9.1939393939352641E-4</v>
      </c>
      <c r="AG2" s="103" t="s">
        <v>5</v>
      </c>
    </row>
    <row r="3" spans="2:34" ht="15" customHeight="1" x14ac:dyDescent="0.25">
      <c r="B3" s="1196"/>
      <c r="C3" s="1197"/>
      <c r="D3" s="1197"/>
      <c r="E3" s="1197"/>
      <c r="F3" s="1197"/>
      <c r="G3" s="1197"/>
      <c r="H3" s="1198"/>
      <c r="J3" s="11"/>
      <c r="S3" s="111"/>
      <c r="T3" s="115" t="s">
        <v>6</v>
      </c>
      <c r="U3" s="13">
        <v>25</v>
      </c>
      <c r="V3" s="121">
        <v>20</v>
      </c>
      <c r="AE3" s="102" t="s">
        <v>7</v>
      </c>
      <c r="AF3" s="108">
        <f>M28</f>
        <v>0.93872103896143644</v>
      </c>
      <c r="AG3" s="103" t="s">
        <v>8</v>
      </c>
    </row>
    <row r="4" spans="2:34" ht="15" customHeight="1" x14ac:dyDescent="0.25">
      <c r="B4" s="16" t="s">
        <v>9</v>
      </c>
      <c r="C4" s="14">
        <v>40</v>
      </c>
      <c r="D4" s="14">
        <v>50</v>
      </c>
      <c r="E4" s="14">
        <v>60</v>
      </c>
      <c r="F4" s="15">
        <v>70</v>
      </c>
      <c r="G4" s="14">
        <v>80</v>
      </c>
      <c r="H4" s="17">
        <v>90</v>
      </c>
      <c r="J4" s="413"/>
      <c r="S4" s="112"/>
      <c r="T4" s="116" t="s">
        <v>10</v>
      </c>
      <c r="U4" s="113">
        <f>$AF$2*U2+$AF$3+$AF$4*U3</f>
        <v>2.0567747186146184</v>
      </c>
      <c r="V4" s="114">
        <f>$AF$2*V2+$AF$3+$AF$4*V3</f>
        <v>2.0464633766232807</v>
      </c>
      <c r="X4" s="11"/>
      <c r="AE4" s="107" t="s">
        <v>11</v>
      </c>
      <c r="AF4" s="108">
        <f>E32</f>
        <v>2.2348051948061247E-4</v>
      </c>
      <c r="AG4" s="103" t="s">
        <v>12</v>
      </c>
    </row>
    <row r="5" spans="2:34" ht="15" customHeight="1" x14ac:dyDescent="0.25">
      <c r="B5" s="16" t="s">
        <v>13</v>
      </c>
      <c r="C5" s="1">
        <f t="shared" ref="C5:H5" si="0">(C4-32)/1.8</f>
        <v>4.4444444444444446</v>
      </c>
      <c r="D5" s="1">
        <f t="shared" si="0"/>
        <v>10</v>
      </c>
      <c r="E5" s="1">
        <f t="shared" si="0"/>
        <v>15.555555555555555</v>
      </c>
      <c r="F5" s="1">
        <f t="shared" si="0"/>
        <v>21.111111111111111</v>
      </c>
      <c r="G5" s="1">
        <f t="shared" si="0"/>
        <v>26.666666666666664</v>
      </c>
      <c r="H5" s="2">
        <f t="shared" si="0"/>
        <v>32.222222222222221</v>
      </c>
      <c r="J5" s="11"/>
      <c r="R5" s="11"/>
      <c r="X5" s="11"/>
    </row>
    <row r="6" spans="2:34" ht="15" customHeight="1" x14ac:dyDescent="0.25">
      <c r="B6" s="412" t="s">
        <v>14</v>
      </c>
      <c r="C6" s="1199" t="s">
        <v>15</v>
      </c>
      <c r="D6" s="1199"/>
      <c r="E6" s="1199"/>
      <c r="F6" s="1199"/>
      <c r="G6" s="1199"/>
      <c r="H6" s="1200"/>
      <c r="I6" s="11"/>
      <c r="J6" s="27" t="s">
        <v>16</v>
      </c>
      <c r="K6" s="36">
        <f>$C$5</f>
        <v>4.4444444444444446</v>
      </c>
      <c r="L6" s="36">
        <f>$D$5</f>
        <v>10</v>
      </c>
      <c r="M6" s="36">
        <f>$E$5</f>
        <v>15.555555555555555</v>
      </c>
      <c r="N6" s="36">
        <f>$F$5</f>
        <v>21.111111111111111</v>
      </c>
      <c r="O6" s="36">
        <f>$G$5</f>
        <v>26.666666666666664</v>
      </c>
      <c r="P6" s="73">
        <f>$H$5</f>
        <v>32.222222222222221</v>
      </c>
      <c r="Q6" s="11"/>
      <c r="T6" s="27" t="s">
        <v>16</v>
      </c>
      <c r="U6" s="104">
        <v>-5</v>
      </c>
      <c r="V6" s="104">
        <f>U6+5</f>
        <v>0</v>
      </c>
      <c r="W6" s="105">
        <f>C5</f>
        <v>4.4444444444444446</v>
      </c>
      <c r="X6" s="104">
        <f>V6+5</f>
        <v>5</v>
      </c>
      <c r="Y6" s="104">
        <f t="shared" ref="Y6:Z6" si="1">X6+5</f>
        <v>10</v>
      </c>
      <c r="Z6" s="105">
        <f t="shared" si="1"/>
        <v>15</v>
      </c>
      <c r="AA6" s="105">
        <f>E5</f>
        <v>15.555555555555555</v>
      </c>
      <c r="AB6" s="134">
        <f>Z6+5</f>
        <v>20</v>
      </c>
      <c r="AC6" s="105">
        <f>N6</f>
        <v>21.111111111111111</v>
      </c>
      <c r="AD6" s="125">
        <f>AB6+5</f>
        <v>25</v>
      </c>
      <c r="AE6" s="105">
        <f>O6</f>
        <v>26.666666666666664</v>
      </c>
      <c r="AF6" s="104">
        <f>AD6+5</f>
        <v>30</v>
      </c>
      <c r="AG6" s="105">
        <f>P6</f>
        <v>32.222222222222221</v>
      </c>
      <c r="AH6" s="86">
        <f>AF6+5</f>
        <v>35</v>
      </c>
    </row>
    <row r="7" spans="2:34" ht="15" customHeight="1" x14ac:dyDescent="0.25">
      <c r="B7" s="18" t="s">
        <v>17</v>
      </c>
      <c r="C7" s="1201" t="s">
        <v>18</v>
      </c>
      <c r="D7" s="1201"/>
      <c r="E7" s="1201"/>
      <c r="F7" s="1201"/>
      <c r="G7" s="1201"/>
      <c r="H7" s="1202"/>
      <c r="I7" s="92"/>
      <c r="J7" s="93" t="s">
        <v>19</v>
      </c>
      <c r="K7" s="1203" t="s">
        <v>20</v>
      </c>
      <c r="L7" s="1204"/>
      <c r="M7" s="1204"/>
      <c r="N7" s="1204"/>
      <c r="O7" s="1204"/>
      <c r="P7" s="1205"/>
      <c r="Q7" s="32" t="s">
        <v>21</v>
      </c>
      <c r="R7" s="34" t="s">
        <v>22</v>
      </c>
      <c r="T7" s="93" t="s">
        <v>19</v>
      </c>
      <c r="U7" s="1190" t="s">
        <v>23</v>
      </c>
      <c r="V7" s="1190"/>
      <c r="W7" s="1190"/>
      <c r="X7" s="1190"/>
      <c r="Y7" s="1190"/>
      <c r="Z7" s="1190"/>
      <c r="AA7" s="1190"/>
      <c r="AB7" s="1190"/>
      <c r="AC7" s="1190"/>
      <c r="AD7" s="1190"/>
      <c r="AE7" s="1190"/>
      <c r="AF7" s="1190"/>
      <c r="AG7" s="1190"/>
      <c r="AH7" s="1191"/>
    </row>
    <row r="8" spans="2:34" ht="15" customHeight="1" x14ac:dyDescent="0.25">
      <c r="B8" s="3">
        <v>1100</v>
      </c>
      <c r="C8" s="4">
        <v>1.954</v>
      </c>
      <c r="D8" s="4">
        <v>1.9550000000000001</v>
      </c>
      <c r="E8" s="4">
        <v>1.956</v>
      </c>
      <c r="F8" s="4">
        <v>1.9570000000000001</v>
      </c>
      <c r="G8" s="4">
        <v>1.958</v>
      </c>
      <c r="H8" s="5">
        <v>1.96</v>
      </c>
      <c r="I8" s="11"/>
      <c r="J8" s="78">
        <f t="shared" ref="J8:J18" si="2">B8</f>
        <v>1100</v>
      </c>
      <c r="K8" s="76">
        <f t="shared" ref="K8:K18" si="3">C8-$E$32*K$6</f>
        <v>1.9530067532467528</v>
      </c>
      <c r="L8" s="76">
        <f t="shared" ref="L8:L18" si="4">D8-$E$32*L$6</f>
        <v>1.9527651948051938</v>
      </c>
      <c r="M8" s="76">
        <f t="shared" ref="M8:M18" si="5">E8-$E$32*M$6</f>
        <v>1.9525236363636349</v>
      </c>
      <c r="N8" s="76">
        <f t="shared" ref="N8:N18" si="6">F8-$E$32*N$6</f>
        <v>1.952282077922076</v>
      </c>
      <c r="O8" s="76">
        <f t="shared" ref="O8:O18" si="7">G8-$E$32*O$6</f>
        <v>1.952040519480517</v>
      </c>
      <c r="P8" s="76">
        <f t="shared" ref="P8:P18" si="8">H8-$E$32*P$6</f>
        <v>1.952798961038958</v>
      </c>
      <c r="Q8" s="81">
        <f>J8^2</f>
        <v>1210000</v>
      </c>
      <c r="R8" s="82">
        <f>J8*SUM(K8:P8)</f>
        <v>12886.958857142847</v>
      </c>
      <c r="T8" s="7">
        <f>B8</f>
        <v>1100</v>
      </c>
      <c r="U8" s="94">
        <f t="shared" ref="U8:AH18" si="9">$U$4+$AF$2*($T8-$U$2)+$AF$4*(U$6-$U$3)</f>
        <v>1.9489369696969119</v>
      </c>
      <c r="V8" s="95">
        <f t="shared" si="9"/>
        <v>1.9500543722943151</v>
      </c>
      <c r="W8" s="95">
        <f t="shared" si="9"/>
        <v>1.9510476190475623</v>
      </c>
      <c r="X8" s="95">
        <f t="shared" si="9"/>
        <v>1.9511717748917181</v>
      </c>
      <c r="Y8" s="95">
        <f t="shared" si="9"/>
        <v>1.9522891774891211</v>
      </c>
      <c r="Z8" s="95">
        <f t="shared" si="9"/>
        <v>1.9534065800865241</v>
      </c>
      <c r="AA8" s="95">
        <f t="shared" si="9"/>
        <v>1.9535307359306802</v>
      </c>
      <c r="AB8" s="130">
        <f t="shared" si="9"/>
        <v>1.9545239826839274</v>
      </c>
      <c r="AC8" s="95">
        <f t="shared" si="9"/>
        <v>1.954772294372239</v>
      </c>
      <c r="AD8" s="122">
        <f t="shared" si="9"/>
        <v>1.9556413852813304</v>
      </c>
      <c r="AE8" s="95">
        <f t="shared" si="9"/>
        <v>1.956013852813798</v>
      </c>
      <c r="AF8" s="95">
        <f t="shared" si="9"/>
        <v>1.9567587878787334</v>
      </c>
      <c r="AG8" s="95">
        <f t="shared" si="9"/>
        <v>1.9572554112553571</v>
      </c>
      <c r="AH8" s="96">
        <f t="shared" si="9"/>
        <v>1.9578761904761366</v>
      </c>
    </row>
    <row r="9" spans="2:34" ht="15" customHeight="1" x14ac:dyDescent="0.25">
      <c r="B9" s="3">
        <f>B8+20</f>
        <v>1120</v>
      </c>
      <c r="C9" s="4">
        <v>1.97</v>
      </c>
      <c r="D9" s="4">
        <v>1.972</v>
      </c>
      <c r="E9" s="4">
        <v>1.9730000000000001</v>
      </c>
      <c r="F9" s="4">
        <v>1.974</v>
      </c>
      <c r="G9" s="4">
        <v>1.9750000000000001</v>
      </c>
      <c r="H9" s="5">
        <v>1.9770000000000001</v>
      </c>
      <c r="I9" s="11"/>
      <c r="J9" s="78">
        <f t="shared" si="2"/>
        <v>1120</v>
      </c>
      <c r="K9" s="74">
        <f t="shared" si="3"/>
        <v>1.9690067532467528</v>
      </c>
      <c r="L9" s="74">
        <f t="shared" si="4"/>
        <v>1.9697651948051937</v>
      </c>
      <c r="M9" s="74">
        <f t="shared" si="5"/>
        <v>1.969523636363635</v>
      </c>
      <c r="N9" s="74">
        <f t="shared" si="6"/>
        <v>1.9692820779220759</v>
      </c>
      <c r="O9" s="74">
        <f t="shared" si="7"/>
        <v>1.9690405194805172</v>
      </c>
      <c r="P9" s="74">
        <f t="shared" si="8"/>
        <v>1.9697989610389581</v>
      </c>
      <c r="Q9" s="7">
        <f t="shared" ref="Q9:Q18" si="10">J9^2</f>
        <v>1254400</v>
      </c>
      <c r="R9" s="83">
        <f t="shared" ref="R9:R18" si="11">J9*SUM(K9:P9)</f>
        <v>13234.387199999988</v>
      </c>
      <c r="T9" s="7">
        <f t="shared" ref="T9:T17" si="12">B9</f>
        <v>1120</v>
      </c>
      <c r="U9" s="97">
        <f t="shared" si="9"/>
        <v>1.9673248484847825</v>
      </c>
      <c r="V9" s="52">
        <f t="shared" si="9"/>
        <v>1.9684422510821857</v>
      </c>
      <c r="W9" s="52">
        <f t="shared" si="9"/>
        <v>1.9694354978354329</v>
      </c>
      <c r="X9" s="52">
        <f t="shared" si="9"/>
        <v>1.9695596536795887</v>
      </c>
      <c r="Y9" s="52">
        <f t="shared" si="9"/>
        <v>1.9706770562769917</v>
      </c>
      <c r="Z9" s="52">
        <f t="shared" si="9"/>
        <v>1.9717944588743948</v>
      </c>
      <c r="AA9" s="52">
        <f t="shared" si="9"/>
        <v>1.9719186147185508</v>
      </c>
      <c r="AB9" s="131">
        <f t="shared" si="9"/>
        <v>1.972911861471798</v>
      </c>
      <c r="AC9" s="52">
        <f t="shared" si="9"/>
        <v>1.9731601731601096</v>
      </c>
      <c r="AD9" s="123">
        <f t="shared" si="9"/>
        <v>1.974029264069201</v>
      </c>
      <c r="AE9" s="52">
        <f t="shared" si="9"/>
        <v>1.9744017316016687</v>
      </c>
      <c r="AF9" s="52">
        <f t="shared" si="9"/>
        <v>1.975146666666604</v>
      </c>
      <c r="AG9" s="52">
        <f t="shared" si="9"/>
        <v>1.9756432900432277</v>
      </c>
      <c r="AH9" s="98">
        <f t="shared" si="9"/>
        <v>1.9762640692640072</v>
      </c>
    </row>
    <row r="10" spans="2:34" ht="15" customHeight="1" x14ac:dyDescent="0.25">
      <c r="B10" s="3">
        <f t="shared" ref="B10:B18" si="13">B9+20</f>
        <v>1140</v>
      </c>
      <c r="C10" s="4">
        <v>1.9870000000000001</v>
      </c>
      <c r="D10" s="4">
        <v>1.9890000000000001</v>
      </c>
      <c r="E10" s="4">
        <v>1.99</v>
      </c>
      <c r="F10" s="4">
        <v>1.9910000000000001</v>
      </c>
      <c r="G10" s="4">
        <v>1.9930000000000001</v>
      </c>
      <c r="H10" s="5">
        <v>1.994</v>
      </c>
      <c r="J10" s="78">
        <f t="shared" si="2"/>
        <v>1140</v>
      </c>
      <c r="K10" s="74">
        <f t="shared" si="3"/>
        <v>1.9860067532467529</v>
      </c>
      <c r="L10" s="74">
        <f t="shared" si="4"/>
        <v>1.9867651948051939</v>
      </c>
      <c r="M10" s="74">
        <f t="shared" si="5"/>
        <v>1.9865236363636349</v>
      </c>
      <c r="N10" s="74">
        <f t="shared" si="6"/>
        <v>1.986282077922076</v>
      </c>
      <c r="O10" s="74">
        <f t="shared" si="7"/>
        <v>1.9870405194805172</v>
      </c>
      <c r="P10" s="74">
        <f t="shared" si="8"/>
        <v>1.986798961038958</v>
      </c>
      <c r="Q10" s="7">
        <f t="shared" si="10"/>
        <v>1299600</v>
      </c>
      <c r="R10" s="83">
        <f t="shared" si="11"/>
        <v>13588.13554285713</v>
      </c>
      <c r="T10" s="7">
        <f t="shared" si="12"/>
        <v>1140</v>
      </c>
      <c r="U10" s="97">
        <f t="shared" si="9"/>
        <v>1.9857127272726531</v>
      </c>
      <c r="V10" s="52">
        <f t="shared" si="9"/>
        <v>1.9868301298700564</v>
      </c>
      <c r="W10" s="52">
        <f t="shared" si="9"/>
        <v>1.9878233766233036</v>
      </c>
      <c r="X10" s="52">
        <f t="shared" si="9"/>
        <v>1.9879475324674594</v>
      </c>
      <c r="Y10" s="52">
        <f t="shared" si="9"/>
        <v>1.9890649350648624</v>
      </c>
      <c r="Z10" s="52">
        <f t="shared" si="9"/>
        <v>1.9901823376622654</v>
      </c>
      <c r="AA10" s="52">
        <f t="shared" si="9"/>
        <v>1.9903064935064214</v>
      </c>
      <c r="AB10" s="131">
        <f t="shared" si="9"/>
        <v>1.9912997402596686</v>
      </c>
      <c r="AC10" s="52">
        <f t="shared" si="9"/>
        <v>1.9915480519479802</v>
      </c>
      <c r="AD10" s="123">
        <f t="shared" si="9"/>
        <v>1.9924171428570716</v>
      </c>
      <c r="AE10" s="52">
        <f t="shared" si="9"/>
        <v>1.9927896103895393</v>
      </c>
      <c r="AF10" s="52">
        <f t="shared" si="9"/>
        <v>1.9935345454544746</v>
      </c>
      <c r="AG10" s="52">
        <f t="shared" si="9"/>
        <v>1.9940311688310983</v>
      </c>
      <c r="AH10" s="98">
        <f t="shared" si="9"/>
        <v>1.9946519480518778</v>
      </c>
    </row>
    <row r="11" spans="2:34" ht="15" customHeight="1" x14ac:dyDescent="0.25">
      <c r="B11" s="3">
        <f t="shared" si="13"/>
        <v>1160</v>
      </c>
      <c r="C11" s="4">
        <v>2.0049999999999999</v>
      </c>
      <c r="D11" s="4">
        <v>2.0059999999999998</v>
      </c>
      <c r="E11" s="4">
        <v>2.008</v>
      </c>
      <c r="F11" s="4">
        <v>2.0089999999999999</v>
      </c>
      <c r="G11" s="4">
        <v>2.0099999999999998</v>
      </c>
      <c r="H11" s="5">
        <v>2.012</v>
      </c>
      <c r="J11" s="78">
        <f t="shared" si="2"/>
        <v>1160</v>
      </c>
      <c r="K11" s="74">
        <f t="shared" si="3"/>
        <v>2.0040067532467529</v>
      </c>
      <c r="L11" s="74">
        <f t="shared" si="4"/>
        <v>2.0037651948051938</v>
      </c>
      <c r="M11" s="74">
        <f t="shared" si="5"/>
        <v>2.004523636363635</v>
      </c>
      <c r="N11" s="74">
        <f t="shared" si="6"/>
        <v>2.0042820779220758</v>
      </c>
      <c r="O11" s="74">
        <f t="shared" si="7"/>
        <v>2.0040405194805166</v>
      </c>
      <c r="P11" s="74">
        <f t="shared" si="8"/>
        <v>2.0047989610389583</v>
      </c>
      <c r="Q11" s="7">
        <f t="shared" si="10"/>
        <v>1345600</v>
      </c>
      <c r="R11" s="83">
        <f t="shared" si="11"/>
        <v>13949.483885714273</v>
      </c>
      <c r="T11" s="7">
        <f t="shared" si="12"/>
        <v>1160</v>
      </c>
      <c r="U11" s="97">
        <f t="shared" si="9"/>
        <v>2.0041006060605238</v>
      </c>
      <c r="V11" s="52">
        <f t="shared" si="9"/>
        <v>2.005218008657927</v>
      </c>
      <c r="W11" s="52">
        <f t="shared" si="9"/>
        <v>2.006211255411174</v>
      </c>
      <c r="X11" s="52">
        <f t="shared" si="9"/>
        <v>2.0063354112553298</v>
      </c>
      <c r="Y11" s="52">
        <f t="shared" si="9"/>
        <v>2.007452813852733</v>
      </c>
      <c r="Z11" s="52">
        <f t="shared" si="9"/>
        <v>2.0085702164501362</v>
      </c>
      <c r="AA11" s="52">
        <f t="shared" si="9"/>
        <v>2.008694372294292</v>
      </c>
      <c r="AB11" s="131">
        <f t="shared" si="9"/>
        <v>2.009687619047539</v>
      </c>
      <c r="AC11" s="52">
        <f t="shared" si="9"/>
        <v>2.0099359307358511</v>
      </c>
      <c r="AD11" s="123">
        <f t="shared" si="9"/>
        <v>2.0108050216449422</v>
      </c>
      <c r="AE11" s="52">
        <f t="shared" si="9"/>
        <v>2.0111774891774101</v>
      </c>
      <c r="AF11" s="52">
        <f t="shared" si="9"/>
        <v>2.0119224242423455</v>
      </c>
      <c r="AG11" s="52">
        <f t="shared" si="9"/>
        <v>2.0124190476189687</v>
      </c>
      <c r="AH11" s="98">
        <f t="shared" si="9"/>
        <v>2.0130398268397482</v>
      </c>
    </row>
    <row r="12" spans="2:34" ht="15" customHeight="1" x14ac:dyDescent="0.25">
      <c r="B12" s="3">
        <f t="shared" si="13"/>
        <v>1180</v>
      </c>
      <c r="C12" s="4">
        <v>2.0230000000000001</v>
      </c>
      <c r="D12" s="4">
        <v>2.024</v>
      </c>
      <c r="E12" s="4">
        <v>2.0259999999999998</v>
      </c>
      <c r="F12" s="4">
        <v>2.0270000000000001</v>
      </c>
      <c r="G12" s="4">
        <v>2.028</v>
      </c>
      <c r="H12" s="5">
        <v>2.0299999999999998</v>
      </c>
      <c r="J12" s="78">
        <f t="shared" si="2"/>
        <v>1180</v>
      </c>
      <c r="K12" s="74">
        <f t="shared" si="3"/>
        <v>2.0220067532467532</v>
      </c>
      <c r="L12" s="74">
        <f t="shared" si="4"/>
        <v>2.021765194805194</v>
      </c>
      <c r="M12" s="74">
        <f t="shared" si="5"/>
        <v>2.0225236363636347</v>
      </c>
      <c r="N12" s="74">
        <f t="shared" si="6"/>
        <v>2.022282077922076</v>
      </c>
      <c r="O12" s="74">
        <f t="shared" si="7"/>
        <v>2.0220405194805169</v>
      </c>
      <c r="P12" s="74">
        <f t="shared" si="8"/>
        <v>2.0227989610389581</v>
      </c>
      <c r="Q12" s="7">
        <f t="shared" si="10"/>
        <v>1392400</v>
      </c>
      <c r="R12" s="83">
        <f t="shared" si="11"/>
        <v>14317.432228571417</v>
      </c>
      <c r="T12" s="7">
        <f t="shared" si="12"/>
        <v>1180</v>
      </c>
      <c r="U12" s="97">
        <f t="shared" si="9"/>
        <v>2.0224884848483939</v>
      </c>
      <c r="V12" s="52">
        <f t="shared" si="9"/>
        <v>2.0236058874457972</v>
      </c>
      <c r="W12" s="52">
        <f t="shared" si="9"/>
        <v>2.0245991341990441</v>
      </c>
      <c r="X12" s="52">
        <f t="shared" si="9"/>
        <v>2.0247232900432</v>
      </c>
      <c r="Y12" s="52">
        <f t="shared" si="9"/>
        <v>2.0258406926406032</v>
      </c>
      <c r="Z12" s="52">
        <f t="shared" si="9"/>
        <v>2.0269580952380064</v>
      </c>
      <c r="AA12" s="52">
        <f t="shared" si="9"/>
        <v>2.0270822510821622</v>
      </c>
      <c r="AB12" s="131">
        <f t="shared" si="9"/>
        <v>2.0280754978354092</v>
      </c>
      <c r="AC12" s="52">
        <f t="shared" si="9"/>
        <v>2.0283238095237213</v>
      </c>
      <c r="AD12" s="123">
        <f t="shared" si="9"/>
        <v>2.0291929004328124</v>
      </c>
      <c r="AE12" s="52">
        <f t="shared" si="9"/>
        <v>2.0295653679652803</v>
      </c>
      <c r="AF12" s="52">
        <f t="shared" si="9"/>
        <v>2.0303103030302156</v>
      </c>
      <c r="AG12" s="52">
        <f t="shared" si="9"/>
        <v>2.0308069264068389</v>
      </c>
      <c r="AH12" s="98">
        <f t="shared" si="9"/>
        <v>2.0314277056276184</v>
      </c>
    </row>
    <row r="13" spans="2:34" ht="15" customHeight="1" x14ac:dyDescent="0.25">
      <c r="B13" s="60">
        <f t="shared" si="13"/>
        <v>1200</v>
      </c>
      <c r="C13" s="61">
        <v>2.0409999999999999</v>
      </c>
      <c r="D13" s="61">
        <v>2.0419999999999998</v>
      </c>
      <c r="E13" s="61">
        <v>2.044</v>
      </c>
      <c r="F13" s="61">
        <v>2.0449999999999999</v>
      </c>
      <c r="G13" s="61">
        <v>2.0459999999999998</v>
      </c>
      <c r="H13" s="61">
        <v>2.048</v>
      </c>
      <c r="J13" s="79">
        <f t="shared" si="2"/>
        <v>1200</v>
      </c>
      <c r="K13" s="74">
        <f t="shared" si="3"/>
        <v>2.040006753246753</v>
      </c>
      <c r="L13" s="74">
        <f t="shared" si="4"/>
        <v>2.0397651948051938</v>
      </c>
      <c r="M13" s="74">
        <f t="shared" si="5"/>
        <v>2.040523636363635</v>
      </c>
      <c r="N13" s="74">
        <f t="shared" si="6"/>
        <v>2.0402820779220758</v>
      </c>
      <c r="O13" s="74">
        <f t="shared" si="7"/>
        <v>2.0400405194805167</v>
      </c>
      <c r="P13" s="74">
        <f t="shared" si="8"/>
        <v>2.0407989610389583</v>
      </c>
      <c r="Q13" s="7">
        <f t="shared" si="10"/>
        <v>1440000</v>
      </c>
      <c r="R13" s="83">
        <f t="shared" si="11"/>
        <v>14689.700571428561</v>
      </c>
      <c r="T13" s="126">
        <f t="shared" si="12"/>
        <v>1200</v>
      </c>
      <c r="U13" s="127">
        <f t="shared" si="9"/>
        <v>2.0408763636362646</v>
      </c>
      <c r="V13" s="128">
        <f t="shared" si="9"/>
        <v>2.0419937662336678</v>
      </c>
      <c r="W13" s="128">
        <f t="shared" si="9"/>
        <v>2.0429870129869148</v>
      </c>
      <c r="X13" s="128">
        <f t="shared" si="9"/>
        <v>2.0431111688310706</v>
      </c>
      <c r="Y13" s="128">
        <f t="shared" si="9"/>
        <v>2.0442285714284738</v>
      </c>
      <c r="Z13" s="128">
        <f t="shared" si="9"/>
        <v>2.045345974025877</v>
      </c>
      <c r="AA13" s="128">
        <f t="shared" si="9"/>
        <v>2.0454701298700328</v>
      </c>
      <c r="AB13" s="132">
        <f t="shared" si="9"/>
        <v>2.0464633766232798</v>
      </c>
      <c r="AC13" s="128">
        <f t="shared" si="9"/>
        <v>2.0467116883115919</v>
      </c>
      <c r="AD13" s="128">
        <f t="shared" si="9"/>
        <v>2.047580779220683</v>
      </c>
      <c r="AE13" s="128">
        <f t="shared" si="9"/>
        <v>2.0479532467531509</v>
      </c>
      <c r="AF13" s="128">
        <f t="shared" si="9"/>
        <v>2.0486981818180863</v>
      </c>
      <c r="AG13" s="128">
        <f t="shared" si="9"/>
        <v>2.0491948051947095</v>
      </c>
      <c r="AH13" s="129">
        <f t="shared" si="9"/>
        <v>2.0498155844154891</v>
      </c>
    </row>
    <row r="14" spans="2:34" ht="15" customHeight="1" x14ac:dyDescent="0.25">
      <c r="B14" s="3">
        <f t="shared" si="13"/>
        <v>1220</v>
      </c>
      <c r="C14" s="4">
        <v>2.06</v>
      </c>
      <c r="D14" s="4">
        <v>2.0609999999999999</v>
      </c>
      <c r="E14" s="4">
        <v>2.0619999999999998</v>
      </c>
      <c r="F14" s="4">
        <v>2.0640000000000001</v>
      </c>
      <c r="G14" s="4">
        <v>2.0649999999999999</v>
      </c>
      <c r="H14" s="5">
        <v>2.0659999999999998</v>
      </c>
      <c r="J14" s="78">
        <f t="shared" si="2"/>
        <v>1220</v>
      </c>
      <c r="K14" s="74">
        <f t="shared" si="3"/>
        <v>2.0590067532467531</v>
      </c>
      <c r="L14" s="74">
        <f t="shared" si="4"/>
        <v>2.0587651948051939</v>
      </c>
      <c r="M14" s="74">
        <f t="shared" si="5"/>
        <v>2.0585236363636348</v>
      </c>
      <c r="N14" s="74">
        <f t="shared" si="6"/>
        <v>2.059282077922076</v>
      </c>
      <c r="O14" s="74">
        <f t="shared" si="7"/>
        <v>2.0590405194805168</v>
      </c>
      <c r="P14" s="74">
        <f t="shared" si="8"/>
        <v>2.0587989610389581</v>
      </c>
      <c r="Q14" s="7">
        <f t="shared" si="10"/>
        <v>1488400</v>
      </c>
      <c r="R14" s="83">
        <f t="shared" si="11"/>
        <v>15071.168914285701</v>
      </c>
      <c r="T14" s="7">
        <f t="shared" si="12"/>
        <v>1220</v>
      </c>
      <c r="U14" s="97">
        <f t="shared" si="9"/>
        <v>2.0592642424241352</v>
      </c>
      <c r="V14" s="52">
        <f t="shared" si="9"/>
        <v>2.0603816450215384</v>
      </c>
      <c r="W14" s="52">
        <f t="shared" si="9"/>
        <v>2.0613748917747854</v>
      </c>
      <c r="X14" s="52">
        <f t="shared" si="9"/>
        <v>2.0614990476189412</v>
      </c>
      <c r="Y14" s="52">
        <f t="shared" si="9"/>
        <v>2.0626164502163444</v>
      </c>
      <c r="Z14" s="52">
        <f t="shared" si="9"/>
        <v>2.0637338528137477</v>
      </c>
      <c r="AA14" s="52">
        <f t="shared" si="9"/>
        <v>2.0638580086579035</v>
      </c>
      <c r="AB14" s="131">
        <f t="shared" si="9"/>
        <v>2.0648512554111504</v>
      </c>
      <c r="AC14" s="52">
        <f t="shared" si="9"/>
        <v>2.0650995670994625</v>
      </c>
      <c r="AD14" s="123">
        <f t="shared" si="9"/>
        <v>2.0659686580085537</v>
      </c>
      <c r="AE14" s="52">
        <f t="shared" si="9"/>
        <v>2.0663411255410216</v>
      </c>
      <c r="AF14" s="52">
        <f t="shared" si="9"/>
        <v>2.0670860606059569</v>
      </c>
      <c r="AG14" s="52">
        <f t="shared" si="9"/>
        <v>2.0675826839825802</v>
      </c>
      <c r="AH14" s="98">
        <f t="shared" si="9"/>
        <v>2.0682034632033597</v>
      </c>
    </row>
    <row r="15" spans="2:34" ht="15" customHeight="1" x14ac:dyDescent="0.25">
      <c r="B15" s="3">
        <f t="shared" si="13"/>
        <v>1240</v>
      </c>
      <c r="C15" s="4">
        <v>2.0790000000000002</v>
      </c>
      <c r="D15" s="4">
        <v>2.08</v>
      </c>
      <c r="E15" s="4">
        <v>2.081</v>
      </c>
      <c r="F15" s="4">
        <v>2.0830000000000002</v>
      </c>
      <c r="G15" s="4">
        <v>2.0840000000000001</v>
      </c>
      <c r="H15" s="5">
        <v>2.085</v>
      </c>
      <c r="J15" s="78">
        <f t="shared" si="2"/>
        <v>1240</v>
      </c>
      <c r="K15" s="74">
        <f t="shared" si="3"/>
        <v>2.0780067532467532</v>
      </c>
      <c r="L15" s="74">
        <f t="shared" si="4"/>
        <v>2.0777651948051941</v>
      </c>
      <c r="M15" s="74">
        <f t="shared" si="5"/>
        <v>2.0775236363636349</v>
      </c>
      <c r="N15" s="74">
        <f t="shared" si="6"/>
        <v>2.0782820779220761</v>
      </c>
      <c r="O15" s="74">
        <f t="shared" si="7"/>
        <v>2.0780405194805169</v>
      </c>
      <c r="P15" s="74">
        <f t="shared" si="8"/>
        <v>2.0777989610389582</v>
      </c>
      <c r="Q15" s="7">
        <f t="shared" si="10"/>
        <v>1537600</v>
      </c>
      <c r="R15" s="83">
        <f t="shared" si="11"/>
        <v>15459.597257142845</v>
      </c>
      <c r="T15" s="7">
        <f t="shared" si="12"/>
        <v>1240</v>
      </c>
      <c r="U15" s="97">
        <f t="shared" si="9"/>
        <v>2.0776521212120058</v>
      </c>
      <c r="V15" s="52">
        <f t="shared" si="9"/>
        <v>2.078769523809409</v>
      </c>
      <c r="W15" s="52">
        <f t="shared" si="9"/>
        <v>2.079762770562656</v>
      </c>
      <c r="X15" s="52">
        <f t="shared" si="9"/>
        <v>2.0798869264068118</v>
      </c>
      <c r="Y15" s="52">
        <f t="shared" si="9"/>
        <v>2.0810043290042151</v>
      </c>
      <c r="Z15" s="52">
        <f t="shared" si="9"/>
        <v>2.0821217316016183</v>
      </c>
      <c r="AA15" s="52">
        <f t="shared" si="9"/>
        <v>2.0822458874457741</v>
      </c>
      <c r="AB15" s="131">
        <f t="shared" si="9"/>
        <v>2.0832391341990211</v>
      </c>
      <c r="AC15" s="52">
        <f t="shared" si="9"/>
        <v>2.0834874458873331</v>
      </c>
      <c r="AD15" s="123">
        <f t="shared" si="9"/>
        <v>2.0843565367964243</v>
      </c>
      <c r="AE15" s="52">
        <f t="shared" si="9"/>
        <v>2.0847290043288922</v>
      </c>
      <c r="AF15" s="52">
        <f t="shared" si="9"/>
        <v>2.0854739393938275</v>
      </c>
      <c r="AG15" s="52">
        <f t="shared" si="9"/>
        <v>2.0859705627704508</v>
      </c>
      <c r="AH15" s="98">
        <f t="shared" si="9"/>
        <v>2.0865913419912303</v>
      </c>
    </row>
    <row r="16" spans="2:34" ht="15" customHeight="1" x14ac:dyDescent="0.25">
      <c r="B16" s="3">
        <f t="shared" si="13"/>
        <v>1260</v>
      </c>
      <c r="C16" s="4">
        <v>2.0979999999999999</v>
      </c>
      <c r="D16" s="4">
        <v>2.0990000000000002</v>
      </c>
      <c r="E16" s="4">
        <v>2.101</v>
      </c>
      <c r="F16" s="4">
        <v>2.1019999999999999</v>
      </c>
      <c r="G16" s="4">
        <v>2.1030000000000002</v>
      </c>
      <c r="H16" s="5">
        <v>2.1040000000000001</v>
      </c>
      <c r="J16" s="78">
        <f t="shared" si="2"/>
        <v>1260</v>
      </c>
      <c r="K16" s="74">
        <f t="shared" si="3"/>
        <v>2.0970067532467529</v>
      </c>
      <c r="L16" s="74">
        <f t="shared" si="4"/>
        <v>2.0967651948051942</v>
      </c>
      <c r="M16" s="74">
        <f t="shared" si="5"/>
        <v>2.0975236363636349</v>
      </c>
      <c r="N16" s="74">
        <f t="shared" si="6"/>
        <v>2.0972820779220758</v>
      </c>
      <c r="O16" s="74">
        <f t="shared" si="7"/>
        <v>2.0970405194805171</v>
      </c>
      <c r="P16" s="74">
        <f t="shared" si="8"/>
        <v>2.0967989610389584</v>
      </c>
      <c r="Q16" s="7">
        <f t="shared" si="10"/>
        <v>1587600</v>
      </c>
      <c r="R16" s="83">
        <f t="shared" si="11"/>
        <v>15853.845599999988</v>
      </c>
      <c r="T16" s="7">
        <f t="shared" si="12"/>
        <v>1260</v>
      </c>
      <c r="U16" s="97">
        <f t="shared" si="9"/>
        <v>2.096039999999876</v>
      </c>
      <c r="V16" s="52">
        <f t="shared" si="9"/>
        <v>2.0971574025972792</v>
      </c>
      <c r="W16" s="52">
        <f t="shared" si="9"/>
        <v>2.0981506493505262</v>
      </c>
      <c r="X16" s="52">
        <f t="shared" si="9"/>
        <v>2.098274805194682</v>
      </c>
      <c r="Y16" s="52">
        <f t="shared" si="9"/>
        <v>2.0993922077920852</v>
      </c>
      <c r="Z16" s="52">
        <f t="shared" si="9"/>
        <v>2.1005096103894885</v>
      </c>
      <c r="AA16" s="52">
        <f t="shared" si="9"/>
        <v>2.1006337662336443</v>
      </c>
      <c r="AB16" s="131">
        <f t="shared" si="9"/>
        <v>2.1016270129868913</v>
      </c>
      <c r="AC16" s="52">
        <f t="shared" si="9"/>
        <v>2.1018753246752033</v>
      </c>
      <c r="AD16" s="123">
        <f t="shared" si="9"/>
        <v>2.1027444155842945</v>
      </c>
      <c r="AE16" s="52">
        <f t="shared" si="9"/>
        <v>2.1031168831167624</v>
      </c>
      <c r="AF16" s="52">
        <f t="shared" si="9"/>
        <v>2.1038618181816977</v>
      </c>
      <c r="AG16" s="52">
        <f t="shared" si="9"/>
        <v>2.104358441558321</v>
      </c>
      <c r="AH16" s="98">
        <f t="shared" si="9"/>
        <v>2.1049792207791005</v>
      </c>
    </row>
    <row r="17" spans="1:34" ht="15" customHeight="1" x14ac:dyDescent="0.25">
      <c r="B17" s="3">
        <f t="shared" si="13"/>
        <v>1280</v>
      </c>
      <c r="C17" s="4">
        <v>2.1179999999999999</v>
      </c>
      <c r="D17" s="4">
        <v>2.1190000000000002</v>
      </c>
      <c r="E17" s="4">
        <v>2.12</v>
      </c>
      <c r="F17" s="4">
        <v>2.121</v>
      </c>
      <c r="G17" s="4">
        <v>2.1219999999999999</v>
      </c>
      <c r="H17" s="5">
        <v>2.1230000000000002</v>
      </c>
      <c r="J17" s="78">
        <f t="shared" si="2"/>
        <v>1280</v>
      </c>
      <c r="K17" s="74">
        <f t="shared" si="3"/>
        <v>2.1170067532467529</v>
      </c>
      <c r="L17" s="74">
        <f t="shared" si="4"/>
        <v>2.1167651948051942</v>
      </c>
      <c r="M17" s="74">
        <f t="shared" si="5"/>
        <v>2.1165236363636351</v>
      </c>
      <c r="N17" s="74">
        <f t="shared" si="6"/>
        <v>2.1162820779220759</v>
      </c>
      <c r="O17" s="74">
        <f t="shared" si="7"/>
        <v>2.1160405194805167</v>
      </c>
      <c r="P17" s="74">
        <f t="shared" si="8"/>
        <v>2.1157989610389585</v>
      </c>
      <c r="Q17" s="7">
        <f t="shared" si="10"/>
        <v>1638400</v>
      </c>
      <c r="R17" s="83">
        <f t="shared" si="11"/>
        <v>16253.97394285713</v>
      </c>
      <c r="T17" s="7">
        <f t="shared" si="12"/>
        <v>1280</v>
      </c>
      <c r="U17" s="97">
        <f t="shared" si="9"/>
        <v>2.1144278787877466</v>
      </c>
      <c r="V17" s="52">
        <f t="shared" si="9"/>
        <v>2.1155452813851499</v>
      </c>
      <c r="W17" s="52">
        <f t="shared" si="9"/>
        <v>2.1165385281383968</v>
      </c>
      <c r="X17" s="52">
        <f t="shared" si="9"/>
        <v>2.1166626839825526</v>
      </c>
      <c r="Y17" s="52">
        <f t="shared" si="9"/>
        <v>2.1177800865799559</v>
      </c>
      <c r="Z17" s="52">
        <f t="shared" si="9"/>
        <v>2.1188974891773591</v>
      </c>
      <c r="AA17" s="52">
        <f t="shared" si="9"/>
        <v>2.1190216450215149</v>
      </c>
      <c r="AB17" s="131">
        <f t="shared" si="9"/>
        <v>2.1200148917747619</v>
      </c>
      <c r="AC17" s="52">
        <f t="shared" si="9"/>
        <v>2.120263203463074</v>
      </c>
      <c r="AD17" s="123">
        <f t="shared" si="9"/>
        <v>2.1211322943721651</v>
      </c>
      <c r="AE17" s="52">
        <f t="shared" si="9"/>
        <v>2.121504761904633</v>
      </c>
      <c r="AF17" s="52">
        <f t="shared" si="9"/>
        <v>2.1222496969695683</v>
      </c>
      <c r="AG17" s="52">
        <f t="shared" si="9"/>
        <v>2.1227463203461916</v>
      </c>
      <c r="AH17" s="98">
        <f t="shared" si="9"/>
        <v>2.1233670995669711</v>
      </c>
    </row>
    <row r="18" spans="1:34" ht="15" customHeight="1" x14ac:dyDescent="0.25">
      <c r="B18" s="3">
        <f t="shared" si="13"/>
        <v>1300</v>
      </c>
      <c r="C18" s="4">
        <v>2.1379999999999999</v>
      </c>
      <c r="D18" s="4">
        <v>2.1389999999999998</v>
      </c>
      <c r="E18" s="4">
        <v>2.14</v>
      </c>
      <c r="F18" s="4">
        <v>2.141</v>
      </c>
      <c r="G18" s="4">
        <v>2.1419999999999999</v>
      </c>
      <c r="H18" s="5">
        <v>2.1429999999999998</v>
      </c>
      <c r="J18" s="80">
        <f t="shared" si="2"/>
        <v>1300</v>
      </c>
      <c r="K18" s="74">
        <f t="shared" si="3"/>
        <v>2.1370067532467529</v>
      </c>
      <c r="L18" s="74">
        <f t="shared" si="4"/>
        <v>2.1367651948051938</v>
      </c>
      <c r="M18" s="74">
        <f t="shared" si="5"/>
        <v>2.1365236363636351</v>
      </c>
      <c r="N18" s="74">
        <f t="shared" si="6"/>
        <v>2.1362820779220759</v>
      </c>
      <c r="O18" s="74">
        <f t="shared" si="7"/>
        <v>2.1360405194805168</v>
      </c>
      <c r="P18" s="74">
        <f t="shared" si="8"/>
        <v>2.1357989610389581</v>
      </c>
      <c r="Q18" s="7">
        <f t="shared" si="10"/>
        <v>1690000</v>
      </c>
      <c r="R18" s="83">
        <f t="shared" si="11"/>
        <v>16663.942285714271</v>
      </c>
      <c r="T18" s="7">
        <f>B18</f>
        <v>1300</v>
      </c>
      <c r="U18" s="99">
        <f t="shared" si="9"/>
        <v>2.1328157575756173</v>
      </c>
      <c r="V18" s="100">
        <f t="shared" si="9"/>
        <v>2.1339331601730205</v>
      </c>
      <c r="W18" s="100">
        <f t="shared" si="9"/>
        <v>2.1349264069262675</v>
      </c>
      <c r="X18" s="100">
        <f t="shared" si="9"/>
        <v>2.1350505627704233</v>
      </c>
      <c r="Y18" s="100">
        <f t="shared" si="9"/>
        <v>2.1361679653678265</v>
      </c>
      <c r="Z18" s="100">
        <f t="shared" si="9"/>
        <v>2.1372853679652297</v>
      </c>
      <c r="AA18" s="100">
        <f t="shared" si="9"/>
        <v>2.1374095238093855</v>
      </c>
      <c r="AB18" s="133">
        <f t="shared" si="9"/>
        <v>2.1384027705626325</v>
      </c>
      <c r="AC18" s="100">
        <f t="shared" si="9"/>
        <v>2.1386510822509446</v>
      </c>
      <c r="AD18" s="124">
        <f t="shared" si="9"/>
        <v>2.1395201731600357</v>
      </c>
      <c r="AE18" s="100">
        <f t="shared" si="9"/>
        <v>2.1398926406925036</v>
      </c>
      <c r="AF18" s="100">
        <f t="shared" si="9"/>
        <v>2.140637575757439</v>
      </c>
      <c r="AG18" s="100">
        <f t="shared" si="9"/>
        <v>2.1411341991340622</v>
      </c>
      <c r="AH18" s="101">
        <f t="shared" si="9"/>
        <v>2.1417549783548417</v>
      </c>
    </row>
    <row r="19" spans="1:34" ht="15" customHeight="1" x14ac:dyDescent="0.25">
      <c r="A19" s="22" t="s">
        <v>24</v>
      </c>
      <c r="B19" s="23">
        <f t="shared" ref="B19:H19" si="14">SUM(B8:B18)</f>
        <v>13200</v>
      </c>
      <c r="C19" s="20">
        <f t="shared" si="14"/>
        <v>22.472999999999999</v>
      </c>
      <c r="D19" s="20">
        <f t="shared" si="14"/>
        <v>22.486000000000001</v>
      </c>
      <c r="E19" s="20">
        <f t="shared" si="14"/>
        <v>22.501000000000001</v>
      </c>
      <c r="F19" s="20">
        <f t="shared" si="14"/>
        <v>22.514000000000003</v>
      </c>
      <c r="G19" s="20">
        <f t="shared" si="14"/>
        <v>22.526</v>
      </c>
      <c r="H19" s="21">
        <f t="shared" si="14"/>
        <v>22.542000000000002</v>
      </c>
      <c r="I19" s="19" t="s">
        <v>24</v>
      </c>
      <c r="J19" s="23">
        <f>6*SUM(J8:J18)</f>
        <v>79200</v>
      </c>
      <c r="K19" s="1192">
        <f>SUM(K8:P18)</f>
        <v>134.77158857142854</v>
      </c>
      <c r="L19" s="1192"/>
      <c r="M19" s="1192"/>
      <c r="N19" s="1192"/>
      <c r="O19" s="1192"/>
      <c r="P19" s="1192"/>
      <c r="Q19" s="84">
        <f>6*SUM(Q8:Q18)</f>
        <v>95304000</v>
      </c>
      <c r="R19" s="85">
        <f>SUM(R8:R18)</f>
        <v>161968.62628571416</v>
      </c>
      <c r="S19" s="19" t="s">
        <v>24</v>
      </c>
      <c r="T19" s="23">
        <f>SUM(T8:T18)</f>
        <v>13200</v>
      </c>
      <c r="U19" s="99">
        <f t="shared" ref="U19" si="15">SUM(U8:U18)</f>
        <v>22.449639999998908</v>
      </c>
      <c r="V19" s="100">
        <f t="shared" ref="V19" si="16">SUM(V8:V18)</f>
        <v>22.461931428570345</v>
      </c>
      <c r="W19" s="106">
        <f t="shared" ref="W19" si="17">SUM(W8:W18)</f>
        <v>22.472857142856061</v>
      </c>
      <c r="X19" s="100">
        <f t="shared" ref="X19" si="18">SUM(X8:X18)</f>
        <v>22.474222857141775</v>
      </c>
      <c r="Y19" s="106">
        <f t="shared" ref="Y19" si="19">SUM(Y8:Y18)</f>
        <v>22.486514285713209</v>
      </c>
      <c r="Z19" s="100">
        <f t="shared" ref="Z19" si="20">SUM(Z8:Z18)</f>
        <v>22.498805714284646</v>
      </c>
      <c r="AA19" s="106">
        <f t="shared" ref="AA19" si="21">SUM(AA8:AA18)</f>
        <v>22.500171428570365</v>
      </c>
      <c r="AB19" s="133">
        <f t="shared" ref="AB19" si="22">SUM(AB8:AB18)</f>
        <v>22.51109714285608</v>
      </c>
      <c r="AC19" s="106">
        <f t="shared" ref="AC19" si="23">SUM(AC8:AC18)</f>
        <v>22.51382857142751</v>
      </c>
      <c r="AD19" s="124">
        <f t="shared" ref="AD19" si="24">SUM(AD8:AD18)</f>
        <v>22.523388571427517</v>
      </c>
      <c r="AE19" s="106">
        <f t="shared" ref="AE19" si="25">SUM(AE8:AE18)</f>
        <v>22.527485714284659</v>
      </c>
      <c r="AF19" s="100">
        <f t="shared" ref="AF19" si="26">SUM(AF8:AF18)</f>
        <v>22.535679999998948</v>
      </c>
      <c r="AG19" s="106">
        <f t="shared" ref="AG19" si="27">SUM(AG8:AG18)</f>
        <v>22.541142857141807</v>
      </c>
      <c r="AH19" s="101">
        <f t="shared" ref="AH19" si="28">SUM(AH8:AH18)</f>
        <v>22.547971428570378</v>
      </c>
    </row>
    <row r="20" spans="1:34" ht="15" customHeight="1" x14ac:dyDescent="0.3">
      <c r="A20" s="26"/>
      <c r="B20" s="26"/>
      <c r="C20" s="26"/>
      <c r="D20" s="26"/>
      <c r="E20" s="26"/>
      <c r="F20" s="26"/>
      <c r="G20" s="26"/>
      <c r="H20" s="26"/>
      <c r="I20" s="29"/>
      <c r="J20" s="29"/>
      <c r="K20" s="29"/>
      <c r="R20" s="29"/>
      <c r="S20" s="29"/>
      <c r="T20" s="29"/>
      <c r="U20" s="29"/>
      <c r="V20" s="425"/>
      <c r="W20" s="425"/>
      <c r="X20" s="425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</row>
    <row r="21" spans="1:34" ht="15" customHeight="1" x14ac:dyDescent="0.3">
      <c r="A21" s="29"/>
      <c r="B21" s="45" t="s">
        <v>25</v>
      </c>
      <c r="C21" s="32" t="s">
        <v>26</v>
      </c>
      <c r="D21" s="33" t="s">
        <v>27</v>
      </c>
      <c r="E21" s="34" t="s">
        <v>22</v>
      </c>
      <c r="F21" s="32" t="s">
        <v>28</v>
      </c>
      <c r="G21" s="62" t="s">
        <v>29</v>
      </c>
      <c r="H21" s="38"/>
      <c r="I21" s="11"/>
      <c r="J21" s="81">
        <f>$Q$19</f>
        <v>95304000</v>
      </c>
      <c r="K21" s="86">
        <f>$J$19</f>
        <v>79200</v>
      </c>
      <c r="L21" s="87">
        <f>$R$19</f>
        <v>161968.62628571416</v>
      </c>
      <c r="M21" s="91" t="s">
        <v>30</v>
      </c>
      <c r="N21" s="77">
        <f>MDETERM(J21:K22)</f>
        <v>17424000.000000637</v>
      </c>
      <c r="V21" s="52"/>
      <c r="AA21" s="52"/>
      <c r="AC21" s="423"/>
      <c r="AD21" s="424"/>
      <c r="AE21" s="423"/>
      <c r="AF21" s="424"/>
      <c r="AG21" s="423"/>
      <c r="AH21" s="424"/>
    </row>
    <row r="22" spans="1:34" ht="15" customHeight="1" x14ac:dyDescent="0.3">
      <c r="A22" s="29"/>
      <c r="B22" s="46">
        <f>C5</f>
        <v>4.4444444444444446</v>
      </c>
      <c r="C22" s="35">
        <f>B22^2</f>
        <v>19.753086419753089</v>
      </c>
      <c r="D22" s="66">
        <f>C19/11</f>
        <v>2.0429999999999997</v>
      </c>
      <c r="E22" s="38">
        <f>B22*D22</f>
        <v>9.0799999999999983</v>
      </c>
      <c r="F22" s="63">
        <f t="shared" ref="F22:F27" si="29">$E$34+$E$32*B22</f>
        <v>2.0429870129870125</v>
      </c>
      <c r="G22" s="24">
        <f>(D22-F22)^2</f>
        <v>1.6866250633079894E-10</v>
      </c>
      <c r="H22" s="38"/>
      <c r="I22" s="11"/>
      <c r="J22" s="75">
        <f>$J$19</f>
        <v>79200</v>
      </c>
      <c r="K22" s="414">
        <v>66</v>
      </c>
      <c r="L22" s="88">
        <f>$K$19</f>
        <v>134.77158857142854</v>
      </c>
      <c r="AC22" s="424"/>
      <c r="AD22" s="424"/>
      <c r="AE22" s="424"/>
      <c r="AF22" s="424"/>
      <c r="AG22" s="424"/>
      <c r="AH22" s="424"/>
    </row>
    <row r="23" spans="1:34" ht="15" customHeight="1" x14ac:dyDescent="0.3">
      <c r="A23" s="29"/>
      <c r="B23" s="46">
        <f>D5</f>
        <v>10</v>
      </c>
      <c r="C23" s="35">
        <f t="shared" ref="C23:C27" si="30">B23^2</f>
        <v>100</v>
      </c>
      <c r="D23" s="66">
        <f>D19/11</f>
        <v>2.0441818181818183</v>
      </c>
      <c r="E23" s="38">
        <f t="shared" ref="E23:E27" si="31">B23*D23</f>
        <v>20.441818181818185</v>
      </c>
      <c r="F23" s="64">
        <f t="shared" si="29"/>
        <v>2.0442285714285715</v>
      </c>
      <c r="G23" s="25">
        <f t="shared" ref="G23:G27" si="32">(D23-F23)^2</f>
        <v>2.1858660819641039E-9</v>
      </c>
      <c r="H23" s="38"/>
      <c r="I23" s="11"/>
      <c r="J23" s="29"/>
      <c r="Z23" s="11"/>
      <c r="AC23" s="424"/>
      <c r="AD23" s="424"/>
      <c r="AE23" s="424"/>
      <c r="AF23" s="424"/>
      <c r="AG23" s="424"/>
      <c r="AH23" s="424"/>
    </row>
    <row r="24" spans="1:34" ht="15" customHeight="1" x14ac:dyDescent="0.3">
      <c r="A24" s="29"/>
      <c r="B24" s="46">
        <f>E5</f>
        <v>15.555555555555555</v>
      </c>
      <c r="C24" s="35">
        <f t="shared" si="30"/>
        <v>241.97530864197529</v>
      </c>
      <c r="D24" s="66">
        <f>E19/11</f>
        <v>2.0455454545454548</v>
      </c>
      <c r="E24" s="38">
        <f t="shared" si="31"/>
        <v>31.819595959595961</v>
      </c>
      <c r="F24" s="64">
        <f t="shared" si="29"/>
        <v>2.0454701298701305</v>
      </c>
      <c r="G24" s="25">
        <f t="shared" si="32"/>
        <v>5.6738067127004687E-9</v>
      </c>
      <c r="H24" s="38"/>
      <c r="I24" s="11"/>
      <c r="J24" s="89">
        <f>$R$19</f>
        <v>161968.62628571416</v>
      </c>
      <c r="K24" s="86">
        <f>$J$19</f>
        <v>79200</v>
      </c>
      <c r="L24" s="91" t="s">
        <v>31</v>
      </c>
      <c r="M24" s="77">
        <f>MDETERM(J24:K25)</f>
        <v>16019.51999999339</v>
      </c>
      <c r="W24" s="91" t="s">
        <v>32</v>
      </c>
      <c r="X24" s="422">
        <v>2.0459999999999998</v>
      </c>
      <c r="Y24" s="6" t="s">
        <v>8</v>
      </c>
      <c r="Z24" s="91" t="s">
        <v>4</v>
      </c>
      <c r="AA24" s="422">
        <v>9.1940000000000001E-4</v>
      </c>
      <c r="AB24" s="426"/>
      <c r="AC24" s="424"/>
      <c r="AD24" s="424"/>
      <c r="AE24" s="424"/>
      <c r="AF24" s="424"/>
      <c r="AG24" s="424"/>
      <c r="AH24" s="424"/>
    </row>
    <row r="25" spans="1:34" ht="15" customHeight="1" x14ac:dyDescent="0.3">
      <c r="A25" s="29"/>
      <c r="B25" s="46">
        <f>F5</f>
        <v>21.111111111111111</v>
      </c>
      <c r="C25" s="35">
        <f t="shared" si="30"/>
        <v>445.67901234567898</v>
      </c>
      <c r="D25" s="66">
        <f>F19/11</f>
        <v>2.046727272727273</v>
      </c>
      <c r="E25" s="38">
        <f t="shared" si="31"/>
        <v>43.208686868686875</v>
      </c>
      <c r="F25" s="64">
        <f t="shared" si="29"/>
        <v>2.0467116883116896</v>
      </c>
      <c r="G25" s="25">
        <f t="shared" si="32"/>
        <v>2.4287400907482525E-10</v>
      </c>
      <c r="H25" s="40"/>
      <c r="I25" s="11"/>
      <c r="J25" s="54">
        <f>$K$19</f>
        <v>134.77158857142854</v>
      </c>
      <c r="K25" s="414">
        <v>66</v>
      </c>
      <c r="L25" s="9" t="s">
        <v>4</v>
      </c>
      <c r="M25" s="8">
        <f>M24/$N$21</f>
        <v>9.1939393939352641E-4</v>
      </c>
      <c r="N25" s="29"/>
      <c r="W25" s="91" t="s">
        <v>33</v>
      </c>
      <c r="X25" s="13">
        <v>1200</v>
      </c>
      <c r="Y25" s="6" t="s">
        <v>34</v>
      </c>
      <c r="Z25" s="91" t="s">
        <v>35</v>
      </c>
      <c r="AA25" s="422">
        <v>2.2350000000000001E-4</v>
      </c>
      <c r="AC25" s="424"/>
      <c r="AD25" s="424"/>
      <c r="AE25" s="424"/>
      <c r="AF25" s="424"/>
      <c r="AG25" s="424"/>
      <c r="AH25" s="424"/>
    </row>
    <row r="26" spans="1:34" ht="15" customHeight="1" x14ac:dyDescent="0.3">
      <c r="A26" s="29"/>
      <c r="B26" s="46">
        <f>G5</f>
        <v>26.666666666666664</v>
      </c>
      <c r="C26" s="35">
        <f t="shared" si="30"/>
        <v>711.11111111111097</v>
      </c>
      <c r="D26" s="66">
        <f>G19/11</f>
        <v>2.0478181818181818</v>
      </c>
      <c r="E26" s="38">
        <f t="shared" si="31"/>
        <v>54.608484848484842</v>
      </c>
      <c r="F26" s="64">
        <f t="shared" si="29"/>
        <v>2.0479532467532486</v>
      </c>
      <c r="G26" s="25">
        <f t="shared" si="32"/>
        <v>1.8242536684619251E-8</v>
      </c>
      <c r="H26" s="39"/>
      <c r="I26" s="11"/>
      <c r="J26" s="29"/>
      <c r="K26" s="29"/>
      <c r="L26" s="29"/>
      <c r="M26" s="29"/>
      <c r="N26" s="29"/>
      <c r="W26" s="91" t="s">
        <v>36</v>
      </c>
      <c r="X26" s="8">
        <v>20</v>
      </c>
      <c r="Y26" s="6" t="s">
        <v>37</v>
      </c>
      <c r="AC26" s="424"/>
      <c r="AD26" s="424"/>
      <c r="AE26" s="424"/>
      <c r="AF26" s="424"/>
      <c r="AG26" s="424"/>
      <c r="AH26" s="424"/>
    </row>
    <row r="27" spans="1:34" ht="15" customHeight="1" x14ac:dyDescent="0.3">
      <c r="A27" s="29"/>
      <c r="B27" s="47">
        <f>H5</f>
        <v>32.222222222222221</v>
      </c>
      <c r="C27" s="35">
        <f t="shared" si="30"/>
        <v>1038.2716049382716</v>
      </c>
      <c r="D27" s="66">
        <f>H19/11</f>
        <v>2.0492727272727276</v>
      </c>
      <c r="E27" s="38">
        <f t="shared" si="31"/>
        <v>66.032121212121226</v>
      </c>
      <c r="F27" s="65">
        <f t="shared" si="29"/>
        <v>2.0491948051948072</v>
      </c>
      <c r="G27" s="68">
        <f t="shared" si="32"/>
        <v>6.0718502274243005E-9</v>
      </c>
      <c r="H27" s="41"/>
      <c r="I27" s="11"/>
      <c r="J27" s="81">
        <f>$Q$19</f>
        <v>95304000</v>
      </c>
      <c r="K27" s="82">
        <f>$R$19</f>
        <v>161968.62628571416</v>
      </c>
      <c r="L27" s="91" t="s">
        <v>38</v>
      </c>
      <c r="M27" s="77">
        <f>MDETERM(J27:K28)</f>
        <v>16356275.382864667</v>
      </c>
      <c r="N27" s="29"/>
      <c r="W27" s="91"/>
      <c r="X27" s="8"/>
      <c r="AC27" s="424"/>
      <c r="AD27" s="424"/>
      <c r="AE27" s="424"/>
      <c r="AF27" s="424"/>
      <c r="AG27" s="424"/>
      <c r="AH27" s="424"/>
    </row>
    <row r="28" spans="1:34" ht="15" customHeight="1" x14ac:dyDescent="0.3">
      <c r="A28" s="59" t="s">
        <v>24</v>
      </c>
      <c r="B28" s="31">
        <f>SUM(B22:B27)</f>
        <v>110</v>
      </c>
      <c r="C28" s="49">
        <f>SUM(C22:C27)</f>
        <v>2556.7901234567898</v>
      </c>
      <c r="D28" s="411">
        <f>SUM(D22:D27)</f>
        <v>12.276545454545454</v>
      </c>
      <c r="E28" s="21">
        <f>SUM(E22:E27)</f>
        <v>225.19070707070711</v>
      </c>
      <c r="F28" s="72">
        <f>SUM(F22:F27)</f>
        <v>12.27654545454546</v>
      </c>
      <c r="I28" s="11"/>
      <c r="J28" s="75">
        <f>$J$19</f>
        <v>79200</v>
      </c>
      <c r="K28" s="90">
        <f>$K$19</f>
        <v>134.77158857142854</v>
      </c>
      <c r="L28" s="9" t="s">
        <v>7</v>
      </c>
      <c r="M28" s="8">
        <f>M27/$N$21</f>
        <v>0.93872103896143644</v>
      </c>
      <c r="N28" s="29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</row>
    <row r="29" spans="1:34" ht="15" customHeight="1" x14ac:dyDescent="0.3">
      <c r="A29" s="29"/>
      <c r="B29" s="43">
        <f>$C$28</f>
        <v>2556.7901234567898</v>
      </c>
      <c r="C29" s="30">
        <f>$B$28</f>
        <v>110</v>
      </c>
      <c r="D29" s="50">
        <f>$E$28</f>
        <v>225.19070707070711</v>
      </c>
      <c r="E29" s="28" t="s">
        <v>39</v>
      </c>
      <c r="F29" s="71" t="s">
        <v>40</v>
      </c>
      <c r="G29" s="70">
        <f>((SUM(G22:G27))^0.5/D28)*100</f>
        <v>1.4704039466185191E-3</v>
      </c>
      <c r="H29" s="69"/>
      <c r="I29" s="11"/>
      <c r="J29" s="11"/>
      <c r="L29" s="29"/>
      <c r="M29" s="29"/>
      <c r="N29" s="29"/>
      <c r="O29" s="29"/>
      <c r="P29" s="29"/>
      <c r="V29" s="424"/>
      <c r="W29" s="424"/>
      <c r="X29" s="425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</row>
    <row r="30" spans="1:34" ht="15" customHeight="1" x14ac:dyDescent="0.3">
      <c r="A30" s="29"/>
      <c r="B30" s="44">
        <f>$B$28</f>
        <v>110</v>
      </c>
      <c r="C30" s="414">
        <v>6</v>
      </c>
      <c r="D30" s="51">
        <f>$D$28</f>
        <v>12.276545454545454</v>
      </c>
      <c r="E30" s="56">
        <f>MDETERM(B29:C30)</f>
        <v>3240.7407407407386</v>
      </c>
      <c r="F30" s="37"/>
      <c r="M30" s="11"/>
      <c r="V30" s="424"/>
      <c r="W30" s="424"/>
      <c r="X30" s="425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</row>
    <row r="31" spans="1:34" ht="15" customHeight="1" x14ac:dyDescent="0.3">
      <c r="A31" s="29"/>
      <c r="B31" s="50">
        <f>$E$28</f>
        <v>225.19070707070711</v>
      </c>
      <c r="C31" s="30">
        <f>$B$28</f>
        <v>110</v>
      </c>
      <c r="D31" s="55" t="s">
        <v>41</v>
      </c>
      <c r="E31" s="53" t="s">
        <v>42</v>
      </c>
      <c r="F31" s="8"/>
      <c r="G31" s="29"/>
      <c r="H31" s="29"/>
      <c r="M31" s="11"/>
      <c r="O31" s="35"/>
      <c r="P31" s="42"/>
      <c r="V31" s="424"/>
      <c r="W31" s="424"/>
      <c r="X31" s="425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</row>
    <row r="32" spans="1:34" ht="15" customHeight="1" x14ac:dyDescent="0.25">
      <c r="A32" s="29"/>
      <c r="B32" s="51">
        <f>$D$28</f>
        <v>12.276545454545454</v>
      </c>
      <c r="C32" s="414">
        <v>6</v>
      </c>
      <c r="D32" s="54">
        <f>MDETERM(B31:C32)</f>
        <v>0.72424242424272511</v>
      </c>
      <c r="E32" s="67">
        <f>D32/$E$30</f>
        <v>2.2348051948061247E-4</v>
      </c>
      <c r="F32" s="37"/>
      <c r="G32" s="29"/>
      <c r="H32" s="29"/>
      <c r="M32" s="11"/>
      <c r="O32" s="35"/>
      <c r="P32" s="42"/>
      <c r="T32" s="29"/>
      <c r="U32" s="29"/>
      <c r="V32" s="29"/>
      <c r="W32" s="29"/>
      <c r="X32" s="29"/>
    </row>
    <row r="33" spans="1:16" ht="15" customHeight="1" x14ac:dyDescent="0.25">
      <c r="B33" s="43">
        <f>$C$28</f>
        <v>2556.7901234567898</v>
      </c>
      <c r="C33" s="50">
        <f>$E$28</f>
        <v>225.19070707070711</v>
      </c>
      <c r="D33" s="55" t="s">
        <v>43</v>
      </c>
      <c r="E33" s="53" t="s">
        <v>44</v>
      </c>
      <c r="F33" s="11"/>
      <c r="G33" s="29"/>
      <c r="H33" s="29"/>
      <c r="O33" s="11"/>
      <c r="P33" s="11"/>
    </row>
    <row r="34" spans="1:16" ht="15" customHeight="1" x14ac:dyDescent="0.25">
      <c r="B34" s="44">
        <f>$B$28</f>
        <v>110</v>
      </c>
      <c r="C34" s="51">
        <f>$D$28</f>
        <v>12.276545454545454</v>
      </c>
      <c r="D34" s="54">
        <f>MDETERM(B33:C34)</f>
        <v>6617.5723905723835</v>
      </c>
      <c r="E34" s="48">
        <f>D34/$E$30</f>
        <v>2.0419937662337655</v>
      </c>
      <c r="G34" s="29"/>
      <c r="H34" s="29"/>
    </row>
    <row r="36" spans="1:16" ht="1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 ht="15" customHeight="1" x14ac:dyDescent="0.25">
      <c r="A37" s="11"/>
      <c r="B37" s="11"/>
      <c r="C37" s="11"/>
      <c r="D37" s="57"/>
      <c r="E37" s="11"/>
      <c r="F37" s="11"/>
      <c r="G37" s="57"/>
      <c r="H37" s="11"/>
      <c r="I37" s="11"/>
      <c r="J37" s="57"/>
      <c r="K37" s="11"/>
      <c r="L37" s="11"/>
      <c r="M37" s="58"/>
      <c r="N37" s="11"/>
      <c r="O37" s="11"/>
      <c r="P37" s="57"/>
    </row>
    <row r="38" spans="1:16" ht="15" customHeight="1" x14ac:dyDescent="0.25">
      <c r="A38" s="11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ht="15" customHeight="1" x14ac:dyDescent="0.25">
      <c r="A39" s="11"/>
      <c r="B39" s="13"/>
      <c r="C39" s="8"/>
      <c r="D39" s="52"/>
      <c r="E39" s="13"/>
      <c r="F39" s="8"/>
      <c r="G39" s="52"/>
      <c r="H39" s="13"/>
      <c r="I39" s="8"/>
      <c r="J39" s="52"/>
      <c r="K39" s="13"/>
      <c r="L39" s="8"/>
      <c r="M39" s="52"/>
      <c r="N39" s="13"/>
      <c r="O39" s="8"/>
      <c r="P39" s="52"/>
    </row>
    <row r="40" spans="1:16" ht="15" customHeight="1" x14ac:dyDescent="0.25">
      <c r="A40" s="11"/>
      <c r="B40" s="11"/>
      <c r="C40" s="9"/>
      <c r="D40" s="13"/>
      <c r="E40" s="11"/>
      <c r="F40" s="9"/>
      <c r="G40" s="13"/>
      <c r="H40" s="11"/>
      <c r="I40" s="9"/>
      <c r="J40" s="13"/>
      <c r="K40" s="11"/>
      <c r="L40" s="9"/>
      <c r="M40" s="13"/>
      <c r="N40" s="11"/>
      <c r="O40" s="9"/>
      <c r="P40" s="13"/>
    </row>
    <row r="41" spans="1:16" ht="15" customHeight="1" x14ac:dyDescent="0.25">
      <c r="A41" s="11"/>
      <c r="B41" s="10"/>
      <c r="C41" s="10"/>
      <c r="D41" s="11"/>
      <c r="E41" s="10"/>
      <c r="F41" s="10"/>
      <c r="G41" s="11"/>
      <c r="H41" s="10"/>
      <c r="I41" s="10"/>
      <c r="J41" s="11"/>
      <c r="K41" s="10"/>
      <c r="L41" s="10"/>
      <c r="M41" s="11"/>
      <c r="N41" s="10"/>
      <c r="O41" s="10"/>
      <c r="P41" s="11"/>
    </row>
    <row r="42" spans="1:16" ht="15" customHeight="1" x14ac:dyDescent="0.25">
      <c r="A42" s="11"/>
      <c r="B42" s="12"/>
      <c r="C42" s="11"/>
      <c r="D42" s="11"/>
      <c r="E42" s="12"/>
      <c r="F42" s="11"/>
      <c r="G42" s="11"/>
      <c r="H42" s="12"/>
      <c r="I42" s="11"/>
      <c r="J42" s="11"/>
      <c r="K42" s="12"/>
      <c r="L42" s="11"/>
      <c r="M42" s="11"/>
      <c r="N42" s="12"/>
      <c r="O42" s="11"/>
      <c r="P42" s="11"/>
    </row>
    <row r="43" spans="1:16" ht="15" customHeight="1" x14ac:dyDescent="0.25">
      <c r="A43" s="11"/>
      <c r="B43" s="11"/>
      <c r="C43" s="9"/>
      <c r="D43" s="13"/>
      <c r="E43" s="11"/>
      <c r="F43" s="9"/>
      <c r="G43" s="13"/>
      <c r="H43" s="11"/>
      <c r="I43" s="9"/>
      <c r="J43" s="13"/>
      <c r="K43" s="11"/>
      <c r="L43" s="9"/>
      <c r="M43" s="13"/>
      <c r="N43" s="11"/>
      <c r="O43" s="9"/>
      <c r="P43" s="13"/>
    </row>
    <row r="44" spans="1:16" ht="15" customHeight="1" x14ac:dyDescent="0.25">
      <c r="A44" s="11"/>
      <c r="B44" s="10"/>
      <c r="C44" s="10"/>
      <c r="D44" s="11"/>
      <c r="E44" s="10"/>
      <c r="F44" s="10"/>
      <c r="G44" s="11"/>
      <c r="H44" s="10"/>
      <c r="I44" s="10"/>
      <c r="J44" s="11"/>
      <c r="K44" s="10"/>
      <c r="L44" s="10"/>
      <c r="M44" s="11"/>
      <c r="N44" s="10"/>
      <c r="O44" s="10"/>
      <c r="P44" s="11"/>
    </row>
    <row r="45" spans="1:16" ht="15" customHeight="1" x14ac:dyDescent="0.25">
      <c r="A45" s="11"/>
      <c r="B45" s="10"/>
      <c r="C45" s="12"/>
      <c r="D45" s="11"/>
      <c r="E45" s="10"/>
      <c r="F45" s="12"/>
      <c r="G45" s="11"/>
      <c r="H45" s="10"/>
      <c r="I45" s="12"/>
      <c r="J45" s="11"/>
      <c r="K45" s="10"/>
      <c r="L45" s="12"/>
      <c r="M45" s="11"/>
      <c r="N45" s="10"/>
      <c r="O45" s="12"/>
      <c r="P45" s="11"/>
    </row>
    <row r="46" spans="1:16" ht="15" customHeight="1" x14ac:dyDescent="0.25">
      <c r="A46" s="11"/>
      <c r="B46" s="11"/>
      <c r="C46" s="9"/>
      <c r="D46" s="13"/>
      <c r="E46" s="11"/>
      <c r="F46" s="9"/>
      <c r="G46" s="13"/>
      <c r="H46" s="11"/>
      <c r="I46" s="9"/>
      <c r="J46" s="13"/>
      <c r="K46" s="11"/>
      <c r="L46" s="9"/>
      <c r="M46" s="13"/>
      <c r="N46" s="11"/>
      <c r="O46" s="9"/>
      <c r="P46" s="13"/>
    </row>
    <row r="47" spans="1:16" ht="15" customHeight="1" x14ac:dyDescent="0.25">
      <c r="A47" s="11"/>
      <c r="B47" s="11"/>
      <c r="C47" s="9"/>
      <c r="D47" s="11"/>
      <c r="E47" s="11"/>
      <c r="F47" s="9"/>
      <c r="G47" s="11"/>
      <c r="H47" s="11"/>
      <c r="I47" s="9"/>
      <c r="J47" s="11"/>
      <c r="K47" s="11"/>
      <c r="L47" s="9"/>
      <c r="M47" s="11"/>
      <c r="N47" s="11"/>
      <c r="O47" s="9"/>
      <c r="P47" s="11"/>
    </row>
    <row r="48" spans="1:16" ht="15" customHeight="1" x14ac:dyDescent="0.25">
      <c r="A48" s="11"/>
      <c r="B48" s="11"/>
      <c r="C48" s="9"/>
      <c r="D48" s="11"/>
      <c r="E48" s="11"/>
      <c r="F48" s="9"/>
      <c r="G48" s="11"/>
      <c r="H48" s="11"/>
      <c r="I48" s="9"/>
      <c r="J48" s="11"/>
      <c r="K48" s="11"/>
      <c r="L48" s="9"/>
      <c r="M48" s="11"/>
      <c r="N48" s="11"/>
      <c r="O48" s="9"/>
      <c r="P48" s="11"/>
    </row>
    <row r="49" spans="1:16" ht="15" customHeight="1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 ht="15" customHeight="1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6" ht="15" customHeight="1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6" ht="15" customHeight="1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6" ht="15" customHeight="1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 ht="15" customHeight="1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 ht="15" customHeight="1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</sheetData>
  <sheetProtection sheet="1" objects="1" scenarios="1"/>
  <mergeCells count="6">
    <mergeCell ref="U7:AH7"/>
    <mergeCell ref="K19:P19"/>
    <mergeCell ref="B2:H3"/>
    <mergeCell ref="C6:H6"/>
    <mergeCell ref="C7:H7"/>
    <mergeCell ref="K7:P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762"/>
  <sheetViews>
    <sheetView zoomScale="75" zoomScaleNormal="75" workbookViewId="0">
      <selection activeCell="R2" sqref="R2"/>
    </sheetView>
  </sheetViews>
  <sheetFormatPr baseColWidth="10" defaultColWidth="6.7109375" defaultRowHeight="15" customHeight="1" x14ac:dyDescent="0.25"/>
  <cols>
    <col min="3" max="40" width="6.7109375" customWidth="1"/>
    <col min="45" max="45" width="6.7109375" customWidth="1"/>
  </cols>
  <sheetData>
    <row r="1" spans="1:27" ht="15" customHeight="1" x14ac:dyDescent="0.25">
      <c r="A1" s="549"/>
      <c r="B1" s="549"/>
      <c r="C1" s="549"/>
      <c r="D1" s="550"/>
      <c r="E1" s="551" t="s">
        <v>226</v>
      </c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</row>
    <row r="2" spans="1:27" ht="15" customHeight="1" x14ac:dyDescent="0.25">
      <c r="A2" s="549"/>
      <c r="B2" s="549"/>
      <c r="C2" s="564"/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7"/>
      <c r="O2" s="567"/>
      <c r="P2" s="567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</row>
    <row r="3" spans="1:27" ht="15" customHeight="1" x14ac:dyDescent="0.25">
      <c r="A3" s="549"/>
      <c r="B3" s="574" t="s">
        <v>233</v>
      </c>
      <c r="C3" s="575">
        <v>100</v>
      </c>
      <c r="D3" s="576">
        <v>72</v>
      </c>
      <c r="E3" s="576">
        <v>48</v>
      </c>
      <c r="F3" s="576">
        <v>36</v>
      </c>
      <c r="G3" s="576">
        <v>24</v>
      </c>
      <c r="H3" s="576">
        <v>20</v>
      </c>
      <c r="I3" s="576">
        <v>12</v>
      </c>
      <c r="J3" s="576">
        <v>10</v>
      </c>
      <c r="K3" s="576">
        <v>8</v>
      </c>
      <c r="L3" s="576">
        <v>6</v>
      </c>
      <c r="M3" s="576">
        <v>4</v>
      </c>
      <c r="N3" s="576">
        <v>3</v>
      </c>
      <c r="O3" s="576">
        <v>2</v>
      </c>
      <c r="P3" s="577">
        <v>1</v>
      </c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</row>
    <row r="4" spans="1:27" ht="15" customHeight="1" x14ac:dyDescent="0.25">
      <c r="A4" s="549"/>
      <c r="B4" s="600" t="s">
        <v>319</v>
      </c>
      <c r="C4" s="1246" t="s">
        <v>320</v>
      </c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7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</row>
    <row r="5" spans="1:27" ht="15" customHeight="1" x14ac:dyDescent="0.25">
      <c r="A5" s="549"/>
      <c r="B5" s="869">
        <v>1.75</v>
      </c>
      <c r="C5" s="539">
        <v>133</v>
      </c>
      <c r="D5" s="605">
        <v>129</v>
      </c>
      <c r="E5" s="605">
        <v>124</v>
      </c>
      <c r="F5" s="605">
        <v>121.5</v>
      </c>
      <c r="G5" s="605">
        <v>116.5</v>
      </c>
      <c r="H5" s="605">
        <v>114.5</v>
      </c>
      <c r="I5" s="606">
        <v>109</v>
      </c>
      <c r="J5" s="605">
        <v>105</v>
      </c>
      <c r="K5" s="607">
        <v>100</v>
      </c>
      <c r="L5" s="605">
        <v>94</v>
      </c>
      <c r="M5" s="605">
        <v>85</v>
      </c>
      <c r="N5" s="444">
        <v>78.5</v>
      </c>
      <c r="O5" s="605">
        <v>71</v>
      </c>
      <c r="P5" s="606">
        <v>52</v>
      </c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</row>
    <row r="6" spans="1:27" ht="15" customHeight="1" x14ac:dyDescent="0.25">
      <c r="A6" s="549"/>
      <c r="B6" s="639">
        <v>1.8</v>
      </c>
      <c r="C6" s="540">
        <v>131.5</v>
      </c>
      <c r="D6" s="640">
        <v>127.5</v>
      </c>
      <c r="E6" s="640">
        <v>122.5</v>
      </c>
      <c r="F6" s="640">
        <v>118.5</v>
      </c>
      <c r="G6" s="640">
        <v>114.5</v>
      </c>
      <c r="H6" s="640">
        <v>112.5</v>
      </c>
      <c r="I6" s="641">
        <v>107.5</v>
      </c>
      <c r="J6" s="450">
        <v>103.9</v>
      </c>
      <c r="K6" s="640">
        <v>98.5</v>
      </c>
      <c r="L6" s="640">
        <v>92.1</v>
      </c>
      <c r="M6" s="640">
        <v>83</v>
      </c>
      <c r="N6" s="640">
        <v>76.5</v>
      </c>
      <c r="O6" s="640">
        <v>68</v>
      </c>
      <c r="P6" s="641">
        <v>50.1</v>
      </c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</row>
    <row r="7" spans="1:27" ht="15" customHeight="1" x14ac:dyDescent="0.25">
      <c r="A7" s="549"/>
      <c r="B7" s="639">
        <v>1.81</v>
      </c>
      <c r="C7" s="540">
        <v>131</v>
      </c>
      <c r="D7" s="640">
        <v>127</v>
      </c>
      <c r="E7" s="640">
        <v>121.5</v>
      </c>
      <c r="F7" s="640">
        <v>118</v>
      </c>
      <c r="G7" s="640">
        <v>114.4</v>
      </c>
      <c r="H7" s="640">
        <v>112</v>
      </c>
      <c r="I7" s="656">
        <v>107</v>
      </c>
      <c r="J7" s="640">
        <v>103</v>
      </c>
      <c r="K7" s="640">
        <v>98</v>
      </c>
      <c r="L7" s="640">
        <v>91.9</v>
      </c>
      <c r="M7" s="640">
        <v>82.5</v>
      </c>
      <c r="N7" s="640">
        <v>76</v>
      </c>
      <c r="O7" s="640">
        <v>67.5</v>
      </c>
      <c r="P7" s="641">
        <v>49.9</v>
      </c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</row>
    <row r="8" spans="1:27" ht="15" customHeight="1" x14ac:dyDescent="0.25">
      <c r="A8" s="549"/>
      <c r="B8" s="639">
        <v>1.83</v>
      </c>
      <c r="C8" s="540">
        <v>129</v>
      </c>
      <c r="D8" s="640">
        <v>125</v>
      </c>
      <c r="E8" s="640">
        <v>120.5</v>
      </c>
      <c r="F8" s="640">
        <v>117.5</v>
      </c>
      <c r="G8" s="640">
        <v>113</v>
      </c>
      <c r="H8" s="450">
        <v>111</v>
      </c>
      <c r="I8" s="641">
        <v>106</v>
      </c>
      <c r="J8" s="640">
        <v>102.5</v>
      </c>
      <c r="K8" s="727">
        <v>97</v>
      </c>
      <c r="L8" s="640">
        <v>90</v>
      </c>
      <c r="M8" s="640">
        <v>80.5</v>
      </c>
      <c r="N8" s="640">
        <v>74</v>
      </c>
      <c r="O8" s="640">
        <v>65</v>
      </c>
      <c r="P8" s="641">
        <v>48</v>
      </c>
      <c r="Q8" s="332"/>
      <c r="R8" s="332"/>
      <c r="S8" s="332"/>
      <c r="T8" s="332"/>
      <c r="X8" s="332"/>
      <c r="Y8" s="332"/>
      <c r="Z8" s="332"/>
      <c r="AA8" s="332"/>
    </row>
    <row r="9" spans="1:27" ht="15" customHeight="1" x14ac:dyDescent="0.25">
      <c r="A9" s="549"/>
      <c r="B9" s="604">
        <v>1.84</v>
      </c>
      <c r="C9" s="540">
        <v>128</v>
      </c>
      <c r="D9" s="640">
        <v>124</v>
      </c>
      <c r="E9" s="640">
        <v>119.5</v>
      </c>
      <c r="F9" s="640">
        <v>116.5</v>
      </c>
      <c r="G9" s="450">
        <v>112</v>
      </c>
      <c r="H9" s="640">
        <v>110.5</v>
      </c>
      <c r="I9" s="641">
        <v>105.5</v>
      </c>
      <c r="J9" s="640">
        <v>102</v>
      </c>
      <c r="K9" s="727">
        <v>96</v>
      </c>
      <c r="L9" s="640">
        <v>89</v>
      </c>
      <c r="M9" s="640">
        <v>79.5</v>
      </c>
      <c r="N9" s="640">
        <v>73</v>
      </c>
      <c r="O9" s="640">
        <v>64</v>
      </c>
      <c r="P9" s="641">
        <v>47</v>
      </c>
      <c r="Q9" s="332"/>
      <c r="R9" s="332"/>
      <c r="S9" s="332"/>
      <c r="X9" s="332"/>
      <c r="Y9" s="332"/>
      <c r="Z9" s="332"/>
      <c r="AA9" s="332"/>
    </row>
    <row r="10" spans="1:27" ht="15" customHeight="1" x14ac:dyDescent="0.25">
      <c r="A10" s="549"/>
      <c r="B10" s="639">
        <v>1.86</v>
      </c>
      <c r="C10" s="540">
        <v>125</v>
      </c>
      <c r="D10" s="640">
        <v>121</v>
      </c>
      <c r="E10" s="640">
        <v>116.5</v>
      </c>
      <c r="F10" s="450">
        <v>113.5</v>
      </c>
      <c r="G10" s="640">
        <v>109.5</v>
      </c>
      <c r="H10" s="640">
        <v>108</v>
      </c>
      <c r="I10" s="658">
        <v>103.5</v>
      </c>
      <c r="J10" s="640">
        <v>99</v>
      </c>
      <c r="K10" s="640">
        <v>94</v>
      </c>
      <c r="L10" s="640">
        <v>88</v>
      </c>
      <c r="M10" s="640">
        <v>77</v>
      </c>
      <c r="N10" s="640">
        <v>70</v>
      </c>
      <c r="O10" s="640">
        <v>61</v>
      </c>
      <c r="P10" s="641">
        <v>44.5</v>
      </c>
      <c r="Q10" s="332"/>
      <c r="R10" s="332"/>
      <c r="S10" s="332"/>
      <c r="X10" s="332"/>
      <c r="Y10" s="332"/>
      <c r="Z10" s="332"/>
      <c r="AA10" s="332"/>
    </row>
    <row r="11" spans="1:27" ht="15" customHeight="1" x14ac:dyDescent="0.25">
      <c r="A11" s="549"/>
      <c r="B11" s="639">
        <v>1.88</v>
      </c>
      <c r="C11" s="540">
        <v>121.5</v>
      </c>
      <c r="D11" s="640">
        <v>118</v>
      </c>
      <c r="E11" s="450">
        <v>113.5</v>
      </c>
      <c r="F11" s="640">
        <v>110.5</v>
      </c>
      <c r="G11" s="640">
        <v>106</v>
      </c>
      <c r="H11" s="640">
        <v>104.5</v>
      </c>
      <c r="I11" s="641">
        <v>99.5</v>
      </c>
      <c r="J11" s="640">
        <v>95</v>
      </c>
      <c r="K11" s="640">
        <v>90</v>
      </c>
      <c r="L11" s="640">
        <v>82.4</v>
      </c>
      <c r="M11" s="640">
        <v>73</v>
      </c>
      <c r="N11" s="640">
        <v>66</v>
      </c>
      <c r="O11" s="640">
        <v>57</v>
      </c>
      <c r="P11" s="641">
        <v>41</v>
      </c>
      <c r="Q11" s="332"/>
      <c r="R11" s="332"/>
      <c r="S11" s="332"/>
      <c r="X11" s="332"/>
      <c r="Y11" s="332"/>
      <c r="Z11" s="332"/>
      <c r="AA11" s="332"/>
    </row>
    <row r="12" spans="1:27" ht="15" customHeight="1" x14ac:dyDescent="0.25">
      <c r="A12" s="549"/>
      <c r="B12" s="639">
        <v>1.9</v>
      </c>
      <c r="C12" s="540">
        <v>117</v>
      </c>
      <c r="D12" s="450">
        <v>113.5</v>
      </c>
      <c r="E12" s="640">
        <v>109</v>
      </c>
      <c r="F12" s="640">
        <v>106</v>
      </c>
      <c r="G12" s="640">
        <v>102</v>
      </c>
      <c r="H12" s="640">
        <v>100</v>
      </c>
      <c r="I12" s="641">
        <v>95</v>
      </c>
      <c r="J12" s="640">
        <v>91</v>
      </c>
      <c r="K12" s="727">
        <v>85</v>
      </c>
      <c r="L12" s="640">
        <v>78.5</v>
      </c>
      <c r="M12" s="640">
        <v>69</v>
      </c>
      <c r="N12" s="640">
        <v>62.5</v>
      </c>
      <c r="O12" s="640">
        <v>54</v>
      </c>
      <c r="P12" s="641">
        <v>38</v>
      </c>
      <c r="Q12" s="332"/>
      <c r="R12" s="332"/>
      <c r="S12" s="332"/>
      <c r="X12" s="332"/>
      <c r="Y12" s="332"/>
      <c r="Z12" s="332"/>
      <c r="AA12" s="332"/>
    </row>
    <row r="13" spans="1:27" ht="15" customHeight="1" x14ac:dyDescent="0.25">
      <c r="A13" s="549"/>
      <c r="B13" s="870">
        <v>1.92</v>
      </c>
      <c r="C13" s="454">
        <v>112</v>
      </c>
      <c r="D13" s="664">
        <v>107.5</v>
      </c>
      <c r="E13" s="664">
        <v>103.5</v>
      </c>
      <c r="F13" s="664">
        <v>100.5</v>
      </c>
      <c r="G13" s="664">
        <v>97</v>
      </c>
      <c r="H13" s="664">
        <v>95</v>
      </c>
      <c r="I13" s="665">
        <v>90.5</v>
      </c>
      <c r="J13" s="664">
        <v>85</v>
      </c>
      <c r="K13" s="664">
        <v>80</v>
      </c>
      <c r="L13" s="664">
        <v>73</v>
      </c>
      <c r="M13" s="664">
        <v>64</v>
      </c>
      <c r="N13" s="664">
        <v>58</v>
      </c>
      <c r="O13" s="664">
        <v>49</v>
      </c>
      <c r="P13" s="665">
        <v>34.5</v>
      </c>
      <c r="Q13" s="871"/>
      <c r="R13" s="871"/>
      <c r="S13" s="871"/>
      <c r="T13" s="871"/>
      <c r="X13" s="871"/>
      <c r="Y13" s="871"/>
      <c r="Z13" s="332"/>
      <c r="AA13" s="332"/>
    </row>
    <row r="14" spans="1:27" ht="15" customHeight="1" x14ac:dyDescent="0.25">
      <c r="A14" s="549"/>
      <c r="B14" s="599"/>
      <c r="C14" s="640"/>
      <c r="D14" s="640"/>
      <c r="E14" s="640"/>
      <c r="F14" s="640"/>
      <c r="G14" s="640"/>
      <c r="H14" s="640"/>
      <c r="I14" s="640"/>
      <c r="J14" s="640"/>
      <c r="K14" s="640"/>
      <c r="L14" s="640"/>
      <c r="M14" s="640"/>
      <c r="N14" s="640"/>
      <c r="O14" s="640"/>
      <c r="P14" s="640"/>
      <c r="Q14" s="872"/>
      <c r="R14" s="872"/>
      <c r="S14" s="872"/>
      <c r="T14" s="872"/>
      <c r="X14" s="652"/>
      <c r="Y14" s="712"/>
      <c r="Z14" s="652"/>
      <c r="AA14" s="332"/>
    </row>
    <row r="15" spans="1:27" ht="15" customHeight="1" x14ac:dyDescent="0.25">
      <c r="A15" s="549"/>
      <c r="B15" s="574" t="s">
        <v>233</v>
      </c>
      <c r="C15" s="626">
        <f>$C$3</f>
        <v>100</v>
      </c>
      <c r="D15" s="667">
        <f>$D$3</f>
        <v>72</v>
      </c>
      <c r="E15" s="667">
        <f>$E$3</f>
        <v>48</v>
      </c>
      <c r="F15" s="667">
        <f>$F$3</f>
        <v>36</v>
      </c>
      <c r="G15" s="667">
        <f>$G$3</f>
        <v>24</v>
      </c>
      <c r="H15" s="667">
        <f>$H$3</f>
        <v>20</v>
      </c>
      <c r="I15" s="667">
        <f>$I$3</f>
        <v>12</v>
      </c>
      <c r="J15" s="667">
        <f>$J$3</f>
        <v>10</v>
      </c>
      <c r="K15" s="667">
        <f>$K$3</f>
        <v>8</v>
      </c>
      <c r="L15" s="667">
        <f>$L$3</f>
        <v>6</v>
      </c>
      <c r="M15" s="667">
        <f>$M$3</f>
        <v>4</v>
      </c>
      <c r="N15" s="667">
        <f>$N$3</f>
        <v>3</v>
      </c>
      <c r="O15" s="667">
        <f>$O$3</f>
        <v>2</v>
      </c>
      <c r="P15" s="668">
        <f>$P$3</f>
        <v>1</v>
      </c>
      <c r="Q15" s="652"/>
      <c r="R15" s="873"/>
      <c r="S15" s="652"/>
      <c r="T15" s="873"/>
      <c r="X15" s="652"/>
      <c r="Y15" s="712"/>
      <c r="Z15" s="652"/>
      <c r="AA15" s="332"/>
    </row>
    <row r="16" spans="1:27" ht="15" customHeight="1" x14ac:dyDescent="0.25">
      <c r="A16" s="549"/>
      <c r="B16" s="600" t="s">
        <v>261</v>
      </c>
      <c r="C16" s="1245" t="s">
        <v>320</v>
      </c>
      <c r="D16" s="1246"/>
      <c r="E16" s="1246"/>
      <c r="F16" s="1246"/>
      <c r="G16" s="1246"/>
      <c r="H16" s="1246"/>
      <c r="I16" s="1246"/>
      <c r="J16" s="1246"/>
      <c r="K16" s="1246"/>
      <c r="L16" s="1246"/>
      <c r="M16" s="1246"/>
      <c r="N16" s="1246"/>
      <c r="O16" s="1246"/>
      <c r="P16" s="1247"/>
      <c r="Q16" s="652"/>
      <c r="R16" s="873"/>
      <c r="S16" s="652"/>
      <c r="T16" s="873"/>
      <c r="Y16" s="712"/>
      <c r="Z16" s="652"/>
      <c r="AA16" s="332"/>
    </row>
    <row r="17" spans="1:55" ht="15" customHeight="1" x14ac:dyDescent="0.25">
      <c r="A17" s="549"/>
      <c r="B17" s="669">
        <f>$B$5</f>
        <v>1.75</v>
      </c>
      <c r="C17" s="669">
        <f>C46/C$15</f>
        <v>1.33</v>
      </c>
      <c r="D17" s="761">
        <f>C55/D$15</f>
        <v>1.7916666666666667</v>
      </c>
      <c r="E17" s="761">
        <f>C66/E$15</f>
        <v>2.5833333333333335</v>
      </c>
      <c r="F17" s="761">
        <f>C75/F$15</f>
        <v>3.375</v>
      </c>
      <c r="G17" s="761">
        <f>C85/G$15</f>
        <v>4.854166666666667</v>
      </c>
      <c r="H17" s="761">
        <f>C93/H$15</f>
        <v>5.7249999999999996</v>
      </c>
      <c r="I17" s="761">
        <f>C107/I$15</f>
        <v>9.0833333333333339</v>
      </c>
      <c r="J17" s="761">
        <f>C116/J$15</f>
        <v>10.5</v>
      </c>
      <c r="K17" s="761">
        <f>C126/K$15</f>
        <v>12.5</v>
      </c>
      <c r="L17" s="761">
        <f>C136/L$15</f>
        <v>15.666666666666666</v>
      </c>
      <c r="M17" s="761">
        <f>C152/M$15</f>
        <v>21.25</v>
      </c>
      <c r="N17" s="761">
        <f>C164/N$15</f>
        <v>26.166666666666668</v>
      </c>
      <c r="O17" s="761">
        <f>C179/O$15</f>
        <v>35.5</v>
      </c>
      <c r="P17" s="744">
        <f>C198/P$15</f>
        <v>52</v>
      </c>
    </row>
    <row r="18" spans="1:55" ht="15" customHeight="1" x14ac:dyDescent="0.25">
      <c r="A18" s="549"/>
      <c r="B18" s="674">
        <f>$B$6</f>
        <v>1.8</v>
      </c>
      <c r="C18" s="674">
        <f>D45/C$15</f>
        <v>1.3149999999999999</v>
      </c>
      <c r="D18" s="712">
        <f>D54/D$15</f>
        <v>1.7708333333333333</v>
      </c>
      <c r="E18" s="712">
        <f>D65/E$15</f>
        <v>2.5520833333333335</v>
      </c>
      <c r="F18" s="712">
        <f>D74/F$15</f>
        <v>3.2916666666666665</v>
      </c>
      <c r="G18" s="712">
        <f>D84/G$15</f>
        <v>4.770833333333333</v>
      </c>
      <c r="H18" s="712">
        <f>D92/H$15</f>
        <v>5.625</v>
      </c>
      <c r="I18" s="712">
        <f>D105/I$15</f>
        <v>8.9583333333333339</v>
      </c>
      <c r="J18" s="712">
        <f>D115/J$15</f>
        <v>10.39</v>
      </c>
      <c r="K18" s="712">
        <f>D125/K$15</f>
        <v>12.3125</v>
      </c>
      <c r="L18" s="712">
        <f>D135/L$15</f>
        <v>15.35</v>
      </c>
      <c r="M18" s="712">
        <f>D149/M$15</f>
        <v>20.75</v>
      </c>
      <c r="N18" s="712">
        <f>D162/N$15</f>
        <v>25.5</v>
      </c>
      <c r="O18" s="712">
        <f>D176/O$15</f>
        <v>34</v>
      </c>
      <c r="P18" s="771">
        <f>D197/P$15</f>
        <v>50.1</v>
      </c>
    </row>
    <row r="19" spans="1:55" ht="15" customHeight="1" x14ac:dyDescent="0.25">
      <c r="A19" s="549"/>
      <c r="B19" s="674">
        <f>$B$7</f>
        <v>1.81</v>
      </c>
      <c r="C19" s="674">
        <f>E44/C$15</f>
        <v>1.31</v>
      </c>
      <c r="D19" s="712">
        <f>E53/D$15</f>
        <v>1.7638888888888888</v>
      </c>
      <c r="E19" s="712">
        <f>E64/E$15</f>
        <v>2.53125</v>
      </c>
      <c r="F19" s="712">
        <f>E73/F$15</f>
        <v>3.2777777777777777</v>
      </c>
      <c r="G19" s="712">
        <f>E84/G$15</f>
        <v>4.7666666666666666</v>
      </c>
      <c r="H19" s="712">
        <f>E91/H$15</f>
        <v>5.6</v>
      </c>
      <c r="I19" s="712">
        <f>E104/I$15</f>
        <v>8.9166666666666661</v>
      </c>
      <c r="J19" s="712">
        <f>E114/J$15</f>
        <v>10.3</v>
      </c>
      <c r="K19" s="712">
        <f>E124/K$15</f>
        <v>12.25</v>
      </c>
      <c r="L19" s="712">
        <f>E134/L$15</f>
        <v>15.316666666666668</v>
      </c>
      <c r="M19" s="712">
        <f>E148/M$15</f>
        <v>20.625</v>
      </c>
      <c r="N19" s="712">
        <f>E161/N$15</f>
        <v>25.333333333333332</v>
      </c>
      <c r="O19" s="712">
        <f>E175/O$15</f>
        <v>33.75</v>
      </c>
      <c r="P19" s="771">
        <f>E195/P$15</f>
        <v>49.9</v>
      </c>
    </row>
    <row r="20" spans="1:55" ht="15" customHeight="1" x14ac:dyDescent="0.25">
      <c r="A20" s="549"/>
      <c r="B20" s="674">
        <f>$B$8</f>
        <v>1.83</v>
      </c>
      <c r="C20" s="674">
        <f>F43/C$15</f>
        <v>1.29</v>
      </c>
      <c r="D20" s="712">
        <f>F52/D$15</f>
        <v>1.7361111111111112</v>
      </c>
      <c r="E20" s="712">
        <f>F63/E$15</f>
        <v>2.5104166666666665</v>
      </c>
      <c r="F20" s="712">
        <f>F72/F$15</f>
        <v>3.2638888888888888</v>
      </c>
      <c r="G20" s="712">
        <f>F82/G$15</f>
        <v>4.708333333333333</v>
      </c>
      <c r="H20" s="712">
        <f>F90/H$15</f>
        <v>5.55</v>
      </c>
      <c r="I20" s="712">
        <f>F103/I$15</f>
        <v>8.8333333333333339</v>
      </c>
      <c r="J20" s="712">
        <f>F113/J$15</f>
        <v>10.25</v>
      </c>
      <c r="K20" s="712">
        <f>F122/K$15</f>
        <v>12.125</v>
      </c>
      <c r="L20" s="712">
        <f>F133/L$15</f>
        <v>15</v>
      </c>
      <c r="M20" s="712">
        <f>F147/M$15</f>
        <v>20.125</v>
      </c>
      <c r="N20" s="712">
        <f>F159/N$15</f>
        <v>24.666666666666668</v>
      </c>
      <c r="O20" s="712">
        <f>F173/O$15</f>
        <v>32.5</v>
      </c>
      <c r="P20" s="771">
        <f>F193/P$15</f>
        <v>48</v>
      </c>
    </row>
    <row r="21" spans="1:55" ht="15" customHeight="1" x14ac:dyDescent="0.25">
      <c r="A21" s="549"/>
      <c r="B21" s="674">
        <f>$B$9</f>
        <v>1.84</v>
      </c>
      <c r="C21" s="674">
        <f>G42/C$15</f>
        <v>1.28</v>
      </c>
      <c r="D21" s="712">
        <f>G51/D$15</f>
        <v>1.7222222222222223</v>
      </c>
      <c r="E21" s="712">
        <f>G62/E$15</f>
        <v>2.4895833333333335</v>
      </c>
      <c r="F21" s="712">
        <f>G71/F$15</f>
        <v>3.2361111111111112</v>
      </c>
      <c r="G21" s="712">
        <f>G81/G$15</f>
        <v>4.666666666666667</v>
      </c>
      <c r="H21" s="712">
        <f>G89/H$15</f>
        <v>5.5250000000000004</v>
      </c>
      <c r="I21" s="712">
        <f>G102/I$15</f>
        <v>8.7916666666666661</v>
      </c>
      <c r="J21" s="712">
        <f>G112/J$15</f>
        <v>10.199999999999999</v>
      </c>
      <c r="K21" s="712">
        <f>G121/K$15</f>
        <v>12</v>
      </c>
      <c r="L21" s="712">
        <f>G132/L$15</f>
        <v>14.833333333333334</v>
      </c>
      <c r="M21" s="712">
        <f>G145/M$15</f>
        <v>19.875</v>
      </c>
      <c r="N21" s="712">
        <f>G157/N$15</f>
        <v>24.333333333333332</v>
      </c>
      <c r="O21" s="712">
        <f>G172/O$15</f>
        <v>32</v>
      </c>
      <c r="P21" s="771">
        <f>G192/P$15</f>
        <v>47</v>
      </c>
    </row>
    <row r="22" spans="1:55" ht="15" customHeight="1" x14ac:dyDescent="0.25">
      <c r="A22" s="549"/>
      <c r="B22" s="674">
        <f>$B$10</f>
        <v>1.86</v>
      </c>
      <c r="C22" s="674">
        <f>H41/C$15</f>
        <v>1.25</v>
      </c>
      <c r="D22" s="712">
        <f>H50/D$15</f>
        <v>1.6805555555555556</v>
      </c>
      <c r="E22" s="712">
        <f>H61/E$15</f>
        <v>2.4270833333333335</v>
      </c>
      <c r="F22" s="712">
        <f>H70/F$15</f>
        <v>3.1527777777777777</v>
      </c>
      <c r="G22" s="712">
        <f>H80/G$15</f>
        <v>4.5625</v>
      </c>
      <c r="H22" s="712">
        <f>H88/H$15</f>
        <v>5.4</v>
      </c>
      <c r="I22" s="712">
        <f>H101/I$15</f>
        <v>8.625</v>
      </c>
      <c r="J22" s="712">
        <f>H110/J$15</f>
        <v>9.9</v>
      </c>
      <c r="K22" s="712">
        <f>H120/K$15</f>
        <v>11.75</v>
      </c>
      <c r="L22" s="712">
        <f>H131/L$15</f>
        <v>14.666666666666666</v>
      </c>
      <c r="M22" s="712">
        <f>H143/M$15</f>
        <v>19.25</v>
      </c>
      <c r="N22" s="712">
        <f>H155/N$15</f>
        <v>23.333333333333332</v>
      </c>
      <c r="O22" s="712">
        <f>H170/O$15</f>
        <v>30.5</v>
      </c>
      <c r="P22" s="771">
        <f>H189/P$15</f>
        <v>44.5</v>
      </c>
    </row>
    <row r="23" spans="1:55" ht="15" customHeight="1" x14ac:dyDescent="0.25">
      <c r="A23" s="549"/>
      <c r="B23" s="674">
        <f>$B$11</f>
        <v>1.88</v>
      </c>
      <c r="C23" s="674">
        <f>I40/C$15</f>
        <v>1.2150000000000001</v>
      </c>
      <c r="D23" s="712">
        <f>I49/D$15</f>
        <v>1.6388888888888888</v>
      </c>
      <c r="E23" s="712">
        <f>I60/E$15</f>
        <v>2.3645833333333335</v>
      </c>
      <c r="F23" s="712">
        <f>I69/F$15</f>
        <v>3.0694444444444446</v>
      </c>
      <c r="G23" s="712">
        <f>I79/G$15</f>
        <v>4.416666666666667</v>
      </c>
      <c r="H23" s="712">
        <f>I87/H$15</f>
        <v>5.2249999999999996</v>
      </c>
      <c r="I23" s="712">
        <f>I99/I$15</f>
        <v>8.2916666666666661</v>
      </c>
      <c r="J23" s="712">
        <f>I109/J$15</f>
        <v>9.5</v>
      </c>
      <c r="K23" s="712">
        <f>I119/K$15</f>
        <v>11.25</v>
      </c>
      <c r="L23" s="712">
        <f>I129/L$15</f>
        <v>13.733333333333334</v>
      </c>
      <c r="M23" s="712">
        <f>I141/M$15</f>
        <v>18.25</v>
      </c>
      <c r="N23" s="712">
        <f>I153/N$15</f>
        <v>22</v>
      </c>
      <c r="O23" s="712">
        <f>I167/O$15</f>
        <v>28.5</v>
      </c>
      <c r="P23" s="771">
        <f>I185/P$15</f>
        <v>41</v>
      </c>
    </row>
    <row r="24" spans="1:55" ht="15" customHeight="1" x14ac:dyDescent="0.25">
      <c r="A24" s="549"/>
      <c r="B24" s="674">
        <f>$B$12</f>
        <v>1.9</v>
      </c>
      <c r="C24" s="674">
        <f>J39/C$15</f>
        <v>1.17</v>
      </c>
      <c r="D24" s="712">
        <f>J48/D$15</f>
        <v>1.5763888888888888</v>
      </c>
      <c r="E24" s="712">
        <f>J58/E$15</f>
        <v>2.2708333333333335</v>
      </c>
      <c r="F24" s="712">
        <f>J67/F$15</f>
        <v>2.9444444444444446</v>
      </c>
      <c r="G24" s="712">
        <f>J78/G$15</f>
        <v>4.25</v>
      </c>
      <c r="H24" s="712">
        <f>J86/H$15</f>
        <v>5</v>
      </c>
      <c r="I24" s="712">
        <f>J97/I$15</f>
        <v>7.916666666666667</v>
      </c>
      <c r="J24" s="712">
        <f>J108/J$15</f>
        <v>9.1</v>
      </c>
      <c r="K24" s="712">
        <f>J117/K$15</f>
        <v>10.625</v>
      </c>
      <c r="L24" s="712">
        <f>J128/L$15</f>
        <v>13.083333333333334</v>
      </c>
      <c r="M24" s="712">
        <f>J139/M$15</f>
        <v>17.25</v>
      </c>
      <c r="N24" s="712">
        <f>J150/N$15</f>
        <v>20.833333333333332</v>
      </c>
      <c r="O24" s="712">
        <f>J165/O$15</f>
        <v>27</v>
      </c>
      <c r="P24" s="771">
        <f>J182/P$15</f>
        <v>38</v>
      </c>
    </row>
    <row r="25" spans="1:55" ht="15" customHeight="1" x14ac:dyDescent="0.25">
      <c r="A25" s="549"/>
      <c r="B25" s="702">
        <f>$B$13</f>
        <v>1.92</v>
      </c>
      <c r="C25" s="702">
        <f>K38/C$15</f>
        <v>1.1200000000000001</v>
      </c>
      <c r="D25" s="852">
        <f>K47/D$15</f>
        <v>1.4930555555555556</v>
      </c>
      <c r="E25" s="852">
        <f>K57/E$15</f>
        <v>2.15625</v>
      </c>
      <c r="F25" s="852">
        <f>K59/F$15</f>
        <v>2.7916666666666665</v>
      </c>
      <c r="G25" s="852">
        <f>K77/G$15</f>
        <v>4.041666666666667</v>
      </c>
      <c r="H25" s="852">
        <f>K83/H$15</f>
        <v>4.75</v>
      </c>
      <c r="I25" s="852">
        <f>K96/I$15</f>
        <v>7.541666666666667</v>
      </c>
      <c r="J25" s="852">
        <f>K100/J$15</f>
        <v>8.5</v>
      </c>
      <c r="K25" s="852">
        <f>K111/K$15</f>
        <v>10</v>
      </c>
      <c r="L25" s="852">
        <f>K123/L$15</f>
        <v>12.166666666666666</v>
      </c>
      <c r="M25" s="852">
        <f>K137/M$15</f>
        <v>16</v>
      </c>
      <c r="N25" s="852">
        <f>K144/N$15</f>
        <v>19.333333333333332</v>
      </c>
      <c r="O25" s="852">
        <f>K158/O$15</f>
        <v>24.5</v>
      </c>
      <c r="P25" s="807">
        <f>K177/P$15</f>
        <v>34.5</v>
      </c>
    </row>
    <row r="26" spans="1:55" ht="15" customHeight="1" x14ac:dyDescent="0.25">
      <c r="A26" s="549"/>
      <c r="B26" s="677" t="s">
        <v>173</v>
      </c>
      <c r="C26" s="550">
        <v>100</v>
      </c>
      <c r="D26" s="679" t="s">
        <v>264</v>
      </c>
      <c r="E26" s="549"/>
      <c r="F26" s="677" t="s">
        <v>268</v>
      </c>
      <c r="G26" s="681">
        <v>145</v>
      </c>
      <c r="H26" s="679" t="s">
        <v>264</v>
      </c>
      <c r="I26" s="549"/>
      <c r="J26" s="712"/>
      <c r="K26" s="712"/>
      <c r="L26" s="712"/>
      <c r="M26" s="712"/>
      <c r="N26" s="712"/>
      <c r="O26" s="712"/>
      <c r="P26" s="712"/>
    </row>
    <row r="27" spans="1:55" ht="15" customHeight="1" x14ac:dyDescent="0.25">
      <c r="A27" s="549"/>
      <c r="B27" s="677" t="s">
        <v>174</v>
      </c>
      <c r="C27" s="550">
        <v>8</v>
      </c>
      <c r="D27" s="679" t="s">
        <v>267</v>
      </c>
      <c r="E27" s="549"/>
      <c r="F27" s="677" t="s">
        <v>272</v>
      </c>
      <c r="G27" s="681">
        <v>32</v>
      </c>
      <c r="H27" s="679" t="s">
        <v>264</v>
      </c>
      <c r="I27" s="549"/>
      <c r="J27" s="712"/>
      <c r="K27" s="712"/>
      <c r="L27" s="712"/>
      <c r="M27" s="712"/>
      <c r="N27" s="712"/>
      <c r="O27" s="712"/>
      <c r="P27" s="712"/>
    </row>
    <row r="28" spans="1:55" ht="15" customHeight="1" x14ac:dyDescent="0.25">
      <c r="A28" s="309"/>
      <c r="B28" s="677" t="s">
        <v>270</v>
      </c>
      <c r="C28" s="874">
        <f>C26/C27</f>
        <v>12.5</v>
      </c>
      <c r="D28" s="679" t="s">
        <v>271</v>
      </c>
      <c r="E28" s="550"/>
      <c r="F28" s="677" t="s">
        <v>275</v>
      </c>
      <c r="G28" s="680">
        <v>3</v>
      </c>
      <c r="H28" s="687" t="s">
        <v>276</v>
      </c>
      <c r="I28" s="694">
        <f>G28/1000</f>
        <v>3.0000000000000001E-3</v>
      </c>
      <c r="J28" s="309"/>
      <c r="K28" s="309"/>
      <c r="L28" s="309"/>
      <c r="M28" s="309"/>
      <c r="N28" s="309"/>
      <c r="Y28" s="309"/>
      <c r="Z28" s="309"/>
    </row>
    <row r="29" spans="1:55" ht="15" customHeight="1" x14ac:dyDescent="0.25">
      <c r="A29" s="309"/>
      <c r="B29" s="549"/>
      <c r="C29" s="874"/>
      <c r="D29" s="549"/>
      <c r="E29" s="550"/>
      <c r="F29" s="677" t="s">
        <v>279</v>
      </c>
      <c r="G29" s="680">
        <v>0.1</v>
      </c>
      <c r="H29" s="687" t="s">
        <v>276</v>
      </c>
      <c r="I29" s="694">
        <f>G29/1000</f>
        <v>1E-4</v>
      </c>
      <c r="J29" s="309"/>
      <c r="K29" s="309"/>
      <c r="L29" s="1260" t="s">
        <v>321</v>
      </c>
      <c r="M29" s="1261">
        <f>(AS32/AK32)*100</f>
        <v>2.4324656129064492</v>
      </c>
      <c r="N29" s="1262" t="s">
        <v>322</v>
      </c>
      <c r="Y29" s="309"/>
      <c r="Z29" s="309"/>
    </row>
    <row r="30" spans="1:55" ht="15" customHeight="1" x14ac:dyDescent="0.25">
      <c r="A30" s="309"/>
      <c r="B30" s="677" t="s">
        <v>274</v>
      </c>
      <c r="C30" s="875">
        <v>2.25</v>
      </c>
      <c r="D30" s="679" t="s">
        <v>266</v>
      </c>
      <c r="E30" s="550"/>
      <c r="F30" s="677" t="s">
        <v>283</v>
      </c>
      <c r="G30" s="875">
        <f>G28+G29</f>
        <v>3.1</v>
      </c>
      <c r="H30" s="687" t="s">
        <v>276</v>
      </c>
      <c r="I30" s="694">
        <f>G30/1000</f>
        <v>3.0999999999999999E-3</v>
      </c>
      <c r="J30" s="309"/>
      <c r="K30" s="309"/>
      <c r="L30" s="1260"/>
      <c r="M30" s="1261"/>
      <c r="N30" s="1262"/>
      <c r="Y30" s="309"/>
      <c r="Z30" s="309"/>
    </row>
    <row r="31" spans="1:55" ht="15" customHeight="1" x14ac:dyDescent="0.25">
      <c r="A31" s="309"/>
      <c r="B31" s="677" t="s">
        <v>265</v>
      </c>
      <c r="C31" s="680">
        <v>2.08</v>
      </c>
      <c r="D31" s="679" t="s">
        <v>266</v>
      </c>
      <c r="J31" s="309"/>
      <c r="K31" s="309"/>
      <c r="L31" s="309"/>
      <c r="M31" s="309"/>
      <c r="N31" s="309"/>
      <c r="Y31" s="309"/>
      <c r="Z31" s="309"/>
    </row>
    <row r="32" spans="1:55" ht="15" customHeight="1" x14ac:dyDescent="0.25">
      <c r="A32" s="309"/>
      <c r="B32" s="677" t="s">
        <v>278</v>
      </c>
      <c r="C32" s="875">
        <v>2</v>
      </c>
      <c r="D32" s="679" t="s">
        <v>266</v>
      </c>
      <c r="E32" s="550"/>
      <c r="F32" s="677" t="s">
        <v>284</v>
      </c>
      <c r="G32" s="876">
        <f>C26/G26</f>
        <v>0.68965517241379315</v>
      </c>
      <c r="H32" s="549"/>
      <c r="P32">
        <f>1-EXP(-1)</f>
        <v>0.63212055882855767</v>
      </c>
      <c r="T32" s="877">
        <f>G26*(I30)</f>
        <v>0.44950000000000001</v>
      </c>
      <c r="Y32" s="309"/>
      <c r="Z32" s="309"/>
      <c r="AA32" s="878">
        <f>SUM(AA36:AA171)</f>
        <v>202.32583333333332</v>
      </c>
      <c r="AB32" s="878">
        <f t="shared" ref="AB32:AI32" si="0">SUM(AB36:AB171)</f>
        <v>197.58625000000001</v>
      </c>
      <c r="AC32" s="878">
        <f t="shared" si="0"/>
        <v>195.64541666666665</v>
      </c>
      <c r="AD32" s="878">
        <f t="shared" si="0"/>
        <v>190.55875</v>
      </c>
      <c r="AE32" s="878">
        <f t="shared" si="0"/>
        <v>187.95291666666665</v>
      </c>
      <c r="AF32" s="878">
        <f t="shared" si="0"/>
        <v>180.99791666666664</v>
      </c>
      <c r="AG32" s="878">
        <f t="shared" si="0"/>
        <v>170.45458333333335</v>
      </c>
      <c r="AH32" s="878">
        <f t="shared" si="0"/>
        <v>141.29500000000002</v>
      </c>
      <c r="AI32" s="878">
        <f t="shared" si="0"/>
        <v>148.89430555555555</v>
      </c>
      <c r="AK32" s="879">
        <f>SUM(AA32:AI32)</f>
        <v>1615.7109722222224</v>
      </c>
      <c r="AL32" s="879"/>
      <c r="AS32" s="880">
        <f>(SUM(AU32:BC32))^0.5</f>
        <v>39.301613803262029</v>
      </c>
      <c r="AU32" s="881">
        <f t="shared" ref="AU32:BC32" si="1">SUM(AU36:AU171)</f>
        <v>302.04814947359091</v>
      </c>
      <c r="AV32" s="881">
        <f t="shared" si="1"/>
        <v>172.46629328643786</v>
      </c>
      <c r="AW32" s="881">
        <f t="shared" si="1"/>
        <v>183.08557516509134</v>
      </c>
      <c r="AX32" s="881">
        <f t="shared" si="1"/>
        <v>165.06038963818887</v>
      </c>
      <c r="AY32" s="881">
        <f t="shared" si="1"/>
        <v>169.93488188857913</v>
      </c>
      <c r="AZ32" s="881">
        <f t="shared" si="1"/>
        <v>177.73873675376208</v>
      </c>
      <c r="BA32" s="881">
        <f t="shared" si="1"/>
        <v>134.13792623560366</v>
      </c>
      <c r="BB32" s="881">
        <f t="shared" si="1"/>
        <v>136.49276209480973</v>
      </c>
      <c r="BC32" s="878">
        <f t="shared" si="1"/>
        <v>103.65213300469281</v>
      </c>
    </row>
    <row r="33" spans="1:55" ht="15" customHeight="1" x14ac:dyDescent="0.25">
      <c r="A33" s="882"/>
      <c r="B33" s="677" t="s">
        <v>281</v>
      </c>
      <c r="C33" s="875">
        <v>1.75</v>
      </c>
      <c r="D33" s="679" t="s">
        <v>266</v>
      </c>
      <c r="F33" s="677" t="s">
        <v>287</v>
      </c>
      <c r="G33" s="876">
        <f>G27/G26</f>
        <v>0.22068965517241379</v>
      </c>
      <c r="H33" s="549"/>
      <c r="I33" s="549"/>
      <c r="J33" s="549"/>
      <c r="K33" s="696" t="s">
        <v>285</v>
      </c>
      <c r="L33" s="697">
        <f>C30-C31</f>
        <v>0.16999999999999993</v>
      </c>
      <c r="M33" s="679" t="s">
        <v>266</v>
      </c>
      <c r="U33" s="883"/>
      <c r="V33" s="309"/>
      <c r="W33" s="309"/>
    </row>
    <row r="34" spans="1:55" ht="15" customHeight="1" x14ac:dyDescent="0.25">
      <c r="A34" s="882"/>
      <c r="B34" s="884">
        <v>1</v>
      </c>
      <c r="C34" s="321"/>
      <c r="P34" s="885">
        <v>1</v>
      </c>
      <c r="R34" s="729">
        <f>$B$5</f>
        <v>1.75</v>
      </c>
      <c r="S34" s="886">
        <f>$B$6</f>
        <v>1.8</v>
      </c>
      <c r="T34" s="887">
        <f>$B$7</f>
        <v>1.81</v>
      </c>
      <c r="U34" s="888">
        <f>$B$8</f>
        <v>1.83</v>
      </c>
      <c r="V34" s="888">
        <f>$B$9</f>
        <v>1.84</v>
      </c>
      <c r="W34" s="888">
        <f>$B$10</f>
        <v>1.86</v>
      </c>
      <c r="X34" s="888">
        <f>$B$11</f>
        <v>1.88</v>
      </c>
      <c r="Y34" s="888">
        <f>$B$12</f>
        <v>1.9</v>
      </c>
      <c r="Z34" s="888">
        <f>$B$13</f>
        <v>1.92</v>
      </c>
      <c r="AA34" s="729">
        <f>$B$5</f>
        <v>1.75</v>
      </c>
      <c r="AB34" s="886">
        <f>$B$6</f>
        <v>1.8</v>
      </c>
      <c r="AC34" s="887">
        <f>$B$7</f>
        <v>1.81</v>
      </c>
      <c r="AD34" s="888">
        <f>$B$8</f>
        <v>1.83</v>
      </c>
      <c r="AE34" s="888">
        <f>$B$9</f>
        <v>1.84</v>
      </c>
      <c r="AF34" s="888">
        <f>$B$10</f>
        <v>1.86</v>
      </c>
      <c r="AG34" s="888">
        <f>$B$11</f>
        <v>1.88</v>
      </c>
      <c r="AH34" s="888">
        <f>$B$12</f>
        <v>1.9</v>
      </c>
      <c r="AI34" s="888">
        <f>$B$13</f>
        <v>1.92</v>
      </c>
      <c r="AJ34" s="730">
        <f>$B$5</f>
        <v>1.75</v>
      </c>
      <c r="AK34" s="730"/>
      <c r="AL34" s="730"/>
      <c r="AM34" s="886">
        <f>$B$6</f>
        <v>1.8</v>
      </c>
      <c r="AN34" s="887">
        <f>$B$7</f>
        <v>1.81</v>
      </c>
      <c r="AO34" s="888">
        <f>$B$8</f>
        <v>1.83</v>
      </c>
      <c r="AP34" s="888">
        <f>$B$9</f>
        <v>1.84</v>
      </c>
      <c r="AQ34" s="888">
        <f>$B$10</f>
        <v>1.86</v>
      </c>
      <c r="AR34" s="888">
        <f>$B$11</f>
        <v>1.88</v>
      </c>
      <c r="AS34" s="888">
        <f>$B$12</f>
        <v>1.9</v>
      </c>
      <c r="AT34" s="888">
        <f>$B$13</f>
        <v>1.92</v>
      </c>
      <c r="AU34" s="730">
        <f>$B$5</f>
        <v>1.75</v>
      </c>
      <c r="AV34" s="886">
        <f>$B$6</f>
        <v>1.8</v>
      </c>
      <c r="AW34" s="887">
        <f>$B$7</f>
        <v>1.81</v>
      </c>
      <c r="AX34" s="888">
        <f>$B$8</f>
        <v>1.83</v>
      </c>
      <c r="AY34" s="888">
        <f>$B$9</f>
        <v>1.84</v>
      </c>
      <c r="AZ34" s="888">
        <f>$B$10</f>
        <v>1.86</v>
      </c>
      <c r="BA34" s="888">
        <f>$B$11</f>
        <v>1.88</v>
      </c>
      <c r="BB34" s="888">
        <f>$B$12</f>
        <v>1.9</v>
      </c>
      <c r="BC34" s="888">
        <f>$B$13</f>
        <v>1.92</v>
      </c>
    </row>
    <row r="35" spans="1:55" ht="15" customHeight="1" x14ac:dyDescent="0.25">
      <c r="A35" s="860"/>
      <c r="B35" s="884"/>
      <c r="C35" s="889">
        <f>$B$5</f>
        <v>1.75</v>
      </c>
      <c r="D35" s="890">
        <f>$B$6</f>
        <v>1.8</v>
      </c>
      <c r="E35" s="890">
        <f>$B$7</f>
        <v>1.81</v>
      </c>
      <c r="F35" s="890">
        <f>$B$8</f>
        <v>1.83</v>
      </c>
      <c r="G35" s="890">
        <f>$B$9</f>
        <v>1.84</v>
      </c>
      <c r="H35" s="890">
        <f>$B$10</f>
        <v>1.86</v>
      </c>
      <c r="I35" s="890">
        <f>$B$11</f>
        <v>1.88</v>
      </c>
      <c r="J35" s="890">
        <f>$B$12</f>
        <v>1.9</v>
      </c>
      <c r="K35" s="890">
        <f>$B$13</f>
        <v>1.92</v>
      </c>
      <c r="P35" s="883" t="s">
        <v>323</v>
      </c>
      <c r="R35" s="1257" t="s">
        <v>324</v>
      </c>
      <c r="S35" s="1263"/>
      <c r="T35" s="1263"/>
      <c r="U35" s="1263"/>
      <c r="V35" s="1263"/>
      <c r="W35" s="1263"/>
      <c r="X35" s="1263"/>
      <c r="Y35" s="1263"/>
      <c r="Z35" s="1263"/>
      <c r="AA35" s="1257" t="s">
        <v>325</v>
      </c>
      <c r="AB35" s="1258"/>
      <c r="AC35" s="1258"/>
      <c r="AD35" s="1258"/>
      <c r="AE35" s="1258"/>
      <c r="AF35" s="1258"/>
      <c r="AG35" s="1258"/>
      <c r="AH35" s="1258"/>
      <c r="AI35" s="1259"/>
      <c r="AJ35" s="891"/>
      <c r="AK35" s="892"/>
      <c r="AL35" s="892"/>
      <c r="AM35" s="892"/>
      <c r="AN35" s="892"/>
      <c r="AO35" s="892"/>
      <c r="AP35" s="892"/>
      <c r="AQ35" s="892"/>
      <c r="AR35" s="892"/>
      <c r="AS35" s="892"/>
      <c r="AT35" s="893"/>
      <c r="AU35" s="891"/>
      <c r="AV35" s="892"/>
      <c r="AW35" s="892"/>
      <c r="AX35" s="892"/>
      <c r="AY35" s="892"/>
      <c r="AZ35" s="892"/>
      <c r="BA35" s="892"/>
      <c r="BB35" s="892"/>
      <c r="BC35" s="893"/>
    </row>
    <row r="36" spans="1:55" ht="15" customHeight="1" x14ac:dyDescent="0.25">
      <c r="A36" s="860"/>
      <c r="B36" s="894">
        <v>0</v>
      </c>
      <c r="C36" s="894"/>
      <c r="D36" s="761"/>
      <c r="E36" s="761"/>
      <c r="F36" s="761"/>
      <c r="G36" s="761"/>
      <c r="H36" s="761"/>
      <c r="I36" s="761"/>
      <c r="J36" s="761"/>
      <c r="K36" s="744"/>
      <c r="L36" s="806">
        <f t="shared" ref="L36:L99" si="2">$G$26</f>
        <v>145</v>
      </c>
      <c r="M36" s="895">
        <f t="shared" ref="M36:M99" si="3">IF(B36&lt;$C$28,-1000000,IF(B36=$C$28,0,1000000))</f>
        <v>-1000000</v>
      </c>
      <c r="N36" s="806">
        <f t="shared" ref="N36:N99" si="4">$C$26</f>
        <v>100</v>
      </c>
      <c r="P36" s="896">
        <v>0</v>
      </c>
      <c r="Q36" s="897">
        <f>$G$26-P36</f>
        <v>145</v>
      </c>
      <c r="R36" s="898">
        <f t="shared" ref="R36:Z55" si="5">($G$26-$Q36)*(($C$31+$L$33-R$34)-($L$33/$P$32)*(1-EXP(-$Q36/$G$27)))/($T$32-$Q36*$I$29)</f>
        <v>0</v>
      </c>
      <c r="S36" s="899">
        <f t="shared" si="5"/>
        <v>0</v>
      </c>
      <c r="T36" s="899">
        <f t="shared" si="5"/>
        <v>0</v>
      </c>
      <c r="U36" s="899">
        <f t="shared" si="5"/>
        <v>0</v>
      </c>
      <c r="V36" s="899">
        <f t="shared" si="5"/>
        <v>0</v>
      </c>
      <c r="W36" s="899">
        <f t="shared" si="5"/>
        <v>0</v>
      </c>
      <c r="X36" s="899">
        <f t="shared" si="5"/>
        <v>0</v>
      </c>
      <c r="Y36" s="899">
        <f t="shared" si="5"/>
        <v>0</v>
      </c>
      <c r="Z36" s="899">
        <f t="shared" si="5"/>
        <v>0</v>
      </c>
      <c r="AA36" s="900"/>
      <c r="AB36" s="896"/>
      <c r="AC36" s="901"/>
      <c r="AD36" s="901"/>
      <c r="AE36" s="901"/>
      <c r="AF36" s="901"/>
      <c r="AG36" s="901"/>
      <c r="AH36" s="901"/>
      <c r="AI36" s="624"/>
      <c r="AJ36" s="902">
        <f>IF(AA36=0,0,1)</f>
        <v>0</v>
      </c>
      <c r="AK36" s="903">
        <f>$C$28</f>
        <v>12.5</v>
      </c>
      <c r="AL36" s="624">
        <f>IF(Q36&gt;$C$26,1000000000,IF(Q36=$C$26,0,-1000000000))</f>
        <v>1000000000</v>
      </c>
      <c r="AM36" s="902">
        <f t="shared" ref="AM36:AT51" si="6">IF(AB36=0,0,1)</f>
        <v>0</v>
      </c>
      <c r="AN36" s="902">
        <f t="shared" si="6"/>
        <v>0</v>
      </c>
      <c r="AO36" s="902">
        <f t="shared" si="6"/>
        <v>0</v>
      </c>
      <c r="AP36" s="902">
        <f t="shared" si="6"/>
        <v>0</v>
      </c>
      <c r="AQ36" s="902">
        <f t="shared" si="6"/>
        <v>0</v>
      </c>
      <c r="AR36" s="902">
        <f t="shared" si="6"/>
        <v>0</v>
      </c>
      <c r="AS36" s="902">
        <f t="shared" si="6"/>
        <v>0</v>
      </c>
      <c r="AT36" s="645">
        <f t="shared" si="6"/>
        <v>0</v>
      </c>
      <c r="AU36" s="880">
        <f>AJ36*(AA36-R36)^2</f>
        <v>0</v>
      </c>
      <c r="AV36" s="880">
        <f t="shared" ref="AV36:BC51" si="7">AM36*(AB36-S36)^2</f>
        <v>0</v>
      </c>
      <c r="AW36" s="880">
        <f t="shared" si="7"/>
        <v>0</v>
      </c>
      <c r="AX36" s="880">
        <f t="shared" si="7"/>
        <v>0</v>
      </c>
      <c r="AY36" s="880">
        <f t="shared" si="7"/>
        <v>0</v>
      </c>
      <c r="AZ36" s="880">
        <f t="shared" si="7"/>
        <v>0</v>
      </c>
      <c r="BA36" s="880">
        <f t="shared" si="7"/>
        <v>0</v>
      </c>
      <c r="BB36" s="880">
        <f t="shared" si="7"/>
        <v>0</v>
      </c>
      <c r="BC36" s="904">
        <f t="shared" si="7"/>
        <v>0</v>
      </c>
    </row>
    <row r="37" spans="1:55" ht="15" customHeight="1" x14ac:dyDescent="0.25">
      <c r="A37" s="860"/>
      <c r="B37" s="894">
        <v>1</v>
      </c>
      <c r="C37" s="905"/>
      <c r="D37" s="906"/>
      <c r="E37" s="906"/>
      <c r="F37" s="906"/>
      <c r="G37" s="906"/>
      <c r="H37" s="906"/>
      <c r="I37" s="906"/>
      <c r="J37" s="906"/>
      <c r="K37" s="907"/>
      <c r="L37" s="806">
        <f t="shared" si="2"/>
        <v>145</v>
      </c>
      <c r="M37" s="895">
        <f t="shared" si="3"/>
        <v>-1000000</v>
      </c>
      <c r="N37" s="806">
        <f t="shared" si="4"/>
        <v>100</v>
      </c>
      <c r="P37" s="900">
        <f t="shared" ref="P37:P100" si="8">P36+$P$34</f>
        <v>1</v>
      </c>
      <c r="Q37" s="908">
        <f t="shared" ref="Q37:Q100" si="9">$G$26-P37</f>
        <v>144</v>
      </c>
      <c r="R37" s="898">
        <f t="shared" si="5"/>
        <v>0.53792592363007841</v>
      </c>
      <c r="S37" s="898">
        <f t="shared" si="5"/>
        <v>0.4230098123912826</v>
      </c>
      <c r="T37" s="898">
        <f t="shared" si="5"/>
        <v>0.40002659014352349</v>
      </c>
      <c r="U37" s="898">
        <f t="shared" si="5"/>
        <v>0.35406014564800514</v>
      </c>
      <c r="V37" s="898">
        <f t="shared" si="5"/>
        <v>0.33107692340024603</v>
      </c>
      <c r="W37" s="898">
        <f t="shared" si="5"/>
        <v>0.28511047890472768</v>
      </c>
      <c r="X37" s="898">
        <f t="shared" si="5"/>
        <v>0.23914403440920989</v>
      </c>
      <c r="Y37" s="898">
        <f t="shared" si="5"/>
        <v>0.19317758991369158</v>
      </c>
      <c r="Z37" s="898">
        <f t="shared" si="5"/>
        <v>0.14721114541817326</v>
      </c>
      <c r="AA37" s="900"/>
      <c r="AB37" s="900"/>
      <c r="AC37" s="902"/>
      <c r="AD37" s="902"/>
      <c r="AE37" s="902"/>
      <c r="AF37" s="902"/>
      <c r="AG37" s="902"/>
      <c r="AH37" s="902"/>
      <c r="AI37" s="645"/>
      <c r="AJ37" s="902">
        <f>IF(AA37=0,0,1)</f>
        <v>0</v>
      </c>
      <c r="AK37" s="909">
        <f t="shared" ref="AK37:AK100" si="10">$C$28</f>
        <v>12.5</v>
      </c>
      <c r="AL37" s="645">
        <f t="shared" ref="AL37:AL100" si="11">IF(Q37&gt;$C$26,1000000000,IF(Q37=$C$26,0,-1000000000))</f>
        <v>1000000000</v>
      </c>
      <c r="AM37" s="902">
        <f t="shared" si="6"/>
        <v>0</v>
      </c>
      <c r="AN37" s="902">
        <f t="shared" si="6"/>
        <v>0</v>
      </c>
      <c r="AO37" s="902">
        <f t="shared" si="6"/>
        <v>0</v>
      </c>
      <c r="AP37" s="902">
        <f t="shared" si="6"/>
        <v>0</v>
      </c>
      <c r="AQ37" s="902">
        <f t="shared" si="6"/>
        <v>0</v>
      </c>
      <c r="AR37" s="902">
        <f t="shared" si="6"/>
        <v>0</v>
      </c>
      <c r="AS37" s="902">
        <f t="shared" si="6"/>
        <v>0</v>
      </c>
      <c r="AT37" s="645">
        <f t="shared" si="6"/>
        <v>0</v>
      </c>
      <c r="AU37" s="880">
        <f t="shared" ref="AU37:AU100" si="12">AJ37*(AA37-R37)^2</f>
        <v>0</v>
      </c>
      <c r="AV37" s="880">
        <f t="shared" si="7"/>
        <v>0</v>
      </c>
      <c r="AW37" s="880">
        <f t="shared" si="7"/>
        <v>0</v>
      </c>
      <c r="AX37" s="880">
        <f t="shared" si="7"/>
        <v>0</v>
      </c>
      <c r="AY37" s="880">
        <f t="shared" si="7"/>
        <v>0</v>
      </c>
      <c r="AZ37" s="880">
        <f t="shared" si="7"/>
        <v>0</v>
      </c>
      <c r="BA37" s="880">
        <f t="shared" si="7"/>
        <v>0</v>
      </c>
      <c r="BB37" s="880">
        <f t="shared" si="7"/>
        <v>0</v>
      </c>
      <c r="BC37" s="904">
        <f t="shared" si="7"/>
        <v>0</v>
      </c>
    </row>
    <row r="38" spans="1:55" ht="15" customHeight="1" x14ac:dyDescent="0.25">
      <c r="A38" s="860"/>
      <c r="B38" s="674">
        <f>C25</f>
        <v>1.1200000000000001</v>
      </c>
      <c r="C38" s="910"/>
      <c r="D38" s="911"/>
      <c r="E38" s="911"/>
      <c r="F38" s="911"/>
      <c r="G38" s="911"/>
      <c r="H38" s="911"/>
      <c r="I38" s="911"/>
      <c r="J38" s="911"/>
      <c r="K38" s="912">
        <f>$C$13</f>
        <v>112</v>
      </c>
      <c r="L38" s="806">
        <f t="shared" si="2"/>
        <v>145</v>
      </c>
      <c r="M38" s="895">
        <f t="shared" si="3"/>
        <v>-1000000</v>
      </c>
      <c r="N38" s="806">
        <f t="shared" si="4"/>
        <v>100</v>
      </c>
      <c r="P38" s="900">
        <f t="shared" si="8"/>
        <v>2</v>
      </c>
      <c r="Q38" s="908">
        <f t="shared" si="9"/>
        <v>143</v>
      </c>
      <c r="R38" s="898">
        <f t="shared" si="5"/>
        <v>1.0760404700298676</v>
      </c>
      <c r="S38" s="898">
        <f t="shared" si="5"/>
        <v>0.84626105826516151</v>
      </c>
      <c r="T38" s="898">
        <f t="shared" si="5"/>
        <v>0.80030517591222028</v>
      </c>
      <c r="U38" s="898">
        <f t="shared" si="5"/>
        <v>0.70839341120633781</v>
      </c>
      <c r="V38" s="898">
        <f t="shared" si="5"/>
        <v>0.66243752885339668</v>
      </c>
      <c r="W38" s="898">
        <f t="shared" si="5"/>
        <v>0.57052576414751421</v>
      </c>
      <c r="X38" s="898">
        <f t="shared" si="5"/>
        <v>0.4786139994416328</v>
      </c>
      <c r="Y38" s="898">
        <f t="shared" si="5"/>
        <v>0.38670223473575038</v>
      </c>
      <c r="Z38" s="898">
        <f t="shared" si="5"/>
        <v>0.29479047002986791</v>
      </c>
      <c r="AA38" s="913">
        <f>B46</f>
        <v>1.33</v>
      </c>
      <c r="AB38" s="900"/>
      <c r="AC38" s="902"/>
      <c r="AD38" s="902"/>
      <c r="AE38" s="902"/>
      <c r="AF38" s="902"/>
      <c r="AG38" s="902"/>
      <c r="AH38" s="902"/>
      <c r="AI38" s="645"/>
      <c r="AJ38" s="902">
        <f t="shared" ref="AJ38:AJ101" si="13">IF(AA38=0,0,1)</f>
        <v>1</v>
      </c>
      <c r="AK38" s="909">
        <f t="shared" si="10"/>
        <v>12.5</v>
      </c>
      <c r="AL38" s="645">
        <f t="shared" si="11"/>
        <v>1000000000</v>
      </c>
      <c r="AM38" s="902">
        <f t="shared" si="6"/>
        <v>0</v>
      </c>
      <c r="AN38" s="902">
        <f t="shared" si="6"/>
        <v>0</v>
      </c>
      <c r="AO38" s="902">
        <f t="shared" si="6"/>
        <v>0</v>
      </c>
      <c r="AP38" s="902">
        <f t="shared" si="6"/>
        <v>0</v>
      </c>
      <c r="AQ38" s="902">
        <f t="shared" si="6"/>
        <v>0</v>
      </c>
      <c r="AR38" s="902">
        <f t="shared" si="6"/>
        <v>0</v>
      </c>
      <c r="AS38" s="902">
        <f t="shared" si="6"/>
        <v>0</v>
      </c>
      <c r="AT38" s="645">
        <f t="shared" si="6"/>
        <v>0</v>
      </c>
      <c r="AU38" s="880">
        <f t="shared" si="12"/>
        <v>6.4495442862650618E-2</v>
      </c>
      <c r="AV38" s="880">
        <f t="shared" si="7"/>
        <v>0</v>
      </c>
      <c r="AW38" s="880">
        <f t="shared" si="7"/>
        <v>0</v>
      </c>
      <c r="AX38" s="880">
        <f t="shared" si="7"/>
        <v>0</v>
      </c>
      <c r="AY38" s="880">
        <f t="shared" si="7"/>
        <v>0</v>
      </c>
      <c r="AZ38" s="880">
        <f t="shared" si="7"/>
        <v>0</v>
      </c>
      <c r="BA38" s="880">
        <f t="shared" si="7"/>
        <v>0</v>
      </c>
      <c r="BB38" s="880">
        <f t="shared" si="7"/>
        <v>0</v>
      </c>
      <c r="BC38" s="904">
        <f t="shared" si="7"/>
        <v>0</v>
      </c>
    </row>
    <row r="39" spans="1:55" ht="15" customHeight="1" x14ac:dyDescent="0.25">
      <c r="A39" s="860"/>
      <c r="B39" s="674">
        <f>C24</f>
        <v>1.17</v>
      </c>
      <c r="C39" s="910"/>
      <c r="D39" s="911"/>
      <c r="E39" s="911"/>
      <c r="F39" s="911"/>
      <c r="G39" s="911"/>
      <c r="H39" s="911"/>
      <c r="I39" s="911"/>
      <c r="J39" s="860">
        <f>$C$12</f>
        <v>117</v>
      </c>
      <c r="K39" s="914"/>
      <c r="L39" s="806">
        <f t="shared" si="2"/>
        <v>145</v>
      </c>
      <c r="M39" s="895">
        <f t="shared" si="3"/>
        <v>-1000000</v>
      </c>
      <c r="N39" s="806">
        <f t="shared" si="4"/>
        <v>100</v>
      </c>
      <c r="P39" s="900">
        <f t="shared" si="8"/>
        <v>3</v>
      </c>
      <c r="Q39" s="908">
        <f t="shared" si="9"/>
        <v>142</v>
      </c>
      <c r="R39" s="898">
        <f t="shared" si="5"/>
        <v>1.6143642565964009</v>
      </c>
      <c r="S39" s="898">
        <f t="shared" si="5"/>
        <v>1.2697743186225894</v>
      </c>
      <c r="T39" s="898">
        <f t="shared" si="5"/>
        <v>1.2008563310278271</v>
      </c>
      <c r="U39" s="898">
        <f t="shared" si="5"/>
        <v>1.0630203558383027</v>
      </c>
      <c r="V39" s="898">
        <f t="shared" si="5"/>
        <v>0.99410236824354037</v>
      </c>
      <c r="W39" s="898">
        <f t="shared" si="5"/>
        <v>0.85626639305401586</v>
      </c>
      <c r="X39" s="898">
        <f t="shared" si="5"/>
        <v>0.7184304178644928</v>
      </c>
      <c r="Y39" s="898">
        <f t="shared" si="5"/>
        <v>0.58059444267496818</v>
      </c>
      <c r="Z39" s="898">
        <f t="shared" si="5"/>
        <v>0.44275846748544362</v>
      </c>
      <c r="AA39" s="900"/>
      <c r="AB39" s="915">
        <f>B45</f>
        <v>1.3149999999999999</v>
      </c>
      <c r="AC39" s="902"/>
      <c r="AD39" s="902"/>
      <c r="AE39" s="902"/>
      <c r="AF39" s="902"/>
      <c r="AG39" s="902"/>
      <c r="AH39" s="902"/>
      <c r="AI39" s="645"/>
      <c r="AJ39" s="902">
        <f t="shared" si="13"/>
        <v>0</v>
      </c>
      <c r="AK39" s="909">
        <f t="shared" si="10"/>
        <v>12.5</v>
      </c>
      <c r="AL39" s="645">
        <f t="shared" si="11"/>
        <v>1000000000</v>
      </c>
      <c r="AM39" s="902">
        <f t="shared" si="6"/>
        <v>1</v>
      </c>
      <c r="AN39" s="902">
        <f t="shared" si="6"/>
        <v>0</v>
      </c>
      <c r="AO39" s="902">
        <f t="shared" si="6"/>
        <v>0</v>
      </c>
      <c r="AP39" s="902">
        <f t="shared" si="6"/>
        <v>0</v>
      </c>
      <c r="AQ39" s="902">
        <f t="shared" si="6"/>
        <v>0</v>
      </c>
      <c r="AR39" s="902">
        <f t="shared" si="6"/>
        <v>0</v>
      </c>
      <c r="AS39" s="902">
        <f t="shared" si="6"/>
        <v>0</v>
      </c>
      <c r="AT39" s="645">
        <f t="shared" si="6"/>
        <v>0</v>
      </c>
      <c r="AU39" s="880">
        <f t="shared" si="12"/>
        <v>0</v>
      </c>
      <c r="AV39" s="880">
        <f t="shared" si="7"/>
        <v>2.0453622560510608E-3</v>
      </c>
      <c r="AW39" s="880">
        <f t="shared" si="7"/>
        <v>0</v>
      </c>
      <c r="AX39" s="880">
        <f t="shared" si="7"/>
        <v>0</v>
      </c>
      <c r="AY39" s="880">
        <f t="shared" si="7"/>
        <v>0</v>
      </c>
      <c r="AZ39" s="880">
        <f t="shared" si="7"/>
        <v>0</v>
      </c>
      <c r="BA39" s="880">
        <f t="shared" si="7"/>
        <v>0</v>
      </c>
      <c r="BB39" s="880">
        <f t="shared" si="7"/>
        <v>0</v>
      </c>
      <c r="BC39" s="904">
        <f t="shared" si="7"/>
        <v>0</v>
      </c>
    </row>
    <row r="40" spans="1:55" ht="15" customHeight="1" x14ac:dyDescent="0.25">
      <c r="A40" s="860"/>
      <c r="B40" s="674">
        <f>C23</f>
        <v>1.2150000000000001</v>
      </c>
      <c r="C40" s="910"/>
      <c r="D40" s="911"/>
      <c r="E40" s="911"/>
      <c r="F40" s="911"/>
      <c r="G40" s="911"/>
      <c r="H40" s="911"/>
      <c r="I40" s="860">
        <f>$C$11</f>
        <v>121.5</v>
      </c>
      <c r="J40" s="911"/>
      <c r="K40" s="914"/>
      <c r="L40" s="806">
        <f t="shared" si="2"/>
        <v>145</v>
      </c>
      <c r="M40" s="895">
        <f t="shared" si="3"/>
        <v>-1000000</v>
      </c>
      <c r="N40" s="806">
        <f t="shared" si="4"/>
        <v>100</v>
      </c>
      <c r="P40" s="900">
        <f t="shared" si="8"/>
        <v>4</v>
      </c>
      <c r="Q40" s="908">
        <f t="shared" si="9"/>
        <v>141</v>
      </c>
      <c r="R40" s="898">
        <f t="shared" si="5"/>
        <v>2.1529187597078141</v>
      </c>
      <c r="S40" s="898">
        <f t="shared" si="5"/>
        <v>1.6935710334790588</v>
      </c>
      <c r="T40" s="898">
        <f t="shared" si="5"/>
        <v>1.6017014882333076</v>
      </c>
      <c r="U40" s="898">
        <f t="shared" si="5"/>
        <v>1.4179623977418054</v>
      </c>
      <c r="V40" s="898">
        <f t="shared" si="5"/>
        <v>1.3260928524960542</v>
      </c>
      <c r="W40" s="898">
        <f t="shared" si="5"/>
        <v>1.1423537620045521</v>
      </c>
      <c r="X40" s="898">
        <f t="shared" si="5"/>
        <v>0.9586146715130518</v>
      </c>
      <c r="Y40" s="898">
        <f t="shared" si="5"/>
        <v>0.77487558102154963</v>
      </c>
      <c r="Z40" s="898">
        <f t="shared" si="5"/>
        <v>0.59113649053004735</v>
      </c>
      <c r="AA40" s="900"/>
      <c r="AB40" s="900"/>
      <c r="AC40" s="916">
        <f>B44</f>
        <v>1.31</v>
      </c>
      <c r="AD40" s="902"/>
      <c r="AE40" s="902"/>
      <c r="AF40" s="902"/>
      <c r="AG40" s="902"/>
      <c r="AH40" s="902"/>
      <c r="AI40" s="645"/>
      <c r="AJ40" s="902">
        <f t="shared" si="13"/>
        <v>0</v>
      </c>
      <c r="AK40" s="909">
        <f t="shared" si="10"/>
        <v>12.5</v>
      </c>
      <c r="AL40" s="645">
        <f t="shared" si="11"/>
        <v>1000000000</v>
      </c>
      <c r="AM40" s="902">
        <f t="shared" si="6"/>
        <v>0</v>
      </c>
      <c r="AN40" s="902">
        <f t="shared" si="6"/>
        <v>1</v>
      </c>
      <c r="AO40" s="902">
        <f t="shared" si="6"/>
        <v>0</v>
      </c>
      <c r="AP40" s="902">
        <f t="shared" si="6"/>
        <v>0</v>
      </c>
      <c r="AQ40" s="902">
        <f t="shared" si="6"/>
        <v>0</v>
      </c>
      <c r="AR40" s="902">
        <f t="shared" si="6"/>
        <v>0</v>
      </c>
      <c r="AS40" s="902">
        <f t="shared" si="6"/>
        <v>0</v>
      </c>
      <c r="AT40" s="645">
        <f t="shared" si="6"/>
        <v>0</v>
      </c>
      <c r="AU40" s="880">
        <f t="shared" si="12"/>
        <v>0</v>
      </c>
      <c r="AV40" s="880">
        <f t="shared" si="7"/>
        <v>0</v>
      </c>
      <c r="AW40" s="880">
        <f t="shared" si="7"/>
        <v>8.5089758237526458E-2</v>
      </c>
      <c r="AX40" s="880">
        <f t="shared" si="7"/>
        <v>0</v>
      </c>
      <c r="AY40" s="880">
        <f t="shared" si="7"/>
        <v>0</v>
      </c>
      <c r="AZ40" s="880">
        <f t="shared" si="7"/>
        <v>0</v>
      </c>
      <c r="BA40" s="880">
        <f t="shared" si="7"/>
        <v>0</v>
      </c>
      <c r="BB40" s="880">
        <f t="shared" si="7"/>
        <v>0</v>
      </c>
      <c r="BC40" s="904">
        <f t="shared" si="7"/>
        <v>0</v>
      </c>
    </row>
    <row r="41" spans="1:55" ht="15" customHeight="1" x14ac:dyDescent="0.25">
      <c r="A41" s="860"/>
      <c r="B41" s="674">
        <f>C22</f>
        <v>1.25</v>
      </c>
      <c r="C41" s="910"/>
      <c r="D41" s="911"/>
      <c r="E41" s="911"/>
      <c r="F41" s="911"/>
      <c r="G41" s="911"/>
      <c r="H41" s="860">
        <f>$C$10</f>
        <v>125</v>
      </c>
      <c r="I41" s="911"/>
      <c r="J41" s="911"/>
      <c r="K41" s="914"/>
      <c r="L41" s="806">
        <f t="shared" si="2"/>
        <v>145</v>
      </c>
      <c r="M41" s="895">
        <f t="shared" si="3"/>
        <v>-1000000</v>
      </c>
      <c r="N41" s="806">
        <f t="shared" si="4"/>
        <v>100</v>
      </c>
      <c r="P41" s="900">
        <f t="shared" si="8"/>
        <v>5</v>
      </c>
      <c r="Q41" s="908">
        <f t="shared" si="9"/>
        <v>140</v>
      </c>
      <c r="R41" s="898">
        <f t="shared" si="5"/>
        <v>2.6917263485644507</v>
      </c>
      <c r="S41" s="898">
        <f t="shared" si="5"/>
        <v>2.1176735357056673</v>
      </c>
      <c r="T41" s="898">
        <f t="shared" si="5"/>
        <v>2.0028629731339107</v>
      </c>
      <c r="U41" s="898">
        <f t="shared" si="5"/>
        <v>1.7732418479903973</v>
      </c>
      <c r="V41" s="898">
        <f t="shared" si="5"/>
        <v>1.6584312854186405</v>
      </c>
      <c r="W41" s="898">
        <f t="shared" si="5"/>
        <v>1.4288101602751271</v>
      </c>
      <c r="X41" s="898">
        <f t="shared" si="5"/>
        <v>1.1991890351316163</v>
      </c>
      <c r="Y41" s="898">
        <f t="shared" si="5"/>
        <v>0.96956790998810272</v>
      </c>
      <c r="Z41" s="898">
        <f t="shared" si="5"/>
        <v>0.73994678484458931</v>
      </c>
      <c r="AA41" s="900"/>
      <c r="AB41" s="900"/>
      <c r="AC41" s="902"/>
      <c r="AD41" s="902"/>
      <c r="AE41" s="902"/>
      <c r="AF41" s="902"/>
      <c r="AG41" s="902"/>
      <c r="AH41" s="902"/>
      <c r="AI41" s="645"/>
      <c r="AJ41" s="902">
        <f t="shared" si="13"/>
        <v>0</v>
      </c>
      <c r="AK41" s="909">
        <f t="shared" si="10"/>
        <v>12.5</v>
      </c>
      <c r="AL41" s="645">
        <f t="shared" si="11"/>
        <v>1000000000</v>
      </c>
      <c r="AM41" s="902">
        <f t="shared" si="6"/>
        <v>0</v>
      </c>
      <c r="AN41" s="902">
        <f t="shared" si="6"/>
        <v>0</v>
      </c>
      <c r="AO41" s="902">
        <f t="shared" si="6"/>
        <v>0</v>
      </c>
      <c r="AP41" s="902">
        <f t="shared" si="6"/>
        <v>0</v>
      </c>
      <c r="AQ41" s="902">
        <f t="shared" si="6"/>
        <v>0</v>
      </c>
      <c r="AR41" s="902">
        <f t="shared" si="6"/>
        <v>0</v>
      </c>
      <c r="AS41" s="902">
        <f t="shared" si="6"/>
        <v>0</v>
      </c>
      <c r="AT41" s="645">
        <f t="shared" si="6"/>
        <v>0</v>
      </c>
      <c r="AU41" s="880">
        <f t="shared" si="12"/>
        <v>0</v>
      </c>
      <c r="AV41" s="880">
        <f t="shared" si="7"/>
        <v>0</v>
      </c>
      <c r="AW41" s="880">
        <f t="shared" si="7"/>
        <v>0</v>
      </c>
      <c r="AX41" s="880">
        <f t="shared" si="7"/>
        <v>0</v>
      </c>
      <c r="AY41" s="880">
        <f t="shared" si="7"/>
        <v>0</v>
      </c>
      <c r="AZ41" s="880">
        <f t="shared" si="7"/>
        <v>0</v>
      </c>
      <c r="BA41" s="880">
        <f t="shared" si="7"/>
        <v>0</v>
      </c>
      <c r="BB41" s="880">
        <f t="shared" si="7"/>
        <v>0</v>
      </c>
      <c r="BC41" s="904">
        <f t="shared" si="7"/>
        <v>0</v>
      </c>
    </row>
    <row r="42" spans="1:55" ht="15" customHeight="1" x14ac:dyDescent="0.25">
      <c r="A42" s="860"/>
      <c r="B42" s="674">
        <f>C21</f>
        <v>1.28</v>
      </c>
      <c r="C42" s="910"/>
      <c r="D42" s="911"/>
      <c r="E42" s="911"/>
      <c r="F42" s="911"/>
      <c r="G42" s="860">
        <f>$C$9</f>
        <v>128</v>
      </c>
      <c r="H42" s="911"/>
      <c r="I42" s="911"/>
      <c r="J42" s="911"/>
      <c r="K42" s="914"/>
      <c r="L42" s="806">
        <f t="shared" si="2"/>
        <v>145</v>
      </c>
      <c r="M42" s="895">
        <f t="shared" si="3"/>
        <v>-1000000</v>
      </c>
      <c r="N42" s="806">
        <f t="shared" si="4"/>
        <v>100</v>
      </c>
      <c r="P42" s="900">
        <f t="shared" si="8"/>
        <v>6</v>
      </c>
      <c r="Q42" s="908">
        <f t="shared" si="9"/>
        <v>139</v>
      </c>
      <c r="R42" s="898">
        <f t="shared" si="5"/>
        <v>3.2308103203096885</v>
      </c>
      <c r="S42" s="898">
        <f t="shared" si="5"/>
        <v>2.5421050861499079</v>
      </c>
      <c r="T42" s="898">
        <f t="shared" si="5"/>
        <v>2.4043640393179522</v>
      </c>
      <c r="U42" s="898">
        <f t="shared" si="5"/>
        <v>2.1288819456540398</v>
      </c>
      <c r="V42" s="898">
        <f t="shared" si="5"/>
        <v>1.9911408988220836</v>
      </c>
      <c r="W42" s="898">
        <f t="shared" si="5"/>
        <v>1.7156588051581716</v>
      </c>
      <c r="X42" s="898">
        <f t="shared" si="5"/>
        <v>1.4401767114942625</v>
      </c>
      <c r="Y42" s="898">
        <f t="shared" si="5"/>
        <v>1.1646946178303503</v>
      </c>
      <c r="Z42" s="898">
        <f t="shared" si="5"/>
        <v>0.88921252416643826</v>
      </c>
      <c r="AA42" s="913">
        <f>B55</f>
        <v>1.7916666666666667</v>
      </c>
      <c r="AB42" s="900"/>
      <c r="AC42" s="902"/>
      <c r="AD42" s="916">
        <f>B43</f>
        <v>1.29</v>
      </c>
      <c r="AE42" s="902"/>
      <c r="AF42" s="902"/>
      <c r="AG42" s="902"/>
      <c r="AH42" s="902"/>
      <c r="AI42" s="645"/>
      <c r="AJ42" s="902">
        <f t="shared" si="13"/>
        <v>1</v>
      </c>
      <c r="AK42" s="909">
        <f t="shared" si="10"/>
        <v>12.5</v>
      </c>
      <c r="AL42" s="645">
        <f t="shared" si="11"/>
        <v>1000000000</v>
      </c>
      <c r="AM42" s="902">
        <f t="shared" si="6"/>
        <v>0</v>
      </c>
      <c r="AN42" s="902">
        <f t="shared" si="6"/>
        <v>0</v>
      </c>
      <c r="AO42" s="902">
        <f t="shared" si="6"/>
        <v>1</v>
      </c>
      <c r="AP42" s="902">
        <f t="shared" si="6"/>
        <v>0</v>
      </c>
      <c r="AQ42" s="902">
        <f t="shared" si="6"/>
        <v>0</v>
      </c>
      <c r="AR42" s="902">
        <f t="shared" si="6"/>
        <v>0</v>
      </c>
      <c r="AS42" s="902">
        <f t="shared" si="6"/>
        <v>0</v>
      </c>
      <c r="AT42" s="645">
        <f t="shared" si="6"/>
        <v>0</v>
      </c>
      <c r="AU42" s="880">
        <f t="shared" si="12"/>
        <v>2.0711344558209857</v>
      </c>
      <c r="AV42" s="880">
        <f t="shared" si="7"/>
        <v>0</v>
      </c>
      <c r="AW42" s="880">
        <f t="shared" si="7"/>
        <v>0</v>
      </c>
      <c r="AX42" s="880">
        <f t="shared" si="7"/>
        <v>0.70372291874430726</v>
      </c>
      <c r="AY42" s="880">
        <f t="shared" si="7"/>
        <v>0</v>
      </c>
      <c r="AZ42" s="880">
        <f t="shared" si="7"/>
        <v>0</v>
      </c>
      <c r="BA42" s="880">
        <f t="shared" si="7"/>
        <v>0</v>
      </c>
      <c r="BB42" s="880">
        <f t="shared" si="7"/>
        <v>0</v>
      </c>
      <c r="BC42" s="904">
        <f t="shared" si="7"/>
        <v>0</v>
      </c>
    </row>
    <row r="43" spans="1:55" ht="15" customHeight="1" x14ac:dyDescent="0.25">
      <c r="B43" s="674">
        <f>C20</f>
        <v>1.29</v>
      </c>
      <c r="C43" s="910"/>
      <c r="D43" s="911"/>
      <c r="E43" s="911"/>
      <c r="F43" s="860">
        <f>$C$8</f>
        <v>129</v>
      </c>
      <c r="G43" s="911"/>
      <c r="H43" s="911"/>
      <c r="I43" s="911"/>
      <c r="J43" s="911"/>
      <c r="K43" s="914"/>
      <c r="L43" s="806">
        <f t="shared" si="2"/>
        <v>145</v>
      </c>
      <c r="M43" s="895">
        <f t="shared" si="3"/>
        <v>-1000000</v>
      </c>
      <c r="N43" s="806">
        <f t="shared" si="4"/>
        <v>100</v>
      </c>
      <c r="P43" s="900">
        <f t="shared" si="8"/>
        <v>7</v>
      </c>
      <c r="Q43" s="908">
        <f t="shared" si="9"/>
        <v>138</v>
      </c>
      <c r="R43" s="898">
        <f t="shared" si="5"/>
        <v>3.7701949364775511</v>
      </c>
      <c r="S43" s="898">
        <f t="shared" si="5"/>
        <v>2.9668899100832422</v>
      </c>
      <c r="T43" s="898">
        <f t="shared" si="5"/>
        <v>2.8062289048043807</v>
      </c>
      <c r="U43" s="898">
        <f t="shared" si="5"/>
        <v>2.4849068942466572</v>
      </c>
      <c r="V43" s="898">
        <f t="shared" si="5"/>
        <v>2.3242458889677953</v>
      </c>
      <c r="W43" s="898">
        <f t="shared" si="5"/>
        <v>2.0029238784100718</v>
      </c>
      <c r="X43" s="898">
        <f t="shared" si="5"/>
        <v>1.6816018678523521</v>
      </c>
      <c r="Y43" s="898">
        <f t="shared" si="5"/>
        <v>1.3602798572946286</v>
      </c>
      <c r="Z43" s="898">
        <f t="shared" si="5"/>
        <v>1.0389578467369052</v>
      </c>
      <c r="AA43" s="900"/>
      <c r="AB43" s="915">
        <f>B54</f>
        <v>1.7708333333333333</v>
      </c>
      <c r="AC43" s="902"/>
      <c r="AD43" s="902"/>
      <c r="AE43" s="916">
        <f>B42</f>
        <v>1.28</v>
      </c>
      <c r="AF43" s="902"/>
      <c r="AG43" s="902"/>
      <c r="AH43" s="902"/>
      <c r="AI43" s="645"/>
      <c r="AJ43" s="902">
        <f t="shared" si="13"/>
        <v>0</v>
      </c>
      <c r="AK43" s="909">
        <f t="shared" si="10"/>
        <v>12.5</v>
      </c>
      <c r="AL43" s="645">
        <f t="shared" si="11"/>
        <v>1000000000</v>
      </c>
      <c r="AM43" s="902">
        <f t="shared" si="6"/>
        <v>1</v>
      </c>
      <c r="AN43" s="902">
        <f t="shared" si="6"/>
        <v>0</v>
      </c>
      <c r="AO43" s="902">
        <f t="shared" si="6"/>
        <v>0</v>
      </c>
      <c r="AP43" s="902">
        <f t="shared" si="6"/>
        <v>1</v>
      </c>
      <c r="AQ43" s="902">
        <f t="shared" si="6"/>
        <v>0</v>
      </c>
      <c r="AR43" s="902">
        <f t="shared" si="6"/>
        <v>0</v>
      </c>
      <c r="AS43" s="902">
        <f t="shared" si="6"/>
        <v>0</v>
      </c>
      <c r="AT43" s="645">
        <f t="shared" si="6"/>
        <v>0</v>
      </c>
      <c r="AU43" s="880">
        <f t="shared" si="12"/>
        <v>0</v>
      </c>
      <c r="AV43" s="880">
        <f t="shared" si="7"/>
        <v>1.4305513347867109</v>
      </c>
      <c r="AW43" s="880">
        <f t="shared" si="7"/>
        <v>0</v>
      </c>
      <c r="AX43" s="880">
        <f t="shared" si="7"/>
        <v>0</v>
      </c>
      <c r="AY43" s="880">
        <f t="shared" si="7"/>
        <v>1.090449476626141</v>
      </c>
      <c r="AZ43" s="880">
        <f t="shared" si="7"/>
        <v>0</v>
      </c>
      <c r="BA43" s="880">
        <f t="shared" si="7"/>
        <v>0</v>
      </c>
      <c r="BB43" s="880">
        <f t="shared" si="7"/>
        <v>0</v>
      </c>
      <c r="BC43" s="904">
        <f t="shared" si="7"/>
        <v>0</v>
      </c>
    </row>
    <row r="44" spans="1:55" ht="15" customHeight="1" x14ac:dyDescent="0.25">
      <c r="B44" s="674">
        <f>C19</f>
        <v>1.31</v>
      </c>
      <c r="C44" s="910"/>
      <c r="D44" s="911"/>
      <c r="E44" s="860">
        <f>$C$7</f>
        <v>131</v>
      </c>
      <c r="F44" s="911"/>
      <c r="G44" s="911"/>
      <c r="H44" s="911"/>
      <c r="I44" s="911"/>
      <c r="J44" s="911"/>
      <c r="K44" s="914"/>
      <c r="L44" s="806">
        <f t="shared" si="2"/>
        <v>145</v>
      </c>
      <c r="M44" s="895">
        <f t="shared" si="3"/>
        <v>-1000000</v>
      </c>
      <c r="N44" s="806">
        <f t="shared" si="4"/>
        <v>100</v>
      </c>
      <c r="P44" s="900">
        <f t="shared" si="8"/>
        <v>8</v>
      </c>
      <c r="Q44" s="908">
        <f t="shared" si="9"/>
        <v>137</v>
      </c>
      <c r="R44" s="898">
        <f t="shared" si="5"/>
        <v>4.3099054608158474</v>
      </c>
      <c r="S44" s="898">
        <f t="shared" si="5"/>
        <v>3.392053235024199</v>
      </c>
      <c r="T44" s="898">
        <f t="shared" si="5"/>
        <v>3.2084827898658697</v>
      </c>
      <c r="U44" s="898">
        <f t="shared" si="5"/>
        <v>2.8413418995492101</v>
      </c>
      <c r="V44" s="898">
        <f t="shared" si="5"/>
        <v>2.6577714543908804</v>
      </c>
      <c r="W44" s="898">
        <f t="shared" si="5"/>
        <v>2.2906305640742213</v>
      </c>
      <c r="X44" s="898">
        <f t="shared" si="5"/>
        <v>1.923489673757566</v>
      </c>
      <c r="Y44" s="898">
        <f t="shared" si="5"/>
        <v>1.5563487834409067</v>
      </c>
      <c r="Z44" s="898">
        <f t="shared" si="5"/>
        <v>1.1892078931242474</v>
      </c>
      <c r="AA44" s="900"/>
      <c r="AB44" s="900"/>
      <c r="AC44" s="916">
        <f>B53</f>
        <v>1.7638888888888888</v>
      </c>
      <c r="AD44" s="902"/>
      <c r="AE44" s="902"/>
      <c r="AF44" s="902"/>
      <c r="AG44" s="902"/>
      <c r="AH44" s="902"/>
      <c r="AI44" s="645"/>
      <c r="AJ44" s="902">
        <f t="shared" si="13"/>
        <v>0</v>
      </c>
      <c r="AK44" s="909">
        <f t="shared" si="10"/>
        <v>12.5</v>
      </c>
      <c r="AL44" s="645">
        <f t="shared" si="11"/>
        <v>1000000000</v>
      </c>
      <c r="AM44" s="902">
        <f t="shared" si="6"/>
        <v>0</v>
      </c>
      <c r="AN44" s="902">
        <f t="shared" si="6"/>
        <v>1</v>
      </c>
      <c r="AO44" s="902">
        <f t="shared" si="6"/>
        <v>0</v>
      </c>
      <c r="AP44" s="902">
        <f t="shared" si="6"/>
        <v>0</v>
      </c>
      <c r="AQ44" s="902">
        <f t="shared" si="6"/>
        <v>0</v>
      </c>
      <c r="AR44" s="902">
        <f t="shared" si="6"/>
        <v>0</v>
      </c>
      <c r="AS44" s="902">
        <f t="shared" si="6"/>
        <v>0</v>
      </c>
      <c r="AT44" s="645">
        <f t="shared" si="6"/>
        <v>0</v>
      </c>
      <c r="AU44" s="880">
        <f t="shared" si="12"/>
        <v>0</v>
      </c>
      <c r="AV44" s="880">
        <f t="shared" si="7"/>
        <v>0</v>
      </c>
      <c r="AW44" s="880">
        <f t="shared" si="7"/>
        <v>2.0868515387398912</v>
      </c>
      <c r="AX44" s="880">
        <f t="shared" si="7"/>
        <v>0</v>
      </c>
      <c r="AY44" s="880">
        <f t="shared" si="7"/>
        <v>0</v>
      </c>
      <c r="AZ44" s="880">
        <f t="shared" si="7"/>
        <v>0</v>
      </c>
      <c r="BA44" s="880">
        <f t="shared" si="7"/>
        <v>0</v>
      </c>
      <c r="BB44" s="880">
        <f t="shared" si="7"/>
        <v>0</v>
      </c>
      <c r="BC44" s="904">
        <f t="shared" si="7"/>
        <v>0</v>
      </c>
    </row>
    <row r="45" spans="1:55" ht="15" customHeight="1" x14ac:dyDescent="0.25">
      <c r="B45" s="674">
        <f>C18</f>
        <v>1.3149999999999999</v>
      </c>
      <c r="C45" s="910"/>
      <c r="D45" s="860">
        <f>$C$6</f>
        <v>131.5</v>
      </c>
      <c r="E45" s="911"/>
      <c r="F45" s="911"/>
      <c r="G45" s="911"/>
      <c r="H45" s="911"/>
      <c r="I45" s="911"/>
      <c r="J45" s="911"/>
      <c r="K45" s="914"/>
      <c r="L45" s="806">
        <f t="shared" si="2"/>
        <v>145</v>
      </c>
      <c r="M45" s="895">
        <f t="shared" si="3"/>
        <v>-1000000</v>
      </c>
      <c r="N45" s="806">
        <f t="shared" si="4"/>
        <v>100</v>
      </c>
      <c r="P45" s="900">
        <f t="shared" si="8"/>
        <v>9</v>
      </c>
      <c r="Q45" s="908">
        <f t="shared" si="9"/>
        <v>136</v>
      </c>
      <c r="R45" s="898">
        <f t="shared" si="5"/>
        <v>4.8499681985353318</v>
      </c>
      <c r="S45" s="898">
        <f t="shared" si="5"/>
        <v>3.8176213299874995</v>
      </c>
      <c r="T45" s="898">
        <f t="shared" si="5"/>
        <v>3.6111519562779328</v>
      </c>
      <c r="U45" s="898">
        <f t="shared" si="5"/>
        <v>3.1982132088588</v>
      </c>
      <c r="V45" s="898">
        <f t="shared" si="5"/>
        <v>2.9917438351492334</v>
      </c>
      <c r="W45" s="898">
        <f t="shared" si="5"/>
        <v>2.5788050877301001</v>
      </c>
      <c r="X45" s="898">
        <f t="shared" si="5"/>
        <v>2.1658663403109712</v>
      </c>
      <c r="Y45" s="898">
        <f t="shared" si="5"/>
        <v>1.7529275928918382</v>
      </c>
      <c r="Z45" s="898">
        <f t="shared" si="5"/>
        <v>1.3399888454727051</v>
      </c>
      <c r="AA45" s="900"/>
      <c r="AB45" s="900"/>
      <c r="AC45" s="902"/>
      <c r="AD45" s="902"/>
      <c r="AE45" s="902"/>
      <c r="AF45" s="902"/>
      <c r="AG45" s="902"/>
      <c r="AH45" s="902"/>
      <c r="AI45" s="645"/>
      <c r="AJ45" s="902">
        <f t="shared" si="13"/>
        <v>0</v>
      </c>
      <c r="AK45" s="909">
        <f t="shared" si="10"/>
        <v>12.5</v>
      </c>
      <c r="AL45" s="645">
        <f t="shared" si="11"/>
        <v>1000000000</v>
      </c>
      <c r="AM45" s="902">
        <f t="shared" si="6"/>
        <v>0</v>
      </c>
      <c r="AN45" s="902">
        <f t="shared" si="6"/>
        <v>0</v>
      </c>
      <c r="AO45" s="902">
        <f t="shared" si="6"/>
        <v>0</v>
      </c>
      <c r="AP45" s="902">
        <f t="shared" si="6"/>
        <v>0</v>
      </c>
      <c r="AQ45" s="902">
        <f t="shared" si="6"/>
        <v>0</v>
      </c>
      <c r="AR45" s="902">
        <f t="shared" si="6"/>
        <v>0</v>
      </c>
      <c r="AS45" s="902">
        <f t="shared" si="6"/>
        <v>0</v>
      </c>
      <c r="AT45" s="645">
        <f t="shared" si="6"/>
        <v>0</v>
      </c>
      <c r="AU45" s="880">
        <f t="shared" si="12"/>
        <v>0</v>
      </c>
      <c r="AV45" s="880">
        <f t="shared" si="7"/>
        <v>0</v>
      </c>
      <c r="AW45" s="880">
        <f t="shared" si="7"/>
        <v>0</v>
      </c>
      <c r="AX45" s="880">
        <f t="shared" si="7"/>
        <v>0</v>
      </c>
      <c r="AY45" s="880">
        <f t="shared" si="7"/>
        <v>0</v>
      </c>
      <c r="AZ45" s="880">
        <f t="shared" si="7"/>
        <v>0</v>
      </c>
      <c r="BA45" s="880">
        <f t="shared" si="7"/>
        <v>0</v>
      </c>
      <c r="BB45" s="880">
        <f t="shared" si="7"/>
        <v>0</v>
      </c>
      <c r="BC45" s="904">
        <f t="shared" si="7"/>
        <v>0</v>
      </c>
    </row>
    <row r="46" spans="1:55" ht="15" customHeight="1" x14ac:dyDescent="0.25">
      <c r="B46" s="917">
        <f>C17</f>
        <v>1.33</v>
      </c>
      <c r="C46" s="647">
        <f>$C$5</f>
        <v>133</v>
      </c>
      <c r="D46" s="911"/>
      <c r="E46" s="911"/>
      <c r="F46" s="911"/>
      <c r="G46" s="911"/>
      <c r="H46" s="911"/>
      <c r="I46" s="911"/>
      <c r="J46" s="911"/>
      <c r="K46" s="914"/>
      <c r="L46" s="806">
        <f t="shared" si="2"/>
        <v>145</v>
      </c>
      <c r="M46" s="895">
        <f t="shared" si="3"/>
        <v>-1000000</v>
      </c>
      <c r="N46" s="806">
        <f t="shared" si="4"/>
        <v>100</v>
      </c>
      <c r="P46" s="900">
        <f t="shared" si="8"/>
        <v>10</v>
      </c>
      <c r="Q46" s="908">
        <f t="shared" si="9"/>
        <v>135</v>
      </c>
      <c r="R46" s="898">
        <f t="shared" si="5"/>
        <v>5.3904105370372202</v>
      </c>
      <c r="S46" s="898">
        <f t="shared" si="5"/>
        <v>4.2436215462115312</v>
      </c>
      <c r="T46" s="898">
        <f t="shared" si="5"/>
        <v>4.0142637480463934</v>
      </c>
      <c r="U46" s="898">
        <f t="shared" si="5"/>
        <v>3.5555481517161178</v>
      </c>
      <c r="V46" s="898">
        <f t="shared" si="5"/>
        <v>3.32619035355098</v>
      </c>
      <c r="W46" s="898">
        <f t="shared" si="5"/>
        <v>2.8674747572207044</v>
      </c>
      <c r="X46" s="898">
        <f t="shared" si="5"/>
        <v>2.4087591608904337</v>
      </c>
      <c r="Y46" s="898">
        <f t="shared" si="5"/>
        <v>1.9500435645601586</v>
      </c>
      <c r="Z46" s="898">
        <f t="shared" si="5"/>
        <v>1.4913279682298828</v>
      </c>
      <c r="AA46" s="900"/>
      <c r="AB46" s="900"/>
      <c r="AC46" s="902"/>
      <c r="AD46" s="916">
        <f>B52</f>
        <v>1.7361111111111112</v>
      </c>
      <c r="AE46" s="902"/>
      <c r="AF46" s="916">
        <f>B41</f>
        <v>1.25</v>
      </c>
      <c r="AG46" s="902"/>
      <c r="AH46" s="902"/>
      <c r="AI46" s="645"/>
      <c r="AJ46" s="902">
        <f t="shared" si="13"/>
        <v>0</v>
      </c>
      <c r="AK46" s="909">
        <f t="shared" si="10"/>
        <v>12.5</v>
      </c>
      <c r="AL46" s="645">
        <f t="shared" si="11"/>
        <v>1000000000</v>
      </c>
      <c r="AM46" s="902">
        <f t="shared" si="6"/>
        <v>0</v>
      </c>
      <c r="AN46" s="902">
        <f t="shared" si="6"/>
        <v>0</v>
      </c>
      <c r="AO46" s="902">
        <f t="shared" si="6"/>
        <v>1</v>
      </c>
      <c r="AP46" s="902">
        <f t="shared" si="6"/>
        <v>0</v>
      </c>
      <c r="AQ46" s="902">
        <f t="shared" si="6"/>
        <v>1</v>
      </c>
      <c r="AR46" s="902">
        <f t="shared" si="6"/>
        <v>0</v>
      </c>
      <c r="AS46" s="902">
        <f t="shared" si="6"/>
        <v>0</v>
      </c>
      <c r="AT46" s="645">
        <f t="shared" si="6"/>
        <v>0</v>
      </c>
      <c r="AU46" s="880">
        <f t="shared" si="12"/>
        <v>0</v>
      </c>
      <c r="AV46" s="880">
        <f t="shared" si="7"/>
        <v>0</v>
      </c>
      <c r="AW46" s="880">
        <f t="shared" si="7"/>
        <v>0</v>
      </c>
      <c r="AX46" s="880">
        <f t="shared" si="7"/>
        <v>3.3103511447255047</v>
      </c>
      <c r="AY46" s="880">
        <f t="shared" si="7"/>
        <v>0</v>
      </c>
      <c r="AZ46" s="880">
        <f t="shared" si="7"/>
        <v>2.6162245902461767</v>
      </c>
      <c r="BA46" s="880">
        <f t="shared" si="7"/>
        <v>0</v>
      </c>
      <c r="BB46" s="880">
        <f t="shared" si="7"/>
        <v>0</v>
      </c>
      <c r="BC46" s="904">
        <f t="shared" si="7"/>
        <v>0</v>
      </c>
    </row>
    <row r="47" spans="1:55" ht="15" customHeight="1" x14ac:dyDescent="0.25">
      <c r="B47" s="674">
        <f>D25</f>
        <v>1.4930555555555556</v>
      </c>
      <c r="C47" s="910"/>
      <c r="D47" s="911"/>
      <c r="E47" s="911"/>
      <c r="F47" s="911"/>
      <c r="G47" s="911"/>
      <c r="H47" s="911"/>
      <c r="I47" s="911"/>
      <c r="J47" s="911"/>
      <c r="K47" s="912">
        <f>$D$13</f>
        <v>107.5</v>
      </c>
      <c r="L47" s="806">
        <f t="shared" si="2"/>
        <v>145</v>
      </c>
      <c r="M47" s="895">
        <f t="shared" si="3"/>
        <v>-1000000</v>
      </c>
      <c r="N47" s="806">
        <f t="shared" si="4"/>
        <v>100</v>
      </c>
      <c r="P47" s="900">
        <f t="shared" si="8"/>
        <v>11</v>
      </c>
      <c r="Q47" s="908">
        <f t="shared" si="9"/>
        <v>134</v>
      </c>
      <c r="R47" s="898">
        <f t="shared" si="5"/>
        <v>5.9312609881732499</v>
      </c>
      <c r="S47" s="898">
        <f t="shared" si="5"/>
        <v>4.6700823594183767</v>
      </c>
      <c r="T47" s="898">
        <f t="shared" si="5"/>
        <v>4.417846633667402</v>
      </c>
      <c r="U47" s="898">
        <f t="shared" si="5"/>
        <v>3.9133751821654523</v>
      </c>
      <c r="V47" s="898">
        <f t="shared" si="5"/>
        <v>3.6611394564144777</v>
      </c>
      <c r="W47" s="898">
        <f t="shared" si="5"/>
        <v>3.156668004912528</v>
      </c>
      <c r="X47" s="898">
        <f t="shared" si="5"/>
        <v>2.652196553410584</v>
      </c>
      <c r="Y47" s="898">
        <f t="shared" si="5"/>
        <v>2.1477251019086343</v>
      </c>
      <c r="Z47" s="898">
        <f t="shared" si="5"/>
        <v>1.6432536504066848</v>
      </c>
      <c r="AA47" s="913">
        <f>B66</f>
        <v>2.5833333333333335</v>
      </c>
      <c r="AB47" s="900"/>
      <c r="AC47" s="902"/>
      <c r="AD47" s="902"/>
      <c r="AE47" s="916">
        <f>B51</f>
        <v>1.7222222222222223</v>
      </c>
      <c r="AF47" s="902"/>
      <c r="AG47" s="902"/>
      <c r="AH47" s="902"/>
      <c r="AI47" s="645"/>
      <c r="AJ47" s="902">
        <f t="shared" si="13"/>
        <v>1</v>
      </c>
      <c r="AK47" s="909">
        <f t="shared" si="10"/>
        <v>12.5</v>
      </c>
      <c r="AL47" s="645">
        <f t="shared" si="11"/>
        <v>1000000000</v>
      </c>
      <c r="AM47" s="902">
        <f t="shared" si="6"/>
        <v>0</v>
      </c>
      <c r="AN47" s="902">
        <f t="shared" si="6"/>
        <v>0</v>
      </c>
      <c r="AO47" s="902">
        <f t="shared" si="6"/>
        <v>0</v>
      </c>
      <c r="AP47" s="902">
        <f t="shared" si="6"/>
        <v>1</v>
      </c>
      <c r="AQ47" s="902">
        <f t="shared" si="6"/>
        <v>0</v>
      </c>
      <c r="AR47" s="902">
        <f t="shared" si="6"/>
        <v>0</v>
      </c>
      <c r="AS47" s="902">
        <f t="shared" si="6"/>
        <v>0</v>
      </c>
      <c r="AT47" s="645">
        <f t="shared" si="6"/>
        <v>0</v>
      </c>
      <c r="AU47" s="880">
        <f t="shared" si="12"/>
        <v>11.208619582041901</v>
      </c>
      <c r="AV47" s="880">
        <f t="shared" si="7"/>
        <v>0</v>
      </c>
      <c r="AW47" s="880">
        <f t="shared" si="7"/>
        <v>0</v>
      </c>
      <c r="AX47" s="880">
        <f t="shared" si="7"/>
        <v>0</v>
      </c>
      <c r="AY47" s="880">
        <f t="shared" si="7"/>
        <v>3.7594000410477451</v>
      </c>
      <c r="AZ47" s="880">
        <f t="shared" si="7"/>
        <v>0</v>
      </c>
      <c r="BA47" s="880">
        <f t="shared" si="7"/>
        <v>0</v>
      </c>
      <c r="BB47" s="880">
        <f t="shared" si="7"/>
        <v>0</v>
      </c>
      <c r="BC47" s="904">
        <f t="shared" si="7"/>
        <v>0</v>
      </c>
    </row>
    <row r="48" spans="1:55" ht="15" customHeight="1" x14ac:dyDescent="0.25">
      <c r="B48" s="674">
        <f>D24</f>
        <v>1.5763888888888888</v>
      </c>
      <c r="C48" s="910"/>
      <c r="D48" s="911"/>
      <c r="E48" s="911"/>
      <c r="F48" s="911"/>
      <c r="G48" s="911"/>
      <c r="H48" s="860"/>
      <c r="I48" s="860"/>
      <c r="J48" s="860">
        <f>$D$12</f>
        <v>113.5</v>
      </c>
      <c r="K48" s="912"/>
      <c r="L48" s="806">
        <f t="shared" si="2"/>
        <v>145</v>
      </c>
      <c r="M48" s="895">
        <f t="shared" si="3"/>
        <v>-1000000</v>
      </c>
      <c r="N48" s="806">
        <f t="shared" si="4"/>
        <v>100</v>
      </c>
      <c r="O48" s="549"/>
      <c r="P48" s="900">
        <f t="shared" si="8"/>
        <v>12</v>
      </c>
      <c r="Q48" s="908">
        <f t="shared" si="9"/>
        <v>133</v>
      </c>
      <c r="R48" s="898">
        <f t="shared" si="5"/>
        <v>6.4725492320944351</v>
      </c>
      <c r="S48" s="898">
        <f t="shared" si="5"/>
        <v>5.0970334136625217</v>
      </c>
      <c r="T48" s="898">
        <f t="shared" si="5"/>
        <v>4.8219302499761394</v>
      </c>
      <c r="U48" s="898">
        <f t="shared" si="5"/>
        <v>4.2717239226033739</v>
      </c>
      <c r="V48" s="898">
        <f t="shared" si="5"/>
        <v>3.9966207589169915</v>
      </c>
      <c r="W48" s="898">
        <f t="shared" si="5"/>
        <v>3.446414431544226</v>
      </c>
      <c r="X48" s="898">
        <f t="shared" si="5"/>
        <v>2.8962081041714671</v>
      </c>
      <c r="Y48" s="898">
        <f t="shared" si="5"/>
        <v>2.3460017767987016</v>
      </c>
      <c r="Z48" s="898">
        <f t="shared" si="5"/>
        <v>1.7957954494259365</v>
      </c>
      <c r="AA48" s="900"/>
      <c r="AB48" s="915">
        <f>B65</f>
        <v>2.5520833333333335</v>
      </c>
      <c r="AC48" s="902"/>
      <c r="AD48" s="902"/>
      <c r="AE48" s="902"/>
      <c r="AF48" s="902"/>
      <c r="AG48" s="902"/>
      <c r="AH48" s="902"/>
      <c r="AI48" s="645"/>
      <c r="AJ48" s="902">
        <f t="shared" si="13"/>
        <v>0</v>
      </c>
      <c r="AK48" s="909">
        <f t="shared" si="10"/>
        <v>12.5</v>
      </c>
      <c r="AL48" s="645">
        <f t="shared" si="11"/>
        <v>1000000000</v>
      </c>
      <c r="AM48" s="902">
        <f t="shared" si="6"/>
        <v>1</v>
      </c>
      <c r="AN48" s="902">
        <f t="shared" si="6"/>
        <v>0</v>
      </c>
      <c r="AO48" s="902">
        <f t="shared" si="6"/>
        <v>0</v>
      </c>
      <c r="AP48" s="902">
        <f t="shared" si="6"/>
        <v>0</v>
      </c>
      <c r="AQ48" s="902">
        <f t="shared" si="6"/>
        <v>0</v>
      </c>
      <c r="AR48" s="902">
        <f t="shared" si="6"/>
        <v>0</v>
      </c>
      <c r="AS48" s="902">
        <f t="shared" si="6"/>
        <v>0</v>
      </c>
      <c r="AT48" s="645">
        <f t="shared" si="6"/>
        <v>0</v>
      </c>
      <c r="AU48" s="880">
        <f t="shared" si="12"/>
        <v>0</v>
      </c>
      <c r="AV48" s="880">
        <f t="shared" si="7"/>
        <v>6.4767709113675416</v>
      </c>
      <c r="AW48" s="880">
        <f t="shared" si="7"/>
        <v>0</v>
      </c>
      <c r="AX48" s="880">
        <f t="shared" si="7"/>
        <v>0</v>
      </c>
      <c r="AY48" s="880">
        <f t="shared" si="7"/>
        <v>0</v>
      </c>
      <c r="AZ48" s="880">
        <f t="shared" si="7"/>
        <v>0</v>
      </c>
      <c r="BA48" s="880">
        <f t="shared" si="7"/>
        <v>0</v>
      </c>
      <c r="BB48" s="880">
        <f t="shared" si="7"/>
        <v>0</v>
      </c>
      <c r="BC48" s="904">
        <f t="shared" si="7"/>
        <v>0</v>
      </c>
    </row>
    <row r="49" spans="2:55" ht="15" customHeight="1" x14ac:dyDescent="0.25">
      <c r="B49" s="674">
        <f>D23</f>
        <v>1.6388888888888888</v>
      </c>
      <c r="C49" s="910"/>
      <c r="D49" s="911"/>
      <c r="E49" s="911"/>
      <c r="F49" s="911"/>
      <c r="G49" s="911"/>
      <c r="H49" s="911"/>
      <c r="I49" s="860">
        <f>$D$11</f>
        <v>118</v>
      </c>
      <c r="J49" s="911"/>
      <c r="K49" s="914"/>
      <c r="L49" s="806">
        <f t="shared" si="2"/>
        <v>145</v>
      </c>
      <c r="M49" s="895">
        <f t="shared" si="3"/>
        <v>-1000000</v>
      </c>
      <c r="N49" s="806">
        <f t="shared" si="4"/>
        <v>100</v>
      </c>
      <c r="O49" s="549"/>
      <c r="P49" s="900">
        <f t="shared" si="8"/>
        <v>13</v>
      </c>
      <c r="Q49" s="908">
        <f t="shared" si="9"/>
        <v>132</v>
      </c>
      <c r="R49" s="898">
        <f t="shared" si="5"/>
        <v>7.0143061627466921</v>
      </c>
      <c r="S49" s="898">
        <f t="shared" si="5"/>
        <v>5.524505566826452</v>
      </c>
      <c r="T49" s="898">
        <f t="shared" si="5"/>
        <v>5.2265454476424047</v>
      </c>
      <c r="U49" s="898">
        <f t="shared" si="5"/>
        <v>4.6306252092743083</v>
      </c>
      <c r="V49" s="898">
        <f t="shared" si="5"/>
        <v>4.3326650900902601</v>
      </c>
      <c r="W49" s="898">
        <f t="shared" si="5"/>
        <v>3.7367448517221642</v>
      </c>
      <c r="X49" s="898">
        <f t="shared" si="5"/>
        <v>3.1408246133540749</v>
      </c>
      <c r="Y49" s="898">
        <f t="shared" si="5"/>
        <v>2.544904374985979</v>
      </c>
      <c r="Z49" s="898">
        <f t="shared" si="5"/>
        <v>1.9489841366178833</v>
      </c>
      <c r="AA49" s="913">
        <f>B75</f>
        <v>3.375</v>
      </c>
      <c r="AB49" s="900"/>
      <c r="AC49" s="916">
        <f>B64</f>
        <v>2.53125</v>
      </c>
      <c r="AD49" s="902"/>
      <c r="AE49" s="902"/>
      <c r="AF49" s="902"/>
      <c r="AG49" s="916">
        <f>B40</f>
        <v>1.2150000000000001</v>
      </c>
      <c r="AH49" s="902"/>
      <c r="AI49" s="645"/>
      <c r="AJ49" s="902">
        <f t="shared" si="13"/>
        <v>1</v>
      </c>
      <c r="AK49" s="909">
        <f t="shared" si="10"/>
        <v>12.5</v>
      </c>
      <c r="AL49" s="645">
        <f t="shared" si="11"/>
        <v>1000000000</v>
      </c>
      <c r="AM49" s="902">
        <f t="shared" si="6"/>
        <v>0</v>
      </c>
      <c r="AN49" s="902">
        <f t="shared" si="6"/>
        <v>1</v>
      </c>
      <c r="AO49" s="902">
        <f t="shared" si="6"/>
        <v>0</v>
      </c>
      <c r="AP49" s="902">
        <f t="shared" si="6"/>
        <v>0</v>
      </c>
      <c r="AQ49" s="902">
        <f t="shared" si="6"/>
        <v>0</v>
      </c>
      <c r="AR49" s="902">
        <f t="shared" si="6"/>
        <v>1</v>
      </c>
      <c r="AS49" s="902">
        <f t="shared" si="6"/>
        <v>0</v>
      </c>
      <c r="AT49" s="645">
        <f t="shared" si="6"/>
        <v>0</v>
      </c>
      <c r="AU49" s="880">
        <f t="shared" si="12"/>
        <v>13.244549346206052</v>
      </c>
      <c r="AV49" s="880">
        <f t="shared" si="7"/>
        <v>0</v>
      </c>
      <c r="AW49" s="880">
        <f t="shared" si="7"/>
        <v>7.264617550081871</v>
      </c>
      <c r="AX49" s="880">
        <f t="shared" si="7"/>
        <v>0</v>
      </c>
      <c r="AY49" s="880">
        <f t="shared" si="7"/>
        <v>0</v>
      </c>
      <c r="AZ49" s="880">
        <f t="shared" si="7"/>
        <v>0</v>
      </c>
      <c r="BA49" s="880">
        <f t="shared" si="7"/>
        <v>3.7088004414003719</v>
      </c>
      <c r="BB49" s="880">
        <f t="shared" si="7"/>
        <v>0</v>
      </c>
      <c r="BC49" s="904">
        <f t="shared" si="7"/>
        <v>0</v>
      </c>
    </row>
    <row r="50" spans="2:55" ht="15" customHeight="1" x14ac:dyDescent="0.25">
      <c r="B50" s="674">
        <f>D22</f>
        <v>1.6805555555555556</v>
      </c>
      <c r="C50" s="910"/>
      <c r="D50" s="911"/>
      <c r="E50" s="911"/>
      <c r="F50" s="911"/>
      <c r="G50" s="911"/>
      <c r="H50" s="860">
        <f>$D$10</f>
        <v>121</v>
      </c>
      <c r="I50" s="911"/>
      <c r="J50" s="911"/>
      <c r="K50" s="914"/>
      <c r="L50" s="806">
        <f t="shared" si="2"/>
        <v>145</v>
      </c>
      <c r="M50" s="895">
        <f t="shared" si="3"/>
        <v>-1000000</v>
      </c>
      <c r="N50" s="806">
        <f t="shared" si="4"/>
        <v>100</v>
      </c>
      <c r="P50" s="900">
        <f t="shared" si="8"/>
        <v>14</v>
      </c>
      <c r="Q50" s="908">
        <f t="shared" si="9"/>
        <v>131</v>
      </c>
      <c r="R50" s="898">
        <f t="shared" si="5"/>
        <v>7.5565639350735729</v>
      </c>
      <c r="S50" s="898">
        <f t="shared" si="5"/>
        <v>5.952530937823342</v>
      </c>
      <c r="T50" s="898">
        <f t="shared" si="5"/>
        <v>5.6317243383732958</v>
      </c>
      <c r="U50" s="898">
        <f t="shared" si="5"/>
        <v>4.9901111394732034</v>
      </c>
      <c r="V50" s="898">
        <f t="shared" si="5"/>
        <v>4.6693045400231572</v>
      </c>
      <c r="W50" s="898">
        <f t="shared" si="5"/>
        <v>4.0276913411230657</v>
      </c>
      <c r="X50" s="898">
        <f t="shared" si="5"/>
        <v>3.3860781422229804</v>
      </c>
      <c r="Y50" s="898">
        <f t="shared" si="5"/>
        <v>2.744464943322888</v>
      </c>
      <c r="Z50" s="898">
        <f t="shared" si="5"/>
        <v>2.1028517444227957</v>
      </c>
      <c r="AA50" s="900"/>
      <c r="AB50" s="900"/>
      <c r="AC50" s="902"/>
      <c r="AD50" s="916">
        <f>B63</f>
        <v>2.5104166666666665</v>
      </c>
      <c r="AE50" s="902"/>
      <c r="AF50" s="916">
        <f>B50</f>
        <v>1.6805555555555556</v>
      </c>
      <c r="AG50" s="902"/>
      <c r="AH50" s="902"/>
      <c r="AI50" s="645"/>
      <c r="AJ50" s="902">
        <f t="shared" si="13"/>
        <v>0</v>
      </c>
      <c r="AK50" s="909">
        <f t="shared" si="10"/>
        <v>12.5</v>
      </c>
      <c r="AL50" s="645">
        <f t="shared" si="11"/>
        <v>1000000000</v>
      </c>
      <c r="AM50" s="902">
        <f t="shared" si="6"/>
        <v>0</v>
      </c>
      <c r="AN50" s="902">
        <f t="shared" si="6"/>
        <v>0</v>
      </c>
      <c r="AO50" s="902">
        <f t="shared" si="6"/>
        <v>1</v>
      </c>
      <c r="AP50" s="902">
        <f t="shared" si="6"/>
        <v>0</v>
      </c>
      <c r="AQ50" s="902">
        <f t="shared" si="6"/>
        <v>1</v>
      </c>
      <c r="AR50" s="902">
        <f t="shared" si="6"/>
        <v>0</v>
      </c>
      <c r="AS50" s="902">
        <f t="shared" si="6"/>
        <v>0</v>
      </c>
      <c r="AT50" s="645">
        <f t="shared" si="6"/>
        <v>0</v>
      </c>
      <c r="AU50" s="880">
        <f t="shared" si="12"/>
        <v>0</v>
      </c>
      <c r="AV50" s="880">
        <f t="shared" si="7"/>
        <v>0</v>
      </c>
      <c r="AW50" s="880">
        <f t="shared" si="7"/>
        <v>0</v>
      </c>
      <c r="AX50" s="880">
        <f t="shared" si="7"/>
        <v>6.1488846784672893</v>
      </c>
      <c r="AY50" s="880">
        <f t="shared" si="7"/>
        <v>0</v>
      </c>
      <c r="AZ50" s="880">
        <f t="shared" si="7"/>
        <v>5.5090463958916143</v>
      </c>
      <c r="BA50" s="880">
        <f t="shared" si="7"/>
        <v>0</v>
      </c>
      <c r="BB50" s="880">
        <f t="shared" si="7"/>
        <v>0</v>
      </c>
      <c r="BC50" s="904">
        <f t="shared" si="7"/>
        <v>0</v>
      </c>
    </row>
    <row r="51" spans="2:55" ht="15" customHeight="1" x14ac:dyDescent="0.25">
      <c r="B51" s="674">
        <f>D21</f>
        <v>1.7222222222222223</v>
      </c>
      <c r="C51" s="910"/>
      <c r="D51" s="911"/>
      <c r="E51" s="911"/>
      <c r="F51" s="911"/>
      <c r="G51" s="860">
        <f>$D$9</f>
        <v>124</v>
      </c>
      <c r="H51" s="911"/>
      <c r="I51" s="911"/>
      <c r="J51" s="911"/>
      <c r="K51" s="914"/>
      <c r="L51" s="806">
        <f t="shared" si="2"/>
        <v>145</v>
      </c>
      <c r="M51" s="895">
        <f t="shared" si="3"/>
        <v>-1000000</v>
      </c>
      <c r="N51" s="806">
        <f t="shared" si="4"/>
        <v>100</v>
      </c>
      <c r="P51" s="900">
        <f t="shared" si="8"/>
        <v>15</v>
      </c>
      <c r="Q51" s="908">
        <f t="shared" si="9"/>
        <v>130</v>
      </c>
      <c r="R51" s="898">
        <f t="shared" si="5"/>
        <v>8.0993560139885332</v>
      </c>
      <c r="S51" s="898">
        <f t="shared" si="5"/>
        <v>6.3811429555692873</v>
      </c>
      <c r="T51" s="898">
        <f t="shared" si="5"/>
        <v>6.0375003438854389</v>
      </c>
      <c r="U51" s="898">
        <f t="shared" si="5"/>
        <v>5.3502151205177402</v>
      </c>
      <c r="V51" s="898">
        <f t="shared" si="5"/>
        <v>5.0065725088338908</v>
      </c>
      <c r="W51" s="898">
        <f t="shared" si="5"/>
        <v>4.3192872854661921</v>
      </c>
      <c r="X51" s="898">
        <f t="shared" si="5"/>
        <v>3.6320020620985023</v>
      </c>
      <c r="Y51" s="898">
        <f t="shared" si="5"/>
        <v>2.944716838730804</v>
      </c>
      <c r="Z51" s="898">
        <f t="shared" si="5"/>
        <v>2.2574316153631058</v>
      </c>
      <c r="AA51" s="900"/>
      <c r="AB51" s="900"/>
      <c r="AC51" s="902"/>
      <c r="AD51" s="902"/>
      <c r="AE51" s="916">
        <f>B62</f>
        <v>2.4895833333333335</v>
      </c>
      <c r="AF51" s="902"/>
      <c r="AG51" s="902"/>
      <c r="AH51" s="902"/>
      <c r="AI51" s="645"/>
      <c r="AJ51" s="902">
        <f t="shared" si="13"/>
        <v>0</v>
      </c>
      <c r="AK51" s="909">
        <f t="shared" si="10"/>
        <v>12.5</v>
      </c>
      <c r="AL51" s="645">
        <f t="shared" si="11"/>
        <v>1000000000</v>
      </c>
      <c r="AM51" s="902">
        <f t="shared" si="6"/>
        <v>0</v>
      </c>
      <c r="AN51" s="902">
        <f t="shared" si="6"/>
        <v>0</v>
      </c>
      <c r="AO51" s="902">
        <f t="shared" si="6"/>
        <v>0</v>
      </c>
      <c r="AP51" s="902">
        <f t="shared" si="6"/>
        <v>1</v>
      </c>
      <c r="AQ51" s="902">
        <f t="shared" si="6"/>
        <v>0</v>
      </c>
      <c r="AR51" s="902">
        <f t="shared" si="6"/>
        <v>0</v>
      </c>
      <c r="AS51" s="902">
        <f t="shared" si="6"/>
        <v>0</v>
      </c>
      <c r="AT51" s="645">
        <f t="shared" si="6"/>
        <v>0</v>
      </c>
      <c r="AU51" s="880">
        <f t="shared" si="12"/>
        <v>0</v>
      </c>
      <c r="AV51" s="880">
        <f t="shared" si="7"/>
        <v>0</v>
      </c>
      <c r="AW51" s="880">
        <f t="shared" si="7"/>
        <v>0</v>
      </c>
      <c r="AX51" s="880">
        <f t="shared" si="7"/>
        <v>0</v>
      </c>
      <c r="AY51" s="880">
        <f t="shared" si="7"/>
        <v>6.3352345095869751</v>
      </c>
      <c r="AZ51" s="880">
        <f t="shared" si="7"/>
        <v>0</v>
      </c>
      <c r="BA51" s="880">
        <f t="shared" si="7"/>
        <v>0</v>
      </c>
      <c r="BB51" s="880">
        <f t="shared" si="7"/>
        <v>0</v>
      </c>
      <c r="BC51" s="904">
        <f t="shared" si="7"/>
        <v>0</v>
      </c>
    </row>
    <row r="52" spans="2:55" ht="15" customHeight="1" x14ac:dyDescent="0.25">
      <c r="B52" s="674">
        <f>D20</f>
        <v>1.7361111111111112</v>
      </c>
      <c r="C52" s="910"/>
      <c r="D52" s="911"/>
      <c r="E52" s="911"/>
      <c r="F52" s="860">
        <f>$D$8</f>
        <v>125</v>
      </c>
      <c r="G52" s="911"/>
      <c r="H52" s="911"/>
      <c r="I52" s="911"/>
      <c r="J52" s="911"/>
      <c r="K52" s="914"/>
      <c r="L52" s="806">
        <f t="shared" si="2"/>
        <v>145</v>
      </c>
      <c r="M52" s="895">
        <f t="shared" si="3"/>
        <v>-1000000</v>
      </c>
      <c r="N52" s="806">
        <f t="shared" si="4"/>
        <v>100</v>
      </c>
      <c r="P52" s="900">
        <f t="shared" si="8"/>
        <v>16</v>
      </c>
      <c r="Q52" s="908">
        <f t="shared" si="9"/>
        <v>129</v>
      </c>
      <c r="R52" s="898">
        <f t="shared" si="5"/>
        <v>8.6427172251813946</v>
      </c>
      <c r="S52" s="898">
        <f t="shared" si="5"/>
        <v>6.8103764097897299</v>
      </c>
      <c r="T52" s="898">
        <f t="shared" si="5"/>
        <v>6.4439082467113966</v>
      </c>
      <c r="U52" s="898">
        <f t="shared" si="5"/>
        <v>5.7109719205547309</v>
      </c>
      <c r="V52" s="898">
        <f t="shared" si="5"/>
        <v>5.3445037574763976</v>
      </c>
      <c r="W52" s="898">
        <f t="shared" si="5"/>
        <v>4.6115674313197319</v>
      </c>
      <c r="X52" s="898">
        <f t="shared" si="5"/>
        <v>3.8786311051630746</v>
      </c>
      <c r="Y52" s="898">
        <f t="shared" si="5"/>
        <v>3.1456947790064085</v>
      </c>
      <c r="Z52" s="898">
        <f t="shared" si="5"/>
        <v>2.4127584528497428</v>
      </c>
      <c r="AA52" s="900"/>
      <c r="AB52" s="915">
        <f>B74</f>
        <v>3.2916666666666665</v>
      </c>
      <c r="AC52" s="902"/>
      <c r="AD52" s="902"/>
      <c r="AE52" s="902"/>
      <c r="AF52" s="902"/>
      <c r="AG52" s="902"/>
      <c r="AH52" s="902"/>
      <c r="AI52" s="645"/>
      <c r="AJ52" s="902">
        <f t="shared" si="13"/>
        <v>0</v>
      </c>
      <c r="AK52" s="909">
        <f t="shared" si="10"/>
        <v>12.5</v>
      </c>
      <c r="AL52" s="645">
        <f t="shared" si="11"/>
        <v>1000000000</v>
      </c>
      <c r="AM52" s="902">
        <f t="shared" ref="AM52:AT83" si="14">IF(AB52=0,0,1)</f>
        <v>1</v>
      </c>
      <c r="AN52" s="902">
        <f t="shared" si="14"/>
        <v>0</v>
      </c>
      <c r="AO52" s="902">
        <f t="shared" si="14"/>
        <v>0</v>
      </c>
      <c r="AP52" s="902">
        <f t="shared" si="14"/>
        <v>0</v>
      </c>
      <c r="AQ52" s="902">
        <f t="shared" si="14"/>
        <v>0</v>
      </c>
      <c r="AR52" s="902">
        <f t="shared" si="14"/>
        <v>0</v>
      </c>
      <c r="AS52" s="902">
        <f t="shared" si="14"/>
        <v>0</v>
      </c>
      <c r="AT52" s="645">
        <f t="shared" si="14"/>
        <v>0</v>
      </c>
      <c r="AU52" s="880">
        <f t="shared" si="12"/>
        <v>0</v>
      </c>
      <c r="AV52" s="880">
        <f t="shared" ref="AV52:BC83" si="15">AM52*(AB52-S52)^2</f>
        <v>12.381318256349175</v>
      </c>
      <c r="AW52" s="880">
        <f t="shared" si="15"/>
        <v>0</v>
      </c>
      <c r="AX52" s="880">
        <f t="shared" si="15"/>
        <v>0</v>
      </c>
      <c r="AY52" s="880">
        <f t="shared" si="15"/>
        <v>0</v>
      </c>
      <c r="AZ52" s="880">
        <f t="shared" si="15"/>
        <v>0</v>
      </c>
      <c r="BA52" s="880">
        <f t="shared" si="15"/>
        <v>0</v>
      </c>
      <c r="BB52" s="880">
        <f t="shared" si="15"/>
        <v>0</v>
      </c>
      <c r="BC52" s="904">
        <f t="shared" si="15"/>
        <v>0</v>
      </c>
    </row>
    <row r="53" spans="2:55" ht="15" customHeight="1" x14ac:dyDescent="0.25">
      <c r="B53" s="674">
        <f>D19</f>
        <v>1.7638888888888888</v>
      </c>
      <c r="C53" s="910"/>
      <c r="D53" s="911"/>
      <c r="E53" s="860">
        <f>$D$7</f>
        <v>127</v>
      </c>
      <c r="F53" s="911"/>
      <c r="G53" s="911"/>
      <c r="H53" s="911"/>
      <c r="I53" s="911"/>
      <c r="J53" s="911"/>
      <c r="K53" s="914"/>
      <c r="L53" s="806">
        <f t="shared" si="2"/>
        <v>145</v>
      </c>
      <c r="M53" s="895">
        <f t="shared" si="3"/>
        <v>-1000000</v>
      </c>
      <c r="N53" s="806">
        <f t="shared" si="4"/>
        <v>100</v>
      </c>
      <c r="P53" s="900">
        <f t="shared" si="8"/>
        <v>17</v>
      </c>
      <c r="Q53" s="908">
        <f t="shared" si="9"/>
        <v>128</v>
      </c>
      <c r="R53" s="898">
        <f t="shared" si="5"/>
        <v>9.1866838078259576</v>
      </c>
      <c r="S53" s="898">
        <f t="shared" si="5"/>
        <v>7.2402675037270328</v>
      </c>
      <c r="T53" s="898">
        <f t="shared" si="5"/>
        <v>6.8509842429072467</v>
      </c>
      <c r="U53" s="898">
        <f t="shared" si="5"/>
        <v>6.0724177212676764</v>
      </c>
      <c r="V53" s="898">
        <f t="shared" si="5"/>
        <v>5.6831344604478922</v>
      </c>
      <c r="W53" s="898">
        <f t="shared" si="5"/>
        <v>4.9045679388083219</v>
      </c>
      <c r="X53" s="898">
        <f t="shared" si="5"/>
        <v>4.1260014171687596</v>
      </c>
      <c r="Y53" s="898">
        <f t="shared" si="5"/>
        <v>3.3474348955291897</v>
      </c>
      <c r="Z53" s="898">
        <f t="shared" si="5"/>
        <v>2.5688683738896199</v>
      </c>
      <c r="AA53" s="900"/>
      <c r="AB53" s="900"/>
      <c r="AC53" s="916">
        <f>B73</f>
        <v>3.2777777777777777</v>
      </c>
      <c r="AD53" s="916">
        <f>B72</f>
        <v>3.2638888888888888</v>
      </c>
      <c r="AE53" s="902"/>
      <c r="AF53" s="902"/>
      <c r="AG53" s="916">
        <f>B49</f>
        <v>1.6388888888888888</v>
      </c>
      <c r="AH53" s="902"/>
      <c r="AI53" s="645"/>
      <c r="AJ53" s="902">
        <f t="shared" si="13"/>
        <v>0</v>
      </c>
      <c r="AK53" s="909">
        <f t="shared" si="10"/>
        <v>12.5</v>
      </c>
      <c r="AL53" s="645">
        <f t="shared" si="11"/>
        <v>1000000000</v>
      </c>
      <c r="AM53" s="902">
        <f t="shared" si="14"/>
        <v>0</v>
      </c>
      <c r="AN53" s="902">
        <f t="shared" si="14"/>
        <v>1</v>
      </c>
      <c r="AO53" s="902">
        <f t="shared" si="14"/>
        <v>1</v>
      </c>
      <c r="AP53" s="902">
        <f t="shared" si="14"/>
        <v>0</v>
      </c>
      <c r="AQ53" s="902">
        <f t="shared" si="14"/>
        <v>0</v>
      </c>
      <c r="AR53" s="902">
        <f t="shared" si="14"/>
        <v>1</v>
      </c>
      <c r="AS53" s="902">
        <f t="shared" si="14"/>
        <v>0</v>
      </c>
      <c r="AT53" s="645">
        <f t="shared" si="14"/>
        <v>0</v>
      </c>
      <c r="AU53" s="880">
        <f t="shared" si="12"/>
        <v>0</v>
      </c>
      <c r="AV53" s="880">
        <f t="shared" si="15"/>
        <v>0</v>
      </c>
      <c r="AW53" s="880">
        <f t="shared" si="15"/>
        <v>12.767804442443035</v>
      </c>
      <c r="AX53" s="880">
        <f t="shared" si="15"/>
        <v>7.8878342023029555</v>
      </c>
      <c r="AY53" s="880">
        <f t="shared" si="15"/>
        <v>0</v>
      </c>
      <c r="AZ53" s="880">
        <f t="shared" si="15"/>
        <v>0</v>
      </c>
      <c r="BA53" s="880">
        <f t="shared" si="15"/>
        <v>6.1857287283266906</v>
      </c>
      <c r="BB53" s="880">
        <f t="shared" si="15"/>
        <v>0</v>
      </c>
      <c r="BC53" s="904">
        <f t="shared" si="15"/>
        <v>0</v>
      </c>
    </row>
    <row r="54" spans="2:55" ht="15" customHeight="1" x14ac:dyDescent="0.25">
      <c r="B54" s="674">
        <f>D18</f>
        <v>1.7708333333333333</v>
      </c>
      <c r="C54" s="910"/>
      <c r="D54" s="860">
        <f>$D$6</f>
        <v>127.5</v>
      </c>
      <c r="E54" s="911"/>
      <c r="F54" s="911"/>
      <c r="G54" s="911"/>
      <c r="H54" s="860"/>
      <c r="I54" s="860"/>
      <c r="J54" s="860"/>
      <c r="K54" s="914"/>
      <c r="L54" s="806">
        <f t="shared" si="2"/>
        <v>145</v>
      </c>
      <c r="M54" s="895">
        <f t="shared" si="3"/>
        <v>-1000000</v>
      </c>
      <c r="N54" s="806">
        <f t="shared" si="4"/>
        <v>100</v>
      </c>
      <c r="P54" s="900">
        <f t="shared" si="8"/>
        <v>18</v>
      </c>
      <c r="Q54" s="908">
        <f t="shared" si="9"/>
        <v>127</v>
      </c>
      <c r="R54" s="898">
        <f t="shared" si="5"/>
        <v>9.7312934692581603</v>
      </c>
      <c r="S54" s="898">
        <f t="shared" si="5"/>
        <v>7.6708539088185974</v>
      </c>
      <c r="T54" s="898">
        <f t="shared" si="5"/>
        <v>7.258765996730685</v>
      </c>
      <c r="U54" s="898">
        <f t="shared" si="5"/>
        <v>6.4345901725548602</v>
      </c>
      <c r="V54" s="898">
        <f t="shared" si="5"/>
        <v>6.0225022604669478</v>
      </c>
      <c r="W54" s="898">
        <f t="shared" si="5"/>
        <v>5.198326436291123</v>
      </c>
      <c r="X54" s="898">
        <f t="shared" si="5"/>
        <v>4.3741506121153071</v>
      </c>
      <c r="Y54" s="898">
        <f t="shared" si="5"/>
        <v>3.5499747879394827</v>
      </c>
      <c r="Z54" s="898">
        <f t="shared" si="5"/>
        <v>2.7257989637636579</v>
      </c>
      <c r="AA54" s="913">
        <f>B85</f>
        <v>4.854166666666667</v>
      </c>
      <c r="AB54" s="900"/>
      <c r="AC54" s="902"/>
      <c r="AD54" s="902"/>
      <c r="AE54" s="916">
        <f>B71</f>
        <v>3.2361111111111112</v>
      </c>
      <c r="AF54" s="916">
        <f>B61</f>
        <v>2.4270833333333335</v>
      </c>
      <c r="AG54" s="902"/>
      <c r="AH54" s="916">
        <f>B39</f>
        <v>1.17</v>
      </c>
      <c r="AI54" s="645"/>
      <c r="AJ54" s="902">
        <f t="shared" si="13"/>
        <v>1</v>
      </c>
      <c r="AK54" s="909">
        <f t="shared" si="10"/>
        <v>12.5</v>
      </c>
      <c r="AL54" s="645">
        <f t="shared" si="11"/>
        <v>1000000000</v>
      </c>
      <c r="AM54" s="902">
        <f t="shared" si="14"/>
        <v>0</v>
      </c>
      <c r="AN54" s="902">
        <f t="shared" si="14"/>
        <v>0</v>
      </c>
      <c r="AO54" s="902">
        <f t="shared" si="14"/>
        <v>0</v>
      </c>
      <c r="AP54" s="902">
        <f t="shared" si="14"/>
        <v>1</v>
      </c>
      <c r="AQ54" s="902">
        <f t="shared" si="14"/>
        <v>1</v>
      </c>
      <c r="AR54" s="902">
        <f t="shared" si="14"/>
        <v>0</v>
      </c>
      <c r="AS54" s="902">
        <f t="shared" si="14"/>
        <v>1</v>
      </c>
      <c r="AT54" s="645">
        <f t="shared" si="14"/>
        <v>0</v>
      </c>
      <c r="AU54" s="880">
        <f t="shared" si="12"/>
        <v>23.786365848556322</v>
      </c>
      <c r="AV54" s="880">
        <f t="shared" si="15"/>
        <v>0</v>
      </c>
      <c r="AW54" s="880">
        <f t="shared" si="15"/>
        <v>0</v>
      </c>
      <c r="AX54" s="880">
        <f t="shared" si="15"/>
        <v>0</v>
      </c>
      <c r="AY54" s="880">
        <f t="shared" si="15"/>
        <v>7.7639756372085404</v>
      </c>
      <c r="AZ54" s="880">
        <f t="shared" si="15"/>
        <v>7.6797883356911179</v>
      </c>
      <c r="BA54" s="880">
        <f t="shared" si="15"/>
        <v>0</v>
      </c>
      <c r="BB54" s="880">
        <f t="shared" si="15"/>
        <v>5.6642799912275859</v>
      </c>
      <c r="BC54" s="904">
        <f t="shared" si="15"/>
        <v>0</v>
      </c>
    </row>
    <row r="55" spans="2:55" ht="15" customHeight="1" x14ac:dyDescent="0.25">
      <c r="B55" s="917">
        <f>D17</f>
        <v>1.7916666666666667</v>
      </c>
      <c r="C55" s="647">
        <f>$D$5</f>
        <v>129</v>
      </c>
      <c r="D55" s="911"/>
      <c r="E55" s="911"/>
      <c r="F55" s="911"/>
      <c r="G55" s="911"/>
      <c r="H55" s="911"/>
      <c r="I55" s="911"/>
      <c r="J55" s="911"/>
      <c r="K55" s="914"/>
      <c r="L55" s="806">
        <f t="shared" si="2"/>
        <v>145</v>
      </c>
      <c r="M55" s="895">
        <f t="shared" si="3"/>
        <v>-1000000</v>
      </c>
      <c r="N55" s="806">
        <f t="shared" si="4"/>
        <v>100</v>
      </c>
      <c r="P55" s="900">
        <f t="shared" si="8"/>
        <v>19</v>
      </c>
      <c r="Q55" s="908">
        <f t="shared" si="9"/>
        <v>126</v>
      </c>
      <c r="R55" s="898">
        <f t="shared" si="5"/>
        <v>10.276585441696612</v>
      </c>
      <c r="S55" s="898">
        <f t="shared" si="5"/>
        <v>8.1021748214173694</v>
      </c>
      <c r="T55" s="898">
        <f t="shared" si="5"/>
        <v>7.6672926973615212</v>
      </c>
      <c r="U55" s="898">
        <f t="shared" si="5"/>
        <v>6.7975284492498238</v>
      </c>
      <c r="V55" s="898">
        <f t="shared" si="5"/>
        <v>6.3626463251939764</v>
      </c>
      <c r="W55" s="898">
        <f t="shared" si="5"/>
        <v>5.492882077082279</v>
      </c>
      <c r="X55" s="898">
        <f t="shared" si="5"/>
        <v>4.6231178289705914</v>
      </c>
      <c r="Y55" s="898">
        <f t="shared" si="5"/>
        <v>3.7533535808588949</v>
      </c>
      <c r="Z55" s="898">
        <f t="shared" si="5"/>
        <v>2.883589332747198</v>
      </c>
      <c r="AA55" s="900"/>
      <c r="AB55" s="900"/>
      <c r="AC55" s="902"/>
      <c r="AD55" s="902"/>
      <c r="AE55" s="902"/>
      <c r="AF55" s="902"/>
      <c r="AG55" s="902"/>
      <c r="AH55" s="902"/>
      <c r="AI55" s="645"/>
      <c r="AJ55" s="902">
        <f t="shared" si="13"/>
        <v>0</v>
      </c>
      <c r="AK55" s="909">
        <f t="shared" si="10"/>
        <v>12.5</v>
      </c>
      <c r="AL55" s="645">
        <f t="shared" si="11"/>
        <v>1000000000</v>
      </c>
      <c r="AM55" s="902">
        <f t="shared" si="14"/>
        <v>0</v>
      </c>
      <c r="AN55" s="902">
        <f t="shared" si="14"/>
        <v>0</v>
      </c>
      <c r="AO55" s="902">
        <f t="shared" si="14"/>
        <v>0</v>
      </c>
      <c r="AP55" s="902">
        <f t="shared" si="14"/>
        <v>0</v>
      </c>
      <c r="AQ55" s="902">
        <f t="shared" si="14"/>
        <v>0</v>
      </c>
      <c r="AR55" s="902">
        <f t="shared" si="14"/>
        <v>0</v>
      </c>
      <c r="AS55" s="902">
        <f t="shared" si="14"/>
        <v>0</v>
      </c>
      <c r="AT55" s="645">
        <f t="shared" si="14"/>
        <v>0</v>
      </c>
      <c r="AU55" s="880">
        <f t="shared" si="12"/>
        <v>0</v>
      </c>
      <c r="AV55" s="880">
        <f t="shared" si="15"/>
        <v>0</v>
      </c>
      <c r="AW55" s="880">
        <f t="shared" si="15"/>
        <v>0</v>
      </c>
      <c r="AX55" s="880">
        <f t="shared" si="15"/>
        <v>0</v>
      </c>
      <c r="AY55" s="880">
        <f t="shared" si="15"/>
        <v>0</v>
      </c>
      <c r="AZ55" s="880">
        <f t="shared" si="15"/>
        <v>0</v>
      </c>
      <c r="BA55" s="880">
        <f t="shared" si="15"/>
        <v>0</v>
      </c>
      <c r="BB55" s="880">
        <f t="shared" si="15"/>
        <v>0</v>
      </c>
      <c r="BC55" s="904">
        <f t="shared" si="15"/>
        <v>0</v>
      </c>
    </row>
    <row r="56" spans="2:55" ht="15" customHeight="1" x14ac:dyDescent="0.25">
      <c r="B56" s="917">
        <f>B37+$B$34</f>
        <v>2</v>
      </c>
      <c r="C56" s="910"/>
      <c r="D56" s="911"/>
      <c r="E56" s="911"/>
      <c r="F56" s="911"/>
      <c r="G56" s="911"/>
      <c r="H56" s="911"/>
      <c r="I56" s="911"/>
      <c r="J56" s="911"/>
      <c r="K56" s="914"/>
      <c r="L56" s="806">
        <f t="shared" si="2"/>
        <v>145</v>
      </c>
      <c r="M56" s="895">
        <f t="shared" si="3"/>
        <v>-1000000</v>
      </c>
      <c r="N56" s="806">
        <f t="shared" si="4"/>
        <v>100</v>
      </c>
      <c r="O56" s="712"/>
      <c r="P56" s="900">
        <f t="shared" si="8"/>
        <v>20</v>
      </c>
      <c r="Q56" s="908">
        <f t="shared" si="9"/>
        <v>125</v>
      </c>
      <c r="R56" s="898">
        <f t="shared" ref="R56:Z75" si="16">($G$26-$Q56)*(($C$31+$L$33-R$34)-($L$33/$P$32)*(1-EXP(-$Q56/$G$27)))/($T$32-$Q56*$I$29)</f>
        <v>10.822600541079961</v>
      </c>
      <c r="S56" s="898">
        <f t="shared" si="16"/>
        <v>8.5342710216291575</v>
      </c>
      <c r="T56" s="898">
        <f t="shared" si="16"/>
        <v>8.0766051177389961</v>
      </c>
      <c r="U56" s="898">
        <f t="shared" si="16"/>
        <v>7.1612733099586752</v>
      </c>
      <c r="V56" s="898">
        <f t="shared" si="16"/>
        <v>6.7036074060685147</v>
      </c>
      <c r="W56" s="898">
        <f t="shared" si="16"/>
        <v>5.7882755982881937</v>
      </c>
      <c r="X56" s="898">
        <f t="shared" si="16"/>
        <v>4.8729437905078825</v>
      </c>
      <c r="Y56" s="898">
        <f t="shared" si="16"/>
        <v>3.9576119827275615</v>
      </c>
      <c r="Z56" s="898">
        <f t="shared" si="16"/>
        <v>3.0422801749472401</v>
      </c>
      <c r="AA56" s="913">
        <f>B93</f>
        <v>5.7249999999999996</v>
      </c>
      <c r="AB56" s="674">
        <f>B84</f>
        <v>4.770833333333333</v>
      </c>
      <c r="AC56" s="712"/>
      <c r="AD56" s="712"/>
      <c r="AE56" s="712"/>
      <c r="AF56" s="712"/>
      <c r="AG56" s="902"/>
      <c r="AH56" s="902"/>
      <c r="AI56" s="645"/>
      <c r="AJ56" s="902">
        <f t="shared" si="13"/>
        <v>1</v>
      </c>
      <c r="AK56" s="909">
        <f t="shared" si="10"/>
        <v>12.5</v>
      </c>
      <c r="AL56" s="645">
        <f t="shared" si="11"/>
        <v>1000000000</v>
      </c>
      <c r="AM56" s="902">
        <f t="shared" si="14"/>
        <v>1</v>
      </c>
      <c r="AN56" s="902">
        <f t="shared" si="14"/>
        <v>0</v>
      </c>
      <c r="AO56" s="902">
        <f t="shared" si="14"/>
        <v>0</v>
      </c>
      <c r="AP56" s="902">
        <f t="shared" si="14"/>
        <v>0</v>
      </c>
      <c r="AQ56" s="902">
        <f t="shared" si="14"/>
        <v>0</v>
      </c>
      <c r="AR56" s="902">
        <f t="shared" si="14"/>
        <v>0</v>
      </c>
      <c r="AS56" s="902">
        <f t="shared" si="14"/>
        <v>0</v>
      </c>
      <c r="AT56" s="645">
        <f t="shared" si="14"/>
        <v>0</v>
      </c>
      <c r="AU56" s="880">
        <f t="shared" si="12"/>
        <v>25.985531276418712</v>
      </c>
      <c r="AV56" s="880">
        <f t="shared" si="15"/>
        <v>14.16346323368542</v>
      </c>
      <c r="AW56" s="880">
        <f t="shared" si="15"/>
        <v>0</v>
      </c>
      <c r="AX56" s="880">
        <f t="shared" si="15"/>
        <v>0</v>
      </c>
      <c r="AY56" s="880">
        <f t="shared" si="15"/>
        <v>0</v>
      </c>
      <c r="AZ56" s="880">
        <f t="shared" si="15"/>
        <v>0</v>
      </c>
      <c r="BA56" s="880">
        <f t="shared" si="15"/>
        <v>0</v>
      </c>
      <c r="BB56" s="880">
        <f t="shared" si="15"/>
        <v>0</v>
      </c>
      <c r="BC56" s="904">
        <f t="shared" si="15"/>
        <v>0</v>
      </c>
    </row>
    <row r="57" spans="2:55" ht="15" customHeight="1" x14ac:dyDescent="0.25">
      <c r="B57" s="674">
        <f>E25</f>
        <v>2.15625</v>
      </c>
      <c r="C57" s="910"/>
      <c r="D57" s="911"/>
      <c r="E57" s="911"/>
      <c r="F57" s="911"/>
      <c r="G57" s="911"/>
      <c r="H57" s="911"/>
      <c r="I57" s="911"/>
      <c r="J57" s="911"/>
      <c r="K57" s="912">
        <f>$E$13</f>
        <v>103.5</v>
      </c>
      <c r="L57" s="806">
        <f t="shared" si="2"/>
        <v>145</v>
      </c>
      <c r="M57" s="895">
        <f t="shared" si="3"/>
        <v>-1000000</v>
      </c>
      <c r="N57" s="806">
        <f t="shared" si="4"/>
        <v>100</v>
      </c>
      <c r="P57" s="900">
        <f t="shared" si="8"/>
        <v>21</v>
      </c>
      <c r="Q57" s="908">
        <f t="shared" si="9"/>
        <v>124</v>
      </c>
      <c r="R57" s="898">
        <f t="shared" si="16"/>
        <v>11.369381228098163</v>
      </c>
      <c r="S57" s="898">
        <f t="shared" si="16"/>
        <v>8.9671849343438712</v>
      </c>
      <c r="T57" s="898">
        <f t="shared" si="16"/>
        <v>8.4867456755930117</v>
      </c>
      <c r="U57" s="898">
        <f t="shared" si="16"/>
        <v>7.5258671580912946</v>
      </c>
      <c r="V57" s="898">
        <f t="shared" si="16"/>
        <v>7.0454278993404369</v>
      </c>
      <c r="W57" s="898">
        <f t="shared" si="16"/>
        <v>6.0845493818387197</v>
      </c>
      <c r="X57" s="898">
        <f t="shared" si="16"/>
        <v>5.1236708643370132</v>
      </c>
      <c r="Y57" s="898">
        <f t="shared" si="16"/>
        <v>4.162792346835297</v>
      </c>
      <c r="Z57" s="898">
        <f t="shared" si="16"/>
        <v>3.2019138293335807</v>
      </c>
      <c r="AA57" s="900"/>
      <c r="AB57" s="900"/>
      <c r="AC57" s="916">
        <f>B84</f>
        <v>4.770833333333333</v>
      </c>
      <c r="AD57" s="902"/>
      <c r="AE57" s="902"/>
      <c r="AF57" s="916">
        <f>B70</f>
        <v>3.1527777777777777</v>
      </c>
      <c r="AG57" s="916">
        <f>B60</f>
        <v>2.3645833333333335</v>
      </c>
      <c r="AH57" s="916">
        <f>B48</f>
        <v>1.5763888888888888</v>
      </c>
      <c r="AI57" s="645"/>
      <c r="AJ57" s="902">
        <f t="shared" si="13"/>
        <v>0</v>
      </c>
      <c r="AK57" s="909">
        <f t="shared" si="10"/>
        <v>12.5</v>
      </c>
      <c r="AL57" s="645">
        <f t="shared" si="11"/>
        <v>1000000000</v>
      </c>
      <c r="AM57" s="902">
        <f t="shared" si="14"/>
        <v>0</v>
      </c>
      <c r="AN57" s="902">
        <f t="shared" si="14"/>
        <v>1</v>
      </c>
      <c r="AO57" s="902">
        <f t="shared" si="14"/>
        <v>0</v>
      </c>
      <c r="AP57" s="902">
        <f t="shared" si="14"/>
        <v>0</v>
      </c>
      <c r="AQ57" s="902">
        <f t="shared" si="14"/>
        <v>1</v>
      </c>
      <c r="AR57" s="902">
        <f t="shared" si="14"/>
        <v>1</v>
      </c>
      <c r="AS57" s="902">
        <f t="shared" si="14"/>
        <v>1</v>
      </c>
      <c r="AT57" s="645">
        <f t="shared" si="14"/>
        <v>0</v>
      </c>
      <c r="AU57" s="880">
        <f t="shared" si="12"/>
        <v>0</v>
      </c>
      <c r="AV57" s="880">
        <f t="shared" si="15"/>
        <v>0</v>
      </c>
      <c r="AW57" s="880">
        <f t="shared" si="15"/>
        <v>13.808004535357812</v>
      </c>
      <c r="AX57" s="880">
        <f t="shared" si="15"/>
        <v>0</v>
      </c>
      <c r="AY57" s="880">
        <f t="shared" si="15"/>
        <v>0</v>
      </c>
      <c r="AZ57" s="880">
        <f t="shared" si="15"/>
        <v>8.5952847383780693</v>
      </c>
      <c r="BA57" s="880">
        <f t="shared" si="15"/>
        <v>7.6125640037399815</v>
      </c>
      <c r="BB57" s="880">
        <f t="shared" si="15"/>
        <v>6.6894828472771373</v>
      </c>
      <c r="BC57" s="904">
        <f t="shared" si="15"/>
        <v>0</v>
      </c>
    </row>
    <row r="58" spans="2:55" ht="15" customHeight="1" x14ac:dyDescent="0.25">
      <c r="B58" s="674">
        <f>E24</f>
        <v>2.2708333333333335</v>
      </c>
      <c r="C58" s="910"/>
      <c r="D58" s="911"/>
      <c r="E58" s="911"/>
      <c r="F58" s="911"/>
      <c r="G58" s="911"/>
      <c r="H58" s="911"/>
      <c r="I58" s="911"/>
      <c r="J58" s="860">
        <f>$E$12</f>
        <v>109</v>
      </c>
      <c r="K58" s="914"/>
      <c r="L58" s="806">
        <f t="shared" si="2"/>
        <v>145</v>
      </c>
      <c r="M58" s="895">
        <f t="shared" si="3"/>
        <v>-1000000</v>
      </c>
      <c r="N58" s="806">
        <f t="shared" si="4"/>
        <v>100</v>
      </c>
      <c r="P58" s="900">
        <f t="shared" si="8"/>
        <v>22</v>
      </c>
      <c r="Q58" s="908">
        <f t="shared" si="9"/>
        <v>123</v>
      </c>
      <c r="R58" s="898">
        <f t="shared" si="16"/>
        <v>11.916971671497521</v>
      </c>
      <c r="S58" s="898">
        <f t="shared" si="16"/>
        <v>9.4009606925405187</v>
      </c>
      <c r="T58" s="898">
        <f t="shared" si="16"/>
        <v>8.8977584967491197</v>
      </c>
      <c r="U58" s="898">
        <f t="shared" si="16"/>
        <v>7.891354105166319</v>
      </c>
      <c r="V58" s="898">
        <f t="shared" si="16"/>
        <v>7.3881519093749182</v>
      </c>
      <c r="W58" s="898">
        <f t="shared" si="16"/>
        <v>6.3817475177921175</v>
      </c>
      <c r="X58" s="898">
        <f t="shared" si="16"/>
        <v>5.3753431262093292</v>
      </c>
      <c r="Y58" s="898">
        <f t="shared" si="16"/>
        <v>4.3689387346265285</v>
      </c>
      <c r="Z58" s="898">
        <f t="shared" si="16"/>
        <v>3.3625343430437278</v>
      </c>
      <c r="AA58" s="900"/>
      <c r="AB58" s="915">
        <f>B92</f>
        <v>5.625</v>
      </c>
      <c r="AC58" s="902"/>
      <c r="AD58" s="916">
        <f>B82</f>
        <v>4.708333333333333</v>
      </c>
      <c r="AE58" s="902"/>
      <c r="AF58" s="902"/>
      <c r="AG58" s="902"/>
      <c r="AH58" s="902"/>
      <c r="AI58" s="645"/>
      <c r="AJ58" s="902">
        <f t="shared" si="13"/>
        <v>0</v>
      </c>
      <c r="AK58" s="909">
        <f t="shared" si="10"/>
        <v>12.5</v>
      </c>
      <c r="AL58" s="645">
        <f t="shared" si="11"/>
        <v>1000000000</v>
      </c>
      <c r="AM58" s="902">
        <f t="shared" si="14"/>
        <v>1</v>
      </c>
      <c r="AN58" s="902">
        <f t="shared" si="14"/>
        <v>0</v>
      </c>
      <c r="AO58" s="902">
        <f t="shared" si="14"/>
        <v>1</v>
      </c>
      <c r="AP58" s="902">
        <f t="shared" si="14"/>
        <v>0</v>
      </c>
      <c r="AQ58" s="902">
        <f t="shared" si="14"/>
        <v>0</v>
      </c>
      <c r="AR58" s="902">
        <f t="shared" si="14"/>
        <v>0</v>
      </c>
      <c r="AS58" s="902">
        <f t="shared" si="14"/>
        <v>0</v>
      </c>
      <c r="AT58" s="645">
        <f t="shared" si="14"/>
        <v>0</v>
      </c>
      <c r="AU58" s="880">
        <f t="shared" si="12"/>
        <v>0</v>
      </c>
      <c r="AV58" s="880">
        <f t="shared" si="15"/>
        <v>14.257879151611073</v>
      </c>
      <c r="AW58" s="880">
        <f t="shared" si="15"/>
        <v>0</v>
      </c>
      <c r="AX58" s="880">
        <f t="shared" si="15"/>
        <v>10.131621233920258</v>
      </c>
      <c r="AY58" s="880">
        <f t="shared" si="15"/>
        <v>0</v>
      </c>
      <c r="AZ58" s="880">
        <f t="shared" si="15"/>
        <v>0</v>
      </c>
      <c r="BA58" s="880">
        <f t="shared" si="15"/>
        <v>0</v>
      </c>
      <c r="BB58" s="880">
        <f t="shared" si="15"/>
        <v>0</v>
      </c>
      <c r="BC58" s="904">
        <f t="shared" si="15"/>
        <v>0</v>
      </c>
    </row>
    <row r="59" spans="2:55" ht="15" customHeight="1" x14ac:dyDescent="0.25">
      <c r="B59" s="674">
        <f>F25</f>
        <v>2.7916666666666665</v>
      </c>
      <c r="C59" s="910"/>
      <c r="D59" s="911"/>
      <c r="E59" s="911"/>
      <c r="F59" s="911"/>
      <c r="G59" s="911"/>
      <c r="H59" s="911"/>
      <c r="I59" s="911"/>
      <c r="J59" s="860"/>
      <c r="K59" s="918">
        <f>$F$13</f>
        <v>100.5</v>
      </c>
      <c r="L59" s="806">
        <f t="shared" si="2"/>
        <v>145</v>
      </c>
      <c r="M59" s="895">
        <f t="shared" si="3"/>
        <v>-1000000</v>
      </c>
      <c r="N59" s="806">
        <f t="shared" si="4"/>
        <v>100</v>
      </c>
      <c r="P59" s="900">
        <f t="shared" si="8"/>
        <v>23</v>
      </c>
      <c r="Q59" s="908">
        <f t="shared" si="9"/>
        <v>122</v>
      </c>
      <c r="R59" s="898">
        <f t="shared" si="16"/>
        <v>12.465417813742189</v>
      </c>
      <c r="S59" s="898">
        <f t="shared" si="16"/>
        <v>9.8356442029486821</v>
      </c>
      <c r="T59" s="898">
        <f t="shared" si="16"/>
        <v>9.309689480789979</v>
      </c>
      <c r="U59" s="898">
        <f t="shared" si="16"/>
        <v>8.2577800364725764</v>
      </c>
      <c r="V59" s="898">
        <f t="shared" si="16"/>
        <v>7.7318253143138751</v>
      </c>
      <c r="W59" s="898">
        <f t="shared" si="16"/>
        <v>6.6799158699964716</v>
      </c>
      <c r="X59" s="898">
        <f t="shared" si="16"/>
        <v>5.6280064256790805</v>
      </c>
      <c r="Y59" s="898">
        <f t="shared" si="16"/>
        <v>4.5760969813616779</v>
      </c>
      <c r="Z59" s="898">
        <f t="shared" si="16"/>
        <v>3.5241875370442743</v>
      </c>
      <c r="AA59" s="900"/>
      <c r="AB59" s="900"/>
      <c r="AC59" s="916">
        <f>B91</f>
        <v>5.6</v>
      </c>
      <c r="AD59" s="902"/>
      <c r="AE59" s="916">
        <f>B81</f>
        <v>4.666666666666667</v>
      </c>
      <c r="AF59" s="902"/>
      <c r="AG59" s="902"/>
      <c r="AH59" s="902"/>
      <c r="AI59" s="904">
        <f>B38</f>
        <v>1.1200000000000001</v>
      </c>
      <c r="AJ59" s="902">
        <f t="shared" si="13"/>
        <v>0</v>
      </c>
      <c r="AK59" s="909">
        <f t="shared" si="10"/>
        <v>12.5</v>
      </c>
      <c r="AL59" s="645">
        <f t="shared" si="11"/>
        <v>1000000000</v>
      </c>
      <c r="AM59" s="902">
        <f t="shared" si="14"/>
        <v>0</v>
      </c>
      <c r="AN59" s="902">
        <f t="shared" si="14"/>
        <v>1</v>
      </c>
      <c r="AO59" s="902">
        <f t="shared" si="14"/>
        <v>0</v>
      </c>
      <c r="AP59" s="902">
        <f t="shared" si="14"/>
        <v>1</v>
      </c>
      <c r="AQ59" s="902">
        <f t="shared" si="14"/>
        <v>0</v>
      </c>
      <c r="AR59" s="902">
        <f t="shared" si="14"/>
        <v>0</v>
      </c>
      <c r="AS59" s="902">
        <f t="shared" si="14"/>
        <v>0</v>
      </c>
      <c r="AT59" s="645">
        <f t="shared" si="14"/>
        <v>1</v>
      </c>
      <c r="AU59" s="880">
        <f t="shared" si="12"/>
        <v>0</v>
      </c>
      <c r="AV59" s="880">
        <f t="shared" si="15"/>
        <v>0</v>
      </c>
      <c r="AW59" s="880">
        <f t="shared" si="15"/>
        <v>13.761796043883827</v>
      </c>
      <c r="AX59" s="880">
        <f t="shared" si="15"/>
        <v>0</v>
      </c>
      <c r="AY59" s="880">
        <f t="shared" si="15"/>
        <v>9.3951975352464618</v>
      </c>
      <c r="AZ59" s="880">
        <f t="shared" si="15"/>
        <v>0</v>
      </c>
      <c r="BA59" s="880">
        <f t="shared" si="15"/>
        <v>0</v>
      </c>
      <c r="BB59" s="880">
        <f t="shared" si="15"/>
        <v>0</v>
      </c>
      <c r="BC59" s="904">
        <f t="shared" si="15"/>
        <v>5.7801177132790134</v>
      </c>
    </row>
    <row r="60" spans="2:55" ht="15" customHeight="1" x14ac:dyDescent="0.25">
      <c r="B60" s="674">
        <f>E23</f>
        <v>2.3645833333333335</v>
      </c>
      <c r="C60" s="910"/>
      <c r="D60" s="911"/>
      <c r="E60" s="911"/>
      <c r="F60" s="911"/>
      <c r="G60" s="911"/>
      <c r="H60" s="911"/>
      <c r="I60" s="860">
        <f>$E$11</f>
        <v>113.5</v>
      </c>
      <c r="J60" s="911"/>
      <c r="K60" s="914"/>
      <c r="L60" s="806">
        <f t="shared" si="2"/>
        <v>145</v>
      </c>
      <c r="M60" s="895">
        <f t="shared" si="3"/>
        <v>-1000000</v>
      </c>
      <c r="N60" s="806">
        <f t="shared" si="4"/>
        <v>100</v>
      </c>
      <c r="P60" s="900">
        <f t="shared" si="8"/>
        <v>24</v>
      </c>
      <c r="Q60" s="908">
        <f t="shared" si="9"/>
        <v>121</v>
      </c>
      <c r="R60" s="898">
        <f t="shared" si="16"/>
        <v>13.014767439117779</v>
      </c>
      <c r="S60" s="898">
        <f t="shared" si="16"/>
        <v>10.271283214152071</v>
      </c>
      <c r="T60" s="898">
        <f t="shared" si="16"/>
        <v>9.7225863691589289</v>
      </c>
      <c r="U60" s="898">
        <f t="shared" si="16"/>
        <v>8.6251926791726454</v>
      </c>
      <c r="V60" s="898">
        <f t="shared" si="16"/>
        <v>8.0764958341795037</v>
      </c>
      <c r="W60" s="898">
        <f t="shared" si="16"/>
        <v>6.9791021441932202</v>
      </c>
      <c r="X60" s="898">
        <f t="shared" si="16"/>
        <v>5.8817084542069491</v>
      </c>
      <c r="Y60" s="898">
        <f t="shared" si="16"/>
        <v>4.7843147642206656</v>
      </c>
      <c r="Z60" s="898">
        <f t="shared" si="16"/>
        <v>3.6869210742343821</v>
      </c>
      <c r="AA60" s="900"/>
      <c r="AB60" s="900"/>
      <c r="AC60" s="902"/>
      <c r="AD60" s="916">
        <f>B90</f>
        <v>5.55</v>
      </c>
      <c r="AE60" s="916">
        <f>B89</f>
        <v>5.5250000000000004</v>
      </c>
      <c r="AF60" s="902"/>
      <c r="AG60" s="916">
        <f>B69</f>
        <v>3.0694444444444446</v>
      </c>
      <c r="AH60" s="902"/>
      <c r="AI60" s="645"/>
      <c r="AJ60" s="902">
        <f t="shared" si="13"/>
        <v>0</v>
      </c>
      <c r="AK60" s="909">
        <f t="shared" si="10"/>
        <v>12.5</v>
      </c>
      <c r="AL60" s="645">
        <f t="shared" si="11"/>
        <v>1000000000</v>
      </c>
      <c r="AM60" s="902">
        <f t="shared" si="14"/>
        <v>0</v>
      </c>
      <c r="AN60" s="902">
        <f t="shared" si="14"/>
        <v>0</v>
      </c>
      <c r="AO60" s="902">
        <f t="shared" si="14"/>
        <v>1</v>
      </c>
      <c r="AP60" s="902">
        <f t="shared" si="14"/>
        <v>1</v>
      </c>
      <c r="AQ60" s="902">
        <f t="shared" si="14"/>
        <v>0</v>
      </c>
      <c r="AR60" s="902">
        <f t="shared" si="14"/>
        <v>1</v>
      </c>
      <c r="AS60" s="902">
        <f t="shared" si="14"/>
        <v>0</v>
      </c>
      <c r="AT60" s="645">
        <f t="shared" si="14"/>
        <v>0</v>
      </c>
      <c r="AU60" s="880">
        <f t="shared" si="12"/>
        <v>0</v>
      </c>
      <c r="AV60" s="880">
        <f t="shared" si="15"/>
        <v>0</v>
      </c>
      <c r="AW60" s="880">
        <f t="shared" si="15"/>
        <v>0</v>
      </c>
      <c r="AX60" s="880">
        <f t="shared" si="15"/>
        <v>9.4568100140370337</v>
      </c>
      <c r="AY60" s="880">
        <f t="shared" si="15"/>
        <v>6.5101309918353598</v>
      </c>
      <c r="AZ60" s="880">
        <f t="shared" si="15"/>
        <v>0</v>
      </c>
      <c r="BA60" s="880">
        <f t="shared" si="15"/>
        <v>7.90882886060548</v>
      </c>
      <c r="BB60" s="880">
        <f t="shared" si="15"/>
        <v>0</v>
      </c>
      <c r="BC60" s="904">
        <f t="shared" si="15"/>
        <v>0</v>
      </c>
    </row>
    <row r="61" spans="2:55" ht="15" customHeight="1" x14ac:dyDescent="0.25">
      <c r="B61" s="674">
        <f>E22</f>
        <v>2.4270833333333335</v>
      </c>
      <c r="C61" s="910"/>
      <c r="D61" s="911"/>
      <c r="E61" s="911"/>
      <c r="F61" s="911"/>
      <c r="G61" s="911"/>
      <c r="H61" s="860">
        <f>$E$10</f>
        <v>116.5</v>
      </c>
      <c r="I61" s="911"/>
      <c r="J61" s="911"/>
      <c r="K61" s="914"/>
      <c r="L61" s="806">
        <f t="shared" si="2"/>
        <v>145</v>
      </c>
      <c r="M61" s="895">
        <f t="shared" si="3"/>
        <v>-1000000</v>
      </c>
      <c r="N61" s="806">
        <f t="shared" si="4"/>
        <v>100</v>
      </c>
      <c r="P61" s="900">
        <f t="shared" si="8"/>
        <v>25</v>
      </c>
      <c r="Q61" s="908">
        <f t="shared" si="9"/>
        <v>120</v>
      </c>
      <c r="R61" s="898">
        <f t="shared" si="16"/>
        <v>13.565070244365829</v>
      </c>
      <c r="S61" s="898">
        <f t="shared" si="16"/>
        <v>10.70792738722297</v>
      </c>
      <c r="T61" s="898">
        <f t="shared" si="16"/>
        <v>10.136498815794399</v>
      </c>
      <c r="U61" s="898">
        <f t="shared" si="16"/>
        <v>8.9936416729372546</v>
      </c>
      <c r="V61" s="898">
        <f t="shared" si="16"/>
        <v>8.4222131015086834</v>
      </c>
      <c r="W61" s="898">
        <f t="shared" si="16"/>
        <v>7.2793559586515384</v>
      </c>
      <c r="X61" s="898">
        <f t="shared" si="16"/>
        <v>6.1364988157944085</v>
      </c>
      <c r="Y61" s="898">
        <f t="shared" si="16"/>
        <v>4.9936416729372644</v>
      </c>
      <c r="Z61" s="898">
        <f t="shared" si="16"/>
        <v>3.8507845300801202</v>
      </c>
      <c r="AA61" s="900"/>
      <c r="AB61" s="900"/>
      <c r="AC61" s="902"/>
      <c r="AD61" s="902"/>
      <c r="AE61" s="902"/>
      <c r="AF61" s="916">
        <f>B80</f>
        <v>4.5625</v>
      </c>
      <c r="AG61" s="902"/>
      <c r="AH61" s="902"/>
      <c r="AI61" s="645"/>
      <c r="AJ61" s="902">
        <f t="shared" si="13"/>
        <v>0</v>
      </c>
      <c r="AK61" s="909">
        <f t="shared" si="10"/>
        <v>12.5</v>
      </c>
      <c r="AL61" s="645">
        <f t="shared" si="11"/>
        <v>1000000000</v>
      </c>
      <c r="AM61" s="902">
        <f t="shared" si="14"/>
        <v>0</v>
      </c>
      <c r="AN61" s="902">
        <f t="shared" si="14"/>
        <v>0</v>
      </c>
      <c r="AO61" s="902">
        <f t="shared" si="14"/>
        <v>0</v>
      </c>
      <c r="AP61" s="902">
        <f t="shared" si="14"/>
        <v>0</v>
      </c>
      <c r="AQ61" s="902">
        <f t="shared" si="14"/>
        <v>1</v>
      </c>
      <c r="AR61" s="902">
        <f t="shared" si="14"/>
        <v>0</v>
      </c>
      <c r="AS61" s="902">
        <f t="shared" si="14"/>
        <v>0</v>
      </c>
      <c r="AT61" s="645">
        <f t="shared" si="14"/>
        <v>0</v>
      </c>
      <c r="AU61" s="880">
        <f t="shared" si="12"/>
        <v>0</v>
      </c>
      <c r="AV61" s="880">
        <f t="shared" si="15"/>
        <v>0</v>
      </c>
      <c r="AW61" s="880">
        <f t="shared" si="15"/>
        <v>0</v>
      </c>
      <c r="AX61" s="880">
        <f t="shared" si="15"/>
        <v>0</v>
      </c>
      <c r="AY61" s="880">
        <f t="shared" si="15"/>
        <v>0</v>
      </c>
      <c r="AZ61" s="880">
        <f t="shared" si="15"/>
        <v>7.3813063000603698</v>
      </c>
      <c r="BA61" s="880">
        <f t="shared" si="15"/>
        <v>0</v>
      </c>
      <c r="BB61" s="880">
        <f t="shared" si="15"/>
        <v>0</v>
      </c>
      <c r="BC61" s="904">
        <f t="shared" si="15"/>
        <v>0</v>
      </c>
    </row>
    <row r="62" spans="2:55" ht="15" customHeight="1" x14ac:dyDescent="0.25">
      <c r="B62" s="674">
        <f>E21</f>
        <v>2.4895833333333335</v>
      </c>
      <c r="C62" s="910"/>
      <c r="D62" s="911"/>
      <c r="E62" s="911"/>
      <c r="F62" s="911"/>
      <c r="G62" s="860">
        <f>$E$9</f>
        <v>119.5</v>
      </c>
      <c r="H62" s="911"/>
      <c r="I62" s="911"/>
      <c r="J62" s="911"/>
      <c r="K62" s="914"/>
      <c r="L62" s="806">
        <f t="shared" si="2"/>
        <v>145</v>
      </c>
      <c r="M62" s="895">
        <f t="shared" si="3"/>
        <v>-1000000</v>
      </c>
      <c r="N62" s="806">
        <f t="shared" si="4"/>
        <v>100</v>
      </c>
      <c r="P62" s="900">
        <f t="shared" si="8"/>
        <v>26</v>
      </c>
      <c r="Q62" s="908">
        <f t="shared" si="9"/>
        <v>119</v>
      </c>
      <c r="R62" s="898">
        <f t="shared" si="16"/>
        <v>14.116377911940987</v>
      </c>
      <c r="S62" s="898">
        <f t="shared" si="16"/>
        <v>11.145628368979375</v>
      </c>
      <c r="T62" s="898">
        <f t="shared" si="16"/>
        <v>10.551478460387054</v>
      </c>
      <c r="U62" s="898">
        <f t="shared" si="16"/>
        <v>9.3631786432024082</v>
      </c>
      <c r="V62" s="898">
        <f t="shared" si="16"/>
        <v>8.769028734610087</v>
      </c>
      <c r="W62" s="898">
        <f t="shared" si="16"/>
        <v>7.580728917425442</v>
      </c>
      <c r="X62" s="898">
        <f t="shared" si="16"/>
        <v>6.3924291002408102</v>
      </c>
      <c r="Y62" s="898">
        <f t="shared" si="16"/>
        <v>5.2041292830561661</v>
      </c>
      <c r="Z62" s="898">
        <f t="shared" si="16"/>
        <v>4.015829465871521</v>
      </c>
      <c r="AA62" s="913">
        <f>B107</f>
        <v>9.0833333333333339</v>
      </c>
      <c r="AB62" s="900"/>
      <c r="AC62" s="902"/>
      <c r="AD62" s="902"/>
      <c r="AE62" s="902"/>
      <c r="AF62" s="902"/>
      <c r="AG62" s="902"/>
      <c r="AH62" s="916">
        <f>B58</f>
        <v>2.2708333333333335</v>
      </c>
      <c r="AI62" s="645"/>
      <c r="AJ62" s="902">
        <f t="shared" si="13"/>
        <v>1</v>
      </c>
      <c r="AK62" s="909">
        <f t="shared" si="10"/>
        <v>12.5</v>
      </c>
      <c r="AL62" s="645">
        <f t="shared" si="11"/>
        <v>1000000000</v>
      </c>
      <c r="AM62" s="902">
        <f t="shared" si="14"/>
        <v>0</v>
      </c>
      <c r="AN62" s="902">
        <f t="shared" si="14"/>
        <v>0</v>
      </c>
      <c r="AO62" s="902">
        <f t="shared" si="14"/>
        <v>0</v>
      </c>
      <c r="AP62" s="902">
        <f t="shared" si="14"/>
        <v>0</v>
      </c>
      <c r="AQ62" s="902">
        <f t="shared" si="14"/>
        <v>0</v>
      </c>
      <c r="AR62" s="902">
        <f t="shared" si="14"/>
        <v>0</v>
      </c>
      <c r="AS62" s="902">
        <f t="shared" si="14"/>
        <v>1</v>
      </c>
      <c r="AT62" s="645">
        <f t="shared" si="14"/>
        <v>0</v>
      </c>
      <c r="AU62" s="880">
        <f t="shared" si="12"/>
        <v>25.331537730251885</v>
      </c>
      <c r="AV62" s="880">
        <f t="shared" si="15"/>
        <v>0</v>
      </c>
      <c r="AW62" s="880">
        <f t="shared" si="15"/>
        <v>0</v>
      </c>
      <c r="AX62" s="880">
        <f t="shared" si="15"/>
        <v>0</v>
      </c>
      <c r="AY62" s="880">
        <f t="shared" si="15"/>
        <v>0</v>
      </c>
      <c r="AZ62" s="880">
        <f t="shared" si="15"/>
        <v>0</v>
      </c>
      <c r="BA62" s="880">
        <f t="shared" si="15"/>
        <v>0</v>
      </c>
      <c r="BB62" s="880">
        <f t="shared" si="15"/>
        <v>8.6042251286603744</v>
      </c>
      <c r="BC62" s="904">
        <f t="shared" si="15"/>
        <v>0</v>
      </c>
    </row>
    <row r="63" spans="2:55" ht="15" customHeight="1" x14ac:dyDescent="0.25">
      <c r="B63" s="674">
        <f>E20</f>
        <v>2.5104166666666665</v>
      </c>
      <c r="C63" s="910"/>
      <c r="D63" s="911"/>
      <c r="E63" s="911"/>
      <c r="F63" s="860">
        <f>$E$8</f>
        <v>120.5</v>
      </c>
      <c r="G63" s="911"/>
      <c r="H63" s="911"/>
      <c r="I63" s="911"/>
      <c r="J63" s="911"/>
      <c r="K63" s="914"/>
      <c r="L63" s="806">
        <f t="shared" si="2"/>
        <v>145</v>
      </c>
      <c r="M63" s="895">
        <f t="shared" si="3"/>
        <v>-1000000</v>
      </c>
      <c r="N63" s="806">
        <f t="shared" si="4"/>
        <v>100</v>
      </c>
      <c r="O63" s="652"/>
      <c r="P63" s="900">
        <f t="shared" si="8"/>
        <v>27</v>
      </c>
      <c r="Q63" s="908">
        <f t="shared" si="9"/>
        <v>118</v>
      </c>
      <c r="R63" s="898">
        <f t="shared" si="16"/>
        <v>14.668744185986059</v>
      </c>
      <c r="S63" s="898">
        <f t="shared" si="16"/>
        <v>11.584439867960011</v>
      </c>
      <c r="T63" s="898">
        <f t="shared" si="16"/>
        <v>10.967579004354802</v>
      </c>
      <c r="U63" s="898">
        <f t="shared" si="16"/>
        <v>9.7338572771443808</v>
      </c>
      <c r="V63" s="898">
        <f t="shared" si="16"/>
        <v>9.116996413539173</v>
      </c>
      <c r="W63" s="898">
        <f t="shared" si="16"/>
        <v>7.8832746863287531</v>
      </c>
      <c r="X63" s="898">
        <f t="shared" si="16"/>
        <v>6.6495529591183482</v>
      </c>
      <c r="Y63" s="898">
        <f t="shared" si="16"/>
        <v>5.4158312319079291</v>
      </c>
      <c r="Z63" s="898">
        <f t="shared" si="16"/>
        <v>4.1821095046975101</v>
      </c>
      <c r="AA63" s="900"/>
      <c r="AB63" s="915">
        <f>B105</f>
        <v>8.9583333333333339</v>
      </c>
      <c r="AC63" s="902"/>
      <c r="AD63" s="902"/>
      <c r="AE63" s="902"/>
      <c r="AF63" s="916">
        <f>B88</f>
        <v>5.4</v>
      </c>
      <c r="AG63" s="902"/>
      <c r="AH63" s="902"/>
      <c r="AI63" s="904">
        <f>B47</f>
        <v>1.4930555555555556</v>
      </c>
      <c r="AJ63" s="902">
        <f t="shared" si="13"/>
        <v>0</v>
      </c>
      <c r="AK63" s="909">
        <f t="shared" si="10"/>
        <v>12.5</v>
      </c>
      <c r="AL63" s="645">
        <f t="shared" si="11"/>
        <v>1000000000</v>
      </c>
      <c r="AM63" s="902">
        <f t="shared" si="14"/>
        <v>1</v>
      </c>
      <c r="AN63" s="902">
        <f t="shared" si="14"/>
        <v>0</v>
      </c>
      <c r="AO63" s="902">
        <f t="shared" si="14"/>
        <v>0</v>
      </c>
      <c r="AP63" s="902">
        <f t="shared" si="14"/>
        <v>0</v>
      </c>
      <c r="AQ63" s="902">
        <f t="shared" si="14"/>
        <v>1</v>
      </c>
      <c r="AR63" s="902">
        <f t="shared" si="14"/>
        <v>0</v>
      </c>
      <c r="AS63" s="902">
        <f t="shared" si="14"/>
        <v>0</v>
      </c>
      <c r="AT63" s="645">
        <f t="shared" si="14"/>
        <v>1</v>
      </c>
      <c r="AU63" s="880">
        <f t="shared" si="12"/>
        <v>0</v>
      </c>
      <c r="AV63" s="880">
        <f t="shared" si="15"/>
        <v>6.8964355312089349</v>
      </c>
      <c r="AW63" s="880">
        <f t="shared" si="15"/>
        <v>0</v>
      </c>
      <c r="AX63" s="880">
        <f t="shared" si="15"/>
        <v>0</v>
      </c>
      <c r="AY63" s="880">
        <f t="shared" si="15"/>
        <v>0</v>
      </c>
      <c r="AZ63" s="880">
        <f t="shared" si="15"/>
        <v>6.1666531677611651</v>
      </c>
      <c r="BA63" s="880">
        <f t="shared" si="15"/>
        <v>0</v>
      </c>
      <c r="BB63" s="880">
        <f t="shared" si="15"/>
        <v>0</v>
      </c>
      <c r="BC63" s="904">
        <f t="shared" si="15"/>
        <v>7.2310111413959426</v>
      </c>
    </row>
    <row r="64" spans="2:55" ht="15" customHeight="1" x14ac:dyDescent="0.25">
      <c r="B64" s="674">
        <f>E19</f>
        <v>2.53125</v>
      </c>
      <c r="C64" s="910"/>
      <c r="D64" s="911"/>
      <c r="E64" s="860">
        <f>$E$7</f>
        <v>121.5</v>
      </c>
      <c r="F64" s="911"/>
      <c r="G64" s="911"/>
      <c r="H64" s="911"/>
      <c r="I64" s="911"/>
      <c r="J64" s="911"/>
      <c r="K64" s="914"/>
      <c r="L64" s="806">
        <f t="shared" si="2"/>
        <v>145</v>
      </c>
      <c r="M64" s="895">
        <f t="shared" si="3"/>
        <v>-1000000</v>
      </c>
      <c r="N64" s="806">
        <f t="shared" si="4"/>
        <v>100</v>
      </c>
      <c r="O64" s="652"/>
      <c r="P64" s="900">
        <f t="shared" si="8"/>
        <v>28</v>
      </c>
      <c r="Q64" s="908">
        <f t="shared" si="9"/>
        <v>117</v>
      </c>
      <c r="R64" s="898">
        <f t="shared" si="16"/>
        <v>15.222224951123531</v>
      </c>
      <c r="S64" s="898">
        <f t="shared" si="16"/>
        <v>12.024417733215806</v>
      </c>
      <c r="T64" s="898">
        <f t="shared" si="16"/>
        <v>11.384856289634262</v>
      </c>
      <c r="U64" s="898">
        <f t="shared" si="16"/>
        <v>10.105733402471174</v>
      </c>
      <c r="V64" s="898">
        <f t="shared" si="16"/>
        <v>9.4661719588896265</v>
      </c>
      <c r="W64" s="898">
        <f t="shared" si="16"/>
        <v>8.1870490717265394</v>
      </c>
      <c r="X64" s="898">
        <f t="shared" si="16"/>
        <v>6.9079261845634639</v>
      </c>
      <c r="Y64" s="898">
        <f t="shared" si="16"/>
        <v>5.628803297400375</v>
      </c>
      <c r="Z64" s="898">
        <f t="shared" si="16"/>
        <v>4.3496804102372852</v>
      </c>
      <c r="AA64" s="900"/>
      <c r="AB64" s="900"/>
      <c r="AC64" s="916">
        <f>B104</f>
        <v>8.9166666666666661</v>
      </c>
      <c r="AD64" s="902"/>
      <c r="AE64" s="902"/>
      <c r="AF64" s="902"/>
      <c r="AG64" s="902"/>
      <c r="AH64" s="902"/>
      <c r="AI64" s="645"/>
      <c r="AJ64" s="902">
        <f t="shared" si="13"/>
        <v>0</v>
      </c>
      <c r="AK64" s="909">
        <f t="shared" si="10"/>
        <v>12.5</v>
      </c>
      <c r="AL64" s="645">
        <f t="shared" si="11"/>
        <v>1000000000</v>
      </c>
      <c r="AM64" s="902">
        <f t="shared" si="14"/>
        <v>0</v>
      </c>
      <c r="AN64" s="902">
        <f t="shared" si="14"/>
        <v>1</v>
      </c>
      <c r="AO64" s="902">
        <f t="shared" si="14"/>
        <v>0</v>
      </c>
      <c r="AP64" s="902">
        <f t="shared" si="14"/>
        <v>0</v>
      </c>
      <c r="AQ64" s="902">
        <f t="shared" si="14"/>
        <v>0</v>
      </c>
      <c r="AR64" s="902">
        <f t="shared" si="14"/>
        <v>0</v>
      </c>
      <c r="AS64" s="902">
        <f t="shared" si="14"/>
        <v>0</v>
      </c>
      <c r="AT64" s="645">
        <f t="shared" si="14"/>
        <v>0</v>
      </c>
      <c r="AU64" s="880">
        <f t="shared" si="12"/>
        <v>0</v>
      </c>
      <c r="AV64" s="880">
        <f t="shared" si="15"/>
        <v>0</v>
      </c>
      <c r="AW64" s="880">
        <f t="shared" si="15"/>
        <v>6.0919600149249256</v>
      </c>
      <c r="AX64" s="880">
        <f t="shared" si="15"/>
        <v>0</v>
      </c>
      <c r="AY64" s="880">
        <f t="shared" si="15"/>
        <v>0</v>
      </c>
      <c r="AZ64" s="880">
        <f t="shared" si="15"/>
        <v>0</v>
      </c>
      <c r="BA64" s="880">
        <f t="shared" si="15"/>
        <v>0</v>
      </c>
      <c r="BB64" s="880">
        <f t="shared" si="15"/>
        <v>0</v>
      </c>
      <c r="BC64" s="904">
        <f t="shared" si="15"/>
        <v>0</v>
      </c>
    </row>
    <row r="65" spans="2:55" ht="15" customHeight="1" x14ac:dyDescent="0.25">
      <c r="B65" s="674">
        <f>E18</f>
        <v>2.5520833333333335</v>
      </c>
      <c r="C65" s="910"/>
      <c r="D65" s="860">
        <f>$E$6</f>
        <v>122.5</v>
      </c>
      <c r="E65" s="911"/>
      <c r="F65" s="911"/>
      <c r="G65" s="911"/>
      <c r="H65" s="911"/>
      <c r="I65" s="911"/>
      <c r="J65" s="911"/>
      <c r="K65" s="914"/>
      <c r="L65" s="806">
        <f t="shared" si="2"/>
        <v>145</v>
      </c>
      <c r="M65" s="895">
        <f t="shared" si="3"/>
        <v>-1000000</v>
      </c>
      <c r="N65" s="806">
        <f t="shared" si="4"/>
        <v>100</v>
      </c>
      <c r="O65" s="652"/>
      <c r="P65" s="900">
        <f t="shared" si="8"/>
        <v>29</v>
      </c>
      <c r="Q65" s="908">
        <f t="shared" si="9"/>
        <v>116</v>
      </c>
      <c r="R65" s="898">
        <f t="shared" si="16"/>
        <v>15.776878314165556</v>
      </c>
      <c r="S65" s="898">
        <f t="shared" si="16"/>
        <v>12.465620036019859</v>
      </c>
      <c r="T65" s="898">
        <f t="shared" si="16"/>
        <v>11.803368380390719</v>
      </c>
      <c r="U65" s="898">
        <f t="shared" si="16"/>
        <v>10.478865069132439</v>
      </c>
      <c r="V65" s="898">
        <f t="shared" si="16"/>
        <v>9.8166134135032994</v>
      </c>
      <c r="W65" s="898">
        <f t="shared" si="16"/>
        <v>8.4921101022450198</v>
      </c>
      <c r="X65" s="898">
        <f t="shared" si="16"/>
        <v>7.1676067909867562</v>
      </c>
      <c r="Y65" s="898">
        <f t="shared" si="16"/>
        <v>5.8431034797284767</v>
      </c>
      <c r="Z65" s="898">
        <f t="shared" si="16"/>
        <v>4.518600168470198</v>
      </c>
      <c r="AA65" s="900"/>
      <c r="AB65" s="900"/>
      <c r="AC65" s="902"/>
      <c r="AD65" s="916">
        <f>B103</f>
        <v>8.8333333333333339</v>
      </c>
      <c r="AE65" s="916">
        <f>B102</f>
        <v>8.7916666666666661</v>
      </c>
      <c r="AF65" s="902"/>
      <c r="AG65" s="916">
        <f>B79</f>
        <v>4.416666666666667</v>
      </c>
      <c r="AH65" s="916">
        <f>B67</f>
        <v>2.9444444444444446</v>
      </c>
      <c r="AI65" s="645"/>
      <c r="AJ65" s="902">
        <f t="shared" si="13"/>
        <v>0</v>
      </c>
      <c r="AK65" s="909">
        <f t="shared" si="10"/>
        <v>12.5</v>
      </c>
      <c r="AL65" s="645">
        <f t="shared" si="11"/>
        <v>1000000000</v>
      </c>
      <c r="AM65" s="902">
        <f t="shared" si="14"/>
        <v>0</v>
      </c>
      <c r="AN65" s="902">
        <f t="shared" si="14"/>
        <v>0</v>
      </c>
      <c r="AO65" s="902">
        <f t="shared" si="14"/>
        <v>1</v>
      </c>
      <c r="AP65" s="902">
        <f t="shared" si="14"/>
        <v>1</v>
      </c>
      <c r="AQ65" s="902">
        <f t="shared" si="14"/>
        <v>0</v>
      </c>
      <c r="AR65" s="902">
        <f t="shared" si="14"/>
        <v>1</v>
      </c>
      <c r="AS65" s="902">
        <f t="shared" si="14"/>
        <v>1</v>
      </c>
      <c r="AT65" s="645">
        <f t="shared" si="14"/>
        <v>0</v>
      </c>
      <c r="AU65" s="880">
        <f t="shared" si="12"/>
        <v>0</v>
      </c>
      <c r="AV65" s="880">
        <f t="shared" si="15"/>
        <v>0</v>
      </c>
      <c r="AW65" s="880">
        <f t="shared" si="15"/>
        <v>0</v>
      </c>
      <c r="AX65" s="880">
        <f t="shared" si="15"/>
        <v>2.7077746935220164</v>
      </c>
      <c r="AY65" s="880">
        <f t="shared" si="15"/>
        <v>1.0505158338509977</v>
      </c>
      <c r="AZ65" s="880">
        <f t="shared" si="15"/>
        <v>0</v>
      </c>
      <c r="BA65" s="880">
        <f t="shared" si="15"/>
        <v>7.5676715675942283</v>
      </c>
      <c r="BB65" s="880">
        <f t="shared" si="15"/>
        <v>8.4022242028337555</v>
      </c>
      <c r="BC65" s="904">
        <f t="shared" si="15"/>
        <v>0</v>
      </c>
    </row>
    <row r="66" spans="2:55" ht="15" customHeight="1" x14ac:dyDescent="0.25">
      <c r="B66" s="917">
        <f>E17</f>
        <v>2.5833333333333335</v>
      </c>
      <c r="C66" s="647">
        <f>$E$5</f>
        <v>124</v>
      </c>
      <c r="D66" s="911"/>
      <c r="E66" s="911"/>
      <c r="F66" s="911"/>
      <c r="G66" s="911"/>
      <c r="H66" s="911"/>
      <c r="I66" s="911"/>
      <c r="J66" s="911"/>
      <c r="K66" s="914"/>
      <c r="L66" s="806">
        <f t="shared" si="2"/>
        <v>145</v>
      </c>
      <c r="M66" s="895">
        <f t="shared" si="3"/>
        <v>-1000000</v>
      </c>
      <c r="N66" s="806">
        <f t="shared" si="4"/>
        <v>100</v>
      </c>
      <c r="O66" s="652"/>
      <c r="P66" s="900">
        <f t="shared" si="8"/>
        <v>30</v>
      </c>
      <c r="Q66" s="908">
        <f t="shared" si="9"/>
        <v>115</v>
      </c>
      <c r="R66" s="898">
        <f t="shared" si="16"/>
        <v>16.332764688848179</v>
      </c>
      <c r="S66" s="898">
        <f t="shared" si="16"/>
        <v>12.908107154601598</v>
      </c>
      <c r="T66" s="898">
        <f t="shared" si="16"/>
        <v>12.223175647752281</v>
      </c>
      <c r="U66" s="898">
        <f t="shared" si="16"/>
        <v>10.853312634053653</v>
      </c>
      <c r="V66" s="898">
        <f t="shared" si="16"/>
        <v>10.168381127204336</v>
      </c>
      <c r="W66" s="898">
        <f t="shared" si="16"/>
        <v>8.798518113505704</v>
      </c>
      <c r="X66" s="898">
        <f t="shared" si="16"/>
        <v>7.4286550998070879</v>
      </c>
      <c r="Y66" s="898">
        <f t="shared" si="16"/>
        <v>6.0587920861084568</v>
      </c>
      <c r="Z66" s="898">
        <f t="shared" si="16"/>
        <v>4.6889290724098256</v>
      </c>
      <c r="AA66" s="913">
        <f>B116</f>
        <v>10.5</v>
      </c>
      <c r="AB66" s="900"/>
      <c r="AC66" s="902"/>
      <c r="AD66" s="902"/>
      <c r="AE66" s="902"/>
      <c r="AF66" s="902"/>
      <c r="AG66" s="916">
        <f>B87</f>
        <v>5.2249999999999996</v>
      </c>
      <c r="AH66" s="902"/>
      <c r="AI66" s="645"/>
      <c r="AJ66" s="902">
        <f t="shared" si="13"/>
        <v>1</v>
      </c>
      <c r="AK66" s="909">
        <f t="shared" si="10"/>
        <v>12.5</v>
      </c>
      <c r="AL66" s="645">
        <f t="shared" si="11"/>
        <v>1000000000</v>
      </c>
      <c r="AM66" s="902">
        <f t="shared" si="14"/>
        <v>0</v>
      </c>
      <c r="AN66" s="902">
        <f t="shared" si="14"/>
        <v>0</v>
      </c>
      <c r="AO66" s="902">
        <f t="shared" si="14"/>
        <v>0</v>
      </c>
      <c r="AP66" s="902">
        <f t="shared" si="14"/>
        <v>0</v>
      </c>
      <c r="AQ66" s="902">
        <f t="shared" si="14"/>
        <v>0</v>
      </c>
      <c r="AR66" s="902">
        <f t="shared" si="14"/>
        <v>1</v>
      </c>
      <c r="AS66" s="902">
        <f t="shared" si="14"/>
        <v>0</v>
      </c>
      <c r="AT66" s="645">
        <f t="shared" si="14"/>
        <v>0</v>
      </c>
      <c r="AU66" s="880">
        <f t="shared" si="12"/>
        <v>34.021143915474198</v>
      </c>
      <c r="AV66" s="880">
        <f t="shared" si="15"/>
        <v>0</v>
      </c>
      <c r="AW66" s="880">
        <f t="shared" si="15"/>
        <v>0</v>
      </c>
      <c r="AX66" s="880">
        <f t="shared" si="15"/>
        <v>0</v>
      </c>
      <c r="AY66" s="880">
        <f t="shared" si="15"/>
        <v>0</v>
      </c>
      <c r="AZ66" s="880">
        <f t="shared" si="15"/>
        <v>0</v>
      </c>
      <c r="BA66" s="880">
        <f t="shared" si="15"/>
        <v>4.8560957989057885</v>
      </c>
      <c r="BB66" s="880">
        <f t="shared" si="15"/>
        <v>0</v>
      </c>
      <c r="BC66" s="904">
        <f t="shared" si="15"/>
        <v>0</v>
      </c>
    </row>
    <row r="67" spans="2:55" ht="15" customHeight="1" x14ac:dyDescent="0.25">
      <c r="B67" s="674">
        <f>F24</f>
        <v>2.9444444444444446</v>
      </c>
      <c r="C67" s="910"/>
      <c r="D67" s="911"/>
      <c r="E67" s="911"/>
      <c r="F67" s="911"/>
      <c r="G67" s="911"/>
      <c r="H67" s="911"/>
      <c r="I67" s="911"/>
      <c r="J67" s="860">
        <f>$F$12</f>
        <v>106</v>
      </c>
      <c r="K67" s="914"/>
      <c r="L67" s="806">
        <f t="shared" si="2"/>
        <v>145</v>
      </c>
      <c r="M67" s="895">
        <f t="shared" si="3"/>
        <v>-1000000</v>
      </c>
      <c r="N67" s="806">
        <f t="shared" si="4"/>
        <v>100</v>
      </c>
      <c r="O67" s="652"/>
      <c r="P67" s="900">
        <f t="shared" si="8"/>
        <v>31</v>
      </c>
      <c r="Q67" s="908">
        <f t="shared" si="9"/>
        <v>114</v>
      </c>
      <c r="R67" s="898">
        <f t="shared" si="16"/>
        <v>16.889946883699199</v>
      </c>
      <c r="S67" s="898">
        <f t="shared" si="16"/>
        <v>13.351941862014646</v>
      </c>
      <c r="T67" s="898">
        <f t="shared" si="16"/>
        <v>12.644340857677738</v>
      </c>
      <c r="U67" s="898">
        <f t="shared" si="16"/>
        <v>11.229138849003917</v>
      </c>
      <c r="V67" s="898">
        <f t="shared" si="16"/>
        <v>10.521537844667007</v>
      </c>
      <c r="W67" s="898">
        <f t="shared" si="16"/>
        <v>9.1063358359931872</v>
      </c>
      <c r="X67" s="898">
        <f t="shared" si="16"/>
        <v>7.6911338273193826</v>
      </c>
      <c r="Y67" s="898">
        <f t="shared" si="16"/>
        <v>6.2759318186455628</v>
      </c>
      <c r="Z67" s="898">
        <f t="shared" si="16"/>
        <v>4.8607298099717431</v>
      </c>
      <c r="AA67" s="900"/>
      <c r="AB67" s="915">
        <f>B115</f>
        <v>10.39</v>
      </c>
      <c r="AC67" s="902"/>
      <c r="AD67" s="902"/>
      <c r="AE67" s="902"/>
      <c r="AF67" s="916">
        <f>B101</f>
        <v>8.625</v>
      </c>
      <c r="AG67" s="902"/>
      <c r="AH67" s="902"/>
      <c r="AI67" s="904">
        <f>B57</f>
        <v>2.15625</v>
      </c>
      <c r="AJ67" s="902">
        <f t="shared" si="13"/>
        <v>0</v>
      </c>
      <c r="AK67" s="909">
        <f t="shared" si="10"/>
        <v>12.5</v>
      </c>
      <c r="AL67" s="645">
        <f t="shared" si="11"/>
        <v>1000000000</v>
      </c>
      <c r="AM67" s="902">
        <f t="shared" si="14"/>
        <v>1</v>
      </c>
      <c r="AN67" s="902">
        <f t="shared" si="14"/>
        <v>0</v>
      </c>
      <c r="AO67" s="902">
        <f t="shared" si="14"/>
        <v>0</v>
      </c>
      <c r="AP67" s="902">
        <f t="shared" si="14"/>
        <v>0</v>
      </c>
      <c r="AQ67" s="902">
        <f t="shared" si="14"/>
        <v>1</v>
      </c>
      <c r="AR67" s="902">
        <f t="shared" si="14"/>
        <v>0</v>
      </c>
      <c r="AS67" s="902">
        <f t="shared" si="14"/>
        <v>0</v>
      </c>
      <c r="AT67" s="645">
        <f t="shared" si="14"/>
        <v>1</v>
      </c>
      <c r="AU67" s="880">
        <f t="shared" si="12"/>
        <v>0</v>
      </c>
      <c r="AV67" s="880">
        <f t="shared" si="15"/>
        <v>8.7730995939547878</v>
      </c>
      <c r="AW67" s="880">
        <f t="shared" si="15"/>
        <v>0</v>
      </c>
      <c r="AX67" s="880">
        <f t="shared" si="15"/>
        <v>0</v>
      </c>
      <c r="AY67" s="880">
        <f t="shared" si="15"/>
        <v>0</v>
      </c>
      <c r="AZ67" s="880">
        <f t="shared" si="15"/>
        <v>0.2316841870112604</v>
      </c>
      <c r="BA67" s="880">
        <f t="shared" si="15"/>
        <v>0</v>
      </c>
      <c r="BB67" s="880">
        <f t="shared" si="15"/>
        <v>0</v>
      </c>
      <c r="BC67" s="904">
        <f t="shared" si="15"/>
        <v>7.3142110425447955</v>
      </c>
    </row>
    <row r="68" spans="2:55" ht="15" customHeight="1" x14ac:dyDescent="0.25">
      <c r="B68" s="917">
        <f>B56+$B$34</f>
        <v>3</v>
      </c>
      <c r="C68" s="910"/>
      <c r="D68" s="911"/>
      <c r="E68" s="911"/>
      <c r="F68" s="911"/>
      <c r="G68" s="911"/>
      <c r="H68" s="911"/>
      <c r="I68" s="911"/>
      <c r="J68" s="911"/>
      <c r="K68" s="914"/>
      <c r="L68" s="806">
        <f t="shared" si="2"/>
        <v>145</v>
      </c>
      <c r="M68" s="895">
        <f t="shared" si="3"/>
        <v>-1000000</v>
      </c>
      <c r="N68" s="806">
        <f t="shared" si="4"/>
        <v>100</v>
      </c>
      <c r="O68" s="652"/>
      <c r="P68" s="900">
        <f t="shared" si="8"/>
        <v>32</v>
      </c>
      <c r="Q68" s="908">
        <f t="shared" si="9"/>
        <v>113</v>
      </c>
      <c r="R68" s="898">
        <f t="shared" si="16"/>
        <v>17.448490193153116</v>
      </c>
      <c r="S68" s="898">
        <f t="shared" si="16"/>
        <v>13.797189417251698</v>
      </c>
      <c r="T68" s="898">
        <f t="shared" si="16"/>
        <v>13.066929262071413</v>
      </c>
      <c r="U68" s="898">
        <f t="shared" si="16"/>
        <v>11.606408951710845</v>
      </c>
      <c r="V68" s="898">
        <f t="shared" si="16"/>
        <v>10.876148796530563</v>
      </c>
      <c r="W68" s="898">
        <f t="shared" si="16"/>
        <v>9.4156284861699948</v>
      </c>
      <c r="X68" s="898">
        <f t="shared" si="16"/>
        <v>7.9551081758094444</v>
      </c>
      <c r="Y68" s="898">
        <f t="shared" si="16"/>
        <v>6.4945878654488771</v>
      </c>
      <c r="Z68" s="898">
        <f t="shared" si="16"/>
        <v>5.0340675550883098</v>
      </c>
      <c r="AA68" s="900"/>
      <c r="AB68" s="900"/>
      <c r="AC68" s="916">
        <f>B114</f>
        <v>10.3</v>
      </c>
      <c r="AD68" s="916">
        <f>B113</f>
        <v>10.25</v>
      </c>
      <c r="AE68" s="902"/>
      <c r="AF68" s="902"/>
      <c r="AG68" s="902"/>
      <c r="AH68" s="902"/>
      <c r="AI68" s="645"/>
      <c r="AJ68" s="902">
        <f t="shared" si="13"/>
        <v>0</v>
      </c>
      <c r="AK68" s="909">
        <f t="shared" si="10"/>
        <v>12.5</v>
      </c>
      <c r="AL68" s="645">
        <f t="shared" si="11"/>
        <v>1000000000</v>
      </c>
      <c r="AM68" s="902">
        <f t="shared" si="14"/>
        <v>0</v>
      </c>
      <c r="AN68" s="902">
        <f t="shared" si="14"/>
        <v>1</v>
      </c>
      <c r="AO68" s="902">
        <f t="shared" si="14"/>
        <v>1</v>
      </c>
      <c r="AP68" s="902">
        <f t="shared" si="14"/>
        <v>0</v>
      </c>
      <c r="AQ68" s="902">
        <f t="shared" si="14"/>
        <v>0</v>
      </c>
      <c r="AR68" s="902">
        <f t="shared" si="14"/>
        <v>0</v>
      </c>
      <c r="AS68" s="902">
        <f t="shared" si="14"/>
        <v>0</v>
      </c>
      <c r="AT68" s="645">
        <f t="shared" si="14"/>
        <v>0</v>
      </c>
      <c r="AU68" s="880">
        <f t="shared" si="12"/>
        <v>0</v>
      </c>
      <c r="AV68" s="880">
        <f t="shared" si="15"/>
        <v>0</v>
      </c>
      <c r="AW68" s="880">
        <f t="shared" si="15"/>
        <v>7.6558975413070529</v>
      </c>
      <c r="AX68" s="880">
        <f t="shared" si="15"/>
        <v>1.8398452442813142</v>
      </c>
      <c r="AY68" s="880">
        <f t="shared" si="15"/>
        <v>0</v>
      </c>
      <c r="AZ68" s="880">
        <f t="shared" si="15"/>
        <v>0</v>
      </c>
      <c r="BA68" s="880">
        <f t="shared" si="15"/>
        <v>0</v>
      </c>
      <c r="BB68" s="880">
        <f t="shared" si="15"/>
        <v>0</v>
      </c>
      <c r="BC68" s="904">
        <f t="shared" si="15"/>
        <v>0</v>
      </c>
    </row>
    <row r="69" spans="2:55" ht="15" customHeight="1" x14ac:dyDescent="0.25">
      <c r="B69" s="674">
        <f>F23</f>
        <v>3.0694444444444446</v>
      </c>
      <c r="C69" s="910"/>
      <c r="D69" s="911"/>
      <c r="E69" s="911"/>
      <c r="F69" s="911"/>
      <c r="G69" s="911"/>
      <c r="H69" s="911"/>
      <c r="I69" s="860">
        <f>$F$11</f>
        <v>110.5</v>
      </c>
      <c r="J69" s="911"/>
      <c r="K69" s="914"/>
      <c r="L69" s="806">
        <f t="shared" si="2"/>
        <v>145</v>
      </c>
      <c r="M69" s="895">
        <f t="shared" si="3"/>
        <v>-1000000</v>
      </c>
      <c r="N69" s="806">
        <f t="shared" si="4"/>
        <v>100</v>
      </c>
      <c r="O69" s="652"/>
      <c r="P69" s="900">
        <f t="shared" si="8"/>
        <v>33</v>
      </c>
      <c r="Q69" s="908">
        <f t="shared" si="9"/>
        <v>112</v>
      </c>
      <c r="R69" s="898">
        <f t="shared" si="16"/>
        <v>18.008462492030485</v>
      </c>
      <c r="S69" s="898">
        <f t="shared" si="16"/>
        <v>14.24391765972384</v>
      </c>
      <c r="T69" s="898">
        <f t="shared" si="16"/>
        <v>13.491008693262513</v>
      </c>
      <c r="U69" s="898">
        <f t="shared" si="16"/>
        <v>11.985190760339856</v>
      </c>
      <c r="V69" s="898">
        <f t="shared" si="16"/>
        <v>11.232281793878528</v>
      </c>
      <c r="W69" s="898">
        <f t="shared" si="16"/>
        <v>9.7264638609558709</v>
      </c>
      <c r="X69" s="898">
        <f t="shared" si="16"/>
        <v>8.22064592803323</v>
      </c>
      <c r="Y69" s="898">
        <f t="shared" si="16"/>
        <v>6.7148279951105732</v>
      </c>
      <c r="Z69" s="898">
        <f t="shared" si="16"/>
        <v>5.2090100621879172</v>
      </c>
      <c r="AA69" s="900"/>
      <c r="AB69" s="900"/>
      <c r="AC69" s="902"/>
      <c r="AD69" s="902"/>
      <c r="AE69" s="916">
        <f>B112</f>
        <v>10.199999999999999</v>
      </c>
      <c r="AF69" s="902"/>
      <c r="AG69" s="902"/>
      <c r="AH69" s="916">
        <f>B78</f>
        <v>4.25</v>
      </c>
      <c r="AI69" s="645"/>
      <c r="AJ69" s="902">
        <f t="shared" si="13"/>
        <v>0</v>
      </c>
      <c r="AK69" s="909">
        <f t="shared" si="10"/>
        <v>12.5</v>
      </c>
      <c r="AL69" s="645">
        <f t="shared" si="11"/>
        <v>1000000000</v>
      </c>
      <c r="AM69" s="902">
        <f t="shared" si="14"/>
        <v>0</v>
      </c>
      <c r="AN69" s="902">
        <f t="shared" si="14"/>
        <v>0</v>
      </c>
      <c r="AO69" s="902">
        <f t="shared" si="14"/>
        <v>0</v>
      </c>
      <c r="AP69" s="902">
        <f t="shared" si="14"/>
        <v>1</v>
      </c>
      <c r="AQ69" s="902">
        <f t="shared" si="14"/>
        <v>0</v>
      </c>
      <c r="AR69" s="902">
        <f t="shared" si="14"/>
        <v>0</v>
      </c>
      <c r="AS69" s="902">
        <f t="shared" si="14"/>
        <v>1</v>
      </c>
      <c r="AT69" s="645">
        <f t="shared" si="14"/>
        <v>0</v>
      </c>
      <c r="AU69" s="880">
        <f t="shared" si="12"/>
        <v>0</v>
      </c>
      <c r="AV69" s="880">
        <f t="shared" si="15"/>
        <v>0</v>
      </c>
      <c r="AW69" s="880">
        <f t="shared" si="15"/>
        <v>0</v>
      </c>
      <c r="AX69" s="880">
        <f t="shared" si="15"/>
        <v>0</v>
      </c>
      <c r="AY69" s="880">
        <f t="shared" si="15"/>
        <v>1.0656057019730727</v>
      </c>
      <c r="AZ69" s="880">
        <f t="shared" si="15"/>
        <v>0</v>
      </c>
      <c r="BA69" s="880">
        <f t="shared" si="15"/>
        <v>0</v>
      </c>
      <c r="BB69" s="880">
        <f t="shared" si="15"/>
        <v>6.075377045480808</v>
      </c>
      <c r="BC69" s="904">
        <f t="shared" si="15"/>
        <v>0</v>
      </c>
    </row>
    <row r="70" spans="2:55" ht="15" customHeight="1" x14ac:dyDescent="0.25">
      <c r="B70" s="674">
        <f>F22</f>
        <v>3.1527777777777777</v>
      </c>
      <c r="C70" s="910"/>
      <c r="D70" s="911"/>
      <c r="E70" s="911"/>
      <c r="F70" s="911"/>
      <c r="G70" s="911"/>
      <c r="H70" s="860">
        <f>$F$10</f>
        <v>113.5</v>
      </c>
      <c r="I70" s="911"/>
      <c r="J70" s="911"/>
      <c r="K70" s="914"/>
      <c r="L70" s="806">
        <f t="shared" si="2"/>
        <v>145</v>
      </c>
      <c r="M70" s="895">
        <f t="shared" si="3"/>
        <v>-1000000</v>
      </c>
      <c r="N70" s="806">
        <f t="shared" si="4"/>
        <v>100</v>
      </c>
      <c r="O70" s="652"/>
      <c r="P70" s="900">
        <f t="shared" si="8"/>
        <v>34</v>
      </c>
      <c r="Q70" s="908">
        <f t="shared" si="9"/>
        <v>111</v>
      </c>
      <c r="R70" s="898">
        <f t="shared" si="16"/>
        <v>18.569934333503284</v>
      </c>
      <c r="S70" s="898">
        <f t="shared" si="16"/>
        <v>14.692197107225905</v>
      </c>
      <c r="T70" s="898">
        <f t="shared" si="16"/>
        <v>13.91664966197043</v>
      </c>
      <c r="U70" s="898">
        <f t="shared" si="16"/>
        <v>12.365554771459479</v>
      </c>
      <c r="V70" s="898">
        <f t="shared" si="16"/>
        <v>11.590007326204004</v>
      </c>
      <c r="W70" s="898">
        <f t="shared" si="16"/>
        <v>10.038912435693055</v>
      </c>
      <c r="X70" s="898">
        <f t="shared" si="16"/>
        <v>8.4878175451821214</v>
      </c>
      <c r="Y70" s="898">
        <f t="shared" si="16"/>
        <v>6.9367226546711711</v>
      </c>
      <c r="Z70" s="898">
        <f t="shared" si="16"/>
        <v>5.3856277641602208</v>
      </c>
      <c r="AA70" s="900"/>
      <c r="AB70" s="900"/>
      <c r="AC70" s="902"/>
      <c r="AD70" s="902"/>
      <c r="AE70" s="902"/>
      <c r="AF70" s="902"/>
      <c r="AG70" s="902"/>
      <c r="AH70" s="902"/>
      <c r="AI70" s="904">
        <f>B59</f>
        <v>2.7916666666666665</v>
      </c>
      <c r="AJ70" s="902">
        <f t="shared" si="13"/>
        <v>0</v>
      </c>
      <c r="AK70" s="909">
        <f t="shared" si="10"/>
        <v>12.5</v>
      </c>
      <c r="AL70" s="645">
        <f t="shared" si="11"/>
        <v>1000000000</v>
      </c>
      <c r="AM70" s="902">
        <f t="shared" si="14"/>
        <v>0</v>
      </c>
      <c r="AN70" s="902">
        <f t="shared" si="14"/>
        <v>0</v>
      </c>
      <c r="AO70" s="902">
        <f t="shared" si="14"/>
        <v>0</v>
      </c>
      <c r="AP70" s="902">
        <f t="shared" si="14"/>
        <v>0</v>
      </c>
      <c r="AQ70" s="902">
        <f t="shared" si="14"/>
        <v>0</v>
      </c>
      <c r="AR70" s="902">
        <f t="shared" si="14"/>
        <v>0</v>
      </c>
      <c r="AS70" s="902">
        <f t="shared" si="14"/>
        <v>0</v>
      </c>
      <c r="AT70" s="645">
        <f t="shared" si="14"/>
        <v>1</v>
      </c>
      <c r="AU70" s="880">
        <f t="shared" si="12"/>
        <v>0</v>
      </c>
      <c r="AV70" s="880">
        <f t="shared" si="15"/>
        <v>0</v>
      </c>
      <c r="AW70" s="880">
        <f t="shared" si="15"/>
        <v>0</v>
      </c>
      <c r="AX70" s="880">
        <f t="shared" si="15"/>
        <v>0</v>
      </c>
      <c r="AY70" s="880">
        <f t="shared" si="15"/>
        <v>0</v>
      </c>
      <c r="AZ70" s="880">
        <f t="shared" si="15"/>
        <v>0</v>
      </c>
      <c r="BA70" s="880">
        <f t="shared" si="15"/>
        <v>0</v>
      </c>
      <c r="BB70" s="880">
        <f t="shared" si="15"/>
        <v>0</v>
      </c>
      <c r="BC70" s="904">
        <f t="shared" si="15"/>
        <v>6.7286341753099643</v>
      </c>
    </row>
    <row r="71" spans="2:55" ht="15" customHeight="1" x14ac:dyDescent="0.25">
      <c r="B71" s="674">
        <f>F21</f>
        <v>3.2361111111111112</v>
      </c>
      <c r="C71" s="910"/>
      <c r="D71" s="911"/>
      <c r="E71" s="911"/>
      <c r="F71" s="911"/>
      <c r="G71" s="860">
        <f>$F$9</f>
        <v>116.5</v>
      </c>
      <c r="H71" s="911"/>
      <c r="I71" s="911"/>
      <c r="J71" s="911"/>
      <c r="K71" s="914"/>
      <c r="L71" s="806">
        <f t="shared" si="2"/>
        <v>145</v>
      </c>
      <c r="M71" s="895">
        <f t="shared" si="3"/>
        <v>-1000000</v>
      </c>
      <c r="N71" s="806">
        <f t="shared" si="4"/>
        <v>100</v>
      </c>
      <c r="P71" s="900">
        <f t="shared" si="8"/>
        <v>35</v>
      </c>
      <c r="Q71" s="908">
        <f t="shared" si="9"/>
        <v>110</v>
      </c>
      <c r="R71" s="898">
        <f t="shared" si="16"/>
        <v>19.132979050672148</v>
      </c>
      <c r="S71" s="898">
        <f t="shared" si="16"/>
        <v>15.142101057513646</v>
      </c>
      <c r="T71" s="898">
        <f t="shared" si="16"/>
        <v>14.343925458881948</v>
      </c>
      <c r="U71" s="898">
        <f t="shared" si="16"/>
        <v>12.747574261618547</v>
      </c>
      <c r="V71" s="898">
        <f t="shared" si="16"/>
        <v>11.949398662986846</v>
      </c>
      <c r="W71" s="898">
        <f t="shared" si="16"/>
        <v>10.353047465723449</v>
      </c>
      <c r="X71" s="898">
        <f t="shared" si="16"/>
        <v>8.7566962684600664</v>
      </c>
      <c r="Y71" s="898">
        <f t="shared" si="16"/>
        <v>7.1603450711966667</v>
      </c>
      <c r="Z71" s="898">
        <f t="shared" si="16"/>
        <v>5.5639938739332679</v>
      </c>
      <c r="AA71" s="913">
        <f>B126</f>
        <v>12.5</v>
      </c>
      <c r="AB71" s="900"/>
      <c r="AC71" s="902"/>
      <c r="AD71" s="902"/>
      <c r="AE71" s="902"/>
      <c r="AF71" s="902"/>
      <c r="AG71" s="916">
        <f>B99</f>
        <v>8.2916666666666661</v>
      </c>
      <c r="AH71" s="317">
        <f>B86</f>
        <v>5</v>
      </c>
      <c r="AI71" s="645"/>
      <c r="AJ71" s="902">
        <f t="shared" si="13"/>
        <v>1</v>
      </c>
      <c r="AK71" s="909">
        <f t="shared" si="10"/>
        <v>12.5</v>
      </c>
      <c r="AL71" s="645">
        <f t="shared" si="11"/>
        <v>1000000000</v>
      </c>
      <c r="AM71" s="902">
        <f t="shared" si="14"/>
        <v>0</v>
      </c>
      <c r="AN71" s="902">
        <f t="shared" si="14"/>
        <v>0</v>
      </c>
      <c r="AO71" s="902">
        <f t="shared" si="14"/>
        <v>0</v>
      </c>
      <c r="AP71" s="902">
        <f t="shared" si="14"/>
        <v>0</v>
      </c>
      <c r="AQ71" s="902">
        <f t="shared" si="14"/>
        <v>0</v>
      </c>
      <c r="AR71" s="902">
        <f t="shared" si="14"/>
        <v>1</v>
      </c>
      <c r="AS71" s="902">
        <f t="shared" si="14"/>
        <v>1</v>
      </c>
      <c r="AT71" s="645">
        <f t="shared" si="14"/>
        <v>0</v>
      </c>
      <c r="AU71" s="880">
        <f t="shared" si="12"/>
        <v>43.996411086655591</v>
      </c>
      <c r="AV71" s="880">
        <f t="shared" si="15"/>
        <v>0</v>
      </c>
      <c r="AW71" s="880">
        <f t="shared" si="15"/>
        <v>0</v>
      </c>
      <c r="AX71" s="880">
        <f t="shared" si="15"/>
        <v>0</v>
      </c>
      <c r="AY71" s="880">
        <f t="shared" si="15"/>
        <v>0</v>
      </c>
      <c r="AZ71" s="880">
        <f t="shared" si="15"/>
        <v>0</v>
      </c>
      <c r="BA71" s="880">
        <f t="shared" si="15"/>
        <v>0.21625253054412852</v>
      </c>
      <c r="BB71" s="880">
        <f t="shared" si="15"/>
        <v>4.6670908266437312</v>
      </c>
      <c r="BC71" s="904">
        <f t="shared" si="15"/>
        <v>0</v>
      </c>
    </row>
    <row r="72" spans="2:55" ht="15" customHeight="1" x14ac:dyDescent="0.25">
      <c r="B72" s="674">
        <f>F20</f>
        <v>3.2638888888888888</v>
      </c>
      <c r="C72" s="910"/>
      <c r="D72" s="911"/>
      <c r="E72" s="911"/>
      <c r="F72" s="860">
        <f>$F$8</f>
        <v>117.5</v>
      </c>
      <c r="G72" s="911"/>
      <c r="H72" s="911"/>
      <c r="I72" s="911"/>
      <c r="J72" s="911"/>
      <c r="K72" s="914"/>
      <c r="L72" s="806">
        <f t="shared" si="2"/>
        <v>145</v>
      </c>
      <c r="M72" s="895">
        <f t="shared" si="3"/>
        <v>-1000000</v>
      </c>
      <c r="N72" s="806">
        <f t="shared" si="4"/>
        <v>100</v>
      </c>
      <c r="P72" s="900">
        <f t="shared" si="8"/>
        <v>36</v>
      </c>
      <c r="Q72" s="908">
        <f t="shared" si="9"/>
        <v>109</v>
      </c>
      <c r="R72" s="898">
        <f t="shared" si="16"/>
        <v>19.697672861885941</v>
      </c>
      <c r="S72" s="898">
        <f t="shared" si="16"/>
        <v>15.59370569362328</v>
      </c>
      <c r="T72" s="898">
        <f t="shared" si="16"/>
        <v>14.772912259970751</v>
      </c>
      <c r="U72" s="898">
        <f t="shared" si="16"/>
        <v>13.131325392665687</v>
      </c>
      <c r="V72" s="898">
        <f t="shared" si="16"/>
        <v>12.310531959013154</v>
      </c>
      <c r="W72" s="898">
        <f t="shared" si="16"/>
        <v>10.668945091708091</v>
      </c>
      <c r="X72" s="898">
        <f t="shared" si="16"/>
        <v>9.0273582244030468</v>
      </c>
      <c r="Y72" s="898">
        <f t="shared" si="16"/>
        <v>7.3857713570979842</v>
      </c>
      <c r="Z72" s="898">
        <f t="shared" si="16"/>
        <v>5.7441844897929215</v>
      </c>
      <c r="AA72" s="900"/>
      <c r="AB72" s="915">
        <f>B125</f>
        <v>12.3125</v>
      </c>
      <c r="AC72" s="902"/>
      <c r="AD72" s="902"/>
      <c r="AE72" s="902"/>
      <c r="AF72" s="916">
        <f>B110</f>
        <v>9.9</v>
      </c>
      <c r="AG72" s="902"/>
      <c r="AH72" s="902"/>
      <c r="AI72" s="645"/>
      <c r="AJ72" s="902">
        <f t="shared" si="13"/>
        <v>0</v>
      </c>
      <c r="AK72" s="909">
        <f t="shared" si="10"/>
        <v>12.5</v>
      </c>
      <c r="AL72" s="645">
        <f t="shared" si="11"/>
        <v>1000000000</v>
      </c>
      <c r="AM72" s="902">
        <f t="shared" si="14"/>
        <v>1</v>
      </c>
      <c r="AN72" s="902">
        <f t="shared" si="14"/>
        <v>0</v>
      </c>
      <c r="AO72" s="902">
        <f t="shared" si="14"/>
        <v>0</v>
      </c>
      <c r="AP72" s="902">
        <f t="shared" si="14"/>
        <v>0</v>
      </c>
      <c r="AQ72" s="902">
        <f t="shared" si="14"/>
        <v>1</v>
      </c>
      <c r="AR72" s="902">
        <f t="shared" si="14"/>
        <v>0</v>
      </c>
      <c r="AS72" s="902">
        <f t="shared" si="14"/>
        <v>0</v>
      </c>
      <c r="AT72" s="645">
        <f t="shared" si="14"/>
        <v>0</v>
      </c>
      <c r="AU72" s="880">
        <f t="shared" si="12"/>
        <v>0</v>
      </c>
      <c r="AV72" s="880">
        <f t="shared" si="15"/>
        <v>10.766310803865828</v>
      </c>
      <c r="AW72" s="880">
        <f t="shared" si="15"/>
        <v>0</v>
      </c>
      <c r="AX72" s="880">
        <f t="shared" si="15"/>
        <v>0</v>
      </c>
      <c r="AY72" s="880">
        <f t="shared" si="15"/>
        <v>0</v>
      </c>
      <c r="AZ72" s="880">
        <f t="shared" si="15"/>
        <v>0.59127655406196367</v>
      </c>
      <c r="BA72" s="880">
        <f t="shared" si="15"/>
        <v>0</v>
      </c>
      <c r="BB72" s="880">
        <f t="shared" si="15"/>
        <v>0</v>
      </c>
      <c r="BC72" s="904">
        <f t="shared" si="15"/>
        <v>0</v>
      </c>
    </row>
    <row r="73" spans="2:55" ht="15" customHeight="1" x14ac:dyDescent="0.25">
      <c r="B73" s="674">
        <f>F19</f>
        <v>3.2777777777777777</v>
      </c>
      <c r="C73" s="910"/>
      <c r="D73" s="911"/>
      <c r="E73" s="860">
        <f>$F$7</f>
        <v>118</v>
      </c>
      <c r="F73" s="911"/>
      <c r="G73" s="911"/>
      <c r="H73" s="911"/>
      <c r="I73" s="911"/>
      <c r="J73" s="911"/>
      <c r="K73" s="914"/>
      <c r="L73" s="806">
        <f t="shared" si="2"/>
        <v>145</v>
      </c>
      <c r="M73" s="895">
        <f t="shared" si="3"/>
        <v>-1000000</v>
      </c>
      <c r="N73" s="806">
        <f t="shared" si="4"/>
        <v>100</v>
      </c>
      <c r="P73" s="900">
        <f t="shared" si="8"/>
        <v>37</v>
      </c>
      <c r="Q73" s="908">
        <f t="shared" si="9"/>
        <v>108</v>
      </c>
      <c r="R73" s="898">
        <f t="shared" si="16"/>
        <v>20.26409497993853</v>
      </c>
      <c r="S73" s="898">
        <f t="shared" si="16"/>
        <v>16.047090193068229</v>
      </c>
      <c r="T73" s="898">
        <f t="shared" si="16"/>
        <v>15.203689235694169</v>
      </c>
      <c r="U73" s="898">
        <f t="shared" si="16"/>
        <v>13.516887320946049</v>
      </c>
      <c r="V73" s="898">
        <f t="shared" si="16"/>
        <v>12.673486363571985</v>
      </c>
      <c r="W73" s="898">
        <f t="shared" si="16"/>
        <v>10.986684448823867</v>
      </c>
      <c r="X73" s="898">
        <f t="shared" si="16"/>
        <v>9.2998825340757652</v>
      </c>
      <c r="Y73" s="898">
        <f t="shared" si="16"/>
        <v>7.6130806193276435</v>
      </c>
      <c r="Z73" s="898">
        <f t="shared" si="16"/>
        <v>5.9262787045795227</v>
      </c>
      <c r="AA73" s="900"/>
      <c r="AB73" s="900"/>
      <c r="AC73" s="916">
        <f>B124</f>
        <v>12.25</v>
      </c>
      <c r="AD73" s="902"/>
      <c r="AE73" s="902"/>
      <c r="AF73" s="902"/>
      <c r="AG73" s="902"/>
      <c r="AH73" s="902"/>
      <c r="AI73" s="645"/>
      <c r="AJ73" s="902">
        <f t="shared" si="13"/>
        <v>0</v>
      </c>
      <c r="AK73" s="909">
        <f t="shared" si="10"/>
        <v>12.5</v>
      </c>
      <c r="AL73" s="645">
        <f t="shared" si="11"/>
        <v>1000000000</v>
      </c>
      <c r="AM73" s="902">
        <f t="shared" si="14"/>
        <v>0</v>
      </c>
      <c r="AN73" s="902">
        <f t="shared" si="14"/>
        <v>1</v>
      </c>
      <c r="AO73" s="902">
        <f t="shared" si="14"/>
        <v>0</v>
      </c>
      <c r="AP73" s="902">
        <f t="shared" si="14"/>
        <v>0</v>
      </c>
      <c r="AQ73" s="902">
        <f t="shared" si="14"/>
        <v>0</v>
      </c>
      <c r="AR73" s="902">
        <f t="shared" si="14"/>
        <v>0</v>
      </c>
      <c r="AS73" s="902">
        <f t="shared" si="14"/>
        <v>0</v>
      </c>
      <c r="AT73" s="645">
        <f t="shared" si="14"/>
        <v>0</v>
      </c>
      <c r="AU73" s="880">
        <f t="shared" si="12"/>
        <v>0</v>
      </c>
      <c r="AV73" s="880">
        <f t="shared" si="15"/>
        <v>0</v>
      </c>
      <c r="AW73" s="880">
        <f t="shared" si="15"/>
        <v>8.7242801010556033</v>
      </c>
      <c r="AX73" s="880">
        <f t="shared" si="15"/>
        <v>0</v>
      </c>
      <c r="AY73" s="880">
        <f t="shared" si="15"/>
        <v>0</v>
      </c>
      <c r="AZ73" s="880">
        <f t="shared" si="15"/>
        <v>0</v>
      </c>
      <c r="BA73" s="880">
        <f t="shared" si="15"/>
        <v>0</v>
      </c>
      <c r="BB73" s="880">
        <f t="shared" si="15"/>
        <v>0</v>
      </c>
      <c r="BC73" s="904">
        <f t="shared" si="15"/>
        <v>0</v>
      </c>
    </row>
    <row r="74" spans="2:55" ht="15" customHeight="1" x14ac:dyDescent="0.25">
      <c r="B74" s="674">
        <f>F18</f>
        <v>3.2916666666666665</v>
      </c>
      <c r="C74" s="910"/>
      <c r="D74" s="860">
        <f>$F$6</f>
        <v>118.5</v>
      </c>
      <c r="E74" s="911"/>
      <c r="F74" s="911"/>
      <c r="G74" s="911"/>
      <c r="H74" s="911"/>
      <c r="I74" s="911"/>
      <c r="J74" s="911"/>
      <c r="K74" s="914"/>
      <c r="L74" s="806">
        <f t="shared" si="2"/>
        <v>145</v>
      </c>
      <c r="M74" s="895">
        <f t="shared" si="3"/>
        <v>-1000000</v>
      </c>
      <c r="N74" s="806">
        <f t="shared" si="4"/>
        <v>100</v>
      </c>
      <c r="P74" s="900">
        <f t="shared" si="8"/>
        <v>38</v>
      </c>
      <c r="Q74" s="908">
        <f t="shared" si="9"/>
        <v>107</v>
      </c>
      <c r="R74" s="898">
        <f t="shared" si="16"/>
        <v>20.832327725282635</v>
      </c>
      <c r="S74" s="898">
        <f t="shared" si="16"/>
        <v>16.502336841052912</v>
      </c>
      <c r="T74" s="898">
        <f t="shared" si="16"/>
        <v>15.636338664206971</v>
      </c>
      <c r="U74" s="898">
        <f t="shared" si="16"/>
        <v>13.904342310515082</v>
      </c>
      <c r="V74" s="898">
        <f t="shared" si="16"/>
        <v>13.038344133669137</v>
      </c>
      <c r="W74" s="898">
        <f t="shared" si="16"/>
        <v>11.306347779977248</v>
      </c>
      <c r="X74" s="898">
        <f t="shared" si="16"/>
        <v>9.5743514262853804</v>
      </c>
      <c r="Y74" s="898">
        <f t="shared" si="16"/>
        <v>7.8423550725934916</v>
      </c>
      <c r="Z74" s="898">
        <f t="shared" si="16"/>
        <v>6.1103587189016038</v>
      </c>
      <c r="AA74" s="900"/>
      <c r="AB74" s="900"/>
      <c r="AC74" s="902"/>
      <c r="AD74" s="916">
        <f>B122</f>
        <v>12.125</v>
      </c>
      <c r="AE74" s="902"/>
      <c r="AF74" s="902"/>
      <c r="AG74" s="902"/>
      <c r="AH74" s="902"/>
      <c r="AI74" s="904">
        <f>B77</f>
        <v>4.041666666666667</v>
      </c>
      <c r="AJ74" s="902">
        <f t="shared" si="13"/>
        <v>0</v>
      </c>
      <c r="AK74" s="909">
        <f t="shared" si="10"/>
        <v>12.5</v>
      </c>
      <c r="AL74" s="645">
        <f t="shared" si="11"/>
        <v>1000000000</v>
      </c>
      <c r="AM74" s="902">
        <f t="shared" si="14"/>
        <v>0</v>
      </c>
      <c r="AN74" s="902">
        <f t="shared" si="14"/>
        <v>0</v>
      </c>
      <c r="AO74" s="902">
        <f t="shared" si="14"/>
        <v>1</v>
      </c>
      <c r="AP74" s="902">
        <f t="shared" si="14"/>
        <v>0</v>
      </c>
      <c r="AQ74" s="902">
        <f t="shared" si="14"/>
        <v>0</v>
      </c>
      <c r="AR74" s="902">
        <f t="shared" si="14"/>
        <v>0</v>
      </c>
      <c r="AS74" s="902">
        <f t="shared" si="14"/>
        <v>0</v>
      </c>
      <c r="AT74" s="645">
        <f t="shared" si="14"/>
        <v>1</v>
      </c>
      <c r="AU74" s="880">
        <f t="shared" si="12"/>
        <v>0</v>
      </c>
      <c r="AV74" s="880">
        <f t="shared" si="15"/>
        <v>0</v>
      </c>
      <c r="AW74" s="880">
        <f t="shared" si="15"/>
        <v>0</v>
      </c>
      <c r="AX74" s="880">
        <f t="shared" si="15"/>
        <v>3.1660590579891501</v>
      </c>
      <c r="AY74" s="880">
        <f t="shared" si="15"/>
        <v>0</v>
      </c>
      <c r="AZ74" s="880">
        <f t="shared" si="15"/>
        <v>0</v>
      </c>
      <c r="BA74" s="880">
        <f t="shared" si="15"/>
        <v>0</v>
      </c>
      <c r="BB74" s="880">
        <f t="shared" si="15"/>
        <v>0</v>
      </c>
      <c r="BC74" s="904">
        <f t="shared" si="15"/>
        <v>4.2794868069799943</v>
      </c>
    </row>
    <row r="75" spans="2:55" ht="15" customHeight="1" x14ac:dyDescent="0.25">
      <c r="B75" s="917">
        <f>F17</f>
        <v>3.375</v>
      </c>
      <c r="C75" s="647">
        <f>$F$5</f>
        <v>121.5</v>
      </c>
      <c r="D75" s="911"/>
      <c r="E75" s="911"/>
      <c r="F75" s="911"/>
      <c r="G75" s="911"/>
      <c r="H75" s="911"/>
      <c r="I75" s="911"/>
      <c r="J75" s="911"/>
      <c r="K75" s="914"/>
      <c r="L75" s="806">
        <f t="shared" si="2"/>
        <v>145</v>
      </c>
      <c r="M75" s="895">
        <f t="shared" si="3"/>
        <v>-1000000</v>
      </c>
      <c r="N75" s="806">
        <f t="shared" si="4"/>
        <v>100</v>
      </c>
      <c r="P75" s="900">
        <f t="shared" si="8"/>
        <v>39</v>
      </c>
      <c r="Q75" s="908">
        <f t="shared" si="9"/>
        <v>106</v>
      </c>
      <c r="R75" s="898">
        <f t="shared" si="16"/>
        <v>21.402456643405451</v>
      </c>
      <c r="S75" s="898">
        <f t="shared" si="16"/>
        <v>16.959531147848374</v>
      </c>
      <c r="T75" s="898">
        <f t="shared" si="16"/>
        <v>16.070946048736957</v>
      </c>
      <c r="U75" s="898">
        <f t="shared" si="16"/>
        <v>14.293775850514127</v>
      </c>
      <c r="V75" s="898">
        <f t="shared" si="16"/>
        <v>13.40519075140271</v>
      </c>
      <c r="W75" s="898">
        <f t="shared" si="16"/>
        <v>11.62802055317988</v>
      </c>
      <c r="X75" s="898">
        <f t="shared" si="16"/>
        <v>9.8508503549570676</v>
      </c>
      <c r="Y75" s="898">
        <f t="shared" si="16"/>
        <v>8.0736801567342358</v>
      </c>
      <c r="Z75" s="898">
        <f t="shared" si="16"/>
        <v>6.2965099585114048</v>
      </c>
      <c r="AA75" s="900"/>
      <c r="AB75" s="900"/>
      <c r="AC75" s="902"/>
      <c r="AD75" s="902"/>
      <c r="AE75" s="317">
        <f>B121</f>
        <v>12</v>
      </c>
      <c r="AF75" s="902"/>
      <c r="AG75" s="902"/>
      <c r="AH75" s="902"/>
      <c r="AI75" s="645"/>
      <c r="AJ75" s="902">
        <f t="shared" si="13"/>
        <v>0</v>
      </c>
      <c r="AK75" s="909">
        <f t="shared" si="10"/>
        <v>12.5</v>
      </c>
      <c r="AL75" s="645">
        <f t="shared" si="11"/>
        <v>1000000000</v>
      </c>
      <c r="AM75" s="902">
        <f t="shared" si="14"/>
        <v>0</v>
      </c>
      <c r="AN75" s="902">
        <f t="shared" si="14"/>
        <v>0</v>
      </c>
      <c r="AO75" s="902">
        <f t="shared" si="14"/>
        <v>0</v>
      </c>
      <c r="AP75" s="902">
        <f t="shared" si="14"/>
        <v>1</v>
      </c>
      <c r="AQ75" s="902">
        <f t="shared" si="14"/>
        <v>0</v>
      </c>
      <c r="AR75" s="902">
        <f t="shared" si="14"/>
        <v>0</v>
      </c>
      <c r="AS75" s="902">
        <f t="shared" si="14"/>
        <v>0</v>
      </c>
      <c r="AT75" s="645">
        <f t="shared" si="14"/>
        <v>0</v>
      </c>
      <c r="AU75" s="880">
        <f t="shared" si="12"/>
        <v>0</v>
      </c>
      <c r="AV75" s="880">
        <f t="shared" si="15"/>
        <v>0</v>
      </c>
      <c r="AW75" s="880">
        <f t="shared" si="15"/>
        <v>0</v>
      </c>
      <c r="AX75" s="880">
        <f t="shared" si="15"/>
        <v>0</v>
      </c>
      <c r="AY75" s="880">
        <f t="shared" si="15"/>
        <v>1.9745610478277127</v>
      </c>
      <c r="AZ75" s="880">
        <f t="shared" si="15"/>
        <v>0</v>
      </c>
      <c r="BA75" s="880">
        <f t="shared" si="15"/>
        <v>0</v>
      </c>
      <c r="BB75" s="880">
        <f t="shared" si="15"/>
        <v>0</v>
      </c>
      <c r="BC75" s="904">
        <f t="shared" si="15"/>
        <v>0</v>
      </c>
    </row>
    <row r="76" spans="2:55" ht="15" customHeight="1" x14ac:dyDescent="0.25">
      <c r="B76" s="917">
        <f>B68+$B$34</f>
        <v>4</v>
      </c>
      <c r="C76" s="910"/>
      <c r="D76" s="911"/>
      <c r="E76" s="911"/>
      <c r="F76" s="911"/>
      <c r="G76" s="911"/>
      <c r="H76" s="911"/>
      <c r="I76" s="911"/>
      <c r="J76" s="911"/>
      <c r="K76" s="914"/>
      <c r="L76" s="806">
        <f t="shared" si="2"/>
        <v>145</v>
      </c>
      <c r="M76" s="895">
        <f t="shared" si="3"/>
        <v>-1000000</v>
      </c>
      <c r="N76" s="806">
        <f t="shared" si="4"/>
        <v>100</v>
      </c>
      <c r="O76" s="652"/>
      <c r="P76" s="900">
        <f t="shared" si="8"/>
        <v>40</v>
      </c>
      <c r="Q76" s="908">
        <f t="shared" si="9"/>
        <v>105</v>
      </c>
      <c r="R76" s="898">
        <f t="shared" ref="R76:Z95" si="17">($G$26-$Q76)*(($C$31+$L$33-R$34)-($L$33/$P$32)*(1-EXP(-$Q76/$G$27)))/($T$32-$Q76*$I$29)</f>
        <v>21.974570626515984</v>
      </c>
      <c r="S76" s="898">
        <f t="shared" si="17"/>
        <v>17.418761970479533</v>
      </c>
      <c r="T76" s="898">
        <f t="shared" si="17"/>
        <v>16.507600239272243</v>
      </c>
      <c r="U76" s="898">
        <f t="shared" si="17"/>
        <v>14.685276776857663</v>
      </c>
      <c r="V76" s="898">
        <f t="shared" si="17"/>
        <v>13.774115045650372</v>
      </c>
      <c r="W76" s="898">
        <f t="shared" si="17"/>
        <v>11.951791583235792</v>
      </c>
      <c r="X76" s="898">
        <f t="shared" si="17"/>
        <v>10.129468120821231</v>
      </c>
      <c r="Y76" s="898">
        <f t="shared" si="17"/>
        <v>8.3071446584066528</v>
      </c>
      <c r="Z76" s="898">
        <f t="shared" si="17"/>
        <v>6.4848211959920725</v>
      </c>
      <c r="AA76" s="900"/>
      <c r="AB76" s="900"/>
      <c r="AC76" s="902"/>
      <c r="AD76" s="902"/>
      <c r="AE76" s="902"/>
      <c r="AF76" s="902"/>
      <c r="AG76" s="916">
        <f>B109</f>
        <v>9.5</v>
      </c>
      <c r="AH76" s="916">
        <f>B97</f>
        <v>7.916666666666667</v>
      </c>
      <c r="AI76" s="904">
        <f>B83</f>
        <v>4.75</v>
      </c>
      <c r="AJ76" s="902">
        <f t="shared" si="13"/>
        <v>0</v>
      </c>
      <c r="AK76" s="909">
        <f t="shared" si="10"/>
        <v>12.5</v>
      </c>
      <c r="AL76" s="645">
        <f t="shared" si="11"/>
        <v>1000000000</v>
      </c>
      <c r="AM76" s="902">
        <f t="shared" si="14"/>
        <v>0</v>
      </c>
      <c r="AN76" s="902">
        <f t="shared" si="14"/>
        <v>0</v>
      </c>
      <c r="AO76" s="902">
        <f t="shared" si="14"/>
        <v>0</v>
      </c>
      <c r="AP76" s="902">
        <f t="shared" si="14"/>
        <v>0</v>
      </c>
      <c r="AQ76" s="902">
        <f t="shared" si="14"/>
        <v>0</v>
      </c>
      <c r="AR76" s="902">
        <f t="shared" si="14"/>
        <v>1</v>
      </c>
      <c r="AS76" s="902">
        <f t="shared" si="14"/>
        <v>1</v>
      </c>
      <c r="AT76" s="645">
        <f t="shared" si="14"/>
        <v>1</v>
      </c>
      <c r="AU76" s="880">
        <f t="shared" si="12"/>
        <v>0</v>
      </c>
      <c r="AV76" s="880">
        <f t="shared" si="15"/>
        <v>0</v>
      </c>
      <c r="AW76" s="880">
        <f t="shared" si="15"/>
        <v>0</v>
      </c>
      <c r="AX76" s="880">
        <f t="shared" si="15"/>
        <v>0</v>
      </c>
      <c r="AY76" s="880">
        <f t="shared" si="15"/>
        <v>0</v>
      </c>
      <c r="AZ76" s="880">
        <f t="shared" si="15"/>
        <v>0</v>
      </c>
      <c r="BA76" s="880">
        <f t="shared" si="15"/>
        <v>0.39623011513021233</v>
      </c>
      <c r="BB76" s="880">
        <f t="shared" si="15"/>
        <v>0.15247306203329247</v>
      </c>
      <c r="BC76" s="904">
        <f t="shared" si="15"/>
        <v>3.009604582063365</v>
      </c>
    </row>
    <row r="77" spans="2:55" ht="15" customHeight="1" x14ac:dyDescent="0.25">
      <c r="B77" s="674">
        <f>G25</f>
        <v>4.041666666666667</v>
      </c>
      <c r="C77" s="910"/>
      <c r="D77" s="911"/>
      <c r="E77" s="911"/>
      <c r="F77" s="911"/>
      <c r="G77" s="911"/>
      <c r="H77" s="911"/>
      <c r="I77" s="911"/>
      <c r="J77" s="911"/>
      <c r="K77" s="912">
        <f>$G$13</f>
        <v>97</v>
      </c>
      <c r="L77" s="806">
        <f t="shared" si="2"/>
        <v>145</v>
      </c>
      <c r="M77" s="895">
        <f t="shared" si="3"/>
        <v>-1000000</v>
      </c>
      <c r="N77" s="806">
        <f t="shared" si="4"/>
        <v>100</v>
      </c>
      <c r="O77" s="652"/>
      <c r="P77" s="900">
        <f t="shared" si="8"/>
        <v>41</v>
      </c>
      <c r="Q77" s="908">
        <f t="shared" si="9"/>
        <v>104</v>
      </c>
      <c r="R77" s="898">
        <f t="shared" si="17"/>
        <v>22.548762039699266</v>
      </c>
      <c r="S77" s="898">
        <f t="shared" si="17"/>
        <v>17.880121638879402</v>
      </c>
      <c r="T77" s="898">
        <f t="shared" si="17"/>
        <v>16.946393558715432</v>
      </c>
      <c r="U77" s="898">
        <f t="shared" si="17"/>
        <v>15.078937398387486</v>
      </c>
      <c r="V77" s="898">
        <f t="shared" si="17"/>
        <v>14.145209318223513</v>
      </c>
      <c r="W77" s="898">
        <f t="shared" si="17"/>
        <v>12.277753157895569</v>
      </c>
      <c r="X77" s="898">
        <f t="shared" si="17"/>
        <v>10.410296997567645</v>
      </c>
      <c r="Y77" s="898">
        <f t="shared" si="17"/>
        <v>8.542840837239698</v>
      </c>
      <c r="Z77" s="898">
        <f t="shared" si="17"/>
        <v>6.6753846769117526</v>
      </c>
      <c r="AA77" s="913">
        <f>B136</f>
        <v>15.666666666666666</v>
      </c>
      <c r="AB77" s="900"/>
      <c r="AC77" s="902"/>
      <c r="AD77" s="902"/>
      <c r="AE77" s="902"/>
      <c r="AF77" s="916">
        <f>B120</f>
        <v>11.75</v>
      </c>
      <c r="AG77" s="902"/>
      <c r="AH77" s="902"/>
      <c r="AI77" s="645"/>
      <c r="AJ77" s="902">
        <f t="shared" si="13"/>
        <v>1</v>
      </c>
      <c r="AK77" s="909">
        <f t="shared" si="10"/>
        <v>12.5</v>
      </c>
      <c r="AL77" s="645">
        <f t="shared" si="11"/>
        <v>1000000000</v>
      </c>
      <c r="AM77" s="902">
        <f t="shared" si="14"/>
        <v>0</v>
      </c>
      <c r="AN77" s="902">
        <f t="shared" si="14"/>
        <v>0</v>
      </c>
      <c r="AO77" s="902">
        <f t="shared" si="14"/>
        <v>0</v>
      </c>
      <c r="AP77" s="902">
        <f t="shared" si="14"/>
        <v>0</v>
      </c>
      <c r="AQ77" s="902">
        <f t="shared" si="14"/>
        <v>1</v>
      </c>
      <c r="AR77" s="902">
        <f t="shared" si="14"/>
        <v>0</v>
      </c>
      <c r="AS77" s="902">
        <f t="shared" si="14"/>
        <v>0</v>
      </c>
      <c r="AT77" s="645">
        <f t="shared" si="14"/>
        <v>0</v>
      </c>
      <c r="AU77" s="880">
        <f t="shared" si="12"/>
        <v>47.363236723516721</v>
      </c>
      <c r="AV77" s="880">
        <f t="shared" si="15"/>
        <v>0</v>
      </c>
      <c r="AW77" s="880">
        <f t="shared" si="15"/>
        <v>0</v>
      </c>
      <c r="AX77" s="880">
        <f t="shared" si="15"/>
        <v>0</v>
      </c>
      <c r="AY77" s="880">
        <f t="shared" si="15"/>
        <v>0</v>
      </c>
      <c r="AZ77" s="880">
        <f t="shared" si="15"/>
        <v>0.27852339566874562</v>
      </c>
      <c r="BA77" s="880">
        <f t="shared" si="15"/>
        <v>0</v>
      </c>
      <c r="BB77" s="880">
        <f t="shared" si="15"/>
        <v>0</v>
      </c>
      <c r="BC77" s="904">
        <f t="shared" si="15"/>
        <v>0</v>
      </c>
    </row>
    <row r="78" spans="2:55" ht="15" customHeight="1" x14ac:dyDescent="0.25">
      <c r="B78" s="674">
        <f>G24</f>
        <v>4.25</v>
      </c>
      <c r="C78" s="910"/>
      <c r="D78" s="911"/>
      <c r="E78" s="911"/>
      <c r="F78" s="911"/>
      <c r="G78" s="911"/>
      <c r="H78" s="911"/>
      <c r="I78" s="911"/>
      <c r="J78" s="860">
        <f>$G$12</f>
        <v>102</v>
      </c>
      <c r="K78" s="914"/>
      <c r="L78" s="806">
        <f t="shared" si="2"/>
        <v>145</v>
      </c>
      <c r="M78" s="895">
        <f t="shared" si="3"/>
        <v>-1000000</v>
      </c>
      <c r="N78" s="806">
        <f t="shared" si="4"/>
        <v>100</v>
      </c>
      <c r="O78" s="652"/>
      <c r="P78" s="900">
        <f t="shared" si="8"/>
        <v>42</v>
      </c>
      <c r="Q78" s="908">
        <f t="shared" si="9"/>
        <v>103</v>
      </c>
      <c r="R78" s="898">
        <f t="shared" si="17"/>
        <v>23.125126851698099</v>
      </c>
      <c r="S78" s="898">
        <f t="shared" si="17"/>
        <v>18.343706086670775</v>
      </c>
      <c r="T78" s="898">
        <f t="shared" si="17"/>
        <v>17.387421933665308</v>
      </c>
      <c r="U78" s="898">
        <f t="shared" si="17"/>
        <v>15.474853627654378</v>
      </c>
      <c r="V78" s="898">
        <f t="shared" si="17"/>
        <v>14.518569474648913</v>
      </c>
      <c r="W78" s="898">
        <f t="shared" si="17"/>
        <v>12.606001168637983</v>
      </c>
      <c r="X78" s="898">
        <f t="shared" si="17"/>
        <v>10.693432862627073</v>
      </c>
      <c r="Y78" s="898">
        <f t="shared" si="17"/>
        <v>8.7808645566161427</v>
      </c>
      <c r="Z78" s="898">
        <f t="shared" si="17"/>
        <v>6.8682962506052121</v>
      </c>
      <c r="AA78" s="900"/>
      <c r="AB78" s="900"/>
      <c r="AC78" s="902"/>
      <c r="AD78" s="902"/>
      <c r="AE78" s="902"/>
      <c r="AF78" s="902"/>
      <c r="AG78" s="902"/>
      <c r="AH78" s="902"/>
      <c r="AI78" s="645"/>
      <c r="AJ78" s="902">
        <f t="shared" si="13"/>
        <v>0</v>
      </c>
      <c r="AK78" s="909">
        <f t="shared" si="10"/>
        <v>12.5</v>
      </c>
      <c r="AL78" s="645">
        <f t="shared" si="11"/>
        <v>1000000000</v>
      </c>
      <c r="AM78" s="902">
        <f t="shared" si="14"/>
        <v>0</v>
      </c>
      <c r="AN78" s="902">
        <f t="shared" si="14"/>
        <v>0</v>
      </c>
      <c r="AO78" s="902">
        <f t="shared" si="14"/>
        <v>0</v>
      </c>
      <c r="AP78" s="902">
        <f t="shared" si="14"/>
        <v>0</v>
      </c>
      <c r="AQ78" s="902">
        <f t="shared" si="14"/>
        <v>0</v>
      </c>
      <c r="AR78" s="902">
        <f t="shared" si="14"/>
        <v>0</v>
      </c>
      <c r="AS78" s="902">
        <f t="shared" si="14"/>
        <v>0</v>
      </c>
      <c r="AT78" s="645">
        <f t="shared" si="14"/>
        <v>0</v>
      </c>
      <c r="AU78" s="880">
        <f t="shared" si="12"/>
        <v>0</v>
      </c>
      <c r="AV78" s="880">
        <f t="shared" si="15"/>
        <v>0</v>
      </c>
      <c r="AW78" s="880">
        <f t="shared" si="15"/>
        <v>0</v>
      </c>
      <c r="AX78" s="880">
        <f t="shared" si="15"/>
        <v>0</v>
      </c>
      <c r="AY78" s="880">
        <f t="shared" si="15"/>
        <v>0</v>
      </c>
      <c r="AZ78" s="880">
        <f t="shared" si="15"/>
        <v>0</v>
      </c>
      <c r="BA78" s="880">
        <f t="shared" si="15"/>
        <v>0</v>
      </c>
      <c r="BB78" s="880">
        <f t="shared" si="15"/>
        <v>0</v>
      </c>
      <c r="BC78" s="904">
        <f t="shared" si="15"/>
        <v>0</v>
      </c>
    </row>
    <row r="79" spans="2:55" ht="15" customHeight="1" x14ac:dyDescent="0.25">
      <c r="B79" s="674">
        <f>G23</f>
        <v>4.416666666666667</v>
      </c>
      <c r="C79" s="910"/>
      <c r="D79" s="911"/>
      <c r="E79" s="911"/>
      <c r="F79" s="911"/>
      <c r="G79" s="911"/>
      <c r="H79" s="911"/>
      <c r="I79" s="860">
        <f>$G$11</f>
        <v>106</v>
      </c>
      <c r="J79" s="911"/>
      <c r="K79" s="914"/>
      <c r="L79" s="806">
        <f t="shared" si="2"/>
        <v>145</v>
      </c>
      <c r="M79" s="895">
        <f t="shared" si="3"/>
        <v>-1000000</v>
      </c>
      <c r="N79" s="806">
        <f t="shared" si="4"/>
        <v>100</v>
      </c>
      <c r="O79" s="652"/>
      <c r="P79" s="900">
        <f t="shared" si="8"/>
        <v>43</v>
      </c>
      <c r="Q79" s="908">
        <f t="shared" si="9"/>
        <v>102</v>
      </c>
      <c r="R79" s="898">
        <f t="shared" si="17"/>
        <v>23.703764770488835</v>
      </c>
      <c r="S79" s="898">
        <f t="shared" si="17"/>
        <v>18.809614986741963</v>
      </c>
      <c r="T79" s="898">
        <f t="shared" si="17"/>
        <v>17.830785029992587</v>
      </c>
      <c r="U79" s="898">
        <f t="shared" si="17"/>
        <v>15.873125116493837</v>
      </c>
      <c r="V79" s="898">
        <f t="shared" si="17"/>
        <v>14.894295159744463</v>
      </c>
      <c r="W79" s="898">
        <f t="shared" si="17"/>
        <v>12.936635246245713</v>
      </c>
      <c r="X79" s="898">
        <f t="shared" si="17"/>
        <v>10.978975332746986</v>
      </c>
      <c r="Y79" s="898">
        <f t="shared" si="17"/>
        <v>9.0213154192482357</v>
      </c>
      <c r="Z79" s="898">
        <f t="shared" si="17"/>
        <v>7.0636555057494856</v>
      </c>
      <c r="AA79" s="900"/>
      <c r="AB79" s="915">
        <f>B135</f>
        <v>15.35</v>
      </c>
      <c r="AC79" s="916">
        <f>B134</f>
        <v>15.316666666666668</v>
      </c>
      <c r="AD79" s="902"/>
      <c r="AE79" s="902"/>
      <c r="AF79" s="902"/>
      <c r="AG79" s="902"/>
      <c r="AH79" s="902"/>
      <c r="AI79" s="645"/>
      <c r="AJ79" s="902">
        <f t="shared" si="13"/>
        <v>0</v>
      </c>
      <c r="AK79" s="909">
        <f t="shared" si="10"/>
        <v>12.5</v>
      </c>
      <c r="AL79" s="645">
        <f t="shared" si="11"/>
        <v>1000000000</v>
      </c>
      <c r="AM79" s="902">
        <f t="shared" si="14"/>
        <v>1</v>
      </c>
      <c r="AN79" s="902">
        <f t="shared" si="14"/>
        <v>1</v>
      </c>
      <c r="AO79" s="902">
        <f t="shared" si="14"/>
        <v>0</v>
      </c>
      <c r="AP79" s="902">
        <f t="shared" si="14"/>
        <v>0</v>
      </c>
      <c r="AQ79" s="902">
        <f t="shared" si="14"/>
        <v>0</v>
      </c>
      <c r="AR79" s="902">
        <f t="shared" si="14"/>
        <v>0</v>
      </c>
      <c r="AS79" s="902">
        <f t="shared" si="14"/>
        <v>0</v>
      </c>
      <c r="AT79" s="645">
        <f t="shared" si="14"/>
        <v>0</v>
      </c>
      <c r="AU79" s="880">
        <f t="shared" si="12"/>
        <v>0</v>
      </c>
      <c r="AV79" s="880">
        <f t="shared" si="15"/>
        <v>11.968935856489592</v>
      </c>
      <c r="AW79" s="880">
        <f t="shared" si="15"/>
        <v>6.3207911448125955</v>
      </c>
      <c r="AX79" s="880">
        <f t="shared" si="15"/>
        <v>0</v>
      </c>
      <c r="AY79" s="880">
        <f t="shared" si="15"/>
        <v>0</v>
      </c>
      <c r="AZ79" s="880">
        <f t="shared" si="15"/>
        <v>0</v>
      </c>
      <c r="BA79" s="880">
        <f t="shared" si="15"/>
        <v>0</v>
      </c>
      <c r="BB79" s="880">
        <f t="shared" si="15"/>
        <v>0</v>
      </c>
      <c r="BC79" s="904">
        <f t="shared" si="15"/>
        <v>0</v>
      </c>
    </row>
    <row r="80" spans="2:55" ht="15" customHeight="1" x14ac:dyDescent="0.25">
      <c r="B80" s="674">
        <f>G22</f>
        <v>4.5625</v>
      </c>
      <c r="C80" s="910"/>
      <c r="D80" s="911"/>
      <c r="E80" s="911"/>
      <c r="F80" s="911"/>
      <c r="G80" s="911"/>
      <c r="H80" s="860">
        <f>$G$10</f>
        <v>109.5</v>
      </c>
      <c r="I80" s="911"/>
      <c r="J80" s="911"/>
      <c r="K80" s="914"/>
      <c r="L80" s="806">
        <f t="shared" si="2"/>
        <v>145</v>
      </c>
      <c r="M80" s="895">
        <f t="shared" si="3"/>
        <v>-1000000</v>
      </c>
      <c r="N80" s="806">
        <f t="shared" si="4"/>
        <v>100</v>
      </c>
      <c r="P80" s="900">
        <f t="shared" si="8"/>
        <v>44</v>
      </c>
      <c r="Q80" s="908">
        <f t="shared" si="9"/>
        <v>101</v>
      </c>
      <c r="R80" s="898">
        <f t="shared" si="17"/>
        <v>24.284779383823331</v>
      </c>
      <c r="S80" s="898">
        <f t="shared" si="17"/>
        <v>19.277951891788732</v>
      </c>
      <c r="T80" s="898">
        <f t="shared" si="17"/>
        <v>18.276586393381812</v>
      </c>
      <c r="U80" s="898">
        <f t="shared" si="17"/>
        <v>16.273855396567974</v>
      </c>
      <c r="V80" s="898">
        <f t="shared" si="17"/>
        <v>15.272489898161055</v>
      </c>
      <c r="W80" s="898">
        <f t="shared" si="17"/>
        <v>13.269758901347217</v>
      </c>
      <c r="X80" s="898">
        <f t="shared" si="17"/>
        <v>11.2670279045334</v>
      </c>
      <c r="Y80" s="898">
        <f t="shared" si="17"/>
        <v>9.2642969077195616</v>
      </c>
      <c r="Z80" s="898">
        <f t="shared" si="17"/>
        <v>7.2615659109057225</v>
      </c>
      <c r="AA80" s="900"/>
      <c r="AB80" s="900"/>
      <c r="AC80" s="902"/>
      <c r="AD80" s="902"/>
      <c r="AE80" s="902"/>
      <c r="AF80" s="902"/>
      <c r="AG80" s="902"/>
      <c r="AH80" s="902"/>
      <c r="AI80" s="904">
        <f>B96</f>
        <v>7.541666666666667</v>
      </c>
      <c r="AJ80" s="902">
        <f t="shared" si="13"/>
        <v>0</v>
      </c>
      <c r="AK80" s="909">
        <f t="shared" si="10"/>
        <v>12.5</v>
      </c>
      <c r="AL80" s="645">
        <f t="shared" si="11"/>
        <v>1000000000</v>
      </c>
      <c r="AM80" s="902">
        <f t="shared" si="14"/>
        <v>0</v>
      </c>
      <c r="AN80" s="902">
        <f t="shared" si="14"/>
        <v>0</v>
      </c>
      <c r="AO80" s="902">
        <f t="shared" si="14"/>
        <v>0</v>
      </c>
      <c r="AP80" s="902">
        <f t="shared" si="14"/>
        <v>0</v>
      </c>
      <c r="AQ80" s="902">
        <f t="shared" si="14"/>
        <v>0</v>
      </c>
      <c r="AR80" s="902">
        <f t="shared" si="14"/>
        <v>0</v>
      </c>
      <c r="AS80" s="902">
        <f t="shared" si="14"/>
        <v>0</v>
      </c>
      <c r="AT80" s="645">
        <f t="shared" si="14"/>
        <v>1</v>
      </c>
      <c r="AU80" s="880">
        <f t="shared" si="12"/>
        <v>0</v>
      </c>
      <c r="AV80" s="880">
        <f t="shared" si="15"/>
        <v>0</v>
      </c>
      <c r="AW80" s="880">
        <f t="shared" si="15"/>
        <v>0</v>
      </c>
      <c r="AX80" s="880">
        <f t="shared" si="15"/>
        <v>0</v>
      </c>
      <c r="AY80" s="880">
        <f t="shared" si="15"/>
        <v>0</v>
      </c>
      <c r="AZ80" s="880">
        <f t="shared" si="15"/>
        <v>0</v>
      </c>
      <c r="BA80" s="880">
        <f t="shared" si="15"/>
        <v>0</v>
      </c>
      <c r="BB80" s="880">
        <f t="shared" si="15"/>
        <v>0</v>
      </c>
      <c r="BC80" s="904">
        <f t="shared" si="15"/>
        <v>7.8456433377852283E-2</v>
      </c>
    </row>
    <row r="81" spans="2:55" ht="15" customHeight="1" x14ac:dyDescent="0.25">
      <c r="B81" s="674">
        <f>G21</f>
        <v>4.666666666666667</v>
      </c>
      <c r="C81" s="910"/>
      <c r="D81" s="911"/>
      <c r="E81" s="911"/>
      <c r="F81" s="911"/>
      <c r="G81" s="860">
        <f>$G$9</f>
        <v>112</v>
      </c>
      <c r="H81" s="911"/>
      <c r="I81" s="911"/>
      <c r="J81" s="911"/>
      <c r="K81" s="914"/>
      <c r="L81" s="806">
        <f t="shared" si="2"/>
        <v>145</v>
      </c>
      <c r="M81" s="895">
        <f t="shared" si="3"/>
        <v>-1000000</v>
      </c>
      <c r="N81" s="806">
        <f t="shared" si="4"/>
        <v>100</v>
      </c>
      <c r="P81" s="900">
        <f t="shared" si="8"/>
        <v>45</v>
      </c>
      <c r="Q81" s="908">
        <f t="shared" si="9"/>
        <v>100</v>
      </c>
      <c r="R81" s="898">
        <f t="shared" si="17"/>
        <v>24.868278304915563</v>
      </c>
      <c r="S81" s="898">
        <f t="shared" si="17"/>
        <v>19.748824380000883</v>
      </c>
      <c r="T81" s="898">
        <f t="shared" si="17"/>
        <v>18.724933595017944</v>
      </c>
      <c r="U81" s="898">
        <f t="shared" si="17"/>
        <v>16.677152025052074</v>
      </c>
      <c r="V81" s="898">
        <f t="shared" si="17"/>
        <v>15.653261240069137</v>
      </c>
      <c r="W81" s="898">
        <f t="shared" si="17"/>
        <v>13.605479670103264</v>
      </c>
      <c r="X81" s="898">
        <f t="shared" si="17"/>
        <v>11.557698100137415</v>
      </c>
      <c r="Y81" s="898">
        <f t="shared" si="17"/>
        <v>9.5099165301715445</v>
      </c>
      <c r="Z81" s="898">
        <f t="shared" si="17"/>
        <v>7.4621349602056712</v>
      </c>
      <c r="AA81" s="900"/>
      <c r="AB81" s="900"/>
      <c r="AC81" s="902"/>
      <c r="AD81" s="317">
        <f>B133</f>
        <v>15</v>
      </c>
      <c r="AE81" s="902"/>
      <c r="AF81" s="902"/>
      <c r="AG81" s="916">
        <f>B119</f>
        <v>11.25</v>
      </c>
      <c r="AH81" s="902"/>
      <c r="AI81" s="645"/>
      <c r="AJ81" s="902">
        <f t="shared" si="13"/>
        <v>0</v>
      </c>
      <c r="AK81" s="909">
        <f t="shared" si="10"/>
        <v>12.5</v>
      </c>
      <c r="AL81" s="645">
        <f t="shared" si="11"/>
        <v>0</v>
      </c>
      <c r="AM81" s="902">
        <f t="shared" si="14"/>
        <v>0</v>
      </c>
      <c r="AN81" s="902">
        <f t="shared" si="14"/>
        <v>0</v>
      </c>
      <c r="AO81" s="902">
        <f t="shared" si="14"/>
        <v>1</v>
      </c>
      <c r="AP81" s="902">
        <f t="shared" si="14"/>
        <v>0</v>
      </c>
      <c r="AQ81" s="902">
        <f t="shared" si="14"/>
        <v>0</v>
      </c>
      <c r="AR81" s="902">
        <f t="shared" si="14"/>
        <v>1</v>
      </c>
      <c r="AS81" s="902">
        <f t="shared" si="14"/>
        <v>0</v>
      </c>
      <c r="AT81" s="645">
        <f t="shared" si="14"/>
        <v>0</v>
      </c>
      <c r="AU81" s="880">
        <f t="shared" si="12"/>
        <v>0</v>
      </c>
      <c r="AV81" s="880">
        <f t="shared" si="15"/>
        <v>0</v>
      </c>
      <c r="AW81" s="880">
        <f t="shared" si="15"/>
        <v>0</v>
      </c>
      <c r="AX81" s="880">
        <f t="shared" si="15"/>
        <v>2.8128389151362718</v>
      </c>
      <c r="AY81" s="880">
        <f t="shared" si="15"/>
        <v>0</v>
      </c>
      <c r="AZ81" s="880">
        <f t="shared" si="15"/>
        <v>0</v>
      </c>
      <c r="BA81" s="880">
        <f t="shared" si="15"/>
        <v>9.46781208281747E-2</v>
      </c>
      <c r="BB81" s="880">
        <f t="shared" si="15"/>
        <v>0</v>
      </c>
      <c r="BC81" s="904">
        <f t="shared" si="15"/>
        <v>0</v>
      </c>
    </row>
    <row r="82" spans="2:55" ht="15" customHeight="1" x14ac:dyDescent="0.25">
      <c r="B82" s="674">
        <f>G20</f>
        <v>4.708333333333333</v>
      </c>
      <c r="C82" s="910"/>
      <c r="D82" s="911"/>
      <c r="E82" s="911"/>
      <c r="F82" s="860">
        <f>$G$8</f>
        <v>113</v>
      </c>
      <c r="G82" s="911"/>
      <c r="H82" s="911"/>
      <c r="I82" s="911"/>
      <c r="J82" s="911"/>
      <c r="K82" s="914"/>
      <c r="L82" s="806">
        <f t="shared" si="2"/>
        <v>145</v>
      </c>
      <c r="M82" s="895">
        <f t="shared" si="3"/>
        <v>-1000000</v>
      </c>
      <c r="N82" s="806">
        <f t="shared" si="4"/>
        <v>100</v>
      </c>
      <c r="O82" s="652"/>
      <c r="P82" s="900">
        <f t="shared" si="8"/>
        <v>46</v>
      </c>
      <c r="Q82" s="908">
        <f t="shared" si="9"/>
        <v>99</v>
      </c>
      <c r="R82" s="898">
        <f t="shared" si="17"/>
        <v>25.454373323457567</v>
      </c>
      <c r="S82" s="898">
        <f t="shared" si="17"/>
        <v>20.222344206078127</v>
      </c>
      <c r="T82" s="898">
        <f t="shared" si="17"/>
        <v>19.175938382602236</v>
      </c>
      <c r="U82" s="898">
        <f t="shared" si="17"/>
        <v>17.083126735650463</v>
      </c>
      <c r="V82" s="898">
        <f t="shared" si="17"/>
        <v>16.036720912174573</v>
      </c>
      <c r="W82" s="898">
        <f t="shared" si="17"/>
        <v>13.943909265222798</v>
      </c>
      <c r="X82" s="898">
        <f t="shared" si="17"/>
        <v>11.851097618271046</v>
      </c>
      <c r="Y82" s="898">
        <f t="shared" si="17"/>
        <v>9.7582859713192693</v>
      </c>
      <c r="Z82" s="898">
        <f t="shared" si="17"/>
        <v>7.6654743243674925</v>
      </c>
      <c r="AA82" s="900"/>
      <c r="AB82" s="900"/>
      <c r="AC82" s="902"/>
      <c r="AD82" s="902"/>
      <c r="AE82" s="916">
        <f>B132</f>
        <v>14.833333333333334</v>
      </c>
      <c r="AF82" s="902"/>
      <c r="AG82" s="902"/>
      <c r="AH82" s="902"/>
      <c r="AI82" s="645"/>
      <c r="AJ82" s="902">
        <f t="shared" si="13"/>
        <v>0</v>
      </c>
      <c r="AK82" s="909">
        <f t="shared" si="10"/>
        <v>12.5</v>
      </c>
      <c r="AL82" s="645">
        <f t="shared" si="11"/>
        <v>-1000000000</v>
      </c>
      <c r="AM82" s="902">
        <f t="shared" si="14"/>
        <v>0</v>
      </c>
      <c r="AN82" s="902">
        <f t="shared" si="14"/>
        <v>0</v>
      </c>
      <c r="AO82" s="902">
        <f t="shared" si="14"/>
        <v>0</v>
      </c>
      <c r="AP82" s="902">
        <f t="shared" si="14"/>
        <v>1</v>
      </c>
      <c r="AQ82" s="902">
        <f t="shared" si="14"/>
        <v>0</v>
      </c>
      <c r="AR82" s="902">
        <f t="shared" si="14"/>
        <v>0</v>
      </c>
      <c r="AS82" s="902">
        <f t="shared" si="14"/>
        <v>0</v>
      </c>
      <c r="AT82" s="645">
        <f t="shared" si="14"/>
        <v>0</v>
      </c>
      <c r="AU82" s="880">
        <f t="shared" si="12"/>
        <v>0</v>
      </c>
      <c r="AV82" s="880">
        <f t="shared" si="15"/>
        <v>0</v>
      </c>
      <c r="AW82" s="880">
        <f t="shared" si="15"/>
        <v>0</v>
      </c>
      <c r="AX82" s="880">
        <f t="shared" si="15"/>
        <v>0</v>
      </c>
      <c r="AY82" s="880">
        <f t="shared" si="15"/>
        <v>1.4481416649093795</v>
      </c>
      <c r="AZ82" s="880">
        <f t="shared" si="15"/>
        <v>0</v>
      </c>
      <c r="BA82" s="880">
        <f t="shared" si="15"/>
        <v>0</v>
      </c>
      <c r="BB82" s="880">
        <f t="shared" si="15"/>
        <v>0</v>
      </c>
      <c r="BC82" s="904">
        <f t="shared" si="15"/>
        <v>0</v>
      </c>
    </row>
    <row r="83" spans="2:55" ht="15" customHeight="1" x14ac:dyDescent="0.25">
      <c r="B83" s="674">
        <f>H25</f>
        <v>4.75</v>
      </c>
      <c r="C83" s="910"/>
      <c r="D83" s="911"/>
      <c r="E83" s="911"/>
      <c r="F83" s="860"/>
      <c r="G83" s="911"/>
      <c r="H83" s="911"/>
      <c r="I83" s="911"/>
      <c r="J83" s="911"/>
      <c r="K83" s="912">
        <f>$H$13</f>
        <v>95</v>
      </c>
      <c r="L83" s="806">
        <f t="shared" si="2"/>
        <v>145</v>
      </c>
      <c r="M83" s="895">
        <f t="shared" si="3"/>
        <v>-1000000</v>
      </c>
      <c r="N83" s="806">
        <f t="shared" si="4"/>
        <v>100</v>
      </c>
      <c r="P83" s="900">
        <f t="shared" si="8"/>
        <v>47</v>
      </c>
      <c r="Q83" s="908">
        <f t="shared" si="9"/>
        <v>98</v>
      </c>
      <c r="R83" s="898">
        <f t="shared" si="17"/>
        <v>26.043180562155896</v>
      </c>
      <c r="S83" s="898">
        <f t="shared" si="17"/>
        <v>20.698627457766538</v>
      </c>
      <c r="T83" s="898">
        <f t="shared" si="17"/>
        <v>19.629716836888665</v>
      </c>
      <c r="U83" s="898">
        <f t="shared" si="17"/>
        <v>17.49189559513292</v>
      </c>
      <c r="V83" s="898">
        <f t="shared" si="17"/>
        <v>16.422984974255048</v>
      </c>
      <c r="W83" s="898">
        <f t="shared" si="17"/>
        <v>14.285163732499303</v>
      </c>
      <c r="X83" s="898">
        <f t="shared" si="17"/>
        <v>12.147342490743581</v>
      </c>
      <c r="Y83" s="898">
        <f t="shared" si="17"/>
        <v>10.009521248987838</v>
      </c>
      <c r="Z83" s="898">
        <f t="shared" si="17"/>
        <v>7.8717000072320937</v>
      </c>
      <c r="AA83" s="900"/>
      <c r="AB83" s="900"/>
      <c r="AC83" s="902"/>
      <c r="AD83" s="902"/>
      <c r="AE83" s="902"/>
      <c r="AF83" s="916">
        <f>B131</f>
        <v>14.666666666666666</v>
      </c>
      <c r="AG83" s="902"/>
      <c r="AH83" s="902"/>
      <c r="AI83" s="645"/>
      <c r="AJ83" s="902">
        <f t="shared" si="13"/>
        <v>0</v>
      </c>
      <c r="AK83" s="909">
        <f t="shared" si="10"/>
        <v>12.5</v>
      </c>
      <c r="AL83" s="645">
        <f t="shared" si="11"/>
        <v>-1000000000</v>
      </c>
      <c r="AM83" s="902">
        <f t="shared" si="14"/>
        <v>0</v>
      </c>
      <c r="AN83" s="902">
        <f t="shared" si="14"/>
        <v>0</v>
      </c>
      <c r="AO83" s="902">
        <f t="shared" si="14"/>
        <v>0</v>
      </c>
      <c r="AP83" s="902">
        <f t="shared" si="14"/>
        <v>0</v>
      </c>
      <c r="AQ83" s="902">
        <f t="shared" si="14"/>
        <v>1</v>
      </c>
      <c r="AR83" s="902">
        <f t="shared" si="14"/>
        <v>0</v>
      </c>
      <c r="AS83" s="902">
        <f t="shared" si="14"/>
        <v>0</v>
      </c>
      <c r="AT83" s="645">
        <f t="shared" ref="AT83:AT146" si="18">IF(AI83=0,0,1)</f>
        <v>0</v>
      </c>
      <c r="AU83" s="880">
        <f t="shared" si="12"/>
        <v>0</v>
      </c>
      <c r="AV83" s="880">
        <f t="shared" si="15"/>
        <v>0</v>
      </c>
      <c r="AW83" s="880">
        <f t="shared" si="15"/>
        <v>0</v>
      </c>
      <c r="AX83" s="880">
        <f t="shared" si="15"/>
        <v>0</v>
      </c>
      <c r="AY83" s="880">
        <f t="shared" si="15"/>
        <v>0</v>
      </c>
      <c r="AZ83" s="880">
        <f t="shared" si="15"/>
        <v>0.1455444887783075</v>
      </c>
      <c r="BA83" s="880">
        <f t="shared" si="15"/>
        <v>0</v>
      </c>
      <c r="BB83" s="880">
        <f t="shared" si="15"/>
        <v>0</v>
      </c>
      <c r="BC83" s="904">
        <f t="shared" ref="BC83:BC146" si="19">AT83*(AI83-Z83)^2</f>
        <v>0</v>
      </c>
    </row>
    <row r="84" spans="2:55" ht="15" customHeight="1" x14ac:dyDescent="0.25">
      <c r="B84" s="674">
        <f>G18</f>
        <v>4.770833333333333</v>
      </c>
      <c r="C84" s="910"/>
      <c r="D84" s="860">
        <f>$G$6</f>
        <v>114.5</v>
      </c>
      <c r="E84" s="860">
        <f>$G$7</f>
        <v>114.4</v>
      </c>
      <c r="F84" s="911"/>
      <c r="G84" s="911"/>
      <c r="H84" s="860"/>
      <c r="I84" s="911"/>
      <c r="J84" s="911"/>
      <c r="K84" s="914"/>
      <c r="L84" s="806">
        <f t="shared" si="2"/>
        <v>145</v>
      </c>
      <c r="M84" s="895">
        <f t="shared" si="3"/>
        <v>-1000000</v>
      </c>
      <c r="N84" s="806">
        <f t="shared" si="4"/>
        <v>100</v>
      </c>
      <c r="P84" s="900">
        <f t="shared" si="8"/>
        <v>48</v>
      </c>
      <c r="Q84" s="908">
        <f t="shared" si="9"/>
        <v>97</v>
      </c>
      <c r="R84" s="898">
        <f t="shared" si="17"/>
        <v>26.634820638986614</v>
      </c>
      <c r="S84" s="898">
        <f t="shared" si="17"/>
        <v>21.177794718113486</v>
      </c>
      <c r="T84" s="898">
        <f t="shared" si="17"/>
        <v>20.08638953393886</v>
      </c>
      <c r="U84" s="898">
        <f t="shared" si="17"/>
        <v>17.903579165589605</v>
      </c>
      <c r="V84" s="898">
        <f t="shared" si="17"/>
        <v>16.812173981414979</v>
      </c>
      <c r="W84" s="898">
        <f t="shared" si="17"/>
        <v>14.629363613065729</v>
      </c>
      <c r="X84" s="898">
        <f t="shared" si="17"/>
        <v>12.446553244716501</v>
      </c>
      <c r="Y84" s="898">
        <f t="shared" si="17"/>
        <v>10.26374287636725</v>
      </c>
      <c r="Z84" s="898">
        <f t="shared" si="17"/>
        <v>8.0809325080179981</v>
      </c>
      <c r="AA84" s="900"/>
      <c r="AB84" s="900"/>
      <c r="AC84" s="902"/>
      <c r="AD84" s="902"/>
      <c r="AE84" s="902"/>
      <c r="AF84" s="902"/>
      <c r="AG84" s="902"/>
      <c r="AH84" s="902"/>
      <c r="AI84" s="645"/>
      <c r="AJ84" s="902">
        <f t="shared" si="13"/>
        <v>0</v>
      </c>
      <c r="AK84" s="909">
        <f t="shared" si="10"/>
        <v>12.5</v>
      </c>
      <c r="AL84" s="645">
        <f t="shared" si="11"/>
        <v>-1000000000</v>
      </c>
      <c r="AM84" s="902">
        <f t="shared" ref="AM84:AS120" si="20">IF(AB84=0,0,1)</f>
        <v>0</v>
      </c>
      <c r="AN84" s="902">
        <f t="shared" si="20"/>
        <v>0</v>
      </c>
      <c r="AO84" s="902">
        <f t="shared" si="20"/>
        <v>0</v>
      </c>
      <c r="AP84" s="902">
        <f t="shared" si="20"/>
        <v>0</v>
      </c>
      <c r="AQ84" s="902">
        <f t="shared" si="20"/>
        <v>0</v>
      </c>
      <c r="AR84" s="902">
        <f t="shared" si="20"/>
        <v>0</v>
      </c>
      <c r="AS84" s="902">
        <f t="shared" si="20"/>
        <v>0</v>
      </c>
      <c r="AT84" s="645">
        <f t="shared" si="18"/>
        <v>0</v>
      </c>
      <c r="AU84" s="880">
        <f t="shared" si="12"/>
        <v>0</v>
      </c>
      <c r="AV84" s="880">
        <f t="shared" ref="AV84:BB120" si="21">AM84*(AB84-S84)^2</f>
        <v>0</v>
      </c>
      <c r="AW84" s="880">
        <f t="shared" si="21"/>
        <v>0</v>
      </c>
      <c r="AX84" s="880">
        <f t="shared" si="21"/>
        <v>0</v>
      </c>
      <c r="AY84" s="880">
        <f t="shared" si="21"/>
        <v>0</v>
      </c>
      <c r="AZ84" s="880">
        <f t="shared" si="21"/>
        <v>0</v>
      </c>
      <c r="BA84" s="880">
        <f t="shared" si="21"/>
        <v>0</v>
      </c>
      <c r="BB84" s="880">
        <f t="shared" si="21"/>
        <v>0</v>
      </c>
      <c r="BC84" s="904">
        <f t="shared" si="19"/>
        <v>0</v>
      </c>
    </row>
    <row r="85" spans="2:55" ht="15" customHeight="1" x14ac:dyDescent="0.25">
      <c r="B85" s="917">
        <f>G17</f>
        <v>4.854166666666667</v>
      </c>
      <c r="C85" s="647">
        <f>$G$5</f>
        <v>116.5</v>
      </c>
      <c r="D85" s="911"/>
      <c r="E85" s="911"/>
      <c r="F85" s="911"/>
      <c r="G85" s="911"/>
      <c r="H85" s="911"/>
      <c r="I85" s="911"/>
      <c r="J85" s="911"/>
      <c r="K85" s="914"/>
      <c r="L85" s="806">
        <f t="shared" si="2"/>
        <v>145</v>
      </c>
      <c r="M85" s="895">
        <f t="shared" si="3"/>
        <v>-1000000</v>
      </c>
      <c r="N85" s="806">
        <f t="shared" si="4"/>
        <v>100</v>
      </c>
      <c r="P85" s="900">
        <f t="shared" si="8"/>
        <v>49</v>
      </c>
      <c r="Q85" s="908">
        <f t="shared" si="9"/>
        <v>96</v>
      </c>
      <c r="R85" s="898">
        <f t="shared" si="17"/>
        <v>27.229418835373739</v>
      </c>
      <c r="S85" s="898">
        <f t="shared" si="17"/>
        <v>21.659971233646068</v>
      </c>
      <c r="T85" s="898">
        <f t="shared" si="17"/>
        <v>20.546081713300538</v>
      </c>
      <c r="U85" s="898">
        <f t="shared" si="17"/>
        <v>18.318302672609466</v>
      </c>
      <c r="V85" s="898">
        <f t="shared" si="17"/>
        <v>17.204413152263935</v>
      </c>
      <c r="W85" s="898">
        <f t="shared" si="17"/>
        <v>14.976634111572865</v>
      </c>
      <c r="X85" s="898">
        <f t="shared" si="17"/>
        <v>12.748855070881822</v>
      </c>
      <c r="Y85" s="898">
        <f t="shared" si="17"/>
        <v>10.521076030190752</v>
      </c>
      <c r="Z85" s="898">
        <f t="shared" si="17"/>
        <v>8.2932969894996855</v>
      </c>
      <c r="AA85" s="900"/>
      <c r="AB85" s="900"/>
      <c r="AC85" s="902"/>
      <c r="AD85" s="902"/>
      <c r="AE85" s="902"/>
      <c r="AF85" s="902"/>
      <c r="AG85" s="902"/>
      <c r="AH85" s="902"/>
      <c r="AI85" s="645"/>
      <c r="AJ85" s="902">
        <f t="shared" si="13"/>
        <v>0</v>
      </c>
      <c r="AK85" s="909">
        <f t="shared" si="10"/>
        <v>12.5</v>
      </c>
      <c r="AL85" s="645">
        <f t="shared" si="11"/>
        <v>-1000000000</v>
      </c>
      <c r="AM85" s="902">
        <f t="shared" si="20"/>
        <v>0</v>
      </c>
      <c r="AN85" s="902">
        <f t="shared" si="20"/>
        <v>0</v>
      </c>
      <c r="AO85" s="902">
        <f t="shared" si="20"/>
        <v>0</v>
      </c>
      <c r="AP85" s="902">
        <f t="shared" si="20"/>
        <v>0</v>
      </c>
      <c r="AQ85" s="902">
        <f t="shared" si="20"/>
        <v>0</v>
      </c>
      <c r="AR85" s="902">
        <f t="shared" si="20"/>
        <v>0</v>
      </c>
      <c r="AS85" s="902">
        <f t="shared" si="20"/>
        <v>0</v>
      </c>
      <c r="AT85" s="645">
        <f t="shared" si="18"/>
        <v>0</v>
      </c>
      <c r="AU85" s="880">
        <f t="shared" si="12"/>
        <v>0</v>
      </c>
      <c r="AV85" s="880">
        <f t="shared" si="21"/>
        <v>0</v>
      </c>
      <c r="AW85" s="880">
        <f t="shared" si="21"/>
        <v>0</v>
      </c>
      <c r="AX85" s="880">
        <f t="shared" si="21"/>
        <v>0</v>
      </c>
      <c r="AY85" s="880">
        <f t="shared" si="21"/>
        <v>0</v>
      </c>
      <c r="AZ85" s="880">
        <f t="shared" si="21"/>
        <v>0</v>
      </c>
      <c r="BA85" s="880">
        <f t="shared" si="21"/>
        <v>0</v>
      </c>
      <c r="BB85" s="880">
        <f t="shared" si="21"/>
        <v>0</v>
      </c>
      <c r="BC85" s="904">
        <f t="shared" si="19"/>
        <v>0</v>
      </c>
    </row>
    <row r="86" spans="2:55" ht="15" customHeight="1" x14ac:dyDescent="0.25">
      <c r="B86" s="917">
        <f>B76+$B$34</f>
        <v>5</v>
      </c>
      <c r="C86" s="910"/>
      <c r="D86" s="911"/>
      <c r="E86" s="911"/>
      <c r="F86" s="911"/>
      <c r="G86" s="911"/>
      <c r="H86" s="911"/>
      <c r="I86" s="860"/>
      <c r="J86" s="860">
        <f>$H$12</f>
        <v>100</v>
      </c>
      <c r="K86" s="914"/>
      <c r="L86" s="806">
        <f t="shared" si="2"/>
        <v>145</v>
      </c>
      <c r="M86" s="895">
        <f t="shared" si="3"/>
        <v>-1000000</v>
      </c>
      <c r="N86" s="806">
        <f t="shared" si="4"/>
        <v>100</v>
      </c>
      <c r="P86" s="900">
        <f t="shared" si="8"/>
        <v>50</v>
      </c>
      <c r="Q86" s="908">
        <f t="shared" si="9"/>
        <v>95</v>
      </c>
      <c r="R86" s="898">
        <f t="shared" si="17"/>
        <v>27.827105270503484</v>
      </c>
      <c r="S86" s="898">
        <f t="shared" si="17"/>
        <v>22.145287088685297</v>
      </c>
      <c r="T86" s="898">
        <f t="shared" si="17"/>
        <v>21.00892345232166</v>
      </c>
      <c r="U86" s="898">
        <f t="shared" si="17"/>
        <v>18.736196179594383</v>
      </c>
      <c r="V86" s="898">
        <f t="shared" si="17"/>
        <v>17.599832543230747</v>
      </c>
      <c r="W86" s="898">
        <f t="shared" si="17"/>
        <v>15.327105270503473</v>
      </c>
      <c r="X86" s="898">
        <f t="shared" si="17"/>
        <v>13.054377997776225</v>
      </c>
      <c r="Y86" s="898">
        <f t="shared" si="17"/>
        <v>10.78165072504895</v>
      </c>
      <c r="Z86" s="898">
        <f t="shared" si="17"/>
        <v>8.5089234523216764</v>
      </c>
      <c r="AA86" s="913">
        <f>B152</f>
        <v>21.25</v>
      </c>
      <c r="AB86" s="900"/>
      <c r="AC86" s="902"/>
      <c r="AD86" s="902"/>
      <c r="AE86" s="902"/>
      <c r="AF86" s="902"/>
      <c r="AG86" s="902"/>
      <c r="AH86" s="902"/>
      <c r="AI86" s="904">
        <f>B100</f>
        <v>8.5</v>
      </c>
      <c r="AJ86" s="902">
        <f t="shared" si="13"/>
        <v>1</v>
      </c>
      <c r="AK86" s="909">
        <f t="shared" si="10"/>
        <v>12.5</v>
      </c>
      <c r="AL86" s="645">
        <f t="shared" si="11"/>
        <v>-1000000000</v>
      </c>
      <c r="AM86" s="902">
        <f t="shared" si="20"/>
        <v>0</v>
      </c>
      <c r="AN86" s="902">
        <f t="shared" si="20"/>
        <v>0</v>
      </c>
      <c r="AO86" s="902">
        <f t="shared" si="20"/>
        <v>0</v>
      </c>
      <c r="AP86" s="902">
        <f t="shared" si="20"/>
        <v>0</v>
      </c>
      <c r="AQ86" s="902">
        <f t="shared" si="20"/>
        <v>0</v>
      </c>
      <c r="AR86" s="902">
        <f t="shared" si="20"/>
        <v>0</v>
      </c>
      <c r="AS86" s="902">
        <f t="shared" si="20"/>
        <v>0</v>
      </c>
      <c r="AT86" s="645">
        <f t="shared" si="18"/>
        <v>1</v>
      </c>
      <c r="AU86" s="880">
        <f t="shared" si="12"/>
        <v>43.258313739284709</v>
      </c>
      <c r="AV86" s="880">
        <f t="shared" si="21"/>
        <v>0</v>
      </c>
      <c r="AW86" s="880">
        <f t="shared" si="21"/>
        <v>0</v>
      </c>
      <c r="AX86" s="880">
        <f t="shared" si="21"/>
        <v>0</v>
      </c>
      <c r="AY86" s="880">
        <f t="shared" si="21"/>
        <v>0</v>
      </c>
      <c r="AZ86" s="880">
        <f t="shared" si="21"/>
        <v>0</v>
      </c>
      <c r="BA86" s="880">
        <f t="shared" si="21"/>
        <v>0</v>
      </c>
      <c r="BB86" s="880">
        <f t="shared" si="21"/>
        <v>0</v>
      </c>
      <c r="BC86" s="904">
        <f t="shared" si="19"/>
        <v>7.9628001337231057E-5</v>
      </c>
    </row>
    <row r="87" spans="2:55" ht="15" customHeight="1" x14ac:dyDescent="0.25">
      <c r="B87" s="674">
        <f>H23</f>
        <v>5.2249999999999996</v>
      </c>
      <c r="C87" s="910"/>
      <c r="D87" s="911"/>
      <c r="E87" s="911"/>
      <c r="F87" s="911"/>
      <c r="G87" s="911"/>
      <c r="H87" s="911"/>
      <c r="I87" s="860">
        <f>$H$11</f>
        <v>104.5</v>
      </c>
      <c r="J87" s="911"/>
      <c r="K87" s="914"/>
      <c r="L87" s="806">
        <f t="shared" si="2"/>
        <v>145</v>
      </c>
      <c r="M87" s="895">
        <f t="shared" si="3"/>
        <v>-1000000</v>
      </c>
      <c r="N87" s="806">
        <f t="shared" si="4"/>
        <v>100</v>
      </c>
      <c r="P87" s="900">
        <f t="shared" si="8"/>
        <v>51</v>
      </c>
      <c r="Q87" s="908">
        <f t="shared" si="9"/>
        <v>94</v>
      </c>
      <c r="R87" s="898">
        <f t="shared" si="17"/>
        <v>28.428015081993873</v>
      </c>
      <c r="S87" s="898">
        <f t="shared" si="17"/>
        <v>22.63387738601568</v>
      </c>
      <c r="T87" s="898">
        <f t="shared" si="17"/>
        <v>21.475049846820042</v>
      </c>
      <c r="U87" s="898">
        <f t="shared" si="17"/>
        <v>19.157394768428766</v>
      </c>
      <c r="V87" s="898">
        <f t="shared" si="17"/>
        <v>17.998567229233124</v>
      </c>
      <c r="W87" s="898">
        <f t="shared" si="17"/>
        <v>15.680912150841849</v>
      </c>
      <c r="X87" s="898">
        <f t="shared" si="17"/>
        <v>13.363257072450597</v>
      </c>
      <c r="Y87" s="898">
        <f t="shared" si="17"/>
        <v>11.04560199405932</v>
      </c>
      <c r="Z87" s="898">
        <f t="shared" si="17"/>
        <v>8.7279469156680438</v>
      </c>
      <c r="AA87" s="900"/>
      <c r="AB87" s="900"/>
      <c r="AC87" s="902"/>
      <c r="AD87" s="902"/>
      <c r="AE87" s="902"/>
      <c r="AF87" s="902"/>
      <c r="AG87" s="902"/>
      <c r="AH87" s="902"/>
      <c r="AI87" s="645"/>
      <c r="AJ87" s="902">
        <f t="shared" si="13"/>
        <v>0</v>
      </c>
      <c r="AK87" s="909">
        <f t="shared" si="10"/>
        <v>12.5</v>
      </c>
      <c r="AL87" s="645">
        <f t="shared" si="11"/>
        <v>-1000000000</v>
      </c>
      <c r="AM87" s="902">
        <f t="shared" si="20"/>
        <v>0</v>
      </c>
      <c r="AN87" s="902">
        <f t="shared" si="20"/>
        <v>0</v>
      </c>
      <c r="AO87" s="902">
        <f t="shared" si="20"/>
        <v>0</v>
      </c>
      <c r="AP87" s="902">
        <f t="shared" si="20"/>
        <v>0</v>
      </c>
      <c r="AQ87" s="902">
        <f t="shared" si="20"/>
        <v>0</v>
      </c>
      <c r="AR87" s="902">
        <f t="shared" si="20"/>
        <v>0</v>
      </c>
      <c r="AS87" s="902">
        <f t="shared" si="20"/>
        <v>0</v>
      </c>
      <c r="AT87" s="645">
        <f t="shared" si="18"/>
        <v>0</v>
      </c>
      <c r="AU87" s="880">
        <f t="shared" si="12"/>
        <v>0</v>
      </c>
      <c r="AV87" s="880">
        <f t="shared" si="21"/>
        <v>0</v>
      </c>
      <c r="AW87" s="880">
        <f t="shared" si="21"/>
        <v>0</v>
      </c>
      <c r="AX87" s="880">
        <f t="shared" si="21"/>
        <v>0</v>
      </c>
      <c r="AY87" s="880">
        <f t="shared" si="21"/>
        <v>0</v>
      </c>
      <c r="AZ87" s="880">
        <f t="shared" si="21"/>
        <v>0</v>
      </c>
      <c r="BA87" s="880">
        <f t="shared" si="21"/>
        <v>0</v>
      </c>
      <c r="BB87" s="880">
        <f t="shared" si="21"/>
        <v>0</v>
      </c>
      <c r="BC87" s="904">
        <f t="shared" si="19"/>
        <v>0</v>
      </c>
    </row>
    <row r="88" spans="2:55" ht="15" customHeight="1" x14ac:dyDescent="0.25">
      <c r="B88" s="674">
        <f>H22</f>
        <v>5.4</v>
      </c>
      <c r="C88" s="910"/>
      <c r="D88" s="911"/>
      <c r="E88" s="911"/>
      <c r="F88" s="911"/>
      <c r="G88" s="911"/>
      <c r="H88" s="860">
        <f>$H$10</f>
        <v>108</v>
      </c>
      <c r="I88" s="911"/>
      <c r="J88" s="911"/>
      <c r="K88" s="914"/>
      <c r="L88" s="806">
        <f t="shared" si="2"/>
        <v>145</v>
      </c>
      <c r="M88" s="895">
        <f t="shared" si="3"/>
        <v>-1000000</v>
      </c>
      <c r="N88" s="806">
        <f t="shared" si="4"/>
        <v>100</v>
      </c>
      <c r="O88" s="652"/>
      <c r="P88" s="900">
        <f t="shared" si="8"/>
        <v>52</v>
      </c>
      <c r="Q88" s="908">
        <f t="shared" si="9"/>
        <v>93</v>
      </c>
      <c r="R88" s="898">
        <f t="shared" si="17"/>
        <v>29.032288613147237</v>
      </c>
      <c r="S88" s="898">
        <f t="shared" si="17"/>
        <v>23.125882434137694</v>
      </c>
      <c r="T88" s="898">
        <f t="shared" si="17"/>
        <v>21.944601198335782</v>
      </c>
      <c r="U88" s="898">
        <f t="shared" si="17"/>
        <v>19.582038726731962</v>
      </c>
      <c r="V88" s="898">
        <f t="shared" si="17"/>
        <v>18.400757490930054</v>
      </c>
      <c r="W88" s="898">
        <f t="shared" si="17"/>
        <v>16.038195019326235</v>
      </c>
      <c r="X88" s="898">
        <f t="shared" si="17"/>
        <v>13.675632547722444</v>
      </c>
      <c r="Y88" s="898">
        <f t="shared" si="17"/>
        <v>11.313070076118626</v>
      </c>
      <c r="Z88" s="898">
        <f t="shared" si="17"/>
        <v>8.9505076045148062</v>
      </c>
      <c r="AA88" s="900"/>
      <c r="AB88" s="915">
        <f>B149</f>
        <v>20.75</v>
      </c>
      <c r="AC88" s="916">
        <f>B148</f>
        <v>20.625</v>
      </c>
      <c r="AD88" s="902"/>
      <c r="AE88" s="902"/>
      <c r="AF88" s="902"/>
      <c r="AG88" s="902"/>
      <c r="AH88" s="902"/>
      <c r="AI88" s="645"/>
      <c r="AJ88" s="902">
        <f t="shared" si="13"/>
        <v>0</v>
      </c>
      <c r="AK88" s="909">
        <f t="shared" si="10"/>
        <v>12.5</v>
      </c>
      <c r="AL88" s="645">
        <f t="shared" si="11"/>
        <v>-1000000000</v>
      </c>
      <c r="AM88" s="902">
        <f t="shared" si="20"/>
        <v>1</v>
      </c>
      <c r="AN88" s="902">
        <f t="shared" si="20"/>
        <v>1</v>
      </c>
      <c r="AO88" s="902">
        <f t="shared" si="20"/>
        <v>0</v>
      </c>
      <c r="AP88" s="902">
        <f t="shared" si="20"/>
        <v>0</v>
      </c>
      <c r="AQ88" s="902">
        <f t="shared" si="20"/>
        <v>0</v>
      </c>
      <c r="AR88" s="902">
        <f t="shared" si="20"/>
        <v>0</v>
      </c>
      <c r="AS88" s="902">
        <f t="shared" si="20"/>
        <v>0</v>
      </c>
      <c r="AT88" s="645">
        <f t="shared" si="18"/>
        <v>0</v>
      </c>
      <c r="AU88" s="880">
        <f t="shared" si="12"/>
        <v>0</v>
      </c>
      <c r="AV88" s="880">
        <f t="shared" si="21"/>
        <v>5.6448173408440523</v>
      </c>
      <c r="AW88" s="880">
        <f t="shared" si="21"/>
        <v>1.741347322649232</v>
      </c>
      <c r="AX88" s="880">
        <f t="shared" si="21"/>
        <v>0</v>
      </c>
      <c r="AY88" s="880">
        <f t="shared" si="21"/>
        <v>0</v>
      </c>
      <c r="AZ88" s="880">
        <f t="shared" si="21"/>
        <v>0</v>
      </c>
      <c r="BA88" s="880">
        <f t="shared" si="21"/>
        <v>0</v>
      </c>
      <c r="BB88" s="880">
        <f t="shared" si="21"/>
        <v>0</v>
      </c>
      <c r="BC88" s="904">
        <f t="shared" si="19"/>
        <v>0</v>
      </c>
    </row>
    <row r="89" spans="2:55" ht="15" customHeight="1" x14ac:dyDescent="0.25">
      <c r="B89" s="674">
        <f>H21</f>
        <v>5.5250000000000004</v>
      </c>
      <c r="C89" s="910"/>
      <c r="D89" s="911"/>
      <c r="E89" s="911"/>
      <c r="F89" s="911"/>
      <c r="G89" s="860">
        <f>$H$9</f>
        <v>110.5</v>
      </c>
      <c r="H89" s="911"/>
      <c r="I89" s="911"/>
      <c r="J89" s="911"/>
      <c r="K89" s="914"/>
      <c r="L89" s="806">
        <f t="shared" si="2"/>
        <v>145</v>
      </c>
      <c r="M89" s="895">
        <f t="shared" si="3"/>
        <v>-1000000</v>
      </c>
      <c r="N89" s="806">
        <f t="shared" si="4"/>
        <v>100</v>
      </c>
      <c r="P89" s="900">
        <f t="shared" si="8"/>
        <v>53</v>
      </c>
      <c r="Q89" s="908">
        <f t="shared" si="9"/>
        <v>92</v>
      </c>
      <c r="R89" s="898">
        <f t="shared" si="17"/>
        <v>29.640071607021198</v>
      </c>
      <c r="S89" s="898">
        <f t="shared" si="17"/>
        <v>23.621447941338705</v>
      </c>
      <c r="T89" s="898">
        <f t="shared" si="17"/>
        <v>22.417723208202204</v>
      </c>
      <c r="U89" s="898">
        <f t="shared" si="17"/>
        <v>20.010273741929208</v>
      </c>
      <c r="V89" s="898">
        <f t="shared" si="17"/>
        <v>18.806549008792711</v>
      </c>
      <c r="W89" s="898">
        <f t="shared" si="17"/>
        <v>16.399099542519711</v>
      </c>
      <c r="X89" s="898">
        <f t="shared" si="17"/>
        <v>13.991650076246739</v>
      </c>
      <c r="Y89" s="898">
        <f t="shared" si="17"/>
        <v>11.584200609973742</v>
      </c>
      <c r="Z89" s="898">
        <f t="shared" si="17"/>
        <v>9.1767511437007432</v>
      </c>
      <c r="AA89" s="900"/>
      <c r="AB89" s="900"/>
      <c r="AC89" s="902"/>
      <c r="AD89" s="902"/>
      <c r="AE89" s="902"/>
      <c r="AF89" s="902"/>
      <c r="AG89" s="916">
        <f>B129</f>
        <v>13.733333333333334</v>
      </c>
      <c r="AH89" s="902"/>
      <c r="AI89" s="645"/>
      <c r="AJ89" s="902">
        <f t="shared" si="13"/>
        <v>0</v>
      </c>
      <c r="AK89" s="909">
        <f t="shared" si="10"/>
        <v>12.5</v>
      </c>
      <c r="AL89" s="645">
        <f t="shared" si="11"/>
        <v>-1000000000</v>
      </c>
      <c r="AM89" s="902">
        <f t="shared" si="20"/>
        <v>0</v>
      </c>
      <c r="AN89" s="902">
        <f t="shared" si="20"/>
        <v>0</v>
      </c>
      <c r="AO89" s="902">
        <f t="shared" si="20"/>
        <v>0</v>
      </c>
      <c r="AP89" s="902">
        <f t="shared" si="20"/>
        <v>0</v>
      </c>
      <c r="AQ89" s="902">
        <f t="shared" si="20"/>
        <v>0</v>
      </c>
      <c r="AR89" s="902">
        <f t="shared" si="20"/>
        <v>1</v>
      </c>
      <c r="AS89" s="902">
        <f t="shared" si="20"/>
        <v>0</v>
      </c>
      <c r="AT89" s="645">
        <f t="shared" si="18"/>
        <v>0</v>
      </c>
      <c r="AU89" s="880">
        <f t="shared" si="12"/>
        <v>0</v>
      </c>
      <c r="AV89" s="880">
        <f t="shared" si="21"/>
        <v>0</v>
      </c>
      <c r="AW89" s="880">
        <f t="shared" si="21"/>
        <v>0</v>
      </c>
      <c r="AX89" s="880">
        <f t="shared" si="21"/>
        <v>0</v>
      </c>
      <c r="AY89" s="880">
        <f t="shared" si="21"/>
        <v>0</v>
      </c>
      <c r="AZ89" s="880">
        <f t="shared" si="21"/>
        <v>0</v>
      </c>
      <c r="BA89" s="880">
        <f t="shared" si="21"/>
        <v>6.6727539669389838E-2</v>
      </c>
      <c r="BB89" s="880">
        <f t="shared" si="21"/>
        <v>0</v>
      </c>
      <c r="BC89" s="904">
        <f t="shared" si="19"/>
        <v>0</v>
      </c>
    </row>
    <row r="90" spans="2:55" ht="15" customHeight="1" x14ac:dyDescent="0.25">
      <c r="B90" s="674">
        <f>H20</f>
        <v>5.55</v>
      </c>
      <c r="C90" s="910"/>
      <c r="D90" s="911"/>
      <c r="E90" s="911"/>
      <c r="F90" s="860">
        <f>$H$8</f>
        <v>111</v>
      </c>
      <c r="G90" s="911"/>
      <c r="H90" s="911"/>
      <c r="I90" s="911"/>
      <c r="J90" s="911"/>
      <c r="K90" s="914"/>
      <c r="L90" s="806">
        <f t="shared" si="2"/>
        <v>145</v>
      </c>
      <c r="M90" s="895">
        <f t="shared" si="3"/>
        <v>-1000000</v>
      </c>
      <c r="N90" s="806">
        <f t="shared" si="4"/>
        <v>100</v>
      </c>
      <c r="O90" s="652"/>
      <c r="P90" s="900">
        <f t="shared" si="8"/>
        <v>54</v>
      </c>
      <c r="Q90" s="908">
        <f t="shared" si="9"/>
        <v>91</v>
      </c>
      <c r="R90" s="898">
        <f t="shared" si="17"/>
        <v>30.251515407561698</v>
      </c>
      <c r="S90" s="898">
        <f t="shared" si="17"/>
        <v>24.120725216825996</v>
      </c>
      <c r="T90" s="898">
        <f t="shared" si="17"/>
        <v>22.894567178678859</v>
      </c>
      <c r="U90" s="898">
        <f t="shared" si="17"/>
        <v>20.442251102384578</v>
      </c>
      <c r="V90" s="898">
        <f t="shared" si="17"/>
        <v>19.216093064237437</v>
      </c>
      <c r="W90" s="898">
        <f t="shared" si="17"/>
        <v>16.76377698794316</v>
      </c>
      <c r="X90" s="898">
        <f t="shared" si="17"/>
        <v>14.311460911648904</v>
      </c>
      <c r="Y90" s="898">
        <f t="shared" si="17"/>
        <v>11.859144835354625</v>
      </c>
      <c r="Z90" s="898">
        <f t="shared" si="17"/>
        <v>9.4068287590603443</v>
      </c>
      <c r="AA90" s="900"/>
      <c r="AB90" s="900"/>
      <c r="AC90" s="902"/>
      <c r="AD90" s="916">
        <f>B147</f>
        <v>20.125</v>
      </c>
      <c r="AE90" s="902"/>
      <c r="AF90" s="902"/>
      <c r="AG90" s="902"/>
      <c r="AH90" s="902"/>
      <c r="AI90" s="645"/>
      <c r="AJ90" s="902">
        <f t="shared" si="13"/>
        <v>0</v>
      </c>
      <c r="AK90" s="909">
        <f t="shared" si="10"/>
        <v>12.5</v>
      </c>
      <c r="AL90" s="645">
        <f t="shared" si="11"/>
        <v>-1000000000</v>
      </c>
      <c r="AM90" s="902">
        <f t="shared" si="20"/>
        <v>0</v>
      </c>
      <c r="AN90" s="902">
        <f t="shared" si="20"/>
        <v>0</v>
      </c>
      <c r="AO90" s="902">
        <f t="shared" si="20"/>
        <v>1</v>
      </c>
      <c r="AP90" s="902">
        <f t="shared" si="20"/>
        <v>0</v>
      </c>
      <c r="AQ90" s="902">
        <f t="shared" si="20"/>
        <v>0</v>
      </c>
      <c r="AR90" s="902">
        <f t="shared" si="20"/>
        <v>0</v>
      </c>
      <c r="AS90" s="902">
        <f t="shared" si="20"/>
        <v>0</v>
      </c>
      <c r="AT90" s="645">
        <f t="shared" si="18"/>
        <v>0</v>
      </c>
      <c r="AU90" s="880">
        <f t="shared" si="12"/>
        <v>0</v>
      </c>
      <c r="AV90" s="880">
        <f t="shared" si="21"/>
        <v>0</v>
      </c>
      <c r="AW90" s="880">
        <f t="shared" si="21"/>
        <v>0</v>
      </c>
      <c r="AX90" s="880">
        <f t="shared" si="21"/>
        <v>0.10064826196422992</v>
      </c>
      <c r="AY90" s="880">
        <f t="shared" si="21"/>
        <v>0</v>
      </c>
      <c r="AZ90" s="880">
        <f t="shared" si="21"/>
        <v>0</v>
      </c>
      <c r="BA90" s="880">
        <f t="shared" si="21"/>
        <v>0</v>
      </c>
      <c r="BB90" s="880">
        <f t="shared" si="21"/>
        <v>0</v>
      </c>
      <c r="BC90" s="904">
        <f t="shared" si="19"/>
        <v>0</v>
      </c>
    </row>
    <row r="91" spans="2:55" ht="15" customHeight="1" x14ac:dyDescent="0.25">
      <c r="B91" s="674">
        <f>H19</f>
        <v>5.6</v>
      </c>
      <c r="C91" s="910"/>
      <c r="D91" s="911"/>
      <c r="E91" s="860">
        <f>$H$7</f>
        <v>112</v>
      </c>
      <c r="F91" s="911"/>
      <c r="G91" s="911"/>
      <c r="H91" s="911"/>
      <c r="I91" s="911"/>
      <c r="J91" s="911"/>
      <c r="K91" s="914"/>
      <c r="L91" s="806">
        <f t="shared" si="2"/>
        <v>145</v>
      </c>
      <c r="M91" s="895">
        <f t="shared" si="3"/>
        <v>-1000000</v>
      </c>
      <c r="N91" s="806">
        <f t="shared" si="4"/>
        <v>100</v>
      </c>
      <c r="O91" s="652"/>
      <c r="P91" s="900">
        <f t="shared" si="8"/>
        <v>55</v>
      </c>
      <c r="Q91" s="908">
        <f t="shared" si="9"/>
        <v>90</v>
      </c>
      <c r="R91" s="898">
        <f t="shared" si="17"/>
        <v>30.866777168050756</v>
      </c>
      <c r="S91" s="898">
        <f t="shared" si="17"/>
        <v>24.623871379174478</v>
      </c>
      <c r="T91" s="898">
        <f t="shared" si="17"/>
        <v>23.375290221399219</v>
      </c>
      <c r="U91" s="898">
        <f t="shared" si="17"/>
        <v>20.878127905848704</v>
      </c>
      <c r="V91" s="898">
        <f t="shared" si="17"/>
        <v>19.629546748073448</v>
      </c>
      <c r="W91" s="898">
        <f t="shared" si="17"/>
        <v>17.132384432522937</v>
      </c>
      <c r="X91" s="898">
        <f t="shared" si="17"/>
        <v>14.63522211697245</v>
      </c>
      <c r="Y91" s="898">
        <f t="shared" si="17"/>
        <v>12.138059801421937</v>
      </c>
      <c r="Z91" s="898">
        <f t="shared" si="17"/>
        <v>9.6408974858714256</v>
      </c>
      <c r="AA91" s="900"/>
      <c r="AB91" s="900"/>
      <c r="AC91" s="902"/>
      <c r="AD91" s="902"/>
      <c r="AE91" s="916">
        <f>B145</f>
        <v>19.875</v>
      </c>
      <c r="AF91" s="902"/>
      <c r="AG91" s="902"/>
      <c r="AH91" s="902"/>
      <c r="AI91" s="919">
        <f>B111</f>
        <v>10</v>
      </c>
      <c r="AJ91" s="902">
        <f t="shared" si="13"/>
        <v>0</v>
      </c>
      <c r="AK91" s="909">
        <f t="shared" si="10"/>
        <v>12.5</v>
      </c>
      <c r="AL91" s="645">
        <f t="shared" si="11"/>
        <v>-1000000000</v>
      </c>
      <c r="AM91" s="902">
        <f t="shared" si="20"/>
        <v>0</v>
      </c>
      <c r="AN91" s="902">
        <f t="shared" si="20"/>
        <v>0</v>
      </c>
      <c r="AO91" s="902">
        <f t="shared" si="20"/>
        <v>0</v>
      </c>
      <c r="AP91" s="902">
        <f t="shared" si="20"/>
        <v>1</v>
      </c>
      <c r="AQ91" s="902">
        <f t="shared" si="20"/>
        <v>0</v>
      </c>
      <c r="AR91" s="902">
        <f t="shared" si="20"/>
        <v>0</v>
      </c>
      <c r="AS91" s="902">
        <f t="shared" si="20"/>
        <v>0</v>
      </c>
      <c r="AT91" s="645">
        <f t="shared" si="18"/>
        <v>1</v>
      </c>
      <c r="AU91" s="880">
        <f t="shared" si="12"/>
        <v>0</v>
      </c>
      <c r="AV91" s="880">
        <f t="shared" si="21"/>
        <v>0</v>
      </c>
      <c r="AW91" s="880">
        <f t="shared" si="21"/>
        <v>0</v>
      </c>
      <c r="AX91" s="880">
        <f t="shared" si="21"/>
        <v>0</v>
      </c>
      <c r="AY91" s="880">
        <f t="shared" si="21"/>
        <v>6.0247298881319397E-2</v>
      </c>
      <c r="AZ91" s="880">
        <f t="shared" si="21"/>
        <v>0</v>
      </c>
      <c r="BA91" s="880">
        <f t="shared" si="21"/>
        <v>0</v>
      </c>
      <c r="BB91" s="880">
        <f t="shared" si="21"/>
        <v>0</v>
      </c>
      <c r="BC91" s="904">
        <f t="shared" si="19"/>
        <v>0.12895461565346297</v>
      </c>
    </row>
    <row r="92" spans="2:55" ht="15" customHeight="1" x14ac:dyDescent="0.25">
      <c r="B92" s="674">
        <f>H18</f>
        <v>5.625</v>
      </c>
      <c r="C92" s="910"/>
      <c r="D92" s="860">
        <f>$H$6</f>
        <v>112.5</v>
      </c>
      <c r="E92" s="860"/>
      <c r="F92" s="911"/>
      <c r="G92" s="911"/>
      <c r="H92" s="911"/>
      <c r="I92" s="911"/>
      <c r="J92" s="911"/>
      <c r="K92" s="914"/>
      <c r="L92" s="806">
        <f t="shared" si="2"/>
        <v>145</v>
      </c>
      <c r="M92" s="895">
        <f t="shared" si="3"/>
        <v>-1000000</v>
      </c>
      <c r="N92" s="806">
        <f t="shared" si="4"/>
        <v>100</v>
      </c>
      <c r="O92" s="652"/>
      <c r="P92" s="900">
        <f t="shared" si="8"/>
        <v>56</v>
      </c>
      <c r="Q92" s="908">
        <f t="shared" si="9"/>
        <v>89</v>
      </c>
      <c r="R92" s="898">
        <f t="shared" si="17"/>
        <v>31.486020067129985</v>
      </c>
      <c r="S92" s="898">
        <f t="shared" si="17"/>
        <v>25.131049572350136</v>
      </c>
      <c r="T92" s="898">
        <f t="shared" si="17"/>
        <v>23.860055473394166</v>
      </c>
      <c r="U92" s="898">
        <f t="shared" si="17"/>
        <v>21.318067275482225</v>
      </c>
      <c r="V92" s="898">
        <f t="shared" si="17"/>
        <v>20.047073176526254</v>
      </c>
      <c r="W92" s="898">
        <f t="shared" si="17"/>
        <v>17.505084978614313</v>
      </c>
      <c r="X92" s="898">
        <f t="shared" si="17"/>
        <v>14.963096780702401</v>
      </c>
      <c r="Y92" s="898">
        <f t="shared" si="17"/>
        <v>12.42110858279046</v>
      </c>
      <c r="Z92" s="898">
        <f t="shared" si="17"/>
        <v>9.8791203848785205</v>
      </c>
      <c r="AA92" s="913">
        <f>B164</f>
        <v>26.166666666666668</v>
      </c>
      <c r="AB92" s="900"/>
      <c r="AC92" s="902"/>
      <c r="AD92" s="902"/>
      <c r="AE92" s="902"/>
      <c r="AF92" s="902"/>
      <c r="AG92" s="902"/>
      <c r="AH92" s="916">
        <f>B128</f>
        <v>13.083333333333334</v>
      </c>
      <c r="AI92" s="645"/>
      <c r="AJ92" s="902">
        <f t="shared" si="13"/>
        <v>1</v>
      </c>
      <c r="AK92" s="909">
        <f t="shared" si="10"/>
        <v>12.5</v>
      </c>
      <c r="AL92" s="645">
        <f t="shared" si="11"/>
        <v>-1000000000</v>
      </c>
      <c r="AM92" s="902">
        <f t="shared" si="20"/>
        <v>0</v>
      </c>
      <c r="AN92" s="902">
        <f t="shared" si="20"/>
        <v>0</v>
      </c>
      <c r="AO92" s="902">
        <f t="shared" si="20"/>
        <v>0</v>
      </c>
      <c r="AP92" s="902">
        <f t="shared" si="20"/>
        <v>0</v>
      </c>
      <c r="AQ92" s="902">
        <f t="shared" si="20"/>
        <v>0</v>
      </c>
      <c r="AR92" s="902">
        <f t="shared" si="20"/>
        <v>0</v>
      </c>
      <c r="AS92" s="902">
        <f t="shared" si="20"/>
        <v>1</v>
      </c>
      <c r="AT92" s="645">
        <f t="shared" si="18"/>
        <v>0</v>
      </c>
      <c r="AU92" s="880">
        <f t="shared" si="12"/>
        <v>28.295520599020655</v>
      </c>
      <c r="AV92" s="880">
        <f t="shared" si="21"/>
        <v>0</v>
      </c>
      <c r="AW92" s="880">
        <f t="shared" si="21"/>
        <v>0</v>
      </c>
      <c r="AX92" s="880">
        <f t="shared" si="21"/>
        <v>0</v>
      </c>
      <c r="AY92" s="880">
        <f t="shared" si="21"/>
        <v>0</v>
      </c>
      <c r="AZ92" s="880">
        <f t="shared" si="21"/>
        <v>0</v>
      </c>
      <c r="BA92" s="880">
        <f t="shared" si="21"/>
        <v>0</v>
      </c>
      <c r="BB92" s="880">
        <f t="shared" si="21"/>
        <v>0.438541620231572</v>
      </c>
      <c r="BC92" s="904">
        <f t="shared" si="19"/>
        <v>0</v>
      </c>
    </row>
    <row r="93" spans="2:55" ht="15" customHeight="1" x14ac:dyDescent="0.25">
      <c r="B93" s="917">
        <f>H17</f>
        <v>5.7249999999999996</v>
      </c>
      <c r="C93" s="647">
        <f>$H$5</f>
        <v>114.5</v>
      </c>
      <c r="D93" s="911"/>
      <c r="E93" s="911"/>
      <c r="F93" s="860"/>
      <c r="G93" s="860"/>
      <c r="H93" s="860"/>
      <c r="I93" s="911"/>
      <c r="J93" s="911"/>
      <c r="K93" s="914"/>
      <c r="L93" s="806">
        <f t="shared" si="2"/>
        <v>145</v>
      </c>
      <c r="M93" s="895">
        <f t="shared" si="3"/>
        <v>-1000000</v>
      </c>
      <c r="N93" s="806">
        <f t="shared" si="4"/>
        <v>100</v>
      </c>
      <c r="O93" s="652"/>
      <c r="P93" s="900">
        <f t="shared" si="8"/>
        <v>57</v>
      </c>
      <c r="Q93" s="908">
        <f t="shared" si="9"/>
        <v>88</v>
      </c>
      <c r="R93" s="898">
        <f t="shared" si="17"/>
        <v>32.109413532670551</v>
      </c>
      <c r="S93" s="898">
        <f t="shared" si="17"/>
        <v>25.642429189580014</v>
      </c>
      <c r="T93" s="898">
        <f t="shared" si="17"/>
        <v>24.349032320961904</v>
      </c>
      <c r="U93" s="898">
        <f t="shared" si="17"/>
        <v>21.762238583725683</v>
      </c>
      <c r="V93" s="898">
        <f t="shared" si="17"/>
        <v>20.468841715107576</v>
      </c>
      <c r="W93" s="898">
        <f t="shared" si="17"/>
        <v>17.882047977871359</v>
      </c>
      <c r="X93" s="898">
        <f t="shared" si="17"/>
        <v>15.295254240635172</v>
      </c>
      <c r="Y93" s="898">
        <f t="shared" si="17"/>
        <v>12.708460503398953</v>
      </c>
      <c r="Z93" s="898">
        <f t="shared" si="17"/>
        <v>10.121666766162738</v>
      </c>
      <c r="AA93" s="900"/>
      <c r="AB93" s="900"/>
      <c r="AC93" s="902"/>
      <c r="AD93" s="902"/>
      <c r="AE93" s="902"/>
      <c r="AF93" s="902"/>
      <c r="AG93" s="902"/>
      <c r="AH93" s="902"/>
      <c r="AI93" s="645"/>
      <c r="AJ93" s="902">
        <f t="shared" si="13"/>
        <v>0</v>
      </c>
      <c r="AK93" s="909">
        <f t="shared" si="10"/>
        <v>12.5</v>
      </c>
      <c r="AL93" s="645">
        <f t="shared" si="11"/>
        <v>-1000000000</v>
      </c>
      <c r="AM93" s="902">
        <f t="shared" si="20"/>
        <v>0</v>
      </c>
      <c r="AN93" s="902">
        <f t="shared" si="20"/>
        <v>0</v>
      </c>
      <c r="AO93" s="902">
        <f t="shared" si="20"/>
        <v>0</v>
      </c>
      <c r="AP93" s="902">
        <f t="shared" si="20"/>
        <v>0</v>
      </c>
      <c r="AQ93" s="902">
        <f t="shared" si="20"/>
        <v>0</v>
      </c>
      <c r="AR93" s="902">
        <f t="shared" si="20"/>
        <v>0</v>
      </c>
      <c r="AS93" s="902">
        <f t="shared" si="20"/>
        <v>0</v>
      </c>
      <c r="AT93" s="645">
        <f t="shared" si="18"/>
        <v>0</v>
      </c>
      <c r="AU93" s="880">
        <f t="shared" si="12"/>
        <v>0</v>
      </c>
      <c r="AV93" s="880">
        <f t="shared" si="21"/>
        <v>0</v>
      </c>
      <c r="AW93" s="880">
        <f t="shared" si="21"/>
        <v>0</v>
      </c>
      <c r="AX93" s="880">
        <f t="shared" si="21"/>
        <v>0</v>
      </c>
      <c r="AY93" s="880">
        <f t="shared" si="21"/>
        <v>0</v>
      </c>
      <c r="AZ93" s="880">
        <f t="shared" si="21"/>
        <v>0</v>
      </c>
      <c r="BA93" s="880">
        <f t="shared" si="21"/>
        <v>0</v>
      </c>
      <c r="BB93" s="880">
        <f t="shared" si="21"/>
        <v>0</v>
      </c>
      <c r="BC93" s="904">
        <f t="shared" si="19"/>
        <v>0</v>
      </c>
    </row>
    <row r="94" spans="2:55" ht="15" customHeight="1" x14ac:dyDescent="0.25">
      <c r="B94" s="917">
        <f>B86+$B$34</f>
        <v>6</v>
      </c>
      <c r="C94" s="910"/>
      <c r="D94" s="911"/>
      <c r="E94" s="860"/>
      <c r="F94" s="860"/>
      <c r="G94" s="860"/>
      <c r="H94" s="860"/>
      <c r="I94" s="911"/>
      <c r="J94" s="911"/>
      <c r="K94" s="914"/>
      <c r="L94" s="806">
        <f t="shared" si="2"/>
        <v>145</v>
      </c>
      <c r="M94" s="895">
        <f t="shared" si="3"/>
        <v>-1000000</v>
      </c>
      <c r="N94" s="806">
        <f t="shared" si="4"/>
        <v>100</v>
      </c>
      <c r="P94" s="900">
        <f t="shared" si="8"/>
        <v>58</v>
      </c>
      <c r="Q94" s="908">
        <f t="shared" si="9"/>
        <v>87</v>
      </c>
      <c r="R94" s="898">
        <f t="shared" si="17"/>
        <v>32.737133473769504</v>
      </c>
      <c r="S94" s="898">
        <f t="shared" si="17"/>
        <v>26.158186105348445</v>
      </c>
      <c r="T94" s="898">
        <f t="shared" si="17"/>
        <v>24.842396631664236</v>
      </c>
      <c r="U94" s="898">
        <f t="shared" si="17"/>
        <v>22.210817684295815</v>
      </c>
      <c r="V94" s="898">
        <f t="shared" si="17"/>
        <v>20.895028210611599</v>
      </c>
      <c r="W94" s="898">
        <f t="shared" si="17"/>
        <v>18.263449263243178</v>
      </c>
      <c r="X94" s="898">
        <f t="shared" si="17"/>
        <v>15.631870315874783</v>
      </c>
      <c r="Y94" s="898">
        <f t="shared" si="17"/>
        <v>13.00029136850636</v>
      </c>
      <c r="Z94" s="898">
        <f t="shared" si="17"/>
        <v>10.368712421137937</v>
      </c>
      <c r="AA94" s="900"/>
      <c r="AB94" s="915">
        <f>B162</f>
        <v>25.5</v>
      </c>
      <c r="AC94" s="902"/>
      <c r="AD94" s="902"/>
      <c r="AE94" s="902"/>
      <c r="AF94" s="916">
        <f>B143</f>
        <v>19.25</v>
      </c>
      <c r="AG94" s="902"/>
      <c r="AH94" s="902"/>
      <c r="AI94" s="645"/>
      <c r="AJ94" s="902">
        <f t="shared" si="13"/>
        <v>0</v>
      </c>
      <c r="AK94" s="909">
        <f t="shared" si="10"/>
        <v>12.5</v>
      </c>
      <c r="AL94" s="645">
        <f t="shared" si="11"/>
        <v>-1000000000</v>
      </c>
      <c r="AM94" s="902">
        <f t="shared" si="20"/>
        <v>1</v>
      </c>
      <c r="AN94" s="902">
        <f t="shared" si="20"/>
        <v>0</v>
      </c>
      <c r="AO94" s="902">
        <f t="shared" si="20"/>
        <v>0</v>
      </c>
      <c r="AP94" s="902">
        <f t="shared" si="20"/>
        <v>0</v>
      </c>
      <c r="AQ94" s="902">
        <f t="shared" si="20"/>
        <v>1</v>
      </c>
      <c r="AR94" s="902">
        <f t="shared" si="20"/>
        <v>0</v>
      </c>
      <c r="AS94" s="902">
        <f t="shared" si="20"/>
        <v>0</v>
      </c>
      <c r="AT94" s="645">
        <f t="shared" si="18"/>
        <v>0</v>
      </c>
      <c r="AU94" s="880">
        <f t="shared" si="12"/>
        <v>0</v>
      </c>
      <c r="AV94" s="880">
        <f t="shared" si="21"/>
        <v>0.43320894927375464</v>
      </c>
      <c r="AW94" s="880">
        <f t="shared" si="21"/>
        <v>0</v>
      </c>
      <c r="AX94" s="880">
        <f t="shared" si="21"/>
        <v>0</v>
      </c>
      <c r="AY94" s="880">
        <f t="shared" si="21"/>
        <v>0</v>
      </c>
      <c r="AZ94" s="880">
        <f t="shared" si="21"/>
        <v>0.97328235619542836</v>
      </c>
      <c r="BA94" s="880">
        <f t="shared" si="21"/>
        <v>0</v>
      </c>
      <c r="BB94" s="880">
        <f t="shared" si="21"/>
        <v>0</v>
      </c>
      <c r="BC94" s="904">
        <f t="shared" si="19"/>
        <v>0</v>
      </c>
    </row>
    <row r="95" spans="2:55" ht="15" customHeight="1" x14ac:dyDescent="0.25">
      <c r="B95" s="917">
        <f>B94+$B$34</f>
        <v>7</v>
      </c>
      <c r="C95" s="910"/>
      <c r="D95" s="911"/>
      <c r="E95" s="911"/>
      <c r="F95" s="911"/>
      <c r="G95" s="911"/>
      <c r="H95" s="911"/>
      <c r="I95" s="911"/>
      <c r="J95" s="911"/>
      <c r="K95" s="914"/>
      <c r="L95" s="806">
        <f t="shared" si="2"/>
        <v>145</v>
      </c>
      <c r="M95" s="895">
        <f t="shared" si="3"/>
        <v>-1000000</v>
      </c>
      <c r="N95" s="806">
        <f t="shared" si="4"/>
        <v>100</v>
      </c>
      <c r="P95" s="900">
        <f t="shared" si="8"/>
        <v>59</v>
      </c>
      <c r="Q95" s="908">
        <f t="shared" si="9"/>
        <v>86</v>
      </c>
      <c r="R95" s="898">
        <f t="shared" si="17"/>
        <v>33.36936252116233</v>
      </c>
      <c r="S95" s="898">
        <f t="shared" si="17"/>
        <v>26.678502915809638</v>
      </c>
      <c r="T95" s="898">
        <f t="shared" si="17"/>
        <v>25.340330994739102</v>
      </c>
      <c r="U95" s="898">
        <f t="shared" si="17"/>
        <v>22.663987152598022</v>
      </c>
      <c r="V95" s="898">
        <f t="shared" si="17"/>
        <v>21.325815231527486</v>
      </c>
      <c r="W95" s="898">
        <f t="shared" si="17"/>
        <v>18.649471389386409</v>
      </c>
      <c r="X95" s="898">
        <f t="shared" si="17"/>
        <v>15.973127547245362</v>
      </c>
      <c r="Y95" s="898">
        <f t="shared" si="17"/>
        <v>13.296783705104284</v>
      </c>
      <c r="Z95" s="898">
        <f t="shared" si="17"/>
        <v>10.620439862963204</v>
      </c>
      <c r="AA95" s="900"/>
      <c r="AB95" s="900"/>
      <c r="AC95" s="916">
        <f>B161</f>
        <v>25.333333333333332</v>
      </c>
      <c r="AD95" s="902"/>
      <c r="AE95" s="902"/>
      <c r="AF95" s="902"/>
      <c r="AG95" s="902"/>
      <c r="AH95" s="902"/>
      <c r="AI95" s="645"/>
      <c r="AJ95" s="902">
        <f t="shared" si="13"/>
        <v>0</v>
      </c>
      <c r="AK95" s="909">
        <f t="shared" si="10"/>
        <v>12.5</v>
      </c>
      <c r="AL95" s="645">
        <f t="shared" si="11"/>
        <v>-1000000000</v>
      </c>
      <c r="AM95" s="902">
        <f t="shared" si="20"/>
        <v>0</v>
      </c>
      <c r="AN95" s="902">
        <f t="shared" si="20"/>
        <v>1</v>
      </c>
      <c r="AO95" s="902">
        <f t="shared" si="20"/>
        <v>0</v>
      </c>
      <c r="AP95" s="902">
        <f t="shared" si="20"/>
        <v>0</v>
      </c>
      <c r="AQ95" s="902">
        <f t="shared" si="20"/>
        <v>0</v>
      </c>
      <c r="AR95" s="902">
        <f t="shared" si="20"/>
        <v>0</v>
      </c>
      <c r="AS95" s="902">
        <f t="shared" si="20"/>
        <v>0</v>
      </c>
      <c r="AT95" s="645">
        <f t="shared" si="18"/>
        <v>0</v>
      </c>
      <c r="AU95" s="880">
        <f t="shared" si="12"/>
        <v>0</v>
      </c>
      <c r="AV95" s="880">
        <f t="shared" si="21"/>
        <v>0</v>
      </c>
      <c r="AW95" s="880">
        <f t="shared" si="21"/>
        <v>4.8967265149794665E-5</v>
      </c>
      <c r="AX95" s="880">
        <f t="shared" si="21"/>
        <v>0</v>
      </c>
      <c r="AY95" s="880">
        <f t="shared" si="21"/>
        <v>0</v>
      </c>
      <c r="AZ95" s="880">
        <f t="shared" si="21"/>
        <v>0</v>
      </c>
      <c r="BA95" s="880">
        <f t="shared" si="21"/>
        <v>0</v>
      </c>
      <c r="BB95" s="880">
        <f t="shared" si="21"/>
        <v>0</v>
      </c>
      <c r="BC95" s="904">
        <f t="shared" si="19"/>
        <v>0</v>
      </c>
    </row>
    <row r="96" spans="2:55" ht="15" customHeight="1" x14ac:dyDescent="0.25">
      <c r="B96" s="674">
        <f>I25</f>
        <v>7.541666666666667</v>
      </c>
      <c r="C96" s="910"/>
      <c r="D96" s="911"/>
      <c r="E96" s="911"/>
      <c r="F96" s="911"/>
      <c r="G96" s="911"/>
      <c r="H96" s="911"/>
      <c r="I96" s="911"/>
      <c r="J96" s="911"/>
      <c r="K96" s="912">
        <f>$I$13</f>
        <v>90.5</v>
      </c>
      <c r="L96" s="806">
        <f t="shared" si="2"/>
        <v>145</v>
      </c>
      <c r="M96" s="895">
        <f t="shared" si="3"/>
        <v>-1000000</v>
      </c>
      <c r="N96" s="806">
        <f t="shared" si="4"/>
        <v>100</v>
      </c>
      <c r="P96" s="900">
        <f t="shared" si="8"/>
        <v>60</v>
      </c>
      <c r="Q96" s="908">
        <f t="shared" si="9"/>
        <v>85</v>
      </c>
      <c r="R96" s="898">
        <f t="shared" ref="R96:Z115" si="22">($G$26-$Q96)*(($C$31+$L$33-R$34)-($L$33/$P$32)*(1-EXP(-$Q96/$G$27)))/($T$32-$Q96*$I$29)</f>
        <v>34.006290276351919</v>
      </c>
      <c r="S96" s="898">
        <f t="shared" si="22"/>
        <v>27.203569187916539</v>
      </c>
      <c r="T96" s="898">
        <f t="shared" si="22"/>
        <v>25.843024970229465</v>
      </c>
      <c r="U96" s="898">
        <f t="shared" si="22"/>
        <v>23.121936534855308</v>
      </c>
      <c r="V96" s="898">
        <f t="shared" si="22"/>
        <v>21.761392317168237</v>
      </c>
      <c r="W96" s="898">
        <f t="shared" si="22"/>
        <v>19.040303881794085</v>
      </c>
      <c r="X96" s="898">
        <f t="shared" si="22"/>
        <v>16.31921544641996</v>
      </c>
      <c r="Y96" s="898">
        <f t="shared" si="22"/>
        <v>13.598127011045809</v>
      </c>
      <c r="Z96" s="898">
        <f t="shared" si="22"/>
        <v>10.877038575671657</v>
      </c>
      <c r="AA96" s="900"/>
      <c r="AB96" s="900"/>
      <c r="AC96" s="902"/>
      <c r="AD96" s="902"/>
      <c r="AE96" s="902"/>
      <c r="AF96" s="902"/>
      <c r="AG96" s="902"/>
      <c r="AH96" s="902"/>
      <c r="AI96" s="645"/>
      <c r="AJ96" s="902">
        <f t="shared" si="13"/>
        <v>0</v>
      </c>
      <c r="AK96" s="909">
        <f t="shared" si="10"/>
        <v>12.5</v>
      </c>
      <c r="AL96" s="645">
        <f t="shared" si="11"/>
        <v>-1000000000</v>
      </c>
      <c r="AM96" s="902">
        <f t="shared" si="20"/>
        <v>0</v>
      </c>
      <c r="AN96" s="902">
        <f t="shared" si="20"/>
        <v>0</v>
      </c>
      <c r="AO96" s="902">
        <f t="shared" si="20"/>
        <v>0</v>
      </c>
      <c r="AP96" s="902">
        <f t="shared" si="20"/>
        <v>0</v>
      </c>
      <c r="AQ96" s="902">
        <f t="shared" si="20"/>
        <v>0</v>
      </c>
      <c r="AR96" s="902">
        <f t="shared" si="20"/>
        <v>0</v>
      </c>
      <c r="AS96" s="902">
        <f t="shared" si="20"/>
        <v>0</v>
      </c>
      <c r="AT96" s="645">
        <f t="shared" si="18"/>
        <v>0</v>
      </c>
      <c r="AU96" s="880">
        <f t="shared" si="12"/>
        <v>0</v>
      </c>
      <c r="AV96" s="880">
        <f t="shared" si="21"/>
        <v>0</v>
      </c>
      <c r="AW96" s="880">
        <f t="shared" si="21"/>
        <v>0</v>
      </c>
      <c r="AX96" s="880">
        <f t="shared" si="21"/>
        <v>0</v>
      </c>
      <c r="AY96" s="880">
        <f t="shared" si="21"/>
        <v>0</v>
      </c>
      <c r="AZ96" s="880">
        <f t="shared" si="21"/>
        <v>0</v>
      </c>
      <c r="BA96" s="880">
        <f t="shared" si="21"/>
        <v>0</v>
      </c>
      <c r="BB96" s="880">
        <f t="shared" si="21"/>
        <v>0</v>
      </c>
      <c r="BC96" s="904">
        <f t="shared" si="19"/>
        <v>0</v>
      </c>
    </row>
    <row r="97" spans="2:55" ht="15" customHeight="1" x14ac:dyDescent="0.25">
      <c r="B97" s="674">
        <f>I24</f>
        <v>7.916666666666667</v>
      </c>
      <c r="C97" s="910"/>
      <c r="D97" s="911"/>
      <c r="E97" s="911"/>
      <c r="F97" s="911"/>
      <c r="G97" s="911"/>
      <c r="H97" s="911"/>
      <c r="I97" s="911"/>
      <c r="J97" s="860">
        <f>$I$12</f>
        <v>95</v>
      </c>
      <c r="K97" s="914"/>
      <c r="L97" s="806">
        <f t="shared" si="2"/>
        <v>145</v>
      </c>
      <c r="M97" s="895">
        <f t="shared" si="3"/>
        <v>-1000000</v>
      </c>
      <c r="N97" s="806">
        <f t="shared" si="4"/>
        <v>100</v>
      </c>
      <c r="P97" s="900">
        <f t="shared" si="8"/>
        <v>61</v>
      </c>
      <c r="Q97" s="908">
        <f t="shared" si="9"/>
        <v>84</v>
      </c>
      <c r="R97" s="898">
        <f t="shared" si="22"/>
        <v>34.648113569764412</v>
      </c>
      <c r="S97" s="898">
        <f t="shared" si="22"/>
        <v>27.733581717576698</v>
      </c>
      <c r="T97" s="898">
        <f t="shared" si="22"/>
        <v>26.350675347139155</v>
      </c>
      <c r="U97" s="898">
        <f t="shared" si="22"/>
        <v>23.584862606264064</v>
      </c>
      <c r="V97" s="898">
        <f t="shared" si="22"/>
        <v>22.201956235826522</v>
      </c>
      <c r="W97" s="898">
        <f t="shared" si="22"/>
        <v>19.436143494951434</v>
      </c>
      <c r="X97" s="898">
        <f t="shared" si="22"/>
        <v>16.670330754076378</v>
      </c>
      <c r="Y97" s="898">
        <f t="shared" si="22"/>
        <v>13.90451801320129</v>
      </c>
      <c r="Z97" s="898">
        <f t="shared" si="22"/>
        <v>11.138705272326204</v>
      </c>
      <c r="AA97" s="900"/>
      <c r="AB97" s="900"/>
      <c r="AC97" s="902"/>
      <c r="AD97" s="916">
        <f>B159</f>
        <v>24.666666666666668</v>
      </c>
      <c r="AE97" s="902"/>
      <c r="AF97" s="902"/>
      <c r="AG97" s="902"/>
      <c r="AH97" s="902"/>
      <c r="AI97" s="645"/>
      <c r="AJ97" s="902">
        <f t="shared" si="13"/>
        <v>0</v>
      </c>
      <c r="AK97" s="909">
        <f t="shared" si="10"/>
        <v>12.5</v>
      </c>
      <c r="AL97" s="645">
        <f t="shared" si="11"/>
        <v>-1000000000</v>
      </c>
      <c r="AM97" s="902">
        <f t="shared" si="20"/>
        <v>0</v>
      </c>
      <c r="AN97" s="902">
        <f t="shared" si="20"/>
        <v>0</v>
      </c>
      <c r="AO97" s="902">
        <f t="shared" si="20"/>
        <v>1</v>
      </c>
      <c r="AP97" s="902">
        <f t="shared" si="20"/>
        <v>0</v>
      </c>
      <c r="AQ97" s="902">
        <f t="shared" si="20"/>
        <v>0</v>
      </c>
      <c r="AR97" s="902">
        <f t="shared" si="20"/>
        <v>0</v>
      </c>
      <c r="AS97" s="902">
        <f t="shared" si="20"/>
        <v>0</v>
      </c>
      <c r="AT97" s="645">
        <f t="shared" si="18"/>
        <v>0</v>
      </c>
      <c r="AU97" s="880">
        <f t="shared" si="12"/>
        <v>0</v>
      </c>
      <c r="AV97" s="880">
        <f t="shared" si="21"/>
        <v>0</v>
      </c>
      <c r="AW97" s="880">
        <f t="shared" si="21"/>
        <v>0</v>
      </c>
      <c r="AX97" s="880">
        <f t="shared" si="21"/>
        <v>1.1703000251035605</v>
      </c>
      <c r="AY97" s="880">
        <f t="shared" si="21"/>
        <v>0</v>
      </c>
      <c r="AZ97" s="880">
        <f t="shared" si="21"/>
        <v>0</v>
      </c>
      <c r="BA97" s="880">
        <f t="shared" si="21"/>
        <v>0</v>
      </c>
      <c r="BB97" s="880">
        <f t="shared" si="21"/>
        <v>0</v>
      </c>
      <c r="BC97" s="904">
        <f t="shared" si="19"/>
        <v>0</v>
      </c>
    </row>
    <row r="98" spans="2:55" ht="15" customHeight="1" x14ac:dyDescent="0.25">
      <c r="B98" s="917">
        <f>B95+$B$34</f>
        <v>8</v>
      </c>
      <c r="C98" s="920"/>
      <c r="D98" s="921"/>
      <c r="E98" s="911"/>
      <c r="F98" s="911"/>
      <c r="G98" s="911"/>
      <c r="H98" s="911"/>
      <c r="I98" s="911"/>
      <c r="J98" s="911"/>
      <c r="K98" s="914"/>
      <c r="L98" s="806">
        <f t="shared" si="2"/>
        <v>145</v>
      </c>
      <c r="M98" s="895">
        <f t="shared" si="3"/>
        <v>-1000000</v>
      </c>
      <c r="N98" s="806">
        <f t="shared" si="4"/>
        <v>100</v>
      </c>
      <c r="P98" s="900">
        <f t="shared" si="8"/>
        <v>62</v>
      </c>
      <c r="Q98" s="908">
        <f t="shared" si="9"/>
        <v>83</v>
      </c>
      <c r="R98" s="898">
        <f t="shared" si="22"/>
        <v>35.295036728253685</v>
      </c>
      <c r="S98" s="898">
        <f t="shared" si="22"/>
        <v>28.268744797156671</v>
      </c>
      <c r="T98" s="898">
        <f t="shared" si="22"/>
        <v>26.86348641093727</v>
      </c>
      <c r="U98" s="898">
        <f t="shared" si="22"/>
        <v>24.052969638498464</v>
      </c>
      <c r="V98" s="898">
        <f t="shared" si="22"/>
        <v>22.647711252279063</v>
      </c>
      <c r="W98" s="898">
        <f t="shared" si="22"/>
        <v>19.837194479840257</v>
      </c>
      <c r="X98" s="898">
        <f t="shared" si="22"/>
        <v>17.026677707401479</v>
      </c>
      <c r="Y98" s="898">
        <f t="shared" si="22"/>
        <v>14.216160934962677</v>
      </c>
      <c r="Z98" s="898">
        <f t="shared" si="22"/>
        <v>11.405644162523869</v>
      </c>
      <c r="AA98" s="900"/>
      <c r="AB98" s="900"/>
      <c r="AC98" s="902"/>
      <c r="AD98" s="902"/>
      <c r="AE98" s="916">
        <f>B157</f>
        <v>24.333333333333332</v>
      </c>
      <c r="AF98" s="902"/>
      <c r="AG98" s="916">
        <f>B141</f>
        <v>18.25</v>
      </c>
      <c r="AH98" s="902"/>
      <c r="AI98" s="904">
        <f>B123</f>
        <v>12.166666666666666</v>
      </c>
      <c r="AJ98" s="902">
        <f t="shared" si="13"/>
        <v>0</v>
      </c>
      <c r="AK98" s="909">
        <f t="shared" si="10"/>
        <v>12.5</v>
      </c>
      <c r="AL98" s="645">
        <f t="shared" si="11"/>
        <v>-1000000000</v>
      </c>
      <c r="AM98" s="902">
        <f t="shared" si="20"/>
        <v>0</v>
      </c>
      <c r="AN98" s="902">
        <f t="shared" si="20"/>
        <v>0</v>
      </c>
      <c r="AO98" s="902">
        <f t="shared" si="20"/>
        <v>0</v>
      </c>
      <c r="AP98" s="902">
        <f t="shared" si="20"/>
        <v>1</v>
      </c>
      <c r="AQ98" s="902">
        <f t="shared" si="20"/>
        <v>0</v>
      </c>
      <c r="AR98" s="902">
        <f t="shared" si="20"/>
        <v>1</v>
      </c>
      <c r="AS98" s="902">
        <f t="shared" si="20"/>
        <v>0</v>
      </c>
      <c r="AT98" s="645">
        <f t="shared" si="18"/>
        <v>1</v>
      </c>
      <c r="AU98" s="880">
        <f t="shared" si="12"/>
        <v>0</v>
      </c>
      <c r="AV98" s="880">
        <f t="shared" si="21"/>
        <v>0</v>
      </c>
      <c r="AW98" s="880">
        <f t="shared" si="21"/>
        <v>0</v>
      </c>
      <c r="AX98" s="880">
        <f t="shared" si="21"/>
        <v>0</v>
      </c>
      <c r="AY98" s="880">
        <f t="shared" si="21"/>
        <v>2.8413218001377261</v>
      </c>
      <c r="AZ98" s="880">
        <f t="shared" si="21"/>
        <v>0</v>
      </c>
      <c r="BA98" s="880">
        <f t="shared" si="21"/>
        <v>1.4965174315685015</v>
      </c>
      <c r="BB98" s="880">
        <f t="shared" si="21"/>
        <v>0</v>
      </c>
      <c r="BC98" s="904">
        <f t="shared" si="19"/>
        <v>0.57915525181177407</v>
      </c>
    </row>
    <row r="99" spans="2:55" ht="15" customHeight="1" x14ac:dyDescent="0.25">
      <c r="B99" s="674">
        <f>I23</f>
        <v>8.2916666666666661</v>
      </c>
      <c r="C99" s="910"/>
      <c r="D99" s="921"/>
      <c r="E99" s="911"/>
      <c r="F99" s="911"/>
      <c r="G99" s="911"/>
      <c r="H99" s="911"/>
      <c r="I99" s="860">
        <f>$I$11</f>
        <v>99.5</v>
      </c>
      <c r="J99" s="911"/>
      <c r="K99" s="914"/>
      <c r="L99" s="806">
        <f t="shared" si="2"/>
        <v>145</v>
      </c>
      <c r="M99" s="895">
        <f t="shared" si="3"/>
        <v>-1000000</v>
      </c>
      <c r="N99" s="806">
        <f t="shared" si="4"/>
        <v>100</v>
      </c>
      <c r="P99" s="900">
        <f t="shared" si="8"/>
        <v>63</v>
      </c>
      <c r="Q99" s="908">
        <f t="shared" si="9"/>
        <v>82</v>
      </c>
      <c r="R99" s="898">
        <f t="shared" si="22"/>
        <v>35.94727185228713</v>
      </c>
      <c r="S99" s="898">
        <f t="shared" si="22"/>
        <v>28.809270492667821</v>
      </c>
      <c r="T99" s="898">
        <f t="shared" si="22"/>
        <v>27.38167022074396</v>
      </c>
      <c r="U99" s="898">
        <f t="shared" si="22"/>
        <v>24.526469676896234</v>
      </c>
      <c r="V99" s="898">
        <f t="shared" si="22"/>
        <v>23.098869404972369</v>
      </c>
      <c r="W99" s="898">
        <f t="shared" si="22"/>
        <v>20.243668861124647</v>
      </c>
      <c r="X99" s="898">
        <f t="shared" si="22"/>
        <v>17.388468317276953</v>
      </c>
      <c r="Y99" s="898">
        <f t="shared" si="22"/>
        <v>14.533267773429227</v>
      </c>
      <c r="Z99" s="898">
        <f t="shared" si="22"/>
        <v>11.678067229581504</v>
      </c>
      <c r="AA99" s="900"/>
      <c r="AB99" s="900"/>
      <c r="AC99" s="902"/>
      <c r="AD99" s="902"/>
      <c r="AE99" s="902"/>
      <c r="AF99" s="902"/>
      <c r="AG99" s="902"/>
      <c r="AH99" s="902"/>
      <c r="AI99" s="645"/>
      <c r="AJ99" s="902">
        <f t="shared" si="13"/>
        <v>0</v>
      </c>
      <c r="AK99" s="909">
        <f t="shared" si="10"/>
        <v>12.5</v>
      </c>
      <c r="AL99" s="645">
        <f t="shared" si="11"/>
        <v>-1000000000</v>
      </c>
      <c r="AM99" s="902">
        <f t="shared" si="20"/>
        <v>0</v>
      </c>
      <c r="AN99" s="902">
        <f t="shared" si="20"/>
        <v>0</v>
      </c>
      <c r="AO99" s="902">
        <f t="shared" si="20"/>
        <v>0</v>
      </c>
      <c r="AP99" s="902">
        <f t="shared" si="20"/>
        <v>0</v>
      </c>
      <c r="AQ99" s="902">
        <f t="shared" si="20"/>
        <v>0</v>
      </c>
      <c r="AR99" s="902">
        <f t="shared" si="20"/>
        <v>0</v>
      </c>
      <c r="AS99" s="902">
        <f t="shared" si="20"/>
        <v>0</v>
      </c>
      <c r="AT99" s="645">
        <f t="shared" si="18"/>
        <v>0</v>
      </c>
      <c r="AU99" s="880">
        <f t="shared" si="12"/>
        <v>0</v>
      </c>
      <c r="AV99" s="880">
        <f t="shared" si="21"/>
        <v>0</v>
      </c>
      <c r="AW99" s="880">
        <f t="shared" si="21"/>
        <v>0</v>
      </c>
      <c r="AX99" s="880">
        <f t="shared" si="21"/>
        <v>0</v>
      </c>
      <c r="AY99" s="880">
        <f t="shared" si="21"/>
        <v>0</v>
      </c>
      <c r="AZ99" s="880">
        <f t="shared" si="21"/>
        <v>0</v>
      </c>
      <c r="BA99" s="880">
        <f t="shared" si="21"/>
        <v>0</v>
      </c>
      <c r="BB99" s="880">
        <f t="shared" si="21"/>
        <v>0</v>
      </c>
      <c r="BC99" s="904">
        <f t="shared" si="19"/>
        <v>0</v>
      </c>
    </row>
    <row r="100" spans="2:55" ht="15" customHeight="1" x14ac:dyDescent="0.25">
      <c r="B100" s="674">
        <f>J25</f>
        <v>8.5</v>
      </c>
      <c r="C100" s="910"/>
      <c r="D100" s="921"/>
      <c r="E100" s="911"/>
      <c r="F100" s="911"/>
      <c r="G100" s="911"/>
      <c r="H100" s="911"/>
      <c r="I100" s="860"/>
      <c r="J100" s="911"/>
      <c r="K100" s="918">
        <f>$J$13</f>
        <v>85</v>
      </c>
      <c r="L100" s="806">
        <f t="shared" ref="L100:L163" si="23">$G$26</f>
        <v>145</v>
      </c>
      <c r="M100" s="895">
        <f t="shared" ref="M100:M163" si="24">IF(B100&lt;$C$28,-1000000,IF(B100=$C$28,0,1000000))</f>
        <v>-1000000</v>
      </c>
      <c r="N100" s="806">
        <f t="shared" ref="N100:N163" si="25">$C$26</f>
        <v>100</v>
      </c>
      <c r="P100" s="900">
        <f t="shared" si="8"/>
        <v>64</v>
      </c>
      <c r="Q100" s="908">
        <f t="shared" si="9"/>
        <v>81</v>
      </c>
      <c r="R100" s="898">
        <f t="shared" si="22"/>
        <v>36.605039103157466</v>
      </c>
      <c r="S100" s="898">
        <f t="shared" si="22"/>
        <v>29.355378930978034</v>
      </c>
      <c r="T100" s="898">
        <f t="shared" si="22"/>
        <v>27.905446896542148</v>
      </c>
      <c r="U100" s="898">
        <f t="shared" si="22"/>
        <v>25.005582827670374</v>
      </c>
      <c r="V100" s="898">
        <f t="shared" si="22"/>
        <v>23.555650793234484</v>
      </c>
      <c r="W100" s="898">
        <f t="shared" si="22"/>
        <v>20.655786724362713</v>
      </c>
      <c r="X100" s="898">
        <f t="shared" si="22"/>
        <v>17.75592265549097</v>
      </c>
      <c r="Y100" s="898">
        <f t="shared" si="22"/>
        <v>14.856058586619195</v>
      </c>
      <c r="Z100" s="898">
        <f t="shared" si="22"/>
        <v>11.956194517747422</v>
      </c>
      <c r="AA100" s="913">
        <f>B179</f>
        <v>35.5</v>
      </c>
      <c r="AB100" s="900"/>
      <c r="AC100" s="902"/>
      <c r="AD100" s="902"/>
      <c r="AE100" s="902"/>
      <c r="AF100" s="902"/>
      <c r="AG100" s="902"/>
      <c r="AH100" s="902"/>
      <c r="AI100" s="645"/>
      <c r="AJ100" s="902">
        <f t="shared" si="13"/>
        <v>1</v>
      </c>
      <c r="AK100" s="909">
        <f t="shared" si="10"/>
        <v>12.5</v>
      </c>
      <c r="AL100" s="645">
        <f t="shared" si="11"/>
        <v>-1000000000</v>
      </c>
      <c r="AM100" s="902">
        <f t="shared" si="20"/>
        <v>0</v>
      </c>
      <c r="AN100" s="902">
        <f t="shared" si="20"/>
        <v>0</v>
      </c>
      <c r="AO100" s="902">
        <f t="shared" si="20"/>
        <v>0</v>
      </c>
      <c r="AP100" s="902">
        <f t="shared" si="20"/>
        <v>0</v>
      </c>
      <c r="AQ100" s="902">
        <f t="shared" si="20"/>
        <v>0</v>
      </c>
      <c r="AR100" s="902">
        <f t="shared" si="20"/>
        <v>0</v>
      </c>
      <c r="AS100" s="902">
        <f t="shared" si="20"/>
        <v>0</v>
      </c>
      <c r="AT100" s="645">
        <f t="shared" si="18"/>
        <v>0</v>
      </c>
      <c r="AU100" s="880">
        <f t="shared" si="12"/>
        <v>1.2211114195070574</v>
      </c>
      <c r="AV100" s="880">
        <f t="shared" si="21"/>
        <v>0</v>
      </c>
      <c r="AW100" s="880">
        <f t="shared" si="21"/>
        <v>0</v>
      </c>
      <c r="AX100" s="880">
        <f t="shared" si="21"/>
        <v>0</v>
      </c>
      <c r="AY100" s="880">
        <f t="shared" si="21"/>
        <v>0</v>
      </c>
      <c r="AZ100" s="880">
        <f t="shared" si="21"/>
        <v>0</v>
      </c>
      <c r="BA100" s="880">
        <f t="shared" si="21"/>
        <v>0</v>
      </c>
      <c r="BB100" s="880">
        <f t="shared" si="21"/>
        <v>0</v>
      </c>
      <c r="BC100" s="904">
        <f t="shared" si="19"/>
        <v>0</v>
      </c>
    </row>
    <row r="101" spans="2:55" ht="15" customHeight="1" x14ac:dyDescent="0.25">
      <c r="B101" s="674">
        <f>I22</f>
        <v>8.625</v>
      </c>
      <c r="C101" s="910"/>
      <c r="D101" s="921"/>
      <c r="E101" s="911"/>
      <c r="F101" s="911"/>
      <c r="G101" s="911"/>
      <c r="H101" s="860">
        <f>$I$10</f>
        <v>103.5</v>
      </c>
      <c r="I101" s="911"/>
      <c r="J101" s="911"/>
      <c r="K101" s="914"/>
      <c r="L101" s="806">
        <f t="shared" si="23"/>
        <v>145</v>
      </c>
      <c r="M101" s="895">
        <f t="shared" si="24"/>
        <v>-1000000</v>
      </c>
      <c r="N101" s="806">
        <f t="shared" si="25"/>
        <v>100</v>
      </c>
      <c r="P101" s="900">
        <f t="shared" ref="P101:P164" si="26">P100+$P$34</f>
        <v>65</v>
      </c>
      <c r="Q101" s="908">
        <f t="shared" ref="Q101:Q164" si="27">$G$26-P101</f>
        <v>80</v>
      </c>
      <c r="R101" s="898">
        <f t="shared" si="22"/>
        <v>37.26856700057705</v>
      </c>
      <c r="S101" s="898">
        <f t="shared" si="22"/>
        <v>29.907298597406029</v>
      </c>
      <c r="T101" s="898">
        <f t="shared" si="22"/>
        <v>28.435044916771826</v>
      </c>
      <c r="U101" s="898">
        <f t="shared" si="22"/>
        <v>25.490537555503423</v>
      </c>
      <c r="V101" s="898">
        <f t="shared" si="22"/>
        <v>24.018283874869219</v>
      </c>
      <c r="W101" s="898">
        <f t="shared" si="22"/>
        <v>21.073776513600816</v>
      </c>
      <c r="X101" s="898">
        <f t="shared" si="22"/>
        <v>18.129269152332441</v>
      </c>
      <c r="Y101" s="898">
        <f t="shared" si="22"/>
        <v>15.184761791064034</v>
      </c>
      <c r="Z101" s="898">
        <f t="shared" si="22"/>
        <v>12.240254429795629</v>
      </c>
      <c r="AA101" s="900"/>
      <c r="AB101" s="900"/>
      <c r="AC101" s="902"/>
      <c r="AD101" s="902"/>
      <c r="AE101" s="902"/>
      <c r="AF101" s="916">
        <f>B155</f>
        <v>23.333333333333332</v>
      </c>
      <c r="AG101" s="902"/>
      <c r="AH101" s="902"/>
      <c r="AI101" s="645"/>
      <c r="AJ101" s="902">
        <f t="shared" si="13"/>
        <v>0</v>
      </c>
      <c r="AK101" s="909">
        <f t="shared" ref="AK101:AK164" si="28">$C$28</f>
        <v>12.5</v>
      </c>
      <c r="AL101" s="645">
        <f t="shared" ref="AL101:AL164" si="29">IF(Q101&gt;$C$26,1000000000,IF(Q101=$C$26,0,-1000000000))</f>
        <v>-1000000000</v>
      </c>
      <c r="AM101" s="902">
        <f t="shared" si="20"/>
        <v>0</v>
      </c>
      <c r="AN101" s="902">
        <f t="shared" si="20"/>
        <v>0</v>
      </c>
      <c r="AO101" s="902">
        <f t="shared" si="20"/>
        <v>0</v>
      </c>
      <c r="AP101" s="902">
        <f t="shared" si="20"/>
        <v>0</v>
      </c>
      <c r="AQ101" s="902">
        <f t="shared" si="20"/>
        <v>1</v>
      </c>
      <c r="AR101" s="902">
        <f t="shared" si="20"/>
        <v>0</v>
      </c>
      <c r="AS101" s="902">
        <f t="shared" si="20"/>
        <v>0</v>
      </c>
      <c r="AT101" s="645">
        <f t="shared" si="18"/>
        <v>0</v>
      </c>
      <c r="AU101" s="880">
        <f t="shared" ref="AU101:AU164" si="30">AJ101*(AA101-R101)^2</f>
        <v>0</v>
      </c>
      <c r="AV101" s="880">
        <f t="shared" si="21"/>
        <v>0</v>
      </c>
      <c r="AW101" s="880">
        <f t="shared" si="21"/>
        <v>0</v>
      </c>
      <c r="AX101" s="880">
        <f t="shared" si="21"/>
        <v>0</v>
      </c>
      <c r="AY101" s="880">
        <f t="shared" si="21"/>
        <v>0</v>
      </c>
      <c r="AZ101" s="880">
        <f t="shared" si="21"/>
        <v>5.1055970215997242</v>
      </c>
      <c r="BA101" s="880">
        <f t="shared" si="21"/>
        <v>0</v>
      </c>
      <c r="BB101" s="880">
        <f t="shared" si="21"/>
        <v>0</v>
      </c>
      <c r="BC101" s="904">
        <f t="shared" si="19"/>
        <v>0</v>
      </c>
    </row>
    <row r="102" spans="2:55" ht="15" customHeight="1" x14ac:dyDescent="0.25">
      <c r="B102" s="674">
        <f>I21</f>
        <v>8.7916666666666661</v>
      </c>
      <c r="C102" s="910"/>
      <c r="D102" s="921"/>
      <c r="E102" s="911"/>
      <c r="F102" s="911"/>
      <c r="G102" s="860">
        <f>$I$9</f>
        <v>105.5</v>
      </c>
      <c r="H102" s="911"/>
      <c r="I102" s="911"/>
      <c r="J102" s="911"/>
      <c r="K102" s="914"/>
      <c r="L102" s="806">
        <f t="shared" si="23"/>
        <v>145</v>
      </c>
      <c r="M102" s="895">
        <f t="shared" si="24"/>
        <v>-1000000</v>
      </c>
      <c r="N102" s="806">
        <f t="shared" si="25"/>
        <v>100</v>
      </c>
      <c r="P102" s="900">
        <f t="shared" si="26"/>
        <v>66</v>
      </c>
      <c r="Q102" s="908">
        <f t="shared" si="27"/>
        <v>79</v>
      </c>
      <c r="R102" s="898">
        <f t="shared" si="22"/>
        <v>37.938092731024042</v>
      </c>
      <c r="S102" s="898">
        <f t="shared" si="22"/>
        <v>30.465266644067508</v>
      </c>
      <c r="T102" s="898">
        <f t="shared" si="22"/>
        <v>28.970701426676204</v>
      </c>
      <c r="U102" s="898">
        <f t="shared" si="22"/>
        <v>25.981570991893591</v>
      </c>
      <c r="V102" s="898">
        <f t="shared" si="22"/>
        <v>24.487005774502286</v>
      </c>
      <c r="W102" s="898">
        <f t="shared" si="22"/>
        <v>21.497875339719673</v>
      </c>
      <c r="X102" s="898">
        <f t="shared" si="22"/>
        <v>18.508744904937096</v>
      </c>
      <c r="Y102" s="898">
        <f t="shared" si="22"/>
        <v>15.519614470154485</v>
      </c>
      <c r="Z102" s="898">
        <f t="shared" si="22"/>
        <v>12.530484035371874</v>
      </c>
      <c r="AA102" s="900"/>
      <c r="AB102" s="900"/>
      <c r="AC102" s="902"/>
      <c r="AD102" s="902"/>
      <c r="AE102" s="902"/>
      <c r="AF102" s="902"/>
      <c r="AG102" s="902"/>
      <c r="AH102" s="916">
        <f>B139</f>
        <v>17.25</v>
      </c>
      <c r="AI102" s="645"/>
      <c r="AJ102" s="902">
        <f t="shared" ref="AJ102:AJ165" si="31">IF(AA102=0,0,1)</f>
        <v>0</v>
      </c>
      <c r="AK102" s="909">
        <f t="shared" si="28"/>
        <v>12.5</v>
      </c>
      <c r="AL102" s="645">
        <f t="shared" si="29"/>
        <v>-1000000000</v>
      </c>
      <c r="AM102" s="902">
        <f t="shared" si="20"/>
        <v>0</v>
      </c>
      <c r="AN102" s="902">
        <f t="shared" si="20"/>
        <v>0</v>
      </c>
      <c r="AO102" s="902">
        <f t="shared" si="20"/>
        <v>0</v>
      </c>
      <c r="AP102" s="902">
        <f t="shared" si="20"/>
        <v>0</v>
      </c>
      <c r="AQ102" s="902">
        <f t="shared" si="20"/>
        <v>0</v>
      </c>
      <c r="AR102" s="902">
        <f t="shared" si="20"/>
        <v>0</v>
      </c>
      <c r="AS102" s="902">
        <f t="shared" si="20"/>
        <v>1</v>
      </c>
      <c r="AT102" s="645">
        <f t="shared" si="18"/>
        <v>0</v>
      </c>
      <c r="AU102" s="880">
        <f t="shared" si="30"/>
        <v>0</v>
      </c>
      <c r="AV102" s="880">
        <f t="shared" si="21"/>
        <v>0</v>
      </c>
      <c r="AW102" s="880">
        <f t="shared" si="21"/>
        <v>0</v>
      </c>
      <c r="AX102" s="880">
        <f t="shared" si="21"/>
        <v>0</v>
      </c>
      <c r="AY102" s="880">
        <f t="shared" si="21"/>
        <v>0</v>
      </c>
      <c r="AZ102" s="880">
        <f t="shared" si="21"/>
        <v>0</v>
      </c>
      <c r="BA102" s="880">
        <f t="shared" si="21"/>
        <v>0</v>
      </c>
      <c r="BB102" s="880">
        <f t="shared" si="21"/>
        <v>2.9942340818987438</v>
      </c>
      <c r="BC102" s="904">
        <f t="shared" si="19"/>
        <v>0</v>
      </c>
    </row>
    <row r="103" spans="2:55" ht="15" customHeight="1" x14ac:dyDescent="0.25">
      <c r="B103" s="674">
        <f>I20</f>
        <v>8.8333333333333339</v>
      </c>
      <c r="C103" s="910"/>
      <c r="D103" s="921"/>
      <c r="E103" s="911"/>
      <c r="F103" s="860">
        <f>$I$8</f>
        <v>106</v>
      </c>
      <c r="G103" s="911"/>
      <c r="H103" s="911"/>
      <c r="I103" s="911"/>
      <c r="J103" s="911"/>
      <c r="K103" s="914"/>
      <c r="L103" s="806">
        <f t="shared" si="23"/>
        <v>145</v>
      </c>
      <c r="M103" s="895">
        <f t="shared" si="24"/>
        <v>-1000000</v>
      </c>
      <c r="N103" s="806">
        <f t="shared" si="25"/>
        <v>100</v>
      </c>
      <c r="P103" s="900">
        <f t="shared" si="26"/>
        <v>67</v>
      </c>
      <c r="Q103" s="908">
        <f t="shared" si="27"/>
        <v>78</v>
      </c>
      <c r="R103" s="898">
        <f t="shared" si="22"/>
        <v>38.613862467222518</v>
      </c>
      <c r="S103" s="898">
        <f t="shared" si="22"/>
        <v>31.029529209355182</v>
      </c>
      <c r="T103" s="898">
        <f t="shared" si="22"/>
        <v>29.512662557781713</v>
      </c>
      <c r="U103" s="898">
        <f t="shared" si="22"/>
        <v>26.478929254634775</v>
      </c>
      <c r="V103" s="898">
        <f t="shared" si="22"/>
        <v>24.962062603061309</v>
      </c>
      <c r="W103" s="898">
        <f t="shared" si="22"/>
        <v>21.928329299914374</v>
      </c>
      <c r="X103" s="898">
        <f t="shared" si="22"/>
        <v>18.894595996767475</v>
      </c>
      <c r="Y103" s="898">
        <f t="shared" si="22"/>
        <v>15.86086269362054</v>
      </c>
      <c r="Z103" s="898">
        <f t="shared" si="22"/>
        <v>12.827129390473605</v>
      </c>
      <c r="AA103" s="900"/>
      <c r="AB103" s="913">
        <f>B176</f>
        <v>34</v>
      </c>
      <c r="AC103" s="916">
        <f>B175</f>
        <v>33.75</v>
      </c>
      <c r="AD103" s="902"/>
      <c r="AE103" s="902"/>
      <c r="AF103" s="902"/>
      <c r="AG103" s="902"/>
      <c r="AH103" s="902"/>
      <c r="AI103" s="645"/>
      <c r="AJ103" s="902">
        <f t="shared" si="31"/>
        <v>0</v>
      </c>
      <c r="AK103" s="909">
        <f t="shared" si="28"/>
        <v>12.5</v>
      </c>
      <c r="AL103" s="645">
        <f t="shared" si="29"/>
        <v>-1000000000</v>
      </c>
      <c r="AM103" s="902">
        <f t="shared" si="20"/>
        <v>1</v>
      </c>
      <c r="AN103" s="902">
        <f t="shared" si="20"/>
        <v>1</v>
      </c>
      <c r="AO103" s="902">
        <f t="shared" si="20"/>
        <v>0</v>
      </c>
      <c r="AP103" s="902">
        <f t="shared" si="20"/>
        <v>0</v>
      </c>
      <c r="AQ103" s="902">
        <f t="shared" si="20"/>
        <v>0</v>
      </c>
      <c r="AR103" s="902">
        <f t="shared" si="20"/>
        <v>0</v>
      </c>
      <c r="AS103" s="902">
        <f t="shared" si="20"/>
        <v>0</v>
      </c>
      <c r="AT103" s="645">
        <f t="shared" si="18"/>
        <v>0</v>
      </c>
      <c r="AU103" s="880">
        <f t="shared" si="30"/>
        <v>0</v>
      </c>
      <c r="AV103" s="880">
        <f t="shared" si="21"/>
        <v>8.8236967180740482</v>
      </c>
      <c r="AW103" s="880">
        <f t="shared" si="21"/>
        <v>17.955028599225013</v>
      </c>
      <c r="AX103" s="880">
        <f t="shared" si="21"/>
        <v>0</v>
      </c>
      <c r="AY103" s="880">
        <f t="shared" si="21"/>
        <v>0</v>
      </c>
      <c r="AZ103" s="880">
        <f t="shared" si="21"/>
        <v>0</v>
      </c>
      <c r="BA103" s="880">
        <f t="shared" si="21"/>
        <v>0</v>
      </c>
      <c r="BB103" s="880">
        <f t="shared" si="21"/>
        <v>0</v>
      </c>
      <c r="BC103" s="904">
        <f t="shared" si="19"/>
        <v>0</v>
      </c>
    </row>
    <row r="104" spans="2:55" ht="15" customHeight="1" x14ac:dyDescent="0.25">
      <c r="B104" s="674">
        <f>I19</f>
        <v>8.9166666666666661</v>
      </c>
      <c r="C104" s="910"/>
      <c r="D104" s="921"/>
      <c r="E104" s="860">
        <f>$I$7</f>
        <v>107</v>
      </c>
      <c r="F104" s="911"/>
      <c r="G104" s="911"/>
      <c r="H104" s="911"/>
      <c r="I104" s="911"/>
      <c r="J104" s="911"/>
      <c r="K104" s="914"/>
      <c r="L104" s="806">
        <f t="shared" si="23"/>
        <v>145</v>
      </c>
      <c r="M104" s="895">
        <f t="shared" si="24"/>
        <v>-1000000</v>
      </c>
      <c r="N104" s="806">
        <f t="shared" si="25"/>
        <v>100</v>
      </c>
      <c r="P104" s="900">
        <f t="shared" si="26"/>
        <v>68</v>
      </c>
      <c r="Q104" s="908">
        <f t="shared" si="27"/>
        <v>77</v>
      </c>
      <c r="R104" s="898">
        <f t="shared" si="22"/>
        <v>39.296131699151964</v>
      </c>
      <c r="S104" s="898">
        <f t="shared" si="22"/>
        <v>31.600341748948253</v>
      </c>
      <c r="T104" s="898">
        <f t="shared" si="22"/>
        <v>30.061183758907507</v>
      </c>
      <c r="U104" s="898">
        <f t="shared" si="22"/>
        <v>26.982867778826019</v>
      </c>
      <c r="V104" s="898">
        <f t="shared" si="22"/>
        <v>25.443709788785277</v>
      </c>
      <c r="W104" s="898">
        <f t="shared" si="22"/>
        <v>22.365393808703789</v>
      </c>
      <c r="X104" s="898">
        <f t="shared" si="22"/>
        <v>19.287077828622333</v>
      </c>
      <c r="Y104" s="898">
        <f t="shared" si="22"/>
        <v>16.208761848540849</v>
      </c>
      <c r="Z104" s="898">
        <f t="shared" si="22"/>
        <v>13.130445868459361</v>
      </c>
      <c r="AA104" s="900"/>
      <c r="AB104" s="900"/>
      <c r="AC104" s="902"/>
      <c r="AD104" s="902"/>
      <c r="AE104" s="902"/>
      <c r="AF104" s="902"/>
      <c r="AG104" s="902"/>
      <c r="AH104" s="902"/>
      <c r="AI104" s="645"/>
      <c r="AJ104" s="902">
        <f t="shared" si="31"/>
        <v>0</v>
      </c>
      <c r="AK104" s="909">
        <f t="shared" si="28"/>
        <v>12.5</v>
      </c>
      <c r="AL104" s="645">
        <f t="shared" si="29"/>
        <v>-1000000000</v>
      </c>
      <c r="AM104" s="902">
        <f t="shared" si="20"/>
        <v>0</v>
      </c>
      <c r="AN104" s="902">
        <f t="shared" si="20"/>
        <v>0</v>
      </c>
      <c r="AO104" s="902">
        <f t="shared" si="20"/>
        <v>0</v>
      </c>
      <c r="AP104" s="902">
        <f t="shared" si="20"/>
        <v>0</v>
      </c>
      <c r="AQ104" s="902">
        <f t="shared" si="20"/>
        <v>0</v>
      </c>
      <c r="AR104" s="902">
        <f t="shared" si="20"/>
        <v>0</v>
      </c>
      <c r="AS104" s="902">
        <f t="shared" si="20"/>
        <v>0</v>
      </c>
      <c r="AT104" s="645">
        <f t="shared" si="18"/>
        <v>0</v>
      </c>
      <c r="AU104" s="880">
        <f t="shared" si="30"/>
        <v>0</v>
      </c>
      <c r="AV104" s="880">
        <f t="shared" si="21"/>
        <v>0</v>
      </c>
      <c r="AW104" s="880">
        <f t="shared" si="21"/>
        <v>0</v>
      </c>
      <c r="AX104" s="880">
        <f t="shared" si="21"/>
        <v>0</v>
      </c>
      <c r="AY104" s="880">
        <f t="shared" si="21"/>
        <v>0</v>
      </c>
      <c r="AZ104" s="880">
        <f t="shared" si="21"/>
        <v>0</v>
      </c>
      <c r="BA104" s="880">
        <f t="shared" si="21"/>
        <v>0</v>
      </c>
      <c r="BB104" s="880">
        <f t="shared" si="21"/>
        <v>0</v>
      </c>
      <c r="BC104" s="904">
        <f t="shared" si="19"/>
        <v>0</v>
      </c>
    </row>
    <row r="105" spans="2:55" ht="15" customHeight="1" x14ac:dyDescent="0.25">
      <c r="B105" s="674">
        <f>I18</f>
        <v>8.9583333333333339</v>
      </c>
      <c r="C105" s="910"/>
      <c r="D105" s="860">
        <f>$I$6</f>
        <v>107.5</v>
      </c>
      <c r="E105" s="911"/>
      <c r="F105" s="911"/>
      <c r="G105" s="911"/>
      <c r="H105" s="911"/>
      <c r="I105" s="911"/>
      <c r="J105" s="911"/>
      <c r="K105" s="914"/>
      <c r="L105" s="806">
        <f t="shared" si="23"/>
        <v>145</v>
      </c>
      <c r="M105" s="895">
        <f t="shared" si="24"/>
        <v>-1000000</v>
      </c>
      <c r="N105" s="806">
        <f t="shared" si="25"/>
        <v>100</v>
      </c>
      <c r="P105" s="900">
        <f t="shared" si="26"/>
        <v>69</v>
      </c>
      <c r="Q105" s="908">
        <f t="shared" si="27"/>
        <v>76</v>
      </c>
      <c r="R105" s="898">
        <f t="shared" si="22"/>
        <v>39.985165576995733</v>
      </c>
      <c r="S105" s="898">
        <f t="shared" si="22"/>
        <v>32.177969378760835</v>
      </c>
      <c r="T105" s="898">
        <f t="shared" si="22"/>
        <v>30.616530139113852</v>
      </c>
      <c r="U105" s="898">
        <f t="shared" si="22"/>
        <v>27.493651659819893</v>
      </c>
      <c r="V105" s="898">
        <f t="shared" si="22"/>
        <v>25.93221242017291</v>
      </c>
      <c r="W105" s="898">
        <f t="shared" si="22"/>
        <v>22.80933394087895</v>
      </c>
      <c r="X105" s="898">
        <f t="shared" si="22"/>
        <v>19.686455461585023</v>
      </c>
      <c r="Y105" s="898">
        <f t="shared" si="22"/>
        <v>16.563576982291064</v>
      </c>
      <c r="Z105" s="898">
        <f t="shared" si="22"/>
        <v>13.440698502997105</v>
      </c>
      <c r="AA105" s="900"/>
      <c r="AB105" s="900"/>
      <c r="AC105" s="902"/>
      <c r="AD105" s="902"/>
      <c r="AE105" s="902"/>
      <c r="AF105" s="902"/>
      <c r="AG105" s="317">
        <f>B153</f>
        <v>22</v>
      </c>
      <c r="AH105" s="902"/>
      <c r="AI105" s="645"/>
      <c r="AJ105" s="902">
        <f t="shared" si="31"/>
        <v>0</v>
      </c>
      <c r="AK105" s="909">
        <f t="shared" si="28"/>
        <v>12.5</v>
      </c>
      <c r="AL105" s="645">
        <f t="shared" si="29"/>
        <v>-1000000000</v>
      </c>
      <c r="AM105" s="902">
        <f t="shared" si="20"/>
        <v>0</v>
      </c>
      <c r="AN105" s="902">
        <f t="shared" si="20"/>
        <v>0</v>
      </c>
      <c r="AO105" s="902">
        <f t="shared" si="20"/>
        <v>0</v>
      </c>
      <c r="AP105" s="902">
        <f t="shared" si="20"/>
        <v>0</v>
      </c>
      <c r="AQ105" s="902">
        <f t="shared" si="20"/>
        <v>0</v>
      </c>
      <c r="AR105" s="902">
        <f t="shared" si="20"/>
        <v>1</v>
      </c>
      <c r="AS105" s="902">
        <f t="shared" si="20"/>
        <v>0</v>
      </c>
      <c r="AT105" s="645">
        <f t="shared" si="18"/>
        <v>0</v>
      </c>
      <c r="AU105" s="880">
        <f t="shared" si="30"/>
        <v>0</v>
      </c>
      <c r="AV105" s="880">
        <f t="shared" si="21"/>
        <v>0</v>
      </c>
      <c r="AW105" s="880">
        <f t="shared" si="21"/>
        <v>0</v>
      </c>
      <c r="AX105" s="880">
        <f t="shared" si="21"/>
        <v>0</v>
      </c>
      <c r="AY105" s="880">
        <f t="shared" si="21"/>
        <v>0</v>
      </c>
      <c r="AZ105" s="880">
        <f t="shared" si="21"/>
        <v>0</v>
      </c>
      <c r="BA105" s="880">
        <f t="shared" si="21"/>
        <v>5.3524883312297682</v>
      </c>
      <c r="BB105" s="880">
        <f t="shared" si="21"/>
        <v>0</v>
      </c>
      <c r="BC105" s="904">
        <f t="shared" si="19"/>
        <v>0</v>
      </c>
    </row>
    <row r="106" spans="2:55" ht="15" customHeight="1" x14ac:dyDescent="0.25">
      <c r="B106" s="917">
        <f>B98+$B$34</f>
        <v>9</v>
      </c>
      <c r="C106" s="920"/>
      <c r="D106" s="921"/>
      <c r="E106" s="911"/>
      <c r="F106" s="911"/>
      <c r="G106" s="911"/>
      <c r="H106" s="911"/>
      <c r="I106" s="911"/>
      <c r="J106" s="911"/>
      <c r="K106" s="914"/>
      <c r="L106" s="806">
        <f t="shared" si="23"/>
        <v>145</v>
      </c>
      <c r="M106" s="895">
        <f t="shared" si="24"/>
        <v>-1000000</v>
      </c>
      <c r="N106" s="806">
        <f t="shared" si="25"/>
        <v>100</v>
      </c>
      <c r="P106" s="900">
        <f t="shared" si="26"/>
        <v>70</v>
      </c>
      <c r="Q106" s="908">
        <f t="shared" si="27"/>
        <v>75</v>
      </c>
      <c r="R106" s="898">
        <f t="shared" si="22"/>
        <v>40.681239266452124</v>
      </c>
      <c r="S106" s="898">
        <f t="shared" si="22"/>
        <v>32.762687230253015</v>
      </c>
      <c r="T106" s="898">
        <f t="shared" si="22"/>
        <v>31.178976823013198</v>
      </c>
      <c r="U106" s="898">
        <f t="shared" si="22"/>
        <v>28.011556008533553</v>
      </c>
      <c r="V106" s="898">
        <f t="shared" si="22"/>
        <v>26.427845601293733</v>
      </c>
      <c r="W106" s="898">
        <f t="shared" si="22"/>
        <v>23.260424786814095</v>
      </c>
      <c r="X106" s="898">
        <f t="shared" si="22"/>
        <v>20.093003972334486</v>
      </c>
      <c r="Y106" s="898">
        <f t="shared" si="22"/>
        <v>16.925583157854845</v>
      </c>
      <c r="Z106" s="898">
        <f t="shared" si="22"/>
        <v>13.758162343375206</v>
      </c>
      <c r="AA106" s="900"/>
      <c r="AB106" s="900"/>
      <c r="AC106" s="902"/>
      <c r="AD106" s="916">
        <f>B173</f>
        <v>32.5</v>
      </c>
      <c r="AE106" s="902"/>
      <c r="AF106" s="902"/>
      <c r="AG106" s="902"/>
      <c r="AH106" s="902"/>
      <c r="AI106" s="645"/>
      <c r="AJ106" s="902">
        <f t="shared" si="31"/>
        <v>0</v>
      </c>
      <c r="AK106" s="909">
        <f t="shared" si="28"/>
        <v>12.5</v>
      </c>
      <c r="AL106" s="645">
        <f t="shared" si="29"/>
        <v>-1000000000</v>
      </c>
      <c r="AM106" s="902">
        <f t="shared" si="20"/>
        <v>0</v>
      </c>
      <c r="AN106" s="902">
        <f t="shared" si="20"/>
        <v>0</v>
      </c>
      <c r="AO106" s="902">
        <f t="shared" si="20"/>
        <v>1</v>
      </c>
      <c r="AP106" s="902">
        <f t="shared" si="20"/>
        <v>0</v>
      </c>
      <c r="AQ106" s="902">
        <f t="shared" si="20"/>
        <v>0</v>
      </c>
      <c r="AR106" s="902">
        <f t="shared" si="20"/>
        <v>0</v>
      </c>
      <c r="AS106" s="902">
        <f t="shared" si="20"/>
        <v>0</v>
      </c>
      <c r="AT106" s="645">
        <f t="shared" si="18"/>
        <v>0</v>
      </c>
      <c r="AU106" s="880">
        <f t="shared" si="30"/>
        <v>0</v>
      </c>
      <c r="AV106" s="880">
        <f t="shared" si="21"/>
        <v>0</v>
      </c>
      <c r="AW106" s="880">
        <f t="shared" si="21"/>
        <v>0</v>
      </c>
      <c r="AX106" s="880">
        <f t="shared" si="21"/>
        <v>20.146129464531249</v>
      </c>
      <c r="AY106" s="880">
        <f t="shared" si="21"/>
        <v>0</v>
      </c>
      <c r="AZ106" s="880">
        <f t="shared" si="21"/>
        <v>0</v>
      </c>
      <c r="BA106" s="880">
        <f t="shared" si="21"/>
        <v>0</v>
      </c>
      <c r="BB106" s="880">
        <f t="shared" si="21"/>
        <v>0</v>
      </c>
      <c r="BC106" s="904">
        <f t="shared" si="19"/>
        <v>0</v>
      </c>
    </row>
    <row r="107" spans="2:55" ht="15" customHeight="1" x14ac:dyDescent="0.25">
      <c r="B107" s="917">
        <f>I17</f>
        <v>9.0833333333333339</v>
      </c>
      <c r="C107" s="647">
        <f>$I$5</f>
        <v>109</v>
      </c>
      <c r="D107" s="921"/>
      <c r="E107" s="911"/>
      <c r="F107" s="911"/>
      <c r="G107" s="860"/>
      <c r="H107" s="860"/>
      <c r="I107" s="860"/>
      <c r="J107" s="860"/>
      <c r="K107" s="912"/>
      <c r="L107" s="806">
        <f t="shared" si="23"/>
        <v>145</v>
      </c>
      <c r="M107" s="895">
        <f t="shared" si="24"/>
        <v>-1000000</v>
      </c>
      <c r="N107" s="806">
        <f t="shared" si="25"/>
        <v>100</v>
      </c>
      <c r="P107" s="900">
        <f t="shared" si="26"/>
        <v>71</v>
      </c>
      <c r="Q107" s="908">
        <f t="shared" si="27"/>
        <v>74</v>
      </c>
      <c r="R107" s="898">
        <f t="shared" si="22"/>
        <v>41.384638316846768</v>
      </c>
      <c r="S107" s="898">
        <f t="shared" si="22"/>
        <v>33.354780818543205</v>
      </c>
      <c r="T107" s="898">
        <f t="shared" si="22"/>
        <v>31.748809318882493</v>
      </c>
      <c r="U107" s="898">
        <f t="shared" si="22"/>
        <v>28.536866319561074</v>
      </c>
      <c r="V107" s="898">
        <f t="shared" si="22"/>
        <v>26.930894819900363</v>
      </c>
      <c r="W107" s="898">
        <f t="shared" si="22"/>
        <v>23.718951820578937</v>
      </c>
      <c r="X107" s="898">
        <f t="shared" si="22"/>
        <v>20.50700882125755</v>
      </c>
      <c r="Y107" s="898">
        <f t="shared" si="22"/>
        <v>17.295065821936127</v>
      </c>
      <c r="Z107" s="898">
        <f t="shared" si="22"/>
        <v>14.083122822614703</v>
      </c>
      <c r="AA107" s="900"/>
      <c r="AB107" s="900"/>
      <c r="AC107" s="902"/>
      <c r="AD107" s="902"/>
      <c r="AE107" s="317">
        <f>B172</f>
        <v>32</v>
      </c>
      <c r="AF107" s="902"/>
      <c r="AG107" s="902"/>
      <c r="AH107" s="902"/>
      <c r="AI107" s="919">
        <f>B137</f>
        <v>16</v>
      </c>
      <c r="AJ107" s="902">
        <f t="shared" si="31"/>
        <v>0</v>
      </c>
      <c r="AK107" s="909">
        <f t="shared" si="28"/>
        <v>12.5</v>
      </c>
      <c r="AL107" s="645">
        <f t="shared" si="29"/>
        <v>-1000000000</v>
      </c>
      <c r="AM107" s="902">
        <f t="shared" si="20"/>
        <v>0</v>
      </c>
      <c r="AN107" s="902">
        <f t="shared" si="20"/>
        <v>0</v>
      </c>
      <c r="AO107" s="902">
        <f t="shared" si="20"/>
        <v>0</v>
      </c>
      <c r="AP107" s="902">
        <f t="shared" si="20"/>
        <v>1</v>
      </c>
      <c r="AQ107" s="902">
        <f t="shared" si="20"/>
        <v>0</v>
      </c>
      <c r="AR107" s="902">
        <f t="shared" si="20"/>
        <v>0</v>
      </c>
      <c r="AS107" s="902">
        <f t="shared" si="20"/>
        <v>0</v>
      </c>
      <c r="AT107" s="645">
        <f t="shared" si="18"/>
        <v>1</v>
      </c>
      <c r="AU107" s="880">
        <f t="shared" si="30"/>
        <v>0</v>
      </c>
      <c r="AV107" s="880">
        <f t="shared" si="21"/>
        <v>0</v>
      </c>
      <c r="AW107" s="880">
        <f t="shared" si="21"/>
        <v>0</v>
      </c>
      <c r="AX107" s="880">
        <f t="shared" si="21"/>
        <v>0</v>
      </c>
      <c r="AY107" s="880">
        <f t="shared" si="21"/>
        <v>25.695827326912973</v>
      </c>
      <c r="AZ107" s="880">
        <f t="shared" si="21"/>
        <v>0</v>
      </c>
      <c r="BA107" s="880">
        <f t="shared" si="21"/>
        <v>0</v>
      </c>
      <c r="BB107" s="880">
        <f t="shared" si="21"/>
        <v>0</v>
      </c>
      <c r="BC107" s="904">
        <f t="shared" si="19"/>
        <v>3.6744181131806237</v>
      </c>
    </row>
    <row r="108" spans="2:55" ht="15" customHeight="1" x14ac:dyDescent="0.25">
      <c r="B108" s="674">
        <f>J24</f>
        <v>9.1</v>
      </c>
      <c r="C108" s="910"/>
      <c r="D108" s="921"/>
      <c r="E108" s="911"/>
      <c r="F108" s="911"/>
      <c r="G108" s="860"/>
      <c r="H108" s="860"/>
      <c r="I108" s="860"/>
      <c r="J108" s="860">
        <f>$J$12</f>
        <v>91</v>
      </c>
      <c r="K108" s="912"/>
      <c r="L108" s="806">
        <f t="shared" si="23"/>
        <v>145</v>
      </c>
      <c r="M108" s="895">
        <f t="shared" si="24"/>
        <v>-1000000</v>
      </c>
      <c r="N108" s="806">
        <f t="shared" si="25"/>
        <v>100</v>
      </c>
      <c r="P108" s="900">
        <f t="shared" si="26"/>
        <v>72</v>
      </c>
      <c r="Q108" s="908">
        <f t="shared" si="27"/>
        <v>73</v>
      </c>
      <c r="R108" s="898">
        <f t="shared" si="22"/>
        <v>42.095659042500394</v>
      </c>
      <c r="S108" s="898">
        <f t="shared" si="22"/>
        <v>33.954546423775824</v>
      </c>
      <c r="T108" s="898">
        <f t="shared" si="22"/>
        <v>32.326323900030914</v>
      </c>
      <c r="U108" s="898">
        <f t="shared" si="22"/>
        <v>29.069878852541088</v>
      </c>
      <c r="V108" s="898">
        <f t="shared" si="22"/>
        <v>27.441656328796174</v>
      </c>
      <c r="W108" s="898">
        <f t="shared" si="22"/>
        <v>24.185211281306348</v>
      </c>
      <c r="X108" s="898">
        <f t="shared" si="22"/>
        <v>20.928766233816557</v>
      </c>
      <c r="Y108" s="898">
        <f t="shared" si="22"/>
        <v>17.672321186326734</v>
      </c>
      <c r="Z108" s="898">
        <f t="shared" si="22"/>
        <v>14.415876138836905</v>
      </c>
      <c r="AA108" s="900"/>
      <c r="AB108" s="900"/>
      <c r="AC108" s="902"/>
      <c r="AD108" s="902"/>
      <c r="AE108" s="902"/>
      <c r="AF108" s="902"/>
      <c r="AG108" s="902"/>
      <c r="AH108" s="916">
        <f>B150</f>
        <v>20.833333333333332</v>
      </c>
      <c r="AI108" s="645"/>
      <c r="AJ108" s="902">
        <f t="shared" si="31"/>
        <v>0</v>
      </c>
      <c r="AK108" s="909">
        <f t="shared" si="28"/>
        <v>12.5</v>
      </c>
      <c r="AL108" s="645">
        <f t="shared" si="29"/>
        <v>-1000000000</v>
      </c>
      <c r="AM108" s="902">
        <f t="shared" si="20"/>
        <v>0</v>
      </c>
      <c r="AN108" s="902">
        <f t="shared" si="20"/>
        <v>0</v>
      </c>
      <c r="AO108" s="902">
        <f t="shared" si="20"/>
        <v>0</v>
      </c>
      <c r="AP108" s="902">
        <f t="shared" si="20"/>
        <v>0</v>
      </c>
      <c r="AQ108" s="902">
        <f t="shared" si="20"/>
        <v>0</v>
      </c>
      <c r="AR108" s="902">
        <f t="shared" si="20"/>
        <v>0</v>
      </c>
      <c r="AS108" s="902">
        <f t="shared" si="20"/>
        <v>1</v>
      </c>
      <c r="AT108" s="645">
        <f t="shared" si="18"/>
        <v>0</v>
      </c>
      <c r="AU108" s="880">
        <f t="shared" si="30"/>
        <v>0</v>
      </c>
      <c r="AV108" s="880">
        <f t="shared" si="21"/>
        <v>0</v>
      </c>
      <c r="AW108" s="880">
        <f t="shared" si="21"/>
        <v>0</v>
      </c>
      <c r="AX108" s="880">
        <f t="shared" si="21"/>
        <v>0</v>
      </c>
      <c r="AY108" s="880">
        <f t="shared" si="21"/>
        <v>0</v>
      </c>
      <c r="AZ108" s="880">
        <f t="shared" si="21"/>
        <v>0</v>
      </c>
      <c r="BA108" s="880">
        <f t="shared" si="21"/>
        <v>0</v>
      </c>
      <c r="BB108" s="880">
        <f t="shared" si="21"/>
        <v>9.9919977935232644</v>
      </c>
      <c r="BC108" s="904">
        <f t="shared" si="19"/>
        <v>0</v>
      </c>
    </row>
    <row r="109" spans="2:55" ht="15" customHeight="1" x14ac:dyDescent="0.25">
      <c r="B109" s="674">
        <f>J23</f>
        <v>9.5</v>
      </c>
      <c r="C109" s="910"/>
      <c r="D109" s="921"/>
      <c r="E109" s="911"/>
      <c r="F109" s="911"/>
      <c r="G109" s="860"/>
      <c r="H109" s="860"/>
      <c r="I109" s="860">
        <f>$J$11</f>
        <v>95</v>
      </c>
      <c r="J109" s="860"/>
      <c r="K109" s="912"/>
      <c r="L109" s="806">
        <f t="shared" si="23"/>
        <v>145</v>
      </c>
      <c r="M109" s="895">
        <f t="shared" si="24"/>
        <v>-1000000</v>
      </c>
      <c r="N109" s="806">
        <f t="shared" si="25"/>
        <v>100</v>
      </c>
      <c r="P109" s="900">
        <f t="shared" si="26"/>
        <v>73</v>
      </c>
      <c r="Q109" s="908">
        <f t="shared" si="27"/>
        <v>72</v>
      </c>
      <c r="R109" s="898">
        <f t="shared" si="22"/>
        <v>42.814608917821715</v>
      </c>
      <c r="S109" s="898">
        <f t="shared" si="22"/>
        <v>34.5622914862142</v>
      </c>
      <c r="T109" s="898">
        <f t="shared" si="22"/>
        <v>32.911827999892694</v>
      </c>
      <c r="U109" s="898">
        <f t="shared" si="22"/>
        <v>29.610901027249692</v>
      </c>
      <c r="V109" s="898">
        <f t="shared" si="22"/>
        <v>27.96043754092819</v>
      </c>
      <c r="W109" s="898">
        <f t="shared" si="22"/>
        <v>24.659510568285185</v>
      </c>
      <c r="X109" s="898">
        <f t="shared" si="22"/>
        <v>21.358583595642212</v>
      </c>
      <c r="Y109" s="898">
        <f t="shared" si="22"/>
        <v>18.057656622999207</v>
      </c>
      <c r="Z109" s="898">
        <f t="shared" si="22"/>
        <v>14.756729650356204</v>
      </c>
      <c r="AA109" s="900"/>
      <c r="AB109" s="900"/>
      <c r="AC109" s="902"/>
      <c r="AD109" s="902"/>
      <c r="AE109" s="902"/>
      <c r="AF109" s="902"/>
      <c r="AG109" s="902"/>
      <c r="AH109" s="902"/>
      <c r="AI109" s="645"/>
      <c r="AJ109" s="902">
        <f t="shared" si="31"/>
        <v>0</v>
      </c>
      <c r="AK109" s="909">
        <f t="shared" si="28"/>
        <v>12.5</v>
      </c>
      <c r="AL109" s="645">
        <f t="shared" si="29"/>
        <v>-1000000000</v>
      </c>
      <c r="AM109" s="902">
        <f t="shared" si="20"/>
        <v>0</v>
      </c>
      <c r="AN109" s="902">
        <f t="shared" si="20"/>
        <v>0</v>
      </c>
      <c r="AO109" s="902">
        <f t="shared" si="20"/>
        <v>0</v>
      </c>
      <c r="AP109" s="902">
        <f t="shared" si="20"/>
        <v>0</v>
      </c>
      <c r="AQ109" s="902">
        <f t="shared" si="20"/>
        <v>0</v>
      </c>
      <c r="AR109" s="902">
        <f t="shared" si="20"/>
        <v>0</v>
      </c>
      <c r="AS109" s="902">
        <f t="shared" si="20"/>
        <v>0</v>
      </c>
      <c r="AT109" s="645">
        <f t="shared" si="18"/>
        <v>0</v>
      </c>
      <c r="AU109" s="880">
        <f t="shared" si="30"/>
        <v>0</v>
      </c>
      <c r="AV109" s="880">
        <f t="shared" si="21"/>
        <v>0</v>
      </c>
      <c r="AW109" s="880">
        <f t="shared" si="21"/>
        <v>0</v>
      </c>
      <c r="AX109" s="880">
        <f t="shared" si="21"/>
        <v>0</v>
      </c>
      <c r="AY109" s="880">
        <f t="shared" si="21"/>
        <v>0</v>
      </c>
      <c r="AZ109" s="880">
        <f t="shared" si="21"/>
        <v>0</v>
      </c>
      <c r="BA109" s="880">
        <f t="shared" si="21"/>
        <v>0</v>
      </c>
      <c r="BB109" s="880">
        <f t="shared" si="21"/>
        <v>0</v>
      </c>
      <c r="BC109" s="904">
        <f t="shared" si="19"/>
        <v>0</v>
      </c>
    </row>
    <row r="110" spans="2:55" ht="15" customHeight="1" x14ac:dyDescent="0.25">
      <c r="B110" s="674">
        <f>J22</f>
        <v>9.9</v>
      </c>
      <c r="C110" s="910"/>
      <c r="D110" s="921"/>
      <c r="E110" s="911"/>
      <c r="F110" s="911"/>
      <c r="G110" s="860"/>
      <c r="H110" s="860">
        <f>$J$10</f>
        <v>99</v>
      </c>
      <c r="I110" s="860"/>
      <c r="J110" s="860"/>
      <c r="K110" s="912"/>
      <c r="L110" s="806">
        <f t="shared" si="23"/>
        <v>145</v>
      </c>
      <c r="M110" s="895">
        <f t="shared" si="24"/>
        <v>-1000000</v>
      </c>
      <c r="N110" s="806">
        <f t="shared" si="25"/>
        <v>100</v>
      </c>
      <c r="P110" s="900">
        <f t="shared" si="26"/>
        <v>74</v>
      </c>
      <c r="Q110" s="908">
        <f t="shared" si="27"/>
        <v>71</v>
      </c>
      <c r="R110" s="898">
        <f t="shared" si="22"/>
        <v>43.541806986611846</v>
      </c>
      <c r="S110" s="898">
        <f t="shared" si="22"/>
        <v>35.178335015544931</v>
      </c>
      <c r="T110" s="898">
        <f t="shared" si="22"/>
        <v>33.505640621331544</v>
      </c>
      <c r="U110" s="898">
        <f t="shared" si="22"/>
        <v>30.160251832904784</v>
      </c>
      <c r="V110" s="898">
        <f t="shared" si="22"/>
        <v>28.487557438691397</v>
      </c>
      <c r="W110" s="898">
        <f t="shared" si="22"/>
        <v>25.142168650264633</v>
      </c>
      <c r="X110" s="898">
        <f t="shared" si="22"/>
        <v>21.796779861837905</v>
      </c>
      <c r="Y110" s="898">
        <f t="shared" si="22"/>
        <v>18.451391073411138</v>
      </c>
      <c r="Z110" s="898">
        <f t="shared" si="22"/>
        <v>15.106002284984372</v>
      </c>
      <c r="AA110" s="900"/>
      <c r="AB110" s="900"/>
      <c r="AC110" s="902"/>
      <c r="AD110" s="902"/>
      <c r="AE110" s="902"/>
      <c r="AF110" s="916">
        <f>B170</f>
        <v>30.5</v>
      </c>
      <c r="AG110" s="902"/>
      <c r="AH110" s="902"/>
      <c r="AI110" s="645"/>
      <c r="AJ110" s="902">
        <f t="shared" si="31"/>
        <v>0</v>
      </c>
      <c r="AK110" s="909">
        <f t="shared" si="28"/>
        <v>12.5</v>
      </c>
      <c r="AL110" s="645">
        <f t="shared" si="29"/>
        <v>-1000000000</v>
      </c>
      <c r="AM110" s="902">
        <f t="shared" si="20"/>
        <v>0</v>
      </c>
      <c r="AN110" s="902">
        <f t="shared" si="20"/>
        <v>0</v>
      </c>
      <c r="AO110" s="902">
        <f t="shared" si="20"/>
        <v>0</v>
      </c>
      <c r="AP110" s="902">
        <f t="shared" si="20"/>
        <v>0</v>
      </c>
      <c r="AQ110" s="902">
        <f t="shared" si="20"/>
        <v>1</v>
      </c>
      <c r="AR110" s="902">
        <f t="shared" si="20"/>
        <v>0</v>
      </c>
      <c r="AS110" s="902">
        <f t="shared" si="20"/>
        <v>0</v>
      </c>
      <c r="AT110" s="645">
        <f t="shared" si="18"/>
        <v>0</v>
      </c>
      <c r="AU110" s="880">
        <f t="shared" si="30"/>
        <v>0</v>
      </c>
      <c r="AV110" s="880">
        <f t="shared" si="21"/>
        <v>0</v>
      </c>
      <c r="AW110" s="880">
        <f t="shared" si="21"/>
        <v>0</v>
      </c>
      <c r="AX110" s="880">
        <f t="shared" si="21"/>
        <v>0</v>
      </c>
      <c r="AY110" s="880">
        <f t="shared" si="21"/>
        <v>0</v>
      </c>
      <c r="AZ110" s="880">
        <f t="shared" si="21"/>
        <v>28.706356772207105</v>
      </c>
      <c r="BA110" s="880">
        <f t="shared" si="21"/>
        <v>0</v>
      </c>
      <c r="BB110" s="880">
        <f t="shared" si="21"/>
        <v>0</v>
      </c>
      <c r="BC110" s="904">
        <f t="shared" si="19"/>
        <v>0</v>
      </c>
    </row>
    <row r="111" spans="2:55" ht="15" customHeight="1" x14ac:dyDescent="0.25">
      <c r="B111" s="917">
        <f>B106+$B$34</f>
        <v>10</v>
      </c>
      <c r="C111" s="920"/>
      <c r="D111" s="921"/>
      <c r="E111" s="911"/>
      <c r="F111" s="922"/>
      <c r="G111" s="860"/>
      <c r="H111" s="922"/>
      <c r="I111" s="860"/>
      <c r="J111" s="911"/>
      <c r="K111" s="912">
        <f>$K$13</f>
        <v>80</v>
      </c>
      <c r="L111" s="806">
        <f t="shared" si="23"/>
        <v>145</v>
      </c>
      <c r="M111" s="895">
        <f t="shared" si="24"/>
        <v>-1000000</v>
      </c>
      <c r="N111" s="806">
        <f t="shared" si="25"/>
        <v>100</v>
      </c>
      <c r="P111" s="900">
        <f t="shared" si="26"/>
        <v>75</v>
      </c>
      <c r="Q111" s="908">
        <f t="shared" si="27"/>
        <v>70</v>
      </c>
      <c r="R111" s="898">
        <f t="shared" si="22"/>
        <v>44.277584286083794</v>
      </c>
      <c r="S111" s="898">
        <f t="shared" si="22"/>
        <v>35.803008014897344</v>
      </c>
      <c r="T111" s="898">
        <f t="shared" si="22"/>
        <v>34.108092760660057</v>
      </c>
      <c r="U111" s="898">
        <f t="shared" si="22"/>
        <v>30.718262252185479</v>
      </c>
      <c r="V111" s="898">
        <f t="shared" si="22"/>
        <v>29.023346997948192</v>
      </c>
      <c r="W111" s="898">
        <f t="shared" si="22"/>
        <v>25.63351648947361</v>
      </c>
      <c r="X111" s="898">
        <f t="shared" si="22"/>
        <v>22.243685980999068</v>
      </c>
      <c r="Y111" s="898">
        <f t="shared" si="22"/>
        <v>18.85385547252449</v>
      </c>
      <c r="Z111" s="898">
        <f t="shared" si="22"/>
        <v>15.46402496404991</v>
      </c>
      <c r="AA111" s="900"/>
      <c r="AB111" s="900"/>
      <c r="AC111" s="902"/>
      <c r="AD111" s="902"/>
      <c r="AE111" s="902"/>
      <c r="AF111" s="902"/>
      <c r="AG111" s="902"/>
      <c r="AH111" s="902"/>
      <c r="AI111" s="645"/>
      <c r="AJ111" s="902">
        <f t="shared" si="31"/>
        <v>0</v>
      </c>
      <c r="AK111" s="909">
        <f t="shared" si="28"/>
        <v>12.5</v>
      </c>
      <c r="AL111" s="645">
        <f t="shared" si="29"/>
        <v>-1000000000</v>
      </c>
      <c r="AM111" s="902">
        <f t="shared" si="20"/>
        <v>0</v>
      </c>
      <c r="AN111" s="902">
        <f t="shared" si="20"/>
        <v>0</v>
      </c>
      <c r="AO111" s="902">
        <f t="shared" si="20"/>
        <v>0</v>
      </c>
      <c r="AP111" s="902">
        <f t="shared" si="20"/>
        <v>0</v>
      </c>
      <c r="AQ111" s="902">
        <f t="shared" si="20"/>
        <v>0</v>
      </c>
      <c r="AR111" s="902">
        <f t="shared" si="20"/>
        <v>0</v>
      </c>
      <c r="AS111" s="902">
        <f t="shared" si="20"/>
        <v>0</v>
      </c>
      <c r="AT111" s="645">
        <f t="shared" si="18"/>
        <v>0</v>
      </c>
      <c r="AU111" s="880">
        <f t="shared" si="30"/>
        <v>0</v>
      </c>
      <c r="AV111" s="880">
        <f t="shared" si="21"/>
        <v>0</v>
      </c>
      <c r="AW111" s="880">
        <f t="shared" si="21"/>
        <v>0</v>
      </c>
      <c r="AX111" s="880">
        <f t="shared" si="21"/>
        <v>0</v>
      </c>
      <c r="AY111" s="880">
        <f t="shared" si="21"/>
        <v>0</v>
      </c>
      <c r="AZ111" s="880">
        <f t="shared" si="21"/>
        <v>0</v>
      </c>
      <c r="BA111" s="880">
        <f t="shared" si="21"/>
        <v>0</v>
      </c>
      <c r="BB111" s="880">
        <f t="shared" si="21"/>
        <v>0</v>
      </c>
      <c r="BC111" s="904">
        <f t="shared" si="19"/>
        <v>0</v>
      </c>
    </row>
    <row r="112" spans="2:55" ht="15" customHeight="1" x14ac:dyDescent="0.25">
      <c r="B112" s="674">
        <f>J21</f>
        <v>10.199999999999999</v>
      </c>
      <c r="C112" s="910"/>
      <c r="D112" s="921"/>
      <c r="E112" s="911"/>
      <c r="F112" s="922"/>
      <c r="G112" s="860">
        <f>$J$9</f>
        <v>102</v>
      </c>
      <c r="H112" s="922"/>
      <c r="I112" s="860"/>
      <c r="J112" s="911"/>
      <c r="K112" s="914"/>
      <c r="L112" s="806">
        <f t="shared" si="23"/>
        <v>145</v>
      </c>
      <c r="M112" s="895">
        <f t="shared" si="24"/>
        <v>-1000000</v>
      </c>
      <c r="N112" s="806">
        <f t="shared" si="25"/>
        <v>100</v>
      </c>
      <c r="P112" s="900">
        <f t="shared" si="26"/>
        <v>76</v>
      </c>
      <c r="Q112" s="908">
        <f t="shared" si="27"/>
        <v>69</v>
      </c>
      <c r="R112" s="898">
        <f t="shared" si="22"/>
        <v>45.022284286117817</v>
      </c>
      <c r="S112" s="898">
        <f t="shared" si="22"/>
        <v>36.43665392009882</v>
      </c>
      <c r="T112" s="898">
        <f t="shared" si="22"/>
        <v>34.719527846895026</v>
      </c>
      <c r="U112" s="898">
        <f t="shared" si="22"/>
        <v>31.285275700487432</v>
      </c>
      <c r="V112" s="898">
        <f t="shared" si="22"/>
        <v>29.568149627283638</v>
      </c>
      <c r="W112" s="898">
        <f t="shared" si="22"/>
        <v>26.133897480876044</v>
      </c>
      <c r="X112" s="898">
        <f t="shared" si="22"/>
        <v>22.699645334468485</v>
      </c>
      <c r="Y112" s="898">
        <f t="shared" si="22"/>
        <v>19.265393188060891</v>
      </c>
      <c r="Z112" s="898">
        <f t="shared" si="22"/>
        <v>15.831141041653296</v>
      </c>
      <c r="AA112" s="900"/>
      <c r="AB112" s="900"/>
      <c r="AC112" s="902"/>
      <c r="AD112" s="902"/>
      <c r="AE112" s="902"/>
      <c r="AF112" s="902"/>
      <c r="AG112" s="902"/>
      <c r="AH112" s="902"/>
      <c r="AI112" s="645"/>
      <c r="AJ112" s="902">
        <f t="shared" si="31"/>
        <v>0</v>
      </c>
      <c r="AK112" s="909">
        <f t="shared" si="28"/>
        <v>12.5</v>
      </c>
      <c r="AL112" s="645">
        <f t="shared" si="29"/>
        <v>-1000000000</v>
      </c>
      <c r="AM112" s="902">
        <f t="shared" si="20"/>
        <v>0</v>
      </c>
      <c r="AN112" s="902">
        <f t="shared" si="20"/>
        <v>0</v>
      </c>
      <c r="AO112" s="902">
        <f t="shared" si="20"/>
        <v>0</v>
      </c>
      <c r="AP112" s="902">
        <f t="shared" si="20"/>
        <v>0</v>
      </c>
      <c r="AQ112" s="902">
        <f t="shared" si="20"/>
        <v>0</v>
      </c>
      <c r="AR112" s="902">
        <f t="shared" si="20"/>
        <v>0</v>
      </c>
      <c r="AS112" s="902">
        <f t="shared" si="20"/>
        <v>0</v>
      </c>
      <c r="AT112" s="645">
        <f t="shared" si="18"/>
        <v>0</v>
      </c>
      <c r="AU112" s="880">
        <f t="shared" si="30"/>
        <v>0</v>
      </c>
      <c r="AV112" s="880">
        <f t="shared" si="21"/>
        <v>0</v>
      </c>
      <c r="AW112" s="880">
        <f t="shared" si="21"/>
        <v>0</v>
      </c>
      <c r="AX112" s="880">
        <f t="shared" si="21"/>
        <v>0</v>
      </c>
      <c r="AY112" s="880">
        <f t="shared" si="21"/>
        <v>0</v>
      </c>
      <c r="AZ112" s="880">
        <f t="shared" si="21"/>
        <v>0</v>
      </c>
      <c r="BA112" s="880">
        <f t="shared" si="21"/>
        <v>0</v>
      </c>
      <c r="BB112" s="880">
        <f t="shared" si="21"/>
        <v>0</v>
      </c>
      <c r="BC112" s="904">
        <f t="shared" si="19"/>
        <v>0</v>
      </c>
    </row>
    <row r="113" spans="2:55" ht="15" customHeight="1" x14ac:dyDescent="0.25">
      <c r="B113" s="674">
        <f>J20</f>
        <v>10.25</v>
      </c>
      <c r="C113" s="910"/>
      <c r="D113" s="921"/>
      <c r="E113" s="911"/>
      <c r="F113" s="860">
        <f>$J$8</f>
        <v>102.5</v>
      </c>
      <c r="G113" s="860"/>
      <c r="H113" s="922"/>
      <c r="I113" s="911"/>
      <c r="J113" s="911"/>
      <c r="K113" s="914"/>
      <c r="L113" s="806">
        <f t="shared" si="23"/>
        <v>145</v>
      </c>
      <c r="M113" s="895">
        <f t="shared" si="24"/>
        <v>-1000000</v>
      </c>
      <c r="N113" s="806">
        <f t="shared" si="25"/>
        <v>100</v>
      </c>
      <c r="O113" s="923"/>
      <c r="P113" s="900">
        <f t="shared" si="26"/>
        <v>77</v>
      </c>
      <c r="Q113" s="908">
        <f t="shared" si="27"/>
        <v>68</v>
      </c>
      <c r="R113" s="898">
        <f t="shared" si="22"/>
        <v>45.776263344291905</v>
      </c>
      <c r="S113" s="898">
        <f t="shared" si="22"/>
        <v>37.079629054705265</v>
      </c>
      <c r="T113" s="898">
        <f t="shared" si="22"/>
        <v>35.340302196787938</v>
      </c>
      <c r="U113" s="898">
        <f t="shared" si="22"/>
        <v>31.861648480953288</v>
      </c>
      <c r="V113" s="898">
        <f t="shared" si="22"/>
        <v>30.122321623035958</v>
      </c>
      <c r="W113" s="898">
        <f t="shared" si="22"/>
        <v>26.643667907201305</v>
      </c>
      <c r="X113" s="898">
        <f t="shared" si="22"/>
        <v>23.165014191366687</v>
      </c>
      <c r="Y113" s="898">
        <f t="shared" si="22"/>
        <v>19.686360475532034</v>
      </c>
      <c r="Z113" s="898">
        <f t="shared" si="22"/>
        <v>16.207706759697381</v>
      </c>
      <c r="AA113" s="900"/>
      <c r="AB113" s="900"/>
      <c r="AC113" s="902"/>
      <c r="AD113" s="902"/>
      <c r="AE113" s="902"/>
      <c r="AF113" s="902"/>
      <c r="AG113" s="902"/>
      <c r="AH113" s="902"/>
      <c r="AI113" s="904">
        <f>B144</f>
        <v>19.333333333333332</v>
      </c>
      <c r="AJ113" s="902">
        <f t="shared" si="31"/>
        <v>0</v>
      </c>
      <c r="AK113" s="909">
        <f t="shared" si="28"/>
        <v>12.5</v>
      </c>
      <c r="AL113" s="645">
        <f t="shared" si="29"/>
        <v>-1000000000</v>
      </c>
      <c r="AM113" s="902">
        <f t="shared" si="20"/>
        <v>0</v>
      </c>
      <c r="AN113" s="902">
        <f t="shared" si="20"/>
        <v>0</v>
      </c>
      <c r="AO113" s="902">
        <f t="shared" si="20"/>
        <v>0</v>
      </c>
      <c r="AP113" s="902">
        <f t="shared" si="20"/>
        <v>0</v>
      </c>
      <c r="AQ113" s="902">
        <f t="shared" si="20"/>
        <v>0</v>
      </c>
      <c r="AR113" s="902">
        <f t="shared" si="20"/>
        <v>0</v>
      </c>
      <c r="AS113" s="902">
        <f t="shared" si="20"/>
        <v>0</v>
      </c>
      <c r="AT113" s="645">
        <f t="shared" si="18"/>
        <v>1</v>
      </c>
      <c r="AU113" s="880">
        <f t="shared" si="30"/>
        <v>0</v>
      </c>
      <c r="AV113" s="880">
        <f t="shared" si="21"/>
        <v>0</v>
      </c>
      <c r="AW113" s="880">
        <f t="shared" si="21"/>
        <v>0</v>
      </c>
      <c r="AX113" s="880">
        <f t="shared" si="21"/>
        <v>0</v>
      </c>
      <c r="AY113" s="880">
        <f t="shared" si="21"/>
        <v>0</v>
      </c>
      <c r="AZ113" s="880">
        <f t="shared" si="21"/>
        <v>0</v>
      </c>
      <c r="BA113" s="880">
        <f t="shared" si="21"/>
        <v>0</v>
      </c>
      <c r="BB113" s="880">
        <f t="shared" si="21"/>
        <v>0</v>
      </c>
      <c r="BC113" s="904">
        <f t="shared" si="19"/>
        <v>9.7695414778192191</v>
      </c>
    </row>
    <row r="114" spans="2:55" ht="15" customHeight="1" x14ac:dyDescent="0.25">
      <c r="B114" s="674">
        <f>J19</f>
        <v>10.3</v>
      </c>
      <c r="C114" s="910"/>
      <c r="D114" s="921"/>
      <c r="E114" s="860">
        <f>$J$7</f>
        <v>103</v>
      </c>
      <c r="F114" s="922"/>
      <c r="G114" s="860"/>
      <c r="H114" s="922"/>
      <c r="I114" s="911"/>
      <c r="J114" s="911"/>
      <c r="K114" s="914"/>
      <c r="L114" s="806">
        <f t="shared" si="23"/>
        <v>145</v>
      </c>
      <c r="M114" s="895">
        <f t="shared" si="24"/>
        <v>-1000000</v>
      </c>
      <c r="N114" s="806">
        <f t="shared" si="25"/>
        <v>100</v>
      </c>
      <c r="P114" s="900">
        <f t="shared" si="26"/>
        <v>78</v>
      </c>
      <c r="Q114" s="908">
        <f t="shared" si="27"/>
        <v>67</v>
      </c>
      <c r="R114" s="898">
        <f t="shared" si="22"/>
        <v>46.539891177245629</v>
      </c>
      <c r="S114" s="898">
        <f t="shared" si="22"/>
        <v>37.732303101364856</v>
      </c>
      <c r="T114" s="898">
        <f t="shared" si="22"/>
        <v>35.970785486188703</v>
      </c>
      <c r="U114" s="898">
        <f t="shared" si="22"/>
        <v>32.447750255836397</v>
      </c>
      <c r="V114" s="898">
        <f t="shared" si="22"/>
        <v>30.686232640660243</v>
      </c>
      <c r="W114" s="898">
        <f t="shared" si="22"/>
        <v>27.163197410307937</v>
      </c>
      <c r="X114" s="898">
        <f t="shared" si="22"/>
        <v>23.64016217995567</v>
      </c>
      <c r="Y114" s="898">
        <f t="shared" si="22"/>
        <v>20.117126949603364</v>
      </c>
      <c r="Z114" s="898">
        <f t="shared" si="22"/>
        <v>16.594091719251058</v>
      </c>
      <c r="AA114" s="900"/>
      <c r="AB114" s="900"/>
      <c r="AC114" s="902"/>
      <c r="AD114" s="902"/>
      <c r="AE114" s="902"/>
      <c r="AF114" s="902"/>
      <c r="AG114" s="916">
        <f>B167</f>
        <v>28.5</v>
      </c>
      <c r="AH114" s="902"/>
      <c r="AI114" s="645"/>
      <c r="AJ114" s="902">
        <f t="shared" si="31"/>
        <v>0</v>
      </c>
      <c r="AK114" s="909">
        <f t="shared" si="28"/>
        <v>12.5</v>
      </c>
      <c r="AL114" s="645">
        <f t="shared" si="29"/>
        <v>-1000000000</v>
      </c>
      <c r="AM114" s="902">
        <f t="shared" si="20"/>
        <v>0</v>
      </c>
      <c r="AN114" s="902">
        <f t="shared" si="20"/>
        <v>0</v>
      </c>
      <c r="AO114" s="902">
        <f t="shared" si="20"/>
        <v>0</v>
      </c>
      <c r="AP114" s="902">
        <f t="shared" si="20"/>
        <v>0</v>
      </c>
      <c r="AQ114" s="902">
        <f t="shared" si="20"/>
        <v>0</v>
      </c>
      <c r="AR114" s="902">
        <f t="shared" si="20"/>
        <v>1</v>
      </c>
      <c r="AS114" s="902">
        <f t="shared" si="20"/>
        <v>0</v>
      </c>
      <c r="AT114" s="645">
        <f t="shared" si="18"/>
        <v>0</v>
      </c>
      <c r="AU114" s="880">
        <f t="shared" si="30"/>
        <v>0</v>
      </c>
      <c r="AV114" s="880">
        <f t="shared" si="21"/>
        <v>0</v>
      </c>
      <c r="AW114" s="880">
        <f t="shared" si="21"/>
        <v>0</v>
      </c>
      <c r="AX114" s="880">
        <f t="shared" si="21"/>
        <v>0</v>
      </c>
      <c r="AY114" s="880">
        <f t="shared" si="21"/>
        <v>0</v>
      </c>
      <c r="AZ114" s="880">
        <f t="shared" si="21"/>
        <v>0</v>
      </c>
      <c r="BA114" s="880">
        <f t="shared" si="21"/>
        <v>23.618023637133224</v>
      </c>
      <c r="BB114" s="880">
        <f t="shared" si="21"/>
        <v>0</v>
      </c>
      <c r="BC114" s="904">
        <f t="shared" si="19"/>
        <v>0</v>
      </c>
    </row>
    <row r="115" spans="2:55" ht="15" customHeight="1" x14ac:dyDescent="0.25">
      <c r="B115" s="674">
        <f>J18</f>
        <v>10.39</v>
      </c>
      <c r="C115" s="910"/>
      <c r="D115" s="860">
        <f>$J$6</f>
        <v>103.9</v>
      </c>
      <c r="E115" s="911"/>
      <c r="F115" s="922"/>
      <c r="G115" s="860"/>
      <c r="H115" s="922"/>
      <c r="I115" s="860"/>
      <c r="J115" s="911"/>
      <c r="K115" s="914"/>
      <c r="L115" s="806">
        <f t="shared" si="23"/>
        <v>145</v>
      </c>
      <c r="M115" s="895">
        <f t="shared" si="24"/>
        <v>-1000000</v>
      </c>
      <c r="N115" s="806">
        <f t="shared" si="25"/>
        <v>100</v>
      </c>
      <c r="O115" s="652"/>
      <c r="P115" s="900">
        <f t="shared" si="26"/>
        <v>79</v>
      </c>
      <c r="Q115" s="908">
        <f t="shared" si="27"/>
        <v>66</v>
      </c>
      <c r="R115" s="898">
        <f t="shared" si="22"/>
        <v>47.313551348954711</v>
      </c>
      <c r="S115" s="898">
        <f t="shared" si="22"/>
        <v>38.395059590092664</v>
      </c>
      <c r="T115" s="898">
        <f t="shared" si="22"/>
        <v>36.611361238320256</v>
      </c>
      <c r="U115" s="898">
        <f t="shared" si="22"/>
        <v>33.043964534775434</v>
      </c>
      <c r="V115" s="898">
        <f t="shared" si="22"/>
        <v>31.260266183003019</v>
      </c>
      <c r="W115" s="898">
        <f t="shared" si="22"/>
        <v>27.692869479458203</v>
      </c>
      <c r="X115" s="898">
        <f t="shared" si="22"/>
        <v>24.125472775913419</v>
      </c>
      <c r="Y115" s="898">
        <f t="shared" si="22"/>
        <v>20.558076072368596</v>
      </c>
      <c r="Z115" s="898">
        <f t="shared" si="22"/>
        <v>16.990679368823777</v>
      </c>
      <c r="AA115" s="900"/>
      <c r="AB115" s="900"/>
      <c r="AC115" s="902"/>
      <c r="AD115" s="902"/>
      <c r="AE115" s="902"/>
      <c r="AF115" s="902"/>
      <c r="AG115" s="902"/>
      <c r="AH115" s="902"/>
      <c r="AI115" s="645"/>
      <c r="AJ115" s="902">
        <f t="shared" si="31"/>
        <v>0</v>
      </c>
      <c r="AK115" s="909">
        <f t="shared" si="28"/>
        <v>12.5</v>
      </c>
      <c r="AL115" s="645">
        <f t="shared" si="29"/>
        <v>-1000000000</v>
      </c>
      <c r="AM115" s="902">
        <f t="shared" si="20"/>
        <v>0</v>
      </c>
      <c r="AN115" s="902">
        <f t="shared" si="20"/>
        <v>0</v>
      </c>
      <c r="AO115" s="902">
        <f t="shared" si="20"/>
        <v>0</v>
      </c>
      <c r="AP115" s="902">
        <f t="shared" si="20"/>
        <v>0</v>
      </c>
      <c r="AQ115" s="902">
        <f t="shared" si="20"/>
        <v>0</v>
      </c>
      <c r="AR115" s="902">
        <f t="shared" si="20"/>
        <v>0</v>
      </c>
      <c r="AS115" s="902">
        <f t="shared" si="20"/>
        <v>0</v>
      </c>
      <c r="AT115" s="645">
        <f t="shared" si="18"/>
        <v>0</v>
      </c>
      <c r="AU115" s="880">
        <f t="shared" si="30"/>
        <v>0</v>
      </c>
      <c r="AV115" s="880">
        <f t="shared" si="21"/>
        <v>0</v>
      </c>
      <c r="AW115" s="880">
        <f t="shared" si="21"/>
        <v>0</v>
      </c>
      <c r="AX115" s="880">
        <f t="shared" si="21"/>
        <v>0</v>
      </c>
      <c r="AY115" s="880">
        <f t="shared" si="21"/>
        <v>0</v>
      </c>
      <c r="AZ115" s="880">
        <f t="shared" si="21"/>
        <v>0</v>
      </c>
      <c r="BA115" s="880">
        <f t="shared" si="21"/>
        <v>0</v>
      </c>
      <c r="BB115" s="880">
        <f t="shared" si="21"/>
        <v>0</v>
      </c>
      <c r="BC115" s="904">
        <f t="shared" si="19"/>
        <v>0</v>
      </c>
    </row>
    <row r="116" spans="2:55" ht="15" customHeight="1" x14ac:dyDescent="0.25">
      <c r="B116" s="917">
        <f>J17</f>
        <v>10.5</v>
      </c>
      <c r="C116" s="647">
        <f>$J$5</f>
        <v>105</v>
      </c>
      <c r="D116" s="921"/>
      <c r="E116" s="911"/>
      <c r="F116" s="922"/>
      <c r="G116" s="860"/>
      <c r="H116" s="922"/>
      <c r="I116" s="860"/>
      <c r="J116" s="911"/>
      <c r="K116" s="914"/>
      <c r="L116" s="806">
        <f t="shared" si="23"/>
        <v>145</v>
      </c>
      <c r="M116" s="895">
        <f t="shared" si="24"/>
        <v>-1000000</v>
      </c>
      <c r="N116" s="806">
        <f t="shared" si="25"/>
        <v>100</v>
      </c>
      <c r="O116" s="652"/>
      <c r="P116" s="900">
        <f t="shared" si="26"/>
        <v>80</v>
      </c>
      <c r="Q116" s="908">
        <f t="shared" si="27"/>
        <v>65</v>
      </c>
      <c r="R116" s="898">
        <f t="shared" ref="R116:Z135" si="32">($G$26-$Q116)*(($C$31+$L$33-R$34)-($L$33/$P$32)*(1-EXP(-$Q116/$G$27)))/($T$32-$Q116*$I$29)</f>
        <v>48.09764177651428</v>
      </c>
      <c r="S116" s="898">
        <f t="shared" si="32"/>
        <v>39.068296404053775</v>
      </c>
      <c r="T116" s="898">
        <f t="shared" si="32"/>
        <v>37.262427329561675</v>
      </c>
      <c r="U116" s="898">
        <f t="shared" si="32"/>
        <v>33.650689180577473</v>
      </c>
      <c r="V116" s="898">
        <f t="shared" si="32"/>
        <v>31.844820106085375</v>
      </c>
      <c r="W116" s="898">
        <f t="shared" si="32"/>
        <v>28.233081957101174</v>
      </c>
      <c r="X116" s="898">
        <f t="shared" si="32"/>
        <v>24.621343808117011</v>
      </c>
      <c r="Y116" s="898">
        <f t="shared" si="32"/>
        <v>21.009605659132809</v>
      </c>
      <c r="Z116" s="898">
        <f t="shared" si="32"/>
        <v>17.397867510148608</v>
      </c>
      <c r="AA116" s="900"/>
      <c r="AB116" s="900"/>
      <c r="AC116" s="902"/>
      <c r="AD116" s="902"/>
      <c r="AE116" s="902"/>
      <c r="AF116" s="902"/>
      <c r="AG116" s="902"/>
      <c r="AH116" s="902"/>
      <c r="AI116" s="645"/>
      <c r="AJ116" s="902">
        <f t="shared" si="31"/>
        <v>0</v>
      </c>
      <c r="AK116" s="909">
        <f t="shared" si="28"/>
        <v>12.5</v>
      </c>
      <c r="AL116" s="645">
        <f t="shared" si="29"/>
        <v>-1000000000</v>
      </c>
      <c r="AM116" s="902">
        <f t="shared" si="20"/>
        <v>0</v>
      </c>
      <c r="AN116" s="902">
        <f t="shared" si="20"/>
        <v>0</v>
      </c>
      <c r="AO116" s="902">
        <f t="shared" si="20"/>
        <v>0</v>
      </c>
      <c r="AP116" s="902">
        <f t="shared" si="20"/>
        <v>0</v>
      </c>
      <c r="AQ116" s="902">
        <f t="shared" si="20"/>
        <v>0</v>
      </c>
      <c r="AR116" s="902">
        <f t="shared" si="20"/>
        <v>0</v>
      </c>
      <c r="AS116" s="902">
        <f t="shared" si="20"/>
        <v>0</v>
      </c>
      <c r="AT116" s="645">
        <f t="shared" si="18"/>
        <v>0</v>
      </c>
      <c r="AU116" s="880">
        <f t="shared" si="30"/>
        <v>0</v>
      </c>
      <c r="AV116" s="880">
        <f t="shared" si="21"/>
        <v>0</v>
      </c>
      <c r="AW116" s="880">
        <f t="shared" si="21"/>
        <v>0</v>
      </c>
      <c r="AX116" s="880">
        <f t="shared" si="21"/>
        <v>0</v>
      </c>
      <c r="AY116" s="880">
        <f t="shared" si="21"/>
        <v>0</v>
      </c>
      <c r="AZ116" s="880">
        <f t="shared" si="21"/>
        <v>0</v>
      </c>
      <c r="BA116" s="880">
        <f t="shared" si="21"/>
        <v>0</v>
      </c>
      <c r="BB116" s="880">
        <f t="shared" si="21"/>
        <v>0</v>
      </c>
      <c r="BC116" s="904">
        <f t="shared" si="19"/>
        <v>0</v>
      </c>
    </row>
    <row r="117" spans="2:55" ht="15" customHeight="1" x14ac:dyDescent="0.25">
      <c r="B117" s="674">
        <f>K24</f>
        <v>10.625</v>
      </c>
      <c r="C117" s="910"/>
      <c r="D117" s="921"/>
      <c r="E117" s="911"/>
      <c r="F117" s="922"/>
      <c r="G117" s="860"/>
      <c r="H117" s="922"/>
      <c r="I117" s="860"/>
      <c r="J117" s="860">
        <f>$K$12</f>
        <v>85</v>
      </c>
      <c r="K117" s="914"/>
      <c r="L117" s="806">
        <f t="shared" si="23"/>
        <v>145</v>
      </c>
      <c r="M117" s="895">
        <f t="shared" si="24"/>
        <v>-1000000</v>
      </c>
      <c r="N117" s="806">
        <f t="shared" si="25"/>
        <v>100</v>
      </c>
      <c r="P117" s="900">
        <f t="shared" si="26"/>
        <v>81</v>
      </c>
      <c r="Q117" s="908">
        <f t="shared" si="27"/>
        <v>64</v>
      </c>
      <c r="R117" s="898">
        <f t="shared" si="32"/>
        <v>48.892575254049305</v>
      </c>
      <c r="S117" s="898">
        <f t="shared" si="32"/>
        <v>39.752426303473804</v>
      </c>
      <c r="T117" s="898">
        <f t="shared" si="32"/>
        <v>37.924396513358701</v>
      </c>
      <c r="U117" s="898">
        <f t="shared" si="32"/>
        <v>34.268336933128502</v>
      </c>
      <c r="V117" s="898">
        <f t="shared" si="32"/>
        <v>32.440307143013406</v>
      </c>
      <c r="W117" s="898">
        <f t="shared" si="32"/>
        <v>28.784247562783207</v>
      </c>
      <c r="X117" s="898">
        <f t="shared" si="32"/>
        <v>25.128187982553047</v>
      </c>
      <c r="Y117" s="898">
        <f t="shared" si="32"/>
        <v>21.472128402322848</v>
      </c>
      <c r="Z117" s="898">
        <f t="shared" si="32"/>
        <v>17.81606882209265</v>
      </c>
      <c r="AA117" s="900"/>
      <c r="AB117" s="900"/>
      <c r="AC117" s="902"/>
      <c r="AD117" s="902"/>
      <c r="AE117" s="902"/>
      <c r="AF117" s="902"/>
      <c r="AG117" s="902"/>
      <c r="AH117" s="317">
        <f>B165</f>
        <v>27</v>
      </c>
      <c r="AI117" s="645"/>
      <c r="AJ117" s="902">
        <f t="shared" si="31"/>
        <v>0</v>
      </c>
      <c r="AK117" s="909">
        <f t="shared" si="28"/>
        <v>12.5</v>
      </c>
      <c r="AL117" s="645">
        <f t="shared" si="29"/>
        <v>-1000000000</v>
      </c>
      <c r="AM117" s="902">
        <f t="shared" si="20"/>
        <v>0</v>
      </c>
      <c r="AN117" s="902">
        <f t="shared" si="20"/>
        <v>0</v>
      </c>
      <c r="AO117" s="902">
        <f t="shared" si="20"/>
        <v>0</v>
      </c>
      <c r="AP117" s="902">
        <f t="shared" si="20"/>
        <v>0</v>
      </c>
      <c r="AQ117" s="902">
        <f t="shared" si="20"/>
        <v>0</v>
      </c>
      <c r="AR117" s="902">
        <f t="shared" si="20"/>
        <v>0</v>
      </c>
      <c r="AS117" s="902">
        <f t="shared" si="20"/>
        <v>1</v>
      </c>
      <c r="AT117" s="645">
        <f t="shared" si="18"/>
        <v>0</v>
      </c>
      <c r="AU117" s="880">
        <f t="shared" si="30"/>
        <v>0</v>
      </c>
      <c r="AV117" s="880">
        <f t="shared" si="21"/>
        <v>0</v>
      </c>
      <c r="AW117" s="880">
        <f t="shared" si="21"/>
        <v>0</v>
      </c>
      <c r="AX117" s="880">
        <f t="shared" si="21"/>
        <v>0</v>
      </c>
      <c r="AY117" s="880">
        <f t="shared" si="21"/>
        <v>0</v>
      </c>
      <c r="AZ117" s="880">
        <f t="shared" si="21"/>
        <v>0</v>
      </c>
      <c r="BA117" s="880">
        <f t="shared" si="21"/>
        <v>0</v>
      </c>
      <c r="BB117" s="880">
        <f t="shared" si="21"/>
        <v>30.557364400405742</v>
      </c>
      <c r="BC117" s="904">
        <f t="shared" si="19"/>
        <v>0</v>
      </c>
    </row>
    <row r="118" spans="2:55" ht="15" customHeight="1" x14ac:dyDescent="0.25">
      <c r="B118" s="917">
        <f>B111+$B$34</f>
        <v>11</v>
      </c>
      <c r="C118" s="920"/>
      <c r="D118" s="921"/>
      <c r="E118" s="911"/>
      <c r="F118" s="911"/>
      <c r="G118" s="911"/>
      <c r="H118" s="911"/>
      <c r="I118" s="911"/>
      <c r="J118" s="911"/>
      <c r="K118" s="914"/>
      <c r="L118" s="806">
        <f t="shared" si="23"/>
        <v>145</v>
      </c>
      <c r="M118" s="895">
        <f t="shared" si="24"/>
        <v>-1000000</v>
      </c>
      <c r="N118" s="806">
        <f t="shared" si="25"/>
        <v>100</v>
      </c>
      <c r="O118" s="652"/>
      <c r="P118" s="900">
        <f t="shared" si="26"/>
        <v>82</v>
      </c>
      <c r="Q118" s="908">
        <f t="shared" si="27"/>
        <v>63</v>
      </c>
      <c r="R118" s="898">
        <f t="shared" si="32"/>
        <v>49.698779995392627</v>
      </c>
      <c r="S118" s="898">
        <f t="shared" si="32"/>
        <v>40.447877468316804</v>
      </c>
      <c r="T118" s="898">
        <f t="shared" si="32"/>
        <v>38.597696962901644</v>
      </c>
      <c r="U118" s="898">
        <f t="shared" si="32"/>
        <v>34.897335952071316</v>
      </c>
      <c r="V118" s="898">
        <f t="shared" si="32"/>
        <v>33.047155446656149</v>
      </c>
      <c r="W118" s="898">
        <f t="shared" si="32"/>
        <v>29.346794435825824</v>
      </c>
      <c r="X118" s="898">
        <f t="shared" si="32"/>
        <v>25.646433424995539</v>
      </c>
      <c r="Y118" s="898">
        <f t="shared" si="32"/>
        <v>21.946072414165208</v>
      </c>
      <c r="Z118" s="898">
        <f t="shared" si="32"/>
        <v>18.245711403334884</v>
      </c>
      <c r="AA118" s="900"/>
      <c r="AB118" s="900"/>
      <c r="AC118" s="902"/>
      <c r="AD118" s="902"/>
      <c r="AE118" s="902"/>
      <c r="AF118" s="902"/>
      <c r="AG118" s="902"/>
      <c r="AH118" s="902"/>
      <c r="AI118" s="645"/>
      <c r="AJ118" s="902">
        <f t="shared" si="31"/>
        <v>0</v>
      </c>
      <c r="AK118" s="909">
        <f t="shared" si="28"/>
        <v>12.5</v>
      </c>
      <c r="AL118" s="645">
        <f t="shared" si="29"/>
        <v>-1000000000</v>
      </c>
      <c r="AM118" s="902">
        <f t="shared" si="20"/>
        <v>0</v>
      </c>
      <c r="AN118" s="902">
        <f t="shared" si="20"/>
        <v>0</v>
      </c>
      <c r="AO118" s="902">
        <f t="shared" si="20"/>
        <v>0</v>
      </c>
      <c r="AP118" s="902">
        <f t="shared" si="20"/>
        <v>0</v>
      </c>
      <c r="AQ118" s="902">
        <f t="shared" si="20"/>
        <v>0</v>
      </c>
      <c r="AR118" s="902">
        <f t="shared" si="20"/>
        <v>0</v>
      </c>
      <c r="AS118" s="902">
        <f t="shared" si="20"/>
        <v>0</v>
      </c>
      <c r="AT118" s="645">
        <f t="shared" si="18"/>
        <v>0</v>
      </c>
      <c r="AU118" s="880">
        <f t="shared" si="30"/>
        <v>0</v>
      </c>
      <c r="AV118" s="880">
        <f t="shared" si="21"/>
        <v>0</v>
      </c>
      <c r="AW118" s="880">
        <f t="shared" si="21"/>
        <v>0</v>
      </c>
      <c r="AX118" s="880">
        <f t="shared" si="21"/>
        <v>0</v>
      </c>
      <c r="AY118" s="880">
        <f t="shared" si="21"/>
        <v>0</v>
      </c>
      <c r="AZ118" s="880">
        <f t="shared" si="21"/>
        <v>0</v>
      </c>
      <c r="BA118" s="880">
        <f t="shared" si="21"/>
        <v>0</v>
      </c>
      <c r="BB118" s="880">
        <f t="shared" si="21"/>
        <v>0</v>
      </c>
      <c r="BC118" s="904">
        <f t="shared" si="19"/>
        <v>0</v>
      </c>
    </row>
    <row r="119" spans="2:55" ht="15" customHeight="1" x14ac:dyDescent="0.25">
      <c r="B119" s="674">
        <f>K23</f>
        <v>11.25</v>
      </c>
      <c r="C119" s="910"/>
      <c r="D119" s="921"/>
      <c r="E119" s="911"/>
      <c r="F119" s="911"/>
      <c r="G119" s="911"/>
      <c r="H119" s="911"/>
      <c r="I119" s="860">
        <f>$K$11</f>
        <v>90</v>
      </c>
      <c r="J119" s="911"/>
      <c r="K119" s="914"/>
      <c r="L119" s="806">
        <f t="shared" si="23"/>
        <v>145</v>
      </c>
      <c r="M119" s="895">
        <f t="shared" si="24"/>
        <v>-1000000</v>
      </c>
      <c r="N119" s="806">
        <f t="shared" si="25"/>
        <v>100</v>
      </c>
      <c r="P119" s="900">
        <f t="shared" si="26"/>
        <v>83</v>
      </c>
      <c r="Q119" s="908">
        <f t="shared" si="27"/>
        <v>62</v>
      </c>
      <c r="R119" s="898">
        <f t="shared" si="32"/>
        <v>50.516700196193135</v>
      </c>
      <c r="S119" s="898">
        <f t="shared" si="32"/>
        <v>41.155094060393445</v>
      </c>
      <c r="T119" s="898">
        <f t="shared" si="32"/>
        <v>39.282772833233508</v>
      </c>
      <c r="U119" s="898">
        <f t="shared" si="32"/>
        <v>35.538130378913635</v>
      </c>
      <c r="V119" s="898">
        <f t="shared" si="32"/>
        <v>33.665809151753692</v>
      </c>
      <c r="W119" s="898">
        <f t="shared" si="32"/>
        <v>29.921166697433815</v>
      </c>
      <c r="X119" s="898">
        <f t="shared" si="32"/>
        <v>26.176524243113981</v>
      </c>
      <c r="Y119" s="898">
        <f t="shared" si="32"/>
        <v>22.431881788794101</v>
      </c>
      <c r="Z119" s="898">
        <f t="shared" si="32"/>
        <v>18.687239334474228</v>
      </c>
      <c r="AA119" s="913">
        <f>B198</f>
        <v>52</v>
      </c>
      <c r="AB119" s="900"/>
      <c r="AC119" s="902"/>
      <c r="AD119" s="902"/>
      <c r="AE119" s="902"/>
      <c r="AF119" s="902"/>
      <c r="AG119" s="902"/>
      <c r="AH119" s="902"/>
      <c r="AI119" s="645"/>
      <c r="AJ119" s="902">
        <f t="shared" si="31"/>
        <v>1</v>
      </c>
      <c r="AK119" s="909">
        <f t="shared" si="28"/>
        <v>12.5</v>
      </c>
      <c r="AL119" s="645">
        <f t="shared" si="29"/>
        <v>-1000000000</v>
      </c>
      <c r="AM119" s="902">
        <f t="shared" si="20"/>
        <v>0</v>
      </c>
      <c r="AN119" s="902">
        <f t="shared" si="20"/>
        <v>0</v>
      </c>
      <c r="AO119" s="902">
        <f t="shared" si="20"/>
        <v>0</v>
      </c>
      <c r="AP119" s="902">
        <f t="shared" si="20"/>
        <v>0</v>
      </c>
      <c r="AQ119" s="902">
        <f t="shared" si="20"/>
        <v>0</v>
      </c>
      <c r="AR119" s="902">
        <f t="shared" si="20"/>
        <v>0</v>
      </c>
      <c r="AS119" s="902">
        <f t="shared" si="20"/>
        <v>0</v>
      </c>
      <c r="AT119" s="645">
        <f t="shared" si="18"/>
        <v>0</v>
      </c>
      <c r="AU119" s="880">
        <f t="shared" si="30"/>
        <v>2.2001783079734847</v>
      </c>
      <c r="AV119" s="880">
        <f t="shared" si="21"/>
        <v>0</v>
      </c>
      <c r="AW119" s="880">
        <f t="shared" si="21"/>
        <v>0</v>
      </c>
      <c r="AX119" s="880">
        <f t="shared" si="21"/>
        <v>0</v>
      </c>
      <c r="AY119" s="880">
        <f t="shared" si="21"/>
        <v>0</v>
      </c>
      <c r="AZ119" s="880">
        <f t="shared" si="21"/>
        <v>0</v>
      </c>
      <c r="BA119" s="880">
        <f t="shared" si="21"/>
        <v>0</v>
      </c>
      <c r="BB119" s="880">
        <f t="shared" si="21"/>
        <v>0</v>
      </c>
      <c r="BC119" s="904">
        <f t="shared" si="19"/>
        <v>0</v>
      </c>
    </row>
    <row r="120" spans="2:55" ht="15" customHeight="1" x14ac:dyDescent="0.25">
      <c r="B120" s="674">
        <f>K22</f>
        <v>11.75</v>
      </c>
      <c r="C120" s="910"/>
      <c r="D120" s="921"/>
      <c r="E120" s="911"/>
      <c r="F120" s="911"/>
      <c r="G120" s="911"/>
      <c r="H120" s="860">
        <f>$K$10</f>
        <v>94</v>
      </c>
      <c r="I120" s="911"/>
      <c r="J120" s="911"/>
      <c r="K120" s="914"/>
      <c r="L120" s="806">
        <f t="shared" si="23"/>
        <v>145</v>
      </c>
      <c r="M120" s="895">
        <f t="shared" si="24"/>
        <v>-1000000</v>
      </c>
      <c r="N120" s="806">
        <f t="shared" si="25"/>
        <v>100</v>
      </c>
      <c r="P120" s="900">
        <f t="shared" si="26"/>
        <v>84</v>
      </c>
      <c r="Q120" s="908">
        <f t="shared" si="27"/>
        <v>61</v>
      </c>
      <c r="R120" s="898">
        <f t="shared" si="32"/>
        <v>51.346796616139748</v>
      </c>
      <c r="S120" s="898">
        <f t="shared" si="32"/>
        <v>41.874536805584945</v>
      </c>
      <c r="T120" s="898">
        <f t="shared" si="32"/>
        <v>39.980084843473982</v>
      </c>
      <c r="U120" s="898">
        <f t="shared" si="32"/>
        <v>36.191180919252062</v>
      </c>
      <c r="V120" s="898">
        <f t="shared" si="32"/>
        <v>34.296728957141099</v>
      </c>
      <c r="W120" s="898">
        <f t="shared" si="32"/>
        <v>30.507825032919172</v>
      </c>
      <c r="X120" s="898">
        <f t="shared" si="32"/>
        <v>26.718921108697291</v>
      </c>
      <c r="Y120" s="898">
        <f t="shared" si="32"/>
        <v>22.930017184475364</v>
      </c>
      <c r="Z120" s="898">
        <f t="shared" si="32"/>
        <v>19.141113260253441</v>
      </c>
      <c r="AA120" s="900"/>
      <c r="AB120" s="900"/>
      <c r="AC120" s="902"/>
      <c r="AD120" s="902"/>
      <c r="AE120" s="902"/>
      <c r="AF120" s="902"/>
      <c r="AG120" s="902"/>
      <c r="AH120" s="902"/>
      <c r="AI120" s="645"/>
      <c r="AJ120" s="902">
        <f t="shared" si="31"/>
        <v>0</v>
      </c>
      <c r="AK120" s="909">
        <f t="shared" si="28"/>
        <v>12.5</v>
      </c>
      <c r="AL120" s="645">
        <f t="shared" si="29"/>
        <v>-1000000000</v>
      </c>
      <c r="AM120" s="902">
        <f t="shared" si="20"/>
        <v>0</v>
      </c>
      <c r="AN120" s="902">
        <f t="shared" si="20"/>
        <v>0</v>
      </c>
      <c r="AO120" s="902">
        <f t="shared" si="20"/>
        <v>0</v>
      </c>
      <c r="AP120" s="902">
        <f t="shared" ref="AP120:AT171" si="33">IF(AE120=0,0,1)</f>
        <v>0</v>
      </c>
      <c r="AQ120" s="902">
        <f t="shared" si="33"/>
        <v>0</v>
      </c>
      <c r="AR120" s="902">
        <f t="shared" si="33"/>
        <v>0</v>
      </c>
      <c r="AS120" s="902">
        <f t="shared" si="33"/>
        <v>0</v>
      </c>
      <c r="AT120" s="645">
        <f t="shared" si="18"/>
        <v>0</v>
      </c>
      <c r="AU120" s="880">
        <f t="shared" si="30"/>
        <v>0</v>
      </c>
      <c r="AV120" s="880">
        <f t="shared" si="21"/>
        <v>0</v>
      </c>
      <c r="AW120" s="880">
        <f t="shared" si="21"/>
        <v>0</v>
      </c>
      <c r="AX120" s="880">
        <f t="shared" si="21"/>
        <v>0</v>
      </c>
      <c r="AY120" s="880">
        <f t="shared" ref="AY120:BC171" si="34">AP120*(AE120-V120)^2</f>
        <v>0</v>
      </c>
      <c r="AZ120" s="880">
        <f t="shared" si="34"/>
        <v>0</v>
      </c>
      <c r="BA120" s="880">
        <f t="shared" si="34"/>
        <v>0</v>
      </c>
      <c r="BB120" s="880">
        <f t="shared" si="34"/>
        <v>0</v>
      </c>
      <c r="BC120" s="904">
        <f t="shared" si="19"/>
        <v>0</v>
      </c>
    </row>
    <row r="121" spans="2:55" ht="15" customHeight="1" x14ac:dyDescent="0.25">
      <c r="B121" s="917">
        <f>B118+$B$34</f>
        <v>12</v>
      </c>
      <c r="C121" s="910"/>
      <c r="D121" s="911"/>
      <c r="E121" s="911"/>
      <c r="F121" s="911"/>
      <c r="G121" s="860">
        <f>$K$9</f>
        <v>96</v>
      </c>
      <c r="H121" s="911"/>
      <c r="I121" s="860"/>
      <c r="J121" s="922"/>
      <c r="K121" s="914"/>
      <c r="L121" s="806">
        <f t="shared" si="23"/>
        <v>145</v>
      </c>
      <c r="M121" s="895">
        <f t="shared" si="24"/>
        <v>-1000000</v>
      </c>
      <c r="N121" s="806">
        <f t="shared" si="25"/>
        <v>100</v>
      </c>
      <c r="P121" s="900">
        <f t="shared" si="26"/>
        <v>85</v>
      </c>
      <c r="Q121" s="908">
        <f t="shared" si="27"/>
        <v>60</v>
      </c>
      <c r="R121" s="898">
        <f t="shared" si="32"/>
        <v>52.189547182011033</v>
      </c>
      <c r="S121" s="898">
        <f t="shared" si="32"/>
        <v>42.606683596892651</v>
      </c>
      <c r="T121" s="898">
        <f t="shared" si="32"/>
        <v>40.690110879868975</v>
      </c>
      <c r="U121" s="898">
        <f t="shared" si="32"/>
        <v>36.856965445821615</v>
      </c>
      <c r="V121" s="898">
        <f t="shared" si="32"/>
        <v>34.940392728797939</v>
      </c>
      <c r="W121" s="898">
        <f t="shared" si="32"/>
        <v>31.107247294750586</v>
      </c>
      <c r="X121" s="898">
        <f t="shared" si="32"/>
        <v>27.274101860703276</v>
      </c>
      <c r="Y121" s="898">
        <f t="shared" si="32"/>
        <v>23.440956426655923</v>
      </c>
      <c r="Z121" s="898">
        <f t="shared" si="32"/>
        <v>19.607810992608567</v>
      </c>
      <c r="AA121" s="900"/>
      <c r="AB121" s="913">
        <f>B197</f>
        <v>51</v>
      </c>
      <c r="AC121" s="916">
        <f>B195</f>
        <v>49.9</v>
      </c>
      <c r="AD121" s="902"/>
      <c r="AE121" s="902"/>
      <c r="AF121" s="902"/>
      <c r="AG121" s="902"/>
      <c r="AH121" s="902"/>
      <c r="AI121" s="645"/>
      <c r="AJ121" s="902">
        <f t="shared" si="31"/>
        <v>0</v>
      </c>
      <c r="AK121" s="909">
        <f t="shared" si="28"/>
        <v>12.5</v>
      </c>
      <c r="AL121" s="645">
        <f t="shared" si="29"/>
        <v>-1000000000</v>
      </c>
      <c r="AM121" s="902">
        <f t="shared" ref="AM121:AO171" si="35">IF(AB121=0,0,1)</f>
        <v>1</v>
      </c>
      <c r="AN121" s="902">
        <f t="shared" si="35"/>
        <v>1</v>
      </c>
      <c r="AO121" s="902">
        <f t="shared" si="35"/>
        <v>0</v>
      </c>
      <c r="AP121" s="902">
        <f t="shared" si="33"/>
        <v>0</v>
      </c>
      <c r="AQ121" s="902">
        <f t="shared" si="33"/>
        <v>0</v>
      </c>
      <c r="AR121" s="902">
        <f t="shared" si="33"/>
        <v>0</v>
      </c>
      <c r="AS121" s="902">
        <f t="shared" si="33"/>
        <v>0</v>
      </c>
      <c r="AT121" s="645">
        <f t="shared" si="18"/>
        <v>0</v>
      </c>
      <c r="AU121" s="880">
        <f t="shared" si="30"/>
        <v>0</v>
      </c>
      <c r="AV121" s="880">
        <f t="shared" ref="AV121:AX171" si="36">AM121*(AB121-S121)^2</f>
        <v>70.447760242670881</v>
      </c>
      <c r="AW121" s="880">
        <f t="shared" si="36"/>
        <v>84.822057605107801</v>
      </c>
      <c r="AX121" s="880">
        <f t="shared" si="36"/>
        <v>0</v>
      </c>
      <c r="AY121" s="880">
        <f t="shared" si="34"/>
        <v>0</v>
      </c>
      <c r="AZ121" s="880">
        <f t="shared" si="34"/>
        <v>0</v>
      </c>
      <c r="BA121" s="880">
        <f t="shared" si="34"/>
        <v>0</v>
      </c>
      <c r="BB121" s="880">
        <f t="shared" si="34"/>
        <v>0</v>
      </c>
      <c r="BC121" s="904">
        <f t="shared" si="19"/>
        <v>0</v>
      </c>
    </row>
    <row r="122" spans="2:55" ht="15" customHeight="1" x14ac:dyDescent="0.25">
      <c r="B122" s="674">
        <f>K20</f>
        <v>12.125</v>
      </c>
      <c r="C122" s="910"/>
      <c r="D122" s="911"/>
      <c r="E122" s="911"/>
      <c r="F122" s="860">
        <f>$K$8</f>
        <v>97</v>
      </c>
      <c r="G122" s="911"/>
      <c r="H122" s="911"/>
      <c r="I122" s="911"/>
      <c r="J122" s="911"/>
      <c r="K122" s="914"/>
      <c r="L122" s="806">
        <f t="shared" si="23"/>
        <v>145</v>
      </c>
      <c r="M122" s="895">
        <f t="shared" si="24"/>
        <v>-1000000</v>
      </c>
      <c r="N122" s="806">
        <f t="shared" si="25"/>
        <v>100</v>
      </c>
      <c r="P122" s="900">
        <f t="shared" si="26"/>
        <v>86</v>
      </c>
      <c r="Q122" s="908">
        <f t="shared" si="27"/>
        <v>59</v>
      </c>
      <c r="R122" s="898">
        <f t="shared" si="32"/>
        <v>53.045447612284711</v>
      </c>
      <c r="S122" s="898">
        <f t="shared" si="32"/>
        <v>43.352030119047555</v>
      </c>
      <c r="T122" s="898">
        <f t="shared" si="32"/>
        <v>41.413346620400119</v>
      </c>
      <c r="U122" s="898">
        <f t="shared" si="32"/>
        <v>37.535979623105263</v>
      </c>
      <c r="V122" s="898">
        <f t="shared" si="32"/>
        <v>35.597296124457827</v>
      </c>
      <c r="W122" s="898">
        <f t="shared" si="32"/>
        <v>31.719929127162963</v>
      </c>
      <c r="X122" s="898">
        <f t="shared" si="32"/>
        <v>27.842562129868142</v>
      </c>
      <c r="Y122" s="898">
        <f t="shared" si="32"/>
        <v>23.965195132573282</v>
      </c>
      <c r="Z122" s="898">
        <f t="shared" si="32"/>
        <v>20.087828135278414</v>
      </c>
      <c r="AA122" s="900"/>
      <c r="AB122" s="900"/>
      <c r="AC122" s="902"/>
      <c r="AD122" s="902"/>
      <c r="AE122" s="902"/>
      <c r="AF122" s="902"/>
      <c r="AG122" s="902"/>
      <c r="AH122" s="902"/>
      <c r="AI122" s="904">
        <f>B158</f>
        <v>24.5</v>
      </c>
      <c r="AJ122" s="902">
        <f t="shared" si="31"/>
        <v>0</v>
      </c>
      <c r="AK122" s="909">
        <f t="shared" si="28"/>
        <v>12.5</v>
      </c>
      <c r="AL122" s="645">
        <f t="shared" si="29"/>
        <v>-1000000000</v>
      </c>
      <c r="AM122" s="902">
        <f t="shared" si="35"/>
        <v>0</v>
      </c>
      <c r="AN122" s="902">
        <f t="shared" si="35"/>
        <v>0</v>
      </c>
      <c r="AO122" s="902">
        <f t="shared" si="35"/>
        <v>0</v>
      </c>
      <c r="AP122" s="902">
        <f t="shared" si="33"/>
        <v>0</v>
      </c>
      <c r="AQ122" s="902">
        <f t="shared" si="33"/>
        <v>0</v>
      </c>
      <c r="AR122" s="902">
        <f t="shared" si="33"/>
        <v>0</v>
      </c>
      <c r="AS122" s="902">
        <f t="shared" si="33"/>
        <v>0</v>
      </c>
      <c r="AT122" s="645">
        <f t="shared" si="18"/>
        <v>1</v>
      </c>
      <c r="AU122" s="880">
        <f t="shared" si="30"/>
        <v>0</v>
      </c>
      <c r="AV122" s="880">
        <f t="shared" si="36"/>
        <v>0</v>
      </c>
      <c r="AW122" s="880">
        <f t="shared" si="36"/>
        <v>0</v>
      </c>
      <c r="AX122" s="880">
        <f t="shared" si="36"/>
        <v>0</v>
      </c>
      <c r="AY122" s="880">
        <f t="shared" si="34"/>
        <v>0</v>
      </c>
      <c r="AZ122" s="880">
        <f t="shared" si="34"/>
        <v>0</v>
      </c>
      <c r="BA122" s="880">
        <f t="shared" si="34"/>
        <v>0</v>
      </c>
      <c r="BB122" s="880">
        <f t="shared" si="34"/>
        <v>0</v>
      </c>
      <c r="BC122" s="904">
        <f t="shared" si="19"/>
        <v>19.467260563840757</v>
      </c>
    </row>
    <row r="123" spans="2:55" ht="15" customHeight="1" x14ac:dyDescent="0.25">
      <c r="B123" s="674">
        <f>L25</f>
        <v>12.166666666666666</v>
      </c>
      <c r="C123" s="910"/>
      <c r="D123" s="911"/>
      <c r="E123" s="911"/>
      <c r="F123" s="860"/>
      <c r="G123" s="911"/>
      <c r="H123" s="911"/>
      <c r="I123" s="911"/>
      <c r="J123" s="911"/>
      <c r="K123" s="912">
        <f>$L$13</f>
        <v>73</v>
      </c>
      <c r="L123" s="806">
        <f t="shared" si="23"/>
        <v>145</v>
      </c>
      <c r="M123" s="895">
        <f t="shared" si="24"/>
        <v>-1000000</v>
      </c>
      <c r="N123" s="806">
        <f t="shared" si="25"/>
        <v>100</v>
      </c>
      <c r="P123" s="900">
        <f t="shared" si="26"/>
        <v>87</v>
      </c>
      <c r="Q123" s="908">
        <f t="shared" si="27"/>
        <v>58</v>
      </c>
      <c r="R123" s="898">
        <f t="shared" si="32"/>
        <v>53.915012064067277</v>
      </c>
      <c r="S123" s="898">
        <f t="shared" si="32"/>
        <v>44.111090495439811</v>
      </c>
      <c r="T123" s="898">
        <f t="shared" si="32"/>
        <v>42.150306181714321</v>
      </c>
      <c r="U123" s="898">
        <f t="shared" si="32"/>
        <v>38.228737554263333</v>
      </c>
      <c r="V123" s="898">
        <f t="shared" si="32"/>
        <v>36.26795324053785</v>
      </c>
      <c r="W123" s="898">
        <f t="shared" si="32"/>
        <v>32.346384613086862</v>
      </c>
      <c r="X123" s="898">
        <f t="shared" si="32"/>
        <v>28.42481598563592</v>
      </c>
      <c r="Y123" s="898">
        <f t="shared" si="32"/>
        <v>24.503247358184939</v>
      </c>
      <c r="Z123" s="898">
        <f t="shared" si="32"/>
        <v>20.581678730733955</v>
      </c>
      <c r="AA123" s="900"/>
      <c r="AB123" s="900"/>
      <c r="AC123" s="902"/>
      <c r="AD123" s="317">
        <f>B193</f>
        <v>48</v>
      </c>
      <c r="AE123" s="902"/>
      <c r="AF123" s="902"/>
      <c r="AG123" s="902"/>
      <c r="AH123" s="902"/>
      <c r="AI123" s="645"/>
      <c r="AJ123" s="902">
        <f t="shared" si="31"/>
        <v>0</v>
      </c>
      <c r="AK123" s="909">
        <f t="shared" si="28"/>
        <v>12.5</v>
      </c>
      <c r="AL123" s="645">
        <f t="shared" si="29"/>
        <v>-1000000000</v>
      </c>
      <c r="AM123" s="902">
        <f t="shared" si="35"/>
        <v>0</v>
      </c>
      <c r="AN123" s="902">
        <f t="shared" si="35"/>
        <v>0</v>
      </c>
      <c r="AO123" s="902">
        <f t="shared" si="35"/>
        <v>1</v>
      </c>
      <c r="AP123" s="902">
        <f t="shared" si="33"/>
        <v>0</v>
      </c>
      <c r="AQ123" s="902">
        <f t="shared" si="33"/>
        <v>0</v>
      </c>
      <c r="AR123" s="902">
        <f t="shared" si="33"/>
        <v>0</v>
      </c>
      <c r="AS123" s="902">
        <f t="shared" si="33"/>
        <v>0</v>
      </c>
      <c r="AT123" s="645">
        <f t="shared" si="18"/>
        <v>0</v>
      </c>
      <c r="AU123" s="880">
        <f t="shared" si="30"/>
        <v>0</v>
      </c>
      <c r="AV123" s="880">
        <f t="shared" si="36"/>
        <v>0</v>
      </c>
      <c r="AW123" s="880">
        <f t="shared" si="36"/>
        <v>0</v>
      </c>
      <c r="AX123" s="880">
        <f t="shared" si="36"/>
        <v>95.477569783463721</v>
      </c>
      <c r="AY123" s="880">
        <f t="shared" si="34"/>
        <v>0</v>
      </c>
      <c r="AZ123" s="880">
        <f t="shared" si="34"/>
        <v>0</v>
      </c>
      <c r="BA123" s="880">
        <f t="shared" si="34"/>
        <v>0</v>
      </c>
      <c r="BB123" s="880">
        <f t="shared" si="34"/>
        <v>0</v>
      </c>
      <c r="BC123" s="904">
        <f t="shared" si="19"/>
        <v>0</v>
      </c>
    </row>
    <row r="124" spans="2:55" ht="15" customHeight="1" x14ac:dyDescent="0.25">
      <c r="B124" s="674">
        <f>K19</f>
        <v>12.25</v>
      </c>
      <c r="C124" s="910"/>
      <c r="D124" s="911"/>
      <c r="E124" s="860">
        <f>$K$7</f>
        <v>98</v>
      </c>
      <c r="F124" s="911"/>
      <c r="G124" s="911"/>
      <c r="H124" s="911"/>
      <c r="I124" s="911"/>
      <c r="J124" s="911"/>
      <c r="K124" s="914"/>
      <c r="L124" s="806">
        <f t="shared" si="23"/>
        <v>145</v>
      </c>
      <c r="M124" s="895">
        <f t="shared" si="24"/>
        <v>-1000000</v>
      </c>
      <c r="N124" s="806">
        <f t="shared" si="25"/>
        <v>100</v>
      </c>
      <c r="P124" s="900">
        <f t="shared" si="26"/>
        <v>88</v>
      </c>
      <c r="Q124" s="908">
        <f t="shared" si="27"/>
        <v>57</v>
      </c>
      <c r="R124" s="898">
        <f t="shared" si="32"/>
        <v>54.798773803129983</v>
      </c>
      <c r="S124" s="898">
        <f t="shared" si="32"/>
        <v>44.884397958154764</v>
      </c>
      <c r="T124" s="898">
        <f t="shared" si="32"/>
        <v>42.901522789159728</v>
      </c>
      <c r="U124" s="898">
        <f t="shared" si="32"/>
        <v>38.93577245116964</v>
      </c>
      <c r="V124" s="898">
        <f t="shared" si="32"/>
        <v>36.95289728217459</v>
      </c>
      <c r="W124" s="898">
        <f t="shared" si="32"/>
        <v>32.987146944184502</v>
      </c>
      <c r="X124" s="898">
        <f t="shared" si="32"/>
        <v>29.021396606194457</v>
      </c>
      <c r="Y124" s="898">
        <f t="shared" si="32"/>
        <v>25.05564626820437</v>
      </c>
      <c r="Z124" s="898">
        <f t="shared" si="32"/>
        <v>21.089895930214283</v>
      </c>
      <c r="AA124" s="900"/>
      <c r="AB124" s="900"/>
      <c r="AC124" s="902"/>
      <c r="AD124" s="902"/>
      <c r="AE124" s="317">
        <f>B192</f>
        <v>47</v>
      </c>
      <c r="AF124" s="902"/>
      <c r="AG124" s="902"/>
      <c r="AH124" s="902"/>
      <c r="AI124" s="645"/>
      <c r="AJ124" s="902">
        <f t="shared" si="31"/>
        <v>0</v>
      </c>
      <c r="AK124" s="909">
        <f t="shared" si="28"/>
        <v>12.5</v>
      </c>
      <c r="AL124" s="645">
        <f t="shared" si="29"/>
        <v>-1000000000</v>
      </c>
      <c r="AM124" s="902">
        <f t="shared" si="35"/>
        <v>0</v>
      </c>
      <c r="AN124" s="902">
        <f t="shared" si="35"/>
        <v>0</v>
      </c>
      <c r="AO124" s="902">
        <f t="shared" si="35"/>
        <v>0</v>
      </c>
      <c r="AP124" s="902">
        <f t="shared" si="33"/>
        <v>1</v>
      </c>
      <c r="AQ124" s="902">
        <f t="shared" si="33"/>
        <v>0</v>
      </c>
      <c r="AR124" s="902">
        <f t="shared" si="33"/>
        <v>0</v>
      </c>
      <c r="AS124" s="902">
        <f t="shared" si="33"/>
        <v>0</v>
      </c>
      <c r="AT124" s="645">
        <f t="shared" si="18"/>
        <v>0</v>
      </c>
      <c r="AU124" s="880">
        <f t="shared" si="30"/>
        <v>0</v>
      </c>
      <c r="AV124" s="880">
        <f t="shared" si="36"/>
        <v>0</v>
      </c>
      <c r="AW124" s="880">
        <f t="shared" si="36"/>
        <v>0</v>
      </c>
      <c r="AX124" s="880">
        <f t="shared" si="36"/>
        <v>0</v>
      </c>
      <c r="AY124" s="880">
        <f t="shared" si="34"/>
        <v>100.94427302253474</v>
      </c>
      <c r="AZ124" s="880">
        <f t="shared" si="34"/>
        <v>0</v>
      </c>
      <c r="BA124" s="880">
        <f t="shared" si="34"/>
        <v>0</v>
      </c>
      <c r="BB124" s="880">
        <f t="shared" si="34"/>
        <v>0</v>
      </c>
      <c r="BC124" s="904">
        <f t="shared" si="19"/>
        <v>0</v>
      </c>
    </row>
    <row r="125" spans="2:55" ht="15" customHeight="1" x14ac:dyDescent="0.25">
      <c r="B125" s="674">
        <f>K18</f>
        <v>12.3125</v>
      </c>
      <c r="C125" s="910"/>
      <c r="D125" s="860">
        <f>$K$6</f>
        <v>98.5</v>
      </c>
      <c r="E125" s="911"/>
      <c r="F125" s="911"/>
      <c r="G125" s="860"/>
      <c r="H125" s="860"/>
      <c r="I125" s="860"/>
      <c r="J125" s="860"/>
      <c r="K125" s="914"/>
      <c r="L125" s="806">
        <f t="shared" si="23"/>
        <v>145</v>
      </c>
      <c r="M125" s="895">
        <f t="shared" si="24"/>
        <v>-1000000</v>
      </c>
      <c r="N125" s="806">
        <f t="shared" si="25"/>
        <v>100</v>
      </c>
      <c r="P125" s="900">
        <f t="shared" si="26"/>
        <v>89</v>
      </c>
      <c r="Q125" s="908">
        <f t="shared" si="27"/>
        <v>56</v>
      </c>
      <c r="R125" s="898">
        <f t="shared" si="32"/>
        <v>55.697285897865527</v>
      </c>
      <c r="S125" s="898">
        <f t="shared" si="32"/>
        <v>45.672505541929482</v>
      </c>
      <c r="T125" s="898">
        <f t="shared" si="32"/>
        <v>43.667549470742273</v>
      </c>
      <c r="U125" s="898">
        <f t="shared" si="32"/>
        <v>39.657637328367862</v>
      </c>
      <c r="V125" s="898">
        <f t="shared" si="32"/>
        <v>37.65268125718066</v>
      </c>
      <c r="W125" s="898">
        <f t="shared" si="32"/>
        <v>33.642769114806249</v>
      </c>
      <c r="X125" s="898">
        <f t="shared" si="32"/>
        <v>29.632856972431881</v>
      </c>
      <c r="Y125" s="898">
        <f t="shared" si="32"/>
        <v>25.62294483005747</v>
      </c>
      <c r="Z125" s="898">
        <f t="shared" si="32"/>
        <v>21.613032687683059</v>
      </c>
      <c r="AA125" s="900"/>
      <c r="AB125" s="900"/>
      <c r="AC125" s="902"/>
      <c r="AD125" s="902"/>
      <c r="AE125" s="902"/>
      <c r="AF125" s="902"/>
      <c r="AG125" s="902"/>
      <c r="AH125" s="902"/>
      <c r="AI125" s="645"/>
      <c r="AJ125" s="902">
        <f t="shared" si="31"/>
        <v>0</v>
      </c>
      <c r="AK125" s="909">
        <f t="shared" si="28"/>
        <v>12.5</v>
      </c>
      <c r="AL125" s="645">
        <f t="shared" si="29"/>
        <v>-1000000000</v>
      </c>
      <c r="AM125" s="902">
        <f t="shared" si="35"/>
        <v>0</v>
      </c>
      <c r="AN125" s="902">
        <f t="shared" si="35"/>
        <v>0</v>
      </c>
      <c r="AO125" s="902">
        <f t="shared" si="35"/>
        <v>0</v>
      </c>
      <c r="AP125" s="902">
        <f t="shared" si="33"/>
        <v>0</v>
      </c>
      <c r="AQ125" s="902">
        <f t="shared" si="33"/>
        <v>0</v>
      </c>
      <c r="AR125" s="902">
        <f t="shared" si="33"/>
        <v>0</v>
      </c>
      <c r="AS125" s="902">
        <f t="shared" si="33"/>
        <v>0</v>
      </c>
      <c r="AT125" s="645">
        <f t="shared" si="18"/>
        <v>0</v>
      </c>
      <c r="AU125" s="880">
        <f t="shared" si="30"/>
        <v>0</v>
      </c>
      <c r="AV125" s="880">
        <f t="shared" si="36"/>
        <v>0</v>
      </c>
      <c r="AW125" s="880">
        <f t="shared" si="36"/>
        <v>0</v>
      </c>
      <c r="AX125" s="880">
        <f t="shared" si="36"/>
        <v>0</v>
      </c>
      <c r="AY125" s="880">
        <f t="shared" si="34"/>
        <v>0</v>
      </c>
      <c r="AZ125" s="880">
        <f t="shared" si="34"/>
        <v>0</v>
      </c>
      <c r="BA125" s="880">
        <f t="shared" si="34"/>
        <v>0</v>
      </c>
      <c r="BB125" s="880">
        <f t="shared" si="34"/>
        <v>0</v>
      </c>
      <c r="BC125" s="904">
        <f t="shared" si="19"/>
        <v>0</v>
      </c>
    </row>
    <row r="126" spans="2:55" ht="15" customHeight="1" x14ac:dyDescent="0.25">
      <c r="B126" s="917">
        <f>K17</f>
        <v>12.5</v>
      </c>
      <c r="C126" s="647">
        <f>$K$5</f>
        <v>100</v>
      </c>
      <c r="D126" s="911"/>
      <c r="E126" s="911"/>
      <c r="F126" s="911"/>
      <c r="G126" s="911"/>
      <c r="H126" s="911"/>
      <c r="I126" s="911"/>
      <c r="J126" s="911"/>
      <c r="K126" s="914"/>
      <c r="L126" s="806">
        <f t="shared" si="23"/>
        <v>145</v>
      </c>
      <c r="M126" s="895">
        <f t="shared" si="24"/>
        <v>0</v>
      </c>
      <c r="N126" s="806">
        <f t="shared" si="25"/>
        <v>100</v>
      </c>
      <c r="P126" s="900">
        <f t="shared" si="26"/>
        <v>90</v>
      </c>
      <c r="Q126" s="908">
        <f t="shared" si="27"/>
        <v>55</v>
      </c>
      <c r="R126" s="898">
        <f t="shared" si="32"/>
        <v>56.611121938007109</v>
      </c>
      <c r="S126" s="898">
        <f t="shared" si="32"/>
        <v>46.475986802871965</v>
      </c>
      <c r="T126" s="898">
        <f t="shared" si="32"/>
        <v>44.448959775844934</v>
      </c>
      <c r="U126" s="898">
        <f t="shared" si="32"/>
        <v>40.394905721790877</v>
      </c>
      <c r="V126" s="898">
        <f t="shared" si="32"/>
        <v>38.367878694763846</v>
      </c>
      <c r="W126" s="898">
        <f t="shared" si="32"/>
        <v>34.31382464070979</v>
      </c>
      <c r="X126" s="898">
        <f t="shared" si="32"/>
        <v>30.259770586655776</v>
      </c>
      <c r="Y126" s="898">
        <f t="shared" si="32"/>
        <v>26.205716532601723</v>
      </c>
      <c r="Z126" s="898">
        <f t="shared" si="32"/>
        <v>22.151662478547664</v>
      </c>
      <c r="AA126" s="900"/>
      <c r="AB126" s="900"/>
      <c r="AC126" s="902"/>
      <c r="AD126" s="902"/>
      <c r="AE126" s="902"/>
      <c r="AF126" s="916">
        <f>B189</f>
        <v>44.5</v>
      </c>
      <c r="AG126" s="902"/>
      <c r="AH126" s="902"/>
      <c r="AI126" s="645"/>
      <c r="AJ126" s="902">
        <f t="shared" si="31"/>
        <v>0</v>
      </c>
      <c r="AK126" s="909">
        <f t="shared" si="28"/>
        <v>12.5</v>
      </c>
      <c r="AL126" s="645">
        <f t="shared" si="29"/>
        <v>-1000000000</v>
      </c>
      <c r="AM126" s="902">
        <f t="shared" si="35"/>
        <v>0</v>
      </c>
      <c r="AN126" s="902">
        <f t="shared" si="35"/>
        <v>0</v>
      </c>
      <c r="AO126" s="902">
        <f t="shared" si="35"/>
        <v>0</v>
      </c>
      <c r="AP126" s="902">
        <f t="shared" si="33"/>
        <v>0</v>
      </c>
      <c r="AQ126" s="902">
        <f t="shared" si="33"/>
        <v>1</v>
      </c>
      <c r="AR126" s="902">
        <f t="shared" si="33"/>
        <v>0</v>
      </c>
      <c r="AS126" s="902">
        <f t="shared" si="33"/>
        <v>0</v>
      </c>
      <c r="AT126" s="645">
        <f t="shared" si="18"/>
        <v>0</v>
      </c>
      <c r="AU126" s="880">
        <f t="shared" si="30"/>
        <v>0</v>
      </c>
      <c r="AV126" s="880">
        <f t="shared" si="36"/>
        <v>0</v>
      </c>
      <c r="AW126" s="880">
        <f t="shared" si="36"/>
        <v>0</v>
      </c>
      <c r="AX126" s="880">
        <f t="shared" si="36"/>
        <v>0</v>
      </c>
      <c r="AY126" s="880">
        <f t="shared" si="34"/>
        <v>0</v>
      </c>
      <c r="AZ126" s="880">
        <f t="shared" si="34"/>
        <v>103.75816845021104</v>
      </c>
      <c r="BA126" s="880">
        <f t="shared" si="34"/>
        <v>0</v>
      </c>
      <c r="BB126" s="880">
        <f t="shared" si="34"/>
        <v>0</v>
      </c>
      <c r="BC126" s="904">
        <f t="shared" si="19"/>
        <v>0</v>
      </c>
    </row>
    <row r="127" spans="2:55" ht="15" customHeight="1" x14ac:dyDescent="0.25">
      <c r="B127" s="917">
        <f>B121+$B$34</f>
        <v>13</v>
      </c>
      <c r="C127" s="910"/>
      <c r="D127" s="911"/>
      <c r="E127" s="911"/>
      <c r="F127" s="860"/>
      <c r="G127" s="911"/>
      <c r="H127" s="911"/>
      <c r="I127" s="911"/>
      <c r="J127" s="911"/>
      <c r="K127" s="914"/>
      <c r="L127" s="806">
        <f t="shared" si="23"/>
        <v>145</v>
      </c>
      <c r="M127" s="895">
        <f t="shared" si="24"/>
        <v>1000000</v>
      </c>
      <c r="N127" s="806">
        <f t="shared" si="25"/>
        <v>100</v>
      </c>
      <c r="P127" s="900">
        <f t="shared" si="26"/>
        <v>91</v>
      </c>
      <c r="Q127" s="908">
        <f t="shared" si="27"/>
        <v>54</v>
      </c>
      <c r="R127" s="898">
        <f t="shared" si="32"/>
        <v>57.54087677898233</v>
      </c>
      <c r="S127" s="898">
        <f t="shared" si="32"/>
        <v>47.295436562814785</v>
      </c>
      <c r="T127" s="898">
        <f t="shared" si="32"/>
        <v>45.246348519581275</v>
      </c>
      <c r="U127" s="898">
        <f t="shared" si="32"/>
        <v>41.148172433114254</v>
      </c>
      <c r="V127" s="898">
        <f t="shared" si="32"/>
        <v>39.099084389880751</v>
      </c>
      <c r="W127" s="898">
        <f t="shared" si="32"/>
        <v>35.000908303413738</v>
      </c>
      <c r="X127" s="898">
        <f t="shared" si="32"/>
        <v>30.902732216946767</v>
      </c>
      <c r="Y127" s="898">
        <f t="shared" si="32"/>
        <v>26.804556130479749</v>
      </c>
      <c r="Z127" s="898">
        <f t="shared" si="32"/>
        <v>22.706380044012736</v>
      </c>
      <c r="AA127" s="900"/>
      <c r="AB127" s="900"/>
      <c r="AC127" s="902"/>
      <c r="AD127" s="902"/>
      <c r="AE127" s="902"/>
      <c r="AF127" s="902"/>
      <c r="AG127" s="902"/>
      <c r="AH127" s="902"/>
      <c r="AI127" s="645"/>
      <c r="AJ127" s="902">
        <f t="shared" si="31"/>
        <v>0</v>
      </c>
      <c r="AK127" s="909">
        <f t="shared" si="28"/>
        <v>12.5</v>
      </c>
      <c r="AL127" s="645">
        <f t="shared" si="29"/>
        <v>-1000000000</v>
      </c>
      <c r="AM127" s="902">
        <f t="shared" si="35"/>
        <v>0</v>
      </c>
      <c r="AN127" s="902">
        <f t="shared" si="35"/>
        <v>0</v>
      </c>
      <c r="AO127" s="902">
        <f t="shared" si="35"/>
        <v>0</v>
      </c>
      <c r="AP127" s="902">
        <f t="shared" si="33"/>
        <v>0</v>
      </c>
      <c r="AQ127" s="902">
        <f t="shared" si="33"/>
        <v>0</v>
      </c>
      <c r="AR127" s="902">
        <f t="shared" si="33"/>
        <v>0</v>
      </c>
      <c r="AS127" s="902">
        <f t="shared" si="33"/>
        <v>0</v>
      </c>
      <c r="AT127" s="645">
        <f t="shared" si="18"/>
        <v>0</v>
      </c>
      <c r="AU127" s="880">
        <f t="shared" si="30"/>
        <v>0</v>
      </c>
      <c r="AV127" s="880">
        <f t="shared" si="36"/>
        <v>0</v>
      </c>
      <c r="AW127" s="880">
        <f t="shared" si="36"/>
        <v>0</v>
      </c>
      <c r="AX127" s="880">
        <f t="shared" si="36"/>
        <v>0</v>
      </c>
      <c r="AY127" s="880">
        <f t="shared" si="34"/>
        <v>0</v>
      </c>
      <c r="AZ127" s="880">
        <f t="shared" si="34"/>
        <v>0</v>
      </c>
      <c r="BA127" s="880">
        <f t="shared" si="34"/>
        <v>0</v>
      </c>
      <c r="BB127" s="880">
        <f t="shared" si="34"/>
        <v>0</v>
      </c>
      <c r="BC127" s="904">
        <f t="shared" si="19"/>
        <v>0</v>
      </c>
    </row>
    <row r="128" spans="2:55" ht="15" customHeight="1" x14ac:dyDescent="0.25">
      <c r="B128" s="674">
        <f>L24</f>
        <v>13.083333333333334</v>
      </c>
      <c r="C128" s="910"/>
      <c r="D128" s="911"/>
      <c r="E128" s="911"/>
      <c r="F128" s="860"/>
      <c r="G128" s="911"/>
      <c r="H128" s="911"/>
      <c r="I128" s="911"/>
      <c r="J128" s="860">
        <f>$L$12</f>
        <v>78.5</v>
      </c>
      <c r="K128" s="914"/>
      <c r="L128" s="806">
        <f t="shared" si="23"/>
        <v>145</v>
      </c>
      <c r="M128" s="895">
        <f t="shared" si="24"/>
        <v>1000000</v>
      </c>
      <c r="N128" s="806">
        <f t="shared" si="25"/>
        <v>100</v>
      </c>
      <c r="O128" s="712"/>
      <c r="P128" s="900">
        <f t="shared" si="26"/>
        <v>92</v>
      </c>
      <c r="Q128" s="908">
        <f t="shared" si="27"/>
        <v>53</v>
      </c>
      <c r="R128" s="898">
        <f t="shared" si="32"/>
        <v>58.487167312802967</v>
      </c>
      <c r="S128" s="898">
        <f t="shared" si="32"/>
        <v>48.131471680205017</v>
      </c>
      <c r="T128" s="898">
        <f t="shared" si="32"/>
        <v>46.060332553685434</v>
      </c>
      <c r="U128" s="898">
        <f t="shared" si="32"/>
        <v>41.918054300646261</v>
      </c>
      <c r="V128" s="898">
        <f t="shared" si="32"/>
        <v>39.846915174126671</v>
      </c>
      <c r="W128" s="898">
        <f t="shared" si="32"/>
        <v>35.704636921087499</v>
      </c>
      <c r="X128" s="898">
        <f t="shared" si="32"/>
        <v>31.562358668048365</v>
      </c>
      <c r="Y128" s="898">
        <f t="shared" si="32"/>
        <v>27.420080415009192</v>
      </c>
      <c r="Z128" s="898">
        <f t="shared" si="32"/>
        <v>23.277802161970016</v>
      </c>
      <c r="AA128" s="900"/>
      <c r="AB128" s="900"/>
      <c r="AC128" s="902"/>
      <c r="AD128" s="902"/>
      <c r="AE128" s="902"/>
      <c r="AF128" s="902"/>
      <c r="AG128" s="902"/>
      <c r="AH128" s="902"/>
      <c r="AI128" s="645"/>
      <c r="AJ128" s="902">
        <f t="shared" si="31"/>
        <v>0</v>
      </c>
      <c r="AK128" s="909">
        <f t="shared" si="28"/>
        <v>12.5</v>
      </c>
      <c r="AL128" s="645">
        <f t="shared" si="29"/>
        <v>-1000000000</v>
      </c>
      <c r="AM128" s="902">
        <f t="shared" si="35"/>
        <v>0</v>
      </c>
      <c r="AN128" s="902">
        <f t="shared" si="35"/>
        <v>0</v>
      </c>
      <c r="AO128" s="902">
        <f t="shared" si="35"/>
        <v>0</v>
      </c>
      <c r="AP128" s="902">
        <f t="shared" si="33"/>
        <v>0</v>
      </c>
      <c r="AQ128" s="902">
        <f t="shared" si="33"/>
        <v>0</v>
      </c>
      <c r="AR128" s="902">
        <f t="shared" si="33"/>
        <v>0</v>
      </c>
      <c r="AS128" s="902">
        <f t="shared" si="33"/>
        <v>0</v>
      </c>
      <c r="AT128" s="645">
        <f t="shared" si="18"/>
        <v>0</v>
      </c>
      <c r="AU128" s="880">
        <f t="shared" si="30"/>
        <v>0</v>
      </c>
      <c r="AV128" s="880">
        <f t="shared" si="36"/>
        <v>0</v>
      </c>
      <c r="AW128" s="880">
        <f t="shared" si="36"/>
        <v>0</v>
      </c>
      <c r="AX128" s="880">
        <f t="shared" si="36"/>
        <v>0</v>
      </c>
      <c r="AY128" s="880">
        <f t="shared" si="34"/>
        <v>0</v>
      </c>
      <c r="AZ128" s="880">
        <f t="shared" si="34"/>
        <v>0</v>
      </c>
      <c r="BA128" s="880">
        <f t="shared" si="34"/>
        <v>0</v>
      </c>
      <c r="BB128" s="880">
        <f t="shared" si="34"/>
        <v>0</v>
      </c>
      <c r="BC128" s="904">
        <f t="shared" si="19"/>
        <v>0</v>
      </c>
    </row>
    <row r="129" spans="2:55" ht="15" customHeight="1" x14ac:dyDescent="0.25">
      <c r="B129" s="674">
        <f>L23</f>
        <v>13.733333333333334</v>
      </c>
      <c r="C129" s="910"/>
      <c r="D129" s="911"/>
      <c r="E129" s="911"/>
      <c r="F129" s="860"/>
      <c r="G129" s="911"/>
      <c r="H129" s="911"/>
      <c r="I129" s="860">
        <f>$L$11</f>
        <v>82.4</v>
      </c>
      <c r="J129" s="911"/>
      <c r="K129" s="914"/>
      <c r="L129" s="806">
        <f t="shared" si="23"/>
        <v>145</v>
      </c>
      <c r="M129" s="895">
        <f t="shared" si="24"/>
        <v>1000000</v>
      </c>
      <c r="N129" s="806">
        <f t="shared" si="25"/>
        <v>100</v>
      </c>
      <c r="P129" s="900">
        <f t="shared" si="26"/>
        <v>93</v>
      </c>
      <c r="Q129" s="908">
        <f t="shared" si="27"/>
        <v>52</v>
      </c>
      <c r="R129" s="898">
        <f t="shared" si="32"/>
        <v>59.450633266424752</v>
      </c>
      <c r="S129" s="898">
        <f t="shared" si="32"/>
        <v>48.984731848463895</v>
      </c>
      <c r="T129" s="898">
        <f t="shared" si="32"/>
        <v>46.891551564871733</v>
      </c>
      <c r="U129" s="898">
        <f t="shared" si="32"/>
        <v>42.705190997687389</v>
      </c>
      <c r="V129" s="898">
        <f t="shared" si="32"/>
        <v>40.61201071409522</v>
      </c>
      <c r="W129" s="898">
        <f t="shared" si="32"/>
        <v>36.42565014691089</v>
      </c>
      <c r="X129" s="898">
        <f t="shared" si="32"/>
        <v>32.239289579726588</v>
      </c>
      <c r="Y129" s="898">
        <f t="shared" si="32"/>
        <v>28.052929012542254</v>
      </c>
      <c r="Z129" s="898">
        <f t="shared" si="32"/>
        <v>23.866568445357917</v>
      </c>
      <c r="AA129" s="900"/>
      <c r="AB129" s="900"/>
      <c r="AC129" s="902"/>
      <c r="AD129" s="902"/>
      <c r="AE129" s="902"/>
      <c r="AF129" s="902"/>
      <c r="AG129" s="902"/>
      <c r="AH129" s="902"/>
      <c r="AI129" s="645"/>
      <c r="AJ129" s="902">
        <f t="shared" si="31"/>
        <v>0</v>
      </c>
      <c r="AK129" s="909">
        <f t="shared" si="28"/>
        <v>12.5</v>
      </c>
      <c r="AL129" s="645">
        <f t="shared" si="29"/>
        <v>-1000000000</v>
      </c>
      <c r="AM129" s="902">
        <f t="shared" si="35"/>
        <v>0</v>
      </c>
      <c r="AN129" s="902">
        <f t="shared" si="35"/>
        <v>0</v>
      </c>
      <c r="AO129" s="902">
        <f t="shared" si="35"/>
        <v>0</v>
      </c>
      <c r="AP129" s="902">
        <f t="shared" si="33"/>
        <v>0</v>
      </c>
      <c r="AQ129" s="902">
        <f t="shared" si="33"/>
        <v>0</v>
      </c>
      <c r="AR129" s="902">
        <f t="shared" si="33"/>
        <v>0</v>
      </c>
      <c r="AS129" s="902">
        <f t="shared" si="33"/>
        <v>0</v>
      </c>
      <c r="AT129" s="645">
        <f t="shared" si="18"/>
        <v>0</v>
      </c>
      <c r="AU129" s="880">
        <f t="shared" si="30"/>
        <v>0</v>
      </c>
      <c r="AV129" s="880">
        <f t="shared" si="36"/>
        <v>0</v>
      </c>
      <c r="AW129" s="880">
        <f t="shared" si="36"/>
        <v>0</v>
      </c>
      <c r="AX129" s="880">
        <f t="shared" si="36"/>
        <v>0</v>
      </c>
      <c r="AY129" s="880">
        <f t="shared" si="34"/>
        <v>0</v>
      </c>
      <c r="AZ129" s="880">
        <f t="shared" si="34"/>
        <v>0</v>
      </c>
      <c r="BA129" s="880">
        <f t="shared" si="34"/>
        <v>0</v>
      </c>
      <c r="BB129" s="880">
        <f t="shared" si="34"/>
        <v>0</v>
      </c>
      <c r="BC129" s="904">
        <f t="shared" si="19"/>
        <v>0</v>
      </c>
    </row>
    <row r="130" spans="2:55" ht="15" customHeight="1" x14ac:dyDescent="0.25">
      <c r="B130" s="917">
        <f>B127+$B$34</f>
        <v>14</v>
      </c>
      <c r="C130" s="924"/>
      <c r="D130" s="871"/>
      <c r="E130" s="911"/>
      <c r="F130" s="911"/>
      <c r="G130" s="911"/>
      <c r="H130" s="911"/>
      <c r="I130" s="911"/>
      <c r="J130" s="911"/>
      <c r="K130" s="914"/>
      <c r="L130" s="806">
        <f t="shared" si="23"/>
        <v>145</v>
      </c>
      <c r="M130" s="895">
        <f t="shared" si="24"/>
        <v>1000000</v>
      </c>
      <c r="N130" s="806">
        <f t="shared" si="25"/>
        <v>100</v>
      </c>
      <c r="P130" s="900">
        <f t="shared" si="26"/>
        <v>94</v>
      </c>
      <c r="Q130" s="908">
        <f t="shared" si="27"/>
        <v>51</v>
      </c>
      <c r="R130" s="898">
        <f t="shared" si="32"/>
        <v>60.43193802854254</v>
      </c>
      <c r="S130" s="898">
        <f t="shared" si="32"/>
        <v>49.855880422781958</v>
      </c>
      <c r="T130" s="898">
        <f t="shared" si="32"/>
        <v>47.740668901629839</v>
      </c>
      <c r="U130" s="898">
        <f t="shared" si="32"/>
        <v>43.5102458593256</v>
      </c>
      <c r="V130" s="898">
        <f t="shared" si="32"/>
        <v>41.395034338173488</v>
      </c>
      <c r="W130" s="898">
        <f t="shared" si="32"/>
        <v>37.164611295869257</v>
      </c>
      <c r="X130" s="898">
        <f t="shared" si="32"/>
        <v>32.934188253565068</v>
      </c>
      <c r="Y130" s="898">
        <f t="shared" si="32"/>
        <v>28.703765211260833</v>
      </c>
      <c r="Z130" s="898">
        <f t="shared" si="32"/>
        <v>24.473342168956602</v>
      </c>
      <c r="AA130" s="900"/>
      <c r="AB130" s="900"/>
      <c r="AC130" s="902"/>
      <c r="AD130" s="902"/>
      <c r="AE130" s="902"/>
      <c r="AF130" s="902"/>
      <c r="AG130" s="317">
        <f>B185</f>
        <v>41</v>
      </c>
      <c r="AH130" s="902"/>
      <c r="AI130" s="645"/>
      <c r="AJ130" s="902">
        <f t="shared" si="31"/>
        <v>0</v>
      </c>
      <c r="AK130" s="909">
        <f t="shared" si="28"/>
        <v>12.5</v>
      </c>
      <c r="AL130" s="645">
        <f t="shared" si="29"/>
        <v>-1000000000</v>
      </c>
      <c r="AM130" s="902">
        <f t="shared" si="35"/>
        <v>0</v>
      </c>
      <c r="AN130" s="902">
        <f t="shared" si="35"/>
        <v>0</v>
      </c>
      <c r="AO130" s="902">
        <f t="shared" si="35"/>
        <v>0</v>
      </c>
      <c r="AP130" s="902">
        <f t="shared" si="33"/>
        <v>0</v>
      </c>
      <c r="AQ130" s="902">
        <f t="shared" si="33"/>
        <v>0</v>
      </c>
      <c r="AR130" s="902">
        <f t="shared" si="33"/>
        <v>1</v>
      </c>
      <c r="AS130" s="902">
        <f t="shared" si="33"/>
        <v>0</v>
      </c>
      <c r="AT130" s="645">
        <f t="shared" si="18"/>
        <v>0</v>
      </c>
      <c r="AU130" s="880">
        <f t="shared" si="30"/>
        <v>0</v>
      </c>
      <c r="AV130" s="880">
        <f t="shared" si="36"/>
        <v>0</v>
      </c>
      <c r="AW130" s="880">
        <f t="shared" si="36"/>
        <v>0</v>
      </c>
      <c r="AX130" s="880">
        <f t="shared" si="36"/>
        <v>0</v>
      </c>
      <c r="AY130" s="880">
        <f t="shared" si="34"/>
        <v>0</v>
      </c>
      <c r="AZ130" s="880">
        <f t="shared" si="34"/>
        <v>0</v>
      </c>
      <c r="BA130" s="880">
        <f t="shared" si="34"/>
        <v>65.057319128927716</v>
      </c>
      <c r="BB130" s="880">
        <f t="shared" si="34"/>
        <v>0</v>
      </c>
      <c r="BC130" s="904">
        <f t="shared" si="19"/>
        <v>0</v>
      </c>
    </row>
    <row r="131" spans="2:55" ht="15" customHeight="1" x14ac:dyDescent="0.25">
      <c r="B131" s="674">
        <f>L22</f>
        <v>14.666666666666666</v>
      </c>
      <c r="C131" s="910"/>
      <c r="D131" s="871"/>
      <c r="E131" s="911"/>
      <c r="F131" s="911"/>
      <c r="G131" s="911"/>
      <c r="H131" s="860">
        <f>$L$10</f>
        <v>88</v>
      </c>
      <c r="I131" s="911"/>
      <c r="J131" s="911"/>
      <c r="K131" s="914"/>
      <c r="L131" s="806">
        <f t="shared" si="23"/>
        <v>145</v>
      </c>
      <c r="M131" s="895">
        <f t="shared" si="24"/>
        <v>1000000</v>
      </c>
      <c r="N131" s="806">
        <f t="shared" si="25"/>
        <v>100</v>
      </c>
      <c r="P131" s="900">
        <f t="shared" si="26"/>
        <v>95</v>
      </c>
      <c r="Q131" s="908">
        <f t="shared" si="27"/>
        <v>50</v>
      </c>
      <c r="R131" s="898">
        <f t="shared" si="32"/>
        <v>61.43176950582049</v>
      </c>
      <c r="S131" s="898">
        <f t="shared" si="32"/>
        <v>50.745605276349167</v>
      </c>
      <c r="T131" s="898">
        <f t="shared" si="32"/>
        <v>48.608372430454907</v>
      </c>
      <c r="U131" s="898">
        <f t="shared" si="32"/>
        <v>44.333906738666371</v>
      </c>
      <c r="V131" s="898">
        <f t="shared" si="32"/>
        <v>42.196673892772111</v>
      </c>
      <c r="W131" s="898">
        <f t="shared" si="32"/>
        <v>37.922208200983583</v>
      </c>
      <c r="X131" s="898">
        <f t="shared" si="32"/>
        <v>33.647742509195098</v>
      </c>
      <c r="Y131" s="898">
        <f t="shared" si="32"/>
        <v>29.373276817406566</v>
      </c>
      <c r="Z131" s="898">
        <f t="shared" si="32"/>
        <v>25.098811125618035</v>
      </c>
      <c r="AA131" s="900"/>
      <c r="AB131" s="900"/>
      <c r="AC131" s="902"/>
      <c r="AD131" s="902"/>
      <c r="AE131" s="902"/>
      <c r="AF131" s="902"/>
      <c r="AG131" s="902"/>
      <c r="AH131" s="902"/>
      <c r="AI131" s="645"/>
      <c r="AJ131" s="902">
        <f t="shared" si="31"/>
        <v>0</v>
      </c>
      <c r="AK131" s="909">
        <f t="shared" si="28"/>
        <v>12.5</v>
      </c>
      <c r="AL131" s="645">
        <f t="shared" si="29"/>
        <v>-1000000000</v>
      </c>
      <c r="AM131" s="902">
        <f t="shared" si="35"/>
        <v>0</v>
      </c>
      <c r="AN131" s="902">
        <f t="shared" si="35"/>
        <v>0</v>
      </c>
      <c r="AO131" s="902">
        <f t="shared" si="35"/>
        <v>0</v>
      </c>
      <c r="AP131" s="902">
        <f t="shared" si="33"/>
        <v>0</v>
      </c>
      <c r="AQ131" s="902">
        <f t="shared" si="33"/>
        <v>0</v>
      </c>
      <c r="AR131" s="902">
        <f t="shared" si="33"/>
        <v>0</v>
      </c>
      <c r="AS131" s="902">
        <f t="shared" si="33"/>
        <v>0</v>
      </c>
      <c r="AT131" s="645">
        <f t="shared" si="18"/>
        <v>0</v>
      </c>
      <c r="AU131" s="880">
        <f t="shared" si="30"/>
        <v>0</v>
      </c>
      <c r="AV131" s="880">
        <f t="shared" si="36"/>
        <v>0</v>
      </c>
      <c r="AW131" s="880">
        <f t="shared" si="36"/>
        <v>0</v>
      </c>
      <c r="AX131" s="880">
        <f t="shared" si="36"/>
        <v>0</v>
      </c>
      <c r="AY131" s="880">
        <f t="shared" si="34"/>
        <v>0</v>
      </c>
      <c r="AZ131" s="880">
        <f t="shared" si="34"/>
        <v>0</v>
      </c>
      <c r="BA131" s="880">
        <f t="shared" si="34"/>
        <v>0</v>
      </c>
      <c r="BB131" s="880">
        <f t="shared" si="34"/>
        <v>0</v>
      </c>
      <c r="BC131" s="904">
        <f t="shared" si="19"/>
        <v>0</v>
      </c>
    </row>
    <row r="132" spans="2:55" ht="15" customHeight="1" x14ac:dyDescent="0.25">
      <c r="B132" s="674">
        <f>L21</f>
        <v>14.833333333333334</v>
      </c>
      <c r="C132" s="910"/>
      <c r="D132" s="871"/>
      <c r="E132" s="911"/>
      <c r="F132" s="911"/>
      <c r="G132" s="860">
        <f>$L$9</f>
        <v>89</v>
      </c>
      <c r="H132" s="911"/>
      <c r="I132" s="911"/>
      <c r="J132" s="911"/>
      <c r="K132" s="914"/>
      <c r="L132" s="806">
        <f t="shared" si="23"/>
        <v>145</v>
      </c>
      <c r="M132" s="895">
        <f t="shared" si="24"/>
        <v>1000000</v>
      </c>
      <c r="N132" s="806">
        <f t="shared" si="25"/>
        <v>100</v>
      </c>
      <c r="P132" s="900">
        <f t="shared" si="26"/>
        <v>96</v>
      </c>
      <c r="Q132" s="908">
        <f t="shared" si="27"/>
        <v>49</v>
      </c>
      <c r="R132" s="898">
        <f t="shared" si="32"/>
        <v>62.450841009591358</v>
      </c>
      <c r="S132" s="898">
        <f t="shared" si="32"/>
        <v>51.654619687054243</v>
      </c>
      <c r="T132" s="898">
        <f t="shared" si="32"/>
        <v>49.495375422546815</v>
      </c>
      <c r="U132" s="898">
        <f t="shared" si="32"/>
        <v>45.176886893531972</v>
      </c>
      <c r="V132" s="898">
        <f t="shared" si="32"/>
        <v>43.017642629024543</v>
      </c>
      <c r="W132" s="898">
        <f t="shared" si="32"/>
        <v>38.699154100009693</v>
      </c>
      <c r="X132" s="898">
        <f t="shared" si="32"/>
        <v>34.380665570994893</v>
      </c>
      <c r="Y132" s="898">
        <f t="shared" si="32"/>
        <v>30.062177041980046</v>
      </c>
      <c r="Z132" s="898">
        <f t="shared" si="32"/>
        <v>25.743688512965196</v>
      </c>
      <c r="AA132" s="900"/>
      <c r="AB132" s="900"/>
      <c r="AC132" s="902"/>
      <c r="AD132" s="902"/>
      <c r="AE132" s="902"/>
      <c r="AF132" s="902"/>
      <c r="AG132" s="902"/>
      <c r="AH132" s="902"/>
      <c r="AI132" s="645"/>
      <c r="AJ132" s="902">
        <f t="shared" si="31"/>
        <v>0</v>
      </c>
      <c r="AK132" s="909">
        <f t="shared" si="28"/>
        <v>12.5</v>
      </c>
      <c r="AL132" s="645">
        <f t="shared" si="29"/>
        <v>-1000000000</v>
      </c>
      <c r="AM132" s="902">
        <f t="shared" si="35"/>
        <v>0</v>
      </c>
      <c r="AN132" s="902">
        <f t="shared" si="35"/>
        <v>0</v>
      </c>
      <c r="AO132" s="902">
        <f t="shared" si="35"/>
        <v>0</v>
      </c>
      <c r="AP132" s="902">
        <f t="shared" si="33"/>
        <v>0</v>
      </c>
      <c r="AQ132" s="902">
        <f t="shared" si="33"/>
        <v>0</v>
      </c>
      <c r="AR132" s="902">
        <f t="shared" si="33"/>
        <v>0</v>
      </c>
      <c r="AS132" s="902">
        <f t="shared" si="33"/>
        <v>0</v>
      </c>
      <c r="AT132" s="645">
        <f t="shared" si="18"/>
        <v>0</v>
      </c>
      <c r="AU132" s="880">
        <f t="shared" si="30"/>
        <v>0</v>
      </c>
      <c r="AV132" s="880">
        <f t="shared" si="36"/>
        <v>0</v>
      </c>
      <c r="AW132" s="880">
        <f t="shared" si="36"/>
        <v>0</v>
      </c>
      <c r="AX132" s="880">
        <f t="shared" si="36"/>
        <v>0</v>
      </c>
      <c r="AY132" s="880">
        <f t="shared" si="34"/>
        <v>0</v>
      </c>
      <c r="AZ132" s="880">
        <f t="shared" si="34"/>
        <v>0</v>
      </c>
      <c r="BA132" s="880">
        <f t="shared" si="34"/>
        <v>0</v>
      </c>
      <c r="BB132" s="880">
        <f t="shared" si="34"/>
        <v>0</v>
      </c>
      <c r="BC132" s="904">
        <f t="shared" si="19"/>
        <v>0</v>
      </c>
    </row>
    <row r="133" spans="2:55" ht="15" customHeight="1" x14ac:dyDescent="0.25">
      <c r="B133" s="917">
        <f>B130+$B$34</f>
        <v>15</v>
      </c>
      <c r="C133" s="924"/>
      <c r="D133" s="871"/>
      <c r="E133" s="911"/>
      <c r="F133" s="860">
        <f>$L$8</f>
        <v>90</v>
      </c>
      <c r="G133" s="860"/>
      <c r="H133" s="911"/>
      <c r="I133" s="911"/>
      <c r="J133" s="911"/>
      <c r="K133" s="914"/>
      <c r="L133" s="806">
        <f t="shared" si="23"/>
        <v>145</v>
      </c>
      <c r="M133" s="895">
        <f t="shared" si="24"/>
        <v>1000000</v>
      </c>
      <c r="N133" s="806">
        <f t="shared" si="25"/>
        <v>100</v>
      </c>
      <c r="P133" s="900">
        <f t="shared" si="26"/>
        <v>97</v>
      </c>
      <c r="Q133" s="908">
        <f t="shared" si="27"/>
        <v>48</v>
      </c>
      <c r="R133" s="898">
        <f t="shared" si="32"/>
        <v>63.489892174095125</v>
      </c>
      <c r="S133" s="898">
        <f t="shared" si="32"/>
        <v>52.583663255723181</v>
      </c>
      <c r="T133" s="898">
        <f t="shared" si="32"/>
        <v>50.402417472048789</v>
      </c>
      <c r="U133" s="898">
        <f t="shared" si="32"/>
        <v>46.039925904700013</v>
      </c>
      <c r="V133" s="898">
        <f t="shared" si="32"/>
        <v>43.858680121025621</v>
      </c>
      <c r="W133" s="898">
        <f t="shared" si="32"/>
        <v>39.496188553676845</v>
      </c>
      <c r="X133" s="898">
        <f t="shared" si="32"/>
        <v>35.133696986328111</v>
      </c>
      <c r="Y133" s="898">
        <f t="shared" si="32"/>
        <v>30.771205418979335</v>
      </c>
      <c r="Z133" s="898">
        <f t="shared" si="32"/>
        <v>26.408713851630559</v>
      </c>
      <c r="AA133" s="900"/>
      <c r="AB133" s="900"/>
      <c r="AC133" s="902"/>
      <c r="AD133" s="902"/>
      <c r="AE133" s="902"/>
      <c r="AF133" s="902"/>
      <c r="AG133" s="902"/>
      <c r="AH133" s="317">
        <f>B182</f>
        <v>38</v>
      </c>
      <c r="AI133" s="645"/>
      <c r="AJ133" s="902">
        <f t="shared" si="31"/>
        <v>0</v>
      </c>
      <c r="AK133" s="909">
        <f t="shared" si="28"/>
        <v>12.5</v>
      </c>
      <c r="AL133" s="645">
        <f t="shared" si="29"/>
        <v>-1000000000</v>
      </c>
      <c r="AM133" s="902">
        <f t="shared" si="35"/>
        <v>0</v>
      </c>
      <c r="AN133" s="902">
        <f t="shared" si="35"/>
        <v>0</v>
      </c>
      <c r="AO133" s="902">
        <f t="shared" si="35"/>
        <v>0</v>
      </c>
      <c r="AP133" s="902">
        <f t="shared" si="33"/>
        <v>0</v>
      </c>
      <c r="AQ133" s="902">
        <f t="shared" si="33"/>
        <v>0</v>
      </c>
      <c r="AR133" s="902">
        <f t="shared" si="33"/>
        <v>0</v>
      </c>
      <c r="AS133" s="902">
        <f t="shared" si="33"/>
        <v>1</v>
      </c>
      <c r="AT133" s="645">
        <f t="shared" si="18"/>
        <v>0</v>
      </c>
      <c r="AU133" s="880">
        <f t="shared" si="30"/>
        <v>0</v>
      </c>
      <c r="AV133" s="880">
        <f t="shared" si="36"/>
        <v>0</v>
      </c>
      <c r="AW133" s="880">
        <f t="shared" si="36"/>
        <v>0</v>
      </c>
      <c r="AX133" s="880">
        <f t="shared" si="36"/>
        <v>0</v>
      </c>
      <c r="AY133" s="880">
        <f t="shared" si="34"/>
        <v>0</v>
      </c>
      <c r="AZ133" s="880">
        <f t="shared" si="34"/>
        <v>0</v>
      </c>
      <c r="BA133" s="880">
        <f t="shared" si="34"/>
        <v>0</v>
      </c>
      <c r="BB133" s="880">
        <f t="shared" si="34"/>
        <v>52.25547109459373</v>
      </c>
      <c r="BC133" s="904">
        <f t="shared" si="19"/>
        <v>0</v>
      </c>
    </row>
    <row r="134" spans="2:55" ht="15" customHeight="1" x14ac:dyDescent="0.25">
      <c r="B134" s="674">
        <f>L19</f>
        <v>15.316666666666668</v>
      </c>
      <c r="C134" s="910"/>
      <c r="D134" s="911"/>
      <c r="E134" s="860">
        <f>$L$7</f>
        <v>91.9</v>
      </c>
      <c r="F134" s="911"/>
      <c r="G134" s="911"/>
      <c r="H134" s="911"/>
      <c r="I134" s="911"/>
      <c r="J134" s="911"/>
      <c r="K134" s="914"/>
      <c r="L134" s="806">
        <f t="shared" si="23"/>
        <v>145</v>
      </c>
      <c r="M134" s="895">
        <f t="shared" si="24"/>
        <v>1000000</v>
      </c>
      <c r="N134" s="806">
        <f t="shared" si="25"/>
        <v>100</v>
      </c>
      <c r="P134" s="900">
        <f t="shared" si="26"/>
        <v>98</v>
      </c>
      <c r="Q134" s="908">
        <f t="shared" si="27"/>
        <v>47</v>
      </c>
      <c r="R134" s="898">
        <f t="shared" si="32"/>
        <v>64.549689907364211</v>
      </c>
      <c r="S134" s="898">
        <f t="shared" si="32"/>
        <v>53.533502857004493</v>
      </c>
      <c r="T134" s="898">
        <f t="shared" si="32"/>
        <v>51.33026544693255</v>
      </c>
      <c r="U134" s="898">
        <f t="shared" si="32"/>
        <v>46.923790626788659</v>
      </c>
      <c r="V134" s="898">
        <f t="shared" si="32"/>
        <v>44.720553216716716</v>
      </c>
      <c r="W134" s="898">
        <f t="shared" si="32"/>
        <v>40.314078396572825</v>
      </c>
      <c r="X134" s="898">
        <f t="shared" si="32"/>
        <v>35.90760357642899</v>
      </c>
      <c r="Y134" s="898">
        <f t="shared" si="32"/>
        <v>31.501128756285098</v>
      </c>
      <c r="Z134" s="898">
        <f t="shared" si="32"/>
        <v>27.09465393614121</v>
      </c>
      <c r="AA134" s="900"/>
      <c r="AB134" s="900"/>
      <c r="AC134" s="902"/>
      <c r="AD134" s="902"/>
      <c r="AE134" s="902"/>
      <c r="AF134" s="902"/>
      <c r="AG134" s="902"/>
      <c r="AH134" s="902"/>
      <c r="AI134" s="645"/>
      <c r="AJ134" s="902">
        <f t="shared" si="31"/>
        <v>0</v>
      </c>
      <c r="AK134" s="909">
        <f t="shared" si="28"/>
        <v>12.5</v>
      </c>
      <c r="AL134" s="645">
        <f t="shared" si="29"/>
        <v>-1000000000</v>
      </c>
      <c r="AM134" s="902">
        <f t="shared" si="35"/>
        <v>0</v>
      </c>
      <c r="AN134" s="902">
        <f t="shared" si="35"/>
        <v>0</v>
      </c>
      <c r="AO134" s="902">
        <f t="shared" si="35"/>
        <v>0</v>
      </c>
      <c r="AP134" s="902">
        <f t="shared" si="33"/>
        <v>0</v>
      </c>
      <c r="AQ134" s="902">
        <f t="shared" si="33"/>
        <v>0</v>
      </c>
      <c r="AR134" s="902">
        <f t="shared" si="33"/>
        <v>0</v>
      </c>
      <c r="AS134" s="902">
        <f t="shared" si="33"/>
        <v>0</v>
      </c>
      <c r="AT134" s="645">
        <f t="shared" si="18"/>
        <v>0</v>
      </c>
      <c r="AU134" s="880">
        <f t="shared" si="30"/>
        <v>0</v>
      </c>
      <c r="AV134" s="880">
        <f t="shared" si="36"/>
        <v>0</v>
      </c>
      <c r="AW134" s="880">
        <f t="shared" si="36"/>
        <v>0</v>
      </c>
      <c r="AX134" s="880">
        <f t="shared" si="36"/>
        <v>0</v>
      </c>
      <c r="AY134" s="880">
        <f t="shared" si="34"/>
        <v>0</v>
      </c>
      <c r="AZ134" s="880">
        <f t="shared" si="34"/>
        <v>0</v>
      </c>
      <c r="BA134" s="880">
        <f t="shared" si="34"/>
        <v>0</v>
      </c>
      <c r="BB134" s="880">
        <f t="shared" si="34"/>
        <v>0</v>
      </c>
      <c r="BC134" s="904">
        <f t="shared" si="19"/>
        <v>0</v>
      </c>
    </row>
    <row r="135" spans="2:55" ht="15" customHeight="1" x14ac:dyDescent="0.25">
      <c r="B135" s="674">
        <f>L18</f>
        <v>15.35</v>
      </c>
      <c r="C135" s="910"/>
      <c r="D135" s="860">
        <f>$L$6</f>
        <v>92.1</v>
      </c>
      <c r="E135" s="860"/>
      <c r="F135" s="911"/>
      <c r="G135" s="911"/>
      <c r="H135" s="911"/>
      <c r="I135" s="911"/>
      <c r="J135" s="911"/>
      <c r="K135" s="914"/>
      <c r="L135" s="806">
        <f t="shared" si="23"/>
        <v>145</v>
      </c>
      <c r="M135" s="895">
        <f t="shared" si="24"/>
        <v>1000000</v>
      </c>
      <c r="N135" s="806">
        <f t="shared" si="25"/>
        <v>100</v>
      </c>
      <c r="O135" s="309"/>
      <c r="P135" s="900">
        <f t="shared" si="26"/>
        <v>99</v>
      </c>
      <c r="Q135" s="908">
        <f t="shared" si="27"/>
        <v>46</v>
      </c>
      <c r="R135" s="898">
        <f t="shared" si="32"/>
        <v>65.631029375901207</v>
      </c>
      <c r="S135" s="898">
        <f t="shared" si="32"/>
        <v>54.504933624046842</v>
      </c>
      <c r="T135" s="898">
        <f t="shared" si="32"/>
        <v>52.279714473675966</v>
      </c>
      <c r="U135" s="898">
        <f t="shared" si="32"/>
        <v>47.829276172934229</v>
      </c>
      <c r="V135" s="898">
        <f t="shared" si="32"/>
        <v>45.604057022563353</v>
      </c>
      <c r="W135" s="898">
        <f t="shared" si="32"/>
        <v>41.153618721821616</v>
      </c>
      <c r="X135" s="898">
        <f t="shared" si="32"/>
        <v>36.703180421079921</v>
      </c>
      <c r="Y135" s="898">
        <f t="shared" si="32"/>
        <v>32.252742120338176</v>
      </c>
      <c r="Z135" s="898">
        <f t="shared" si="32"/>
        <v>27.802303819596432</v>
      </c>
      <c r="AA135" s="900"/>
      <c r="AB135" s="900"/>
      <c r="AC135" s="902"/>
      <c r="AD135" s="902"/>
      <c r="AE135" s="902"/>
      <c r="AF135" s="902"/>
      <c r="AG135" s="902"/>
      <c r="AH135" s="902"/>
      <c r="AI135" s="645"/>
      <c r="AJ135" s="902">
        <f t="shared" si="31"/>
        <v>0</v>
      </c>
      <c r="AK135" s="909">
        <f t="shared" si="28"/>
        <v>12.5</v>
      </c>
      <c r="AL135" s="645">
        <f t="shared" si="29"/>
        <v>-1000000000</v>
      </c>
      <c r="AM135" s="902">
        <f t="shared" si="35"/>
        <v>0</v>
      </c>
      <c r="AN135" s="902">
        <f t="shared" si="35"/>
        <v>0</v>
      </c>
      <c r="AO135" s="902">
        <f t="shared" si="35"/>
        <v>0</v>
      </c>
      <c r="AP135" s="902">
        <f t="shared" si="33"/>
        <v>0</v>
      </c>
      <c r="AQ135" s="902">
        <f t="shared" si="33"/>
        <v>0</v>
      </c>
      <c r="AR135" s="902">
        <f t="shared" si="33"/>
        <v>0</v>
      </c>
      <c r="AS135" s="902">
        <f t="shared" si="33"/>
        <v>0</v>
      </c>
      <c r="AT135" s="645">
        <f t="shared" si="18"/>
        <v>0</v>
      </c>
      <c r="AU135" s="880">
        <f t="shared" si="30"/>
        <v>0</v>
      </c>
      <c r="AV135" s="880">
        <f t="shared" si="36"/>
        <v>0</v>
      </c>
      <c r="AW135" s="880">
        <f t="shared" si="36"/>
        <v>0</v>
      </c>
      <c r="AX135" s="880">
        <f t="shared" si="36"/>
        <v>0</v>
      </c>
      <c r="AY135" s="880">
        <f t="shared" si="34"/>
        <v>0</v>
      </c>
      <c r="AZ135" s="880">
        <f t="shared" si="34"/>
        <v>0</v>
      </c>
      <c r="BA135" s="880">
        <f t="shared" si="34"/>
        <v>0</v>
      </c>
      <c r="BB135" s="880">
        <f t="shared" si="34"/>
        <v>0</v>
      </c>
      <c r="BC135" s="904">
        <f t="shared" si="19"/>
        <v>0</v>
      </c>
    </row>
    <row r="136" spans="2:55" ht="15" customHeight="1" x14ac:dyDescent="0.25">
      <c r="B136" s="917">
        <f>L17</f>
        <v>15.666666666666666</v>
      </c>
      <c r="C136" s="647">
        <f>$L$5</f>
        <v>94</v>
      </c>
      <c r="D136" s="911"/>
      <c r="E136" s="860"/>
      <c r="F136" s="911"/>
      <c r="G136" s="911"/>
      <c r="H136" s="911"/>
      <c r="I136" s="911"/>
      <c r="J136" s="911"/>
      <c r="K136" s="914"/>
      <c r="L136" s="806">
        <f t="shared" si="23"/>
        <v>145</v>
      </c>
      <c r="M136" s="895">
        <f t="shared" si="24"/>
        <v>1000000</v>
      </c>
      <c r="N136" s="806">
        <f t="shared" si="25"/>
        <v>100</v>
      </c>
      <c r="O136" s="309"/>
      <c r="P136" s="900">
        <f t="shared" si="26"/>
        <v>100</v>
      </c>
      <c r="Q136" s="908">
        <f t="shared" si="27"/>
        <v>45</v>
      </c>
      <c r="R136" s="898">
        <f t="shared" ref="R136:Z155" si="37">($G$26-$Q136)*(($C$31+$L$33-R$34)-($L$33/$P$32)*(1-EXP(-$Q136/$G$27)))/($T$32-$Q136*$I$29)</f>
        <v>66.734735024334498</v>
      </c>
      <c r="S136" s="898">
        <f t="shared" si="37"/>
        <v>55.498779968154707</v>
      </c>
      <c r="T136" s="898">
        <f t="shared" si="37"/>
        <v>53.251588956918752</v>
      </c>
      <c r="U136" s="898">
        <f t="shared" si="37"/>
        <v>48.757206934446842</v>
      </c>
      <c r="V136" s="898">
        <f t="shared" si="37"/>
        <v>46.510015923210879</v>
      </c>
      <c r="W136" s="898">
        <f t="shared" si="37"/>
        <v>42.015633900738969</v>
      </c>
      <c r="X136" s="898">
        <f t="shared" si="37"/>
        <v>37.521251878267108</v>
      </c>
      <c r="Y136" s="898">
        <f t="shared" si="37"/>
        <v>33.026869855795191</v>
      </c>
      <c r="Z136" s="898">
        <f t="shared" si="37"/>
        <v>28.532487833323277</v>
      </c>
      <c r="AA136" s="900"/>
      <c r="AB136" s="900"/>
      <c r="AC136" s="902"/>
      <c r="AD136" s="902"/>
      <c r="AE136" s="902"/>
      <c r="AF136" s="902"/>
      <c r="AG136" s="902"/>
      <c r="AH136" s="902"/>
      <c r="AI136" s="904">
        <f>B177</f>
        <v>34.5</v>
      </c>
      <c r="AJ136" s="902">
        <f t="shared" si="31"/>
        <v>0</v>
      </c>
      <c r="AK136" s="909">
        <f t="shared" si="28"/>
        <v>12.5</v>
      </c>
      <c r="AL136" s="645">
        <f t="shared" si="29"/>
        <v>-1000000000</v>
      </c>
      <c r="AM136" s="902">
        <f t="shared" si="35"/>
        <v>0</v>
      </c>
      <c r="AN136" s="902">
        <f t="shared" si="35"/>
        <v>0</v>
      </c>
      <c r="AO136" s="902">
        <f t="shared" si="35"/>
        <v>0</v>
      </c>
      <c r="AP136" s="902">
        <f t="shared" si="33"/>
        <v>0</v>
      </c>
      <c r="AQ136" s="902">
        <f t="shared" si="33"/>
        <v>0</v>
      </c>
      <c r="AR136" s="902">
        <f t="shared" si="33"/>
        <v>0</v>
      </c>
      <c r="AS136" s="902">
        <f t="shared" si="33"/>
        <v>0</v>
      </c>
      <c r="AT136" s="645">
        <f t="shared" si="18"/>
        <v>1</v>
      </c>
      <c r="AU136" s="880">
        <f t="shared" si="30"/>
        <v>0</v>
      </c>
      <c r="AV136" s="880">
        <f t="shared" si="36"/>
        <v>0</v>
      </c>
      <c r="AW136" s="880">
        <f t="shared" si="36"/>
        <v>0</v>
      </c>
      <c r="AX136" s="880">
        <f t="shared" si="36"/>
        <v>0</v>
      </c>
      <c r="AY136" s="880">
        <f t="shared" si="34"/>
        <v>0</v>
      </c>
      <c r="AZ136" s="880">
        <f t="shared" si="34"/>
        <v>0</v>
      </c>
      <c r="BA136" s="880">
        <f t="shared" si="34"/>
        <v>0</v>
      </c>
      <c r="BB136" s="880">
        <f t="shared" si="34"/>
        <v>0</v>
      </c>
      <c r="BC136" s="904">
        <f t="shared" si="19"/>
        <v>35.611201459434717</v>
      </c>
    </row>
    <row r="137" spans="2:55" ht="15" customHeight="1" x14ac:dyDescent="0.25">
      <c r="B137" s="917">
        <f>B133+$B$34</f>
        <v>16</v>
      </c>
      <c r="C137" s="910"/>
      <c r="D137" s="860"/>
      <c r="E137" s="911"/>
      <c r="F137" s="911"/>
      <c r="G137" s="911"/>
      <c r="H137" s="911"/>
      <c r="I137" s="911"/>
      <c r="J137" s="911"/>
      <c r="K137" s="912">
        <f>$M$13</f>
        <v>64</v>
      </c>
      <c r="L137" s="806">
        <f t="shared" si="23"/>
        <v>145</v>
      </c>
      <c r="M137" s="895">
        <f t="shared" si="24"/>
        <v>1000000</v>
      </c>
      <c r="N137" s="806">
        <f t="shared" si="25"/>
        <v>100</v>
      </c>
      <c r="O137" s="309"/>
      <c r="P137" s="900">
        <f t="shared" si="26"/>
        <v>101</v>
      </c>
      <c r="Q137" s="908">
        <f t="shared" si="27"/>
        <v>44</v>
      </c>
      <c r="R137" s="898">
        <f t="shared" si="37"/>
        <v>67.861661631278849</v>
      </c>
      <c r="S137" s="898">
        <f t="shared" si="37"/>
        <v>56.515896634648875</v>
      </c>
      <c r="T137" s="898">
        <f t="shared" si="37"/>
        <v>54.246743635322879</v>
      </c>
      <c r="U137" s="898">
        <f t="shared" si="37"/>
        <v>49.708437636670887</v>
      </c>
      <c r="V137" s="898">
        <f t="shared" si="37"/>
        <v>47.43928463734489</v>
      </c>
      <c r="W137" s="898">
        <f t="shared" si="37"/>
        <v>42.900978638692898</v>
      </c>
      <c r="X137" s="898">
        <f t="shared" si="37"/>
        <v>38.362672640040955</v>
      </c>
      <c r="Y137" s="898">
        <f t="shared" si="37"/>
        <v>33.824366641388963</v>
      </c>
      <c r="Z137" s="898">
        <f t="shared" si="37"/>
        <v>29.28606064273697</v>
      </c>
      <c r="AA137" s="900"/>
      <c r="AB137" s="900"/>
      <c r="AC137" s="902"/>
      <c r="AD137" s="902"/>
      <c r="AE137" s="902"/>
      <c r="AF137" s="902"/>
      <c r="AG137" s="902"/>
      <c r="AH137" s="902"/>
      <c r="AI137" s="645"/>
      <c r="AJ137" s="902">
        <f t="shared" si="31"/>
        <v>0</v>
      </c>
      <c r="AK137" s="909">
        <f t="shared" si="28"/>
        <v>12.5</v>
      </c>
      <c r="AL137" s="645">
        <f t="shared" si="29"/>
        <v>-1000000000</v>
      </c>
      <c r="AM137" s="902">
        <f t="shared" si="35"/>
        <v>0</v>
      </c>
      <c r="AN137" s="902">
        <f t="shared" si="35"/>
        <v>0</v>
      </c>
      <c r="AO137" s="902">
        <f t="shared" si="35"/>
        <v>0</v>
      </c>
      <c r="AP137" s="902">
        <f t="shared" si="33"/>
        <v>0</v>
      </c>
      <c r="AQ137" s="902">
        <f t="shared" si="33"/>
        <v>0</v>
      </c>
      <c r="AR137" s="902">
        <f t="shared" si="33"/>
        <v>0</v>
      </c>
      <c r="AS137" s="902">
        <f t="shared" si="33"/>
        <v>0</v>
      </c>
      <c r="AT137" s="645">
        <f t="shared" si="18"/>
        <v>0</v>
      </c>
      <c r="AU137" s="880">
        <f t="shared" si="30"/>
        <v>0</v>
      </c>
      <c r="AV137" s="880">
        <f t="shared" si="36"/>
        <v>0</v>
      </c>
      <c r="AW137" s="880">
        <f t="shared" si="36"/>
        <v>0</v>
      </c>
      <c r="AX137" s="880">
        <f t="shared" si="36"/>
        <v>0</v>
      </c>
      <c r="AY137" s="880">
        <f t="shared" si="34"/>
        <v>0</v>
      </c>
      <c r="AZ137" s="880">
        <f t="shared" si="34"/>
        <v>0</v>
      </c>
      <c r="BA137" s="880">
        <f t="shared" si="34"/>
        <v>0</v>
      </c>
      <c r="BB137" s="880">
        <f t="shared" si="34"/>
        <v>0</v>
      </c>
      <c r="BC137" s="904">
        <f t="shared" si="19"/>
        <v>0</v>
      </c>
    </row>
    <row r="138" spans="2:55" ht="15" customHeight="1" x14ac:dyDescent="0.25">
      <c r="B138" s="917">
        <f>B137+$B$34</f>
        <v>17</v>
      </c>
      <c r="C138" s="647"/>
      <c r="D138" s="911"/>
      <c r="E138" s="911"/>
      <c r="F138" s="911"/>
      <c r="G138" s="911"/>
      <c r="H138" s="911"/>
      <c r="I138" s="911"/>
      <c r="J138" s="911"/>
      <c r="K138" s="914"/>
      <c r="L138" s="806">
        <f t="shared" si="23"/>
        <v>145</v>
      </c>
      <c r="M138" s="895">
        <f t="shared" si="24"/>
        <v>1000000</v>
      </c>
      <c r="N138" s="806">
        <f t="shared" si="25"/>
        <v>100</v>
      </c>
      <c r="O138" s="309"/>
      <c r="P138" s="900">
        <f t="shared" si="26"/>
        <v>102</v>
      </c>
      <c r="Q138" s="908">
        <f t="shared" si="27"/>
        <v>43</v>
      </c>
      <c r="R138" s="898">
        <f t="shared" si="37"/>
        <v>69.012695402670118</v>
      </c>
      <c r="S138" s="898">
        <f t="shared" si="37"/>
        <v>57.557169796201109</v>
      </c>
      <c r="T138" s="898">
        <f t="shared" si="37"/>
        <v>55.266064674907305</v>
      </c>
      <c r="U138" s="898">
        <f t="shared" si="37"/>
        <v>50.683854432319706</v>
      </c>
      <c r="V138" s="898">
        <f t="shared" si="37"/>
        <v>48.392749311025902</v>
      </c>
      <c r="W138" s="898">
        <f t="shared" si="37"/>
        <v>43.810539068438295</v>
      </c>
      <c r="X138" s="898">
        <f t="shared" si="37"/>
        <v>39.228328825850738</v>
      </c>
      <c r="Y138" s="898">
        <f t="shared" si="37"/>
        <v>34.646118583263139</v>
      </c>
      <c r="Z138" s="898">
        <f t="shared" si="37"/>
        <v>30.063908340675532</v>
      </c>
      <c r="AA138" s="900"/>
      <c r="AB138" s="900"/>
      <c r="AC138" s="902"/>
      <c r="AD138" s="902"/>
      <c r="AE138" s="902"/>
      <c r="AF138" s="902"/>
      <c r="AG138" s="902"/>
      <c r="AH138" s="902"/>
      <c r="AI138" s="645"/>
      <c r="AJ138" s="902">
        <f t="shared" si="31"/>
        <v>0</v>
      </c>
      <c r="AK138" s="909">
        <f t="shared" si="28"/>
        <v>12.5</v>
      </c>
      <c r="AL138" s="645">
        <f t="shared" si="29"/>
        <v>-1000000000</v>
      </c>
      <c r="AM138" s="902">
        <f t="shared" si="35"/>
        <v>0</v>
      </c>
      <c r="AN138" s="902">
        <f t="shared" si="35"/>
        <v>0</v>
      </c>
      <c r="AO138" s="902">
        <f t="shared" si="35"/>
        <v>0</v>
      </c>
      <c r="AP138" s="902">
        <f t="shared" si="33"/>
        <v>0</v>
      </c>
      <c r="AQ138" s="902">
        <f t="shared" si="33"/>
        <v>0</v>
      </c>
      <c r="AR138" s="902">
        <f t="shared" si="33"/>
        <v>0</v>
      </c>
      <c r="AS138" s="902">
        <f t="shared" si="33"/>
        <v>0</v>
      </c>
      <c r="AT138" s="645">
        <f t="shared" si="18"/>
        <v>0</v>
      </c>
      <c r="AU138" s="880">
        <f t="shared" si="30"/>
        <v>0</v>
      </c>
      <c r="AV138" s="880">
        <f t="shared" si="36"/>
        <v>0</v>
      </c>
      <c r="AW138" s="880">
        <f t="shared" si="36"/>
        <v>0</v>
      </c>
      <c r="AX138" s="880">
        <f t="shared" si="36"/>
        <v>0</v>
      </c>
      <c r="AY138" s="880">
        <f t="shared" si="34"/>
        <v>0</v>
      </c>
      <c r="AZ138" s="880">
        <f t="shared" si="34"/>
        <v>0</v>
      </c>
      <c r="BA138" s="880">
        <f t="shared" si="34"/>
        <v>0</v>
      </c>
      <c r="BB138" s="880">
        <f t="shared" si="34"/>
        <v>0</v>
      </c>
      <c r="BC138" s="904">
        <f t="shared" si="19"/>
        <v>0</v>
      </c>
    </row>
    <row r="139" spans="2:55" ht="15" customHeight="1" x14ac:dyDescent="0.25">
      <c r="B139" s="674">
        <f>M24</f>
        <v>17.25</v>
      </c>
      <c r="C139" s="910"/>
      <c r="D139" s="911"/>
      <c r="E139" s="911"/>
      <c r="F139" s="911"/>
      <c r="G139" s="911"/>
      <c r="H139" s="911"/>
      <c r="I139" s="911"/>
      <c r="J139" s="860">
        <f>$M$12</f>
        <v>69</v>
      </c>
      <c r="K139" s="914"/>
      <c r="L139" s="806">
        <f t="shared" si="23"/>
        <v>145</v>
      </c>
      <c r="M139" s="895">
        <f t="shared" si="24"/>
        <v>1000000</v>
      </c>
      <c r="N139" s="806">
        <f t="shared" si="25"/>
        <v>100</v>
      </c>
      <c r="O139" s="309"/>
      <c r="P139" s="900">
        <f t="shared" si="26"/>
        <v>103</v>
      </c>
      <c r="Q139" s="908">
        <f t="shared" si="27"/>
        <v>42</v>
      </c>
      <c r="R139" s="898">
        <f t="shared" si="37"/>
        <v>70.188755103887473</v>
      </c>
      <c r="S139" s="898">
        <f t="shared" si="37"/>
        <v>58.62351818495641</v>
      </c>
      <c r="T139" s="898">
        <f t="shared" si="37"/>
        <v>56.310470801170197</v>
      </c>
      <c r="U139" s="898">
        <f t="shared" si="37"/>
        <v>51.684376033597772</v>
      </c>
      <c r="V139" s="898">
        <f t="shared" si="37"/>
        <v>49.371328649811552</v>
      </c>
      <c r="W139" s="898">
        <f t="shared" si="37"/>
        <v>44.745233882239127</v>
      </c>
      <c r="X139" s="898">
        <f t="shared" si="37"/>
        <v>40.119139114666758</v>
      </c>
      <c r="Y139" s="898">
        <f t="shared" si="37"/>
        <v>35.493044347094326</v>
      </c>
      <c r="Z139" s="898">
        <f t="shared" si="37"/>
        <v>30.866949579521901</v>
      </c>
      <c r="AA139" s="900"/>
      <c r="AB139" s="900"/>
      <c r="AC139" s="902"/>
      <c r="AD139" s="902"/>
      <c r="AE139" s="902"/>
      <c r="AF139" s="902"/>
      <c r="AG139" s="902"/>
      <c r="AH139" s="902"/>
      <c r="AI139" s="645"/>
      <c r="AJ139" s="902">
        <f t="shared" si="31"/>
        <v>0</v>
      </c>
      <c r="AK139" s="909">
        <f t="shared" si="28"/>
        <v>12.5</v>
      </c>
      <c r="AL139" s="645">
        <f t="shared" si="29"/>
        <v>-1000000000</v>
      </c>
      <c r="AM139" s="902">
        <f t="shared" si="35"/>
        <v>0</v>
      </c>
      <c r="AN139" s="902">
        <f t="shared" si="35"/>
        <v>0</v>
      </c>
      <c r="AO139" s="902">
        <f t="shared" si="35"/>
        <v>0</v>
      </c>
      <c r="AP139" s="902">
        <f t="shared" si="33"/>
        <v>0</v>
      </c>
      <c r="AQ139" s="902">
        <f t="shared" si="33"/>
        <v>0</v>
      </c>
      <c r="AR139" s="902">
        <f t="shared" si="33"/>
        <v>0</v>
      </c>
      <c r="AS139" s="902">
        <f t="shared" si="33"/>
        <v>0</v>
      </c>
      <c r="AT139" s="645">
        <f t="shared" si="18"/>
        <v>0</v>
      </c>
      <c r="AU139" s="880">
        <f t="shared" si="30"/>
        <v>0</v>
      </c>
      <c r="AV139" s="880">
        <f t="shared" si="36"/>
        <v>0</v>
      </c>
      <c r="AW139" s="880">
        <f t="shared" si="36"/>
        <v>0</v>
      </c>
      <c r="AX139" s="880">
        <f t="shared" si="36"/>
        <v>0</v>
      </c>
      <c r="AY139" s="880">
        <f t="shared" si="34"/>
        <v>0</v>
      </c>
      <c r="AZ139" s="880">
        <f t="shared" si="34"/>
        <v>0</v>
      </c>
      <c r="BA139" s="880">
        <f t="shared" si="34"/>
        <v>0</v>
      </c>
      <c r="BB139" s="880">
        <f t="shared" si="34"/>
        <v>0</v>
      </c>
      <c r="BC139" s="904">
        <f t="shared" si="19"/>
        <v>0</v>
      </c>
    </row>
    <row r="140" spans="2:55" ht="15" customHeight="1" x14ac:dyDescent="0.25">
      <c r="B140" s="917">
        <f>B138+$B$34</f>
        <v>18</v>
      </c>
      <c r="C140" s="647"/>
      <c r="D140" s="911"/>
      <c r="E140" s="911"/>
      <c r="F140" s="911"/>
      <c r="G140" s="911"/>
      <c r="H140" s="911"/>
      <c r="I140" s="911"/>
      <c r="J140" s="911"/>
      <c r="K140" s="914"/>
      <c r="L140" s="806">
        <f t="shared" si="23"/>
        <v>145</v>
      </c>
      <c r="M140" s="895">
        <f t="shared" si="24"/>
        <v>1000000</v>
      </c>
      <c r="N140" s="806">
        <f t="shared" si="25"/>
        <v>100</v>
      </c>
      <c r="P140" s="900">
        <f t="shared" si="26"/>
        <v>104</v>
      </c>
      <c r="Q140" s="908">
        <f t="shared" si="27"/>
        <v>41</v>
      </c>
      <c r="R140" s="898">
        <f t="shared" si="37"/>
        <v>71.390793232022347</v>
      </c>
      <c r="S140" s="898">
        <f t="shared" si="37"/>
        <v>59.715894264801868</v>
      </c>
      <c r="T140" s="898">
        <f t="shared" si="37"/>
        <v>57.380914471357762</v>
      </c>
      <c r="U140" s="898">
        <f t="shared" si="37"/>
        <v>52.710954884469572</v>
      </c>
      <c r="V140" s="898">
        <f t="shared" si="37"/>
        <v>50.375975091025481</v>
      </c>
      <c r="W140" s="898">
        <f t="shared" si="37"/>
        <v>45.706015504137284</v>
      </c>
      <c r="X140" s="898">
        <f t="shared" si="37"/>
        <v>41.036055917249136</v>
      </c>
      <c r="Y140" s="898">
        <f t="shared" si="37"/>
        <v>36.366096330360946</v>
      </c>
      <c r="Z140" s="898">
        <f t="shared" si="37"/>
        <v>31.696136743472753</v>
      </c>
      <c r="AA140" s="900"/>
      <c r="AB140" s="900"/>
      <c r="AC140" s="902"/>
      <c r="AD140" s="902"/>
      <c r="AE140" s="902"/>
      <c r="AF140" s="902"/>
      <c r="AG140" s="902"/>
      <c r="AH140" s="902"/>
      <c r="AI140" s="645"/>
      <c r="AJ140" s="902">
        <f t="shared" si="31"/>
        <v>0</v>
      </c>
      <c r="AK140" s="909">
        <f t="shared" si="28"/>
        <v>12.5</v>
      </c>
      <c r="AL140" s="645">
        <f t="shared" si="29"/>
        <v>-1000000000</v>
      </c>
      <c r="AM140" s="902">
        <f t="shared" si="35"/>
        <v>0</v>
      </c>
      <c r="AN140" s="902">
        <f t="shared" si="35"/>
        <v>0</v>
      </c>
      <c r="AO140" s="902">
        <f t="shared" si="35"/>
        <v>0</v>
      </c>
      <c r="AP140" s="902">
        <f t="shared" si="33"/>
        <v>0</v>
      </c>
      <c r="AQ140" s="902">
        <f t="shared" si="33"/>
        <v>0</v>
      </c>
      <c r="AR140" s="902">
        <f t="shared" si="33"/>
        <v>0</v>
      </c>
      <c r="AS140" s="902">
        <f t="shared" si="33"/>
        <v>0</v>
      </c>
      <c r="AT140" s="645">
        <f t="shared" si="18"/>
        <v>0</v>
      </c>
      <c r="AU140" s="880">
        <f t="shared" si="30"/>
        <v>0</v>
      </c>
      <c r="AV140" s="880">
        <f t="shared" si="36"/>
        <v>0</v>
      </c>
      <c r="AW140" s="880">
        <f t="shared" si="36"/>
        <v>0</v>
      </c>
      <c r="AX140" s="880">
        <f t="shared" si="36"/>
        <v>0</v>
      </c>
      <c r="AY140" s="880">
        <f t="shared" si="34"/>
        <v>0</v>
      </c>
      <c r="AZ140" s="880">
        <f t="shared" si="34"/>
        <v>0</v>
      </c>
      <c r="BA140" s="880">
        <f t="shared" si="34"/>
        <v>0</v>
      </c>
      <c r="BB140" s="880">
        <f t="shared" si="34"/>
        <v>0</v>
      </c>
      <c r="BC140" s="904">
        <f t="shared" si="19"/>
        <v>0</v>
      </c>
    </row>
    <row r="141" spans="2:55" ht="15" customHeight="1" x14ac:dyDescent="0.25">
      <c r="B141" s="674">
        <f>M23</f>
        <v>18.25</v>
      </c>
      <c r="C141" s="910"/>
      <c r="D141" s="911"/>
      <c r="E141" s="911"/>
      <c r="F141" s="911"/>
      <c r="G141" s="911"/>
      <c r="H141" s="911"/>
      <c r="I141" s="860">
        <f>$M$11</f>
        <v>73</v>
      </c>
      <c r="J141" s="911"/>
      <c r="K141" s="914"/>
      <c r="L141" s="806">
        <f t="shared" si="23"/>
        <v>145</v>
      </c>
      <c r="M141" s="895">
        <f t="shared" si="24"/>
        <v>1000000</v>
      </c>
      <c r="N141" s="806">
        <f t="shared" si="25"/>
        <v>100</v>
      </c>
      <c r="O141" s="309"/>
      <c r="P141" s="900">
        <f t="shared" si="26"/>
        <v>105</v>
      </c>
      <c r="Q141" s="908">
        <f t="shared" si="27"/>
        <v>40</v>
      </c>
      <c r="R141" s="898">
        <f t="shared" si="37"/>
        <v>72.619797229699984</v>
      </c>
      <c r="S141" s="898">
        <f t="shared" si="37"/>
        <v>60.835285445188191</v>
      </c>
      <c r="T141" s="898">
        <f t="shared" si="37"/>
        <v>58.478383088285824</v>
      </c>
      <c r="U141" s="898">
        <f t="shared" si="37"/>
        <v>53.764578374481104</v>
      </c>
      <c r="V141" s="898">
        <f t="shared" si="37"/>
        <v>51.407676017578744</v>
      </c>
      <c r="W141" s="898">
        <f t="shared" si="37"/>
        <v>46.693871303774031</v>
      </c>
      <c r="X141" s="898">
        <f t="shared" si="37"/>
        <v>41.980066589969361</v>
      </c>
      <c r="Y141" s="898">
        <f t="shared" si="37"/>
        <v>37.266261876164641</v>
      </c>
      <c r="Z141" s="898">
        <f t="shared" si="37"/>
        <v>32.552457162359929</v>
      </c>
      <c r="AA141" s="900"/>
      <c r="AB141" s="900"/>
      <c r="AC141" s="902"/>
      <c r="AD141" s="902"/>
      <c r="AE141" s="902"/>
      <c r="AF141" s="902"/>
      <c r="AG141" s="902"/>
      <c r="AH141" s="902"/>
      <c r="AI141" s="645"/>
      <c r="AJ141" s="902">
        <f t="shared" si="31"/>
        <v>0</v>
      </c>
      <c r="AK141" s="909">
        <f t="shared" si="28"/>
        <v>12.5</v>
      </c>
      <c r="AL141" s="645">
        <f t="shared" si="29"/>
        <v>-1000000000</v>
      </c>
      <c r="AM141" s="902">
        <f t="shared" si="35"/>
        <v>0</v>
      </c>
      <c r="AN141" s="902">
        <f t="shared" si="35"/>
        <v>0</v>
      </c>
      <c r="AO141" s="902">
        <f t="shared" si="35"/>
        <v>0</v>
      </c>
      <c r="AP141" s="902">
        <f t="shared" si="33"/>
        <v>0</v>
      </c>
      <c r="AQ141" s="902">
        <f t="shared" si="33"/>
        <v>0</v>
      </c>
      <c r="AR141" s="902">
        <f t="shared" si="33"/>
        <v>0</v>
      </c>
      <c r="AS141" s="902">
        <f t="shared" si="33"/>
        <v>0</v>
      </c>
      <c r="AT141" s="645">
        <f t="shared" si="18"/>
        <v>0</v>
      </c>
      <c r="AU141" s="880">
        <f t="shared" si="30"/>
        <v>0</v>
      </c>
      <c r="AV141" s="880">
        <f t="shared" si="36"/>
        <v>0</v>
      </c>
      <c r="AW141" s="880">
        <f t="shared" si="36"/>
        <v>0</v>
      </c>
      <c r="AX141" s="880">
        <f t="shared" si="36"/>
        <v>0</v>
      </c>
      <c r="AY141" s="880">
        <f t="shared" si="34"/>
        <v>0</v>
      </c>
      <c r="AZ141" s="880">
        <f t="shared" si="34"/>
        <v>0</v>
      </c>
      <c r="BA141" s="880">
        <f t="shared" si="34"/>
        <v>0</v>
      </c>
      <c r="BB141" s="880">
        <f t="shared" si="34"/>
        <v>0</v>
      </c>
      <c r="BC141" s="904">
        <f t="shared" si="19"/>
        <v>0</v>
      </c>
    </row>
    <row r="142" spans="2:55" ht="15" customHeight="1" x14ac:dyDescent="0.25">
      <c r="B142" s="917">
        <f>B140+$B$34</f>
        <v>19</v>
      </c>
      <c r="C142" s="910"/>
      <c r="D142" s="911"/>
      <c r="E142" s="911"/>
      <c r="F142" s="911"/>
      <c r="G142" s="911"/>
      <c r="H142" s="911"/>
      <c r="I142" s="911"/>
      <c r="J142" s="911"/>
      <c r="K142" s="914"/>
      <c r="L142" s="806">
        <f t="shared" si="23"/>
        <v>145</v>
      </c>
      <c r="M142" s="895">
        <f t="shared" si="24"/>
        <v>1000000</v>
      </c>
      <c r="N142" s="806">
        <f t="shared" si="25"/>
        <v>100</v>
      </c>
      <c r="O142" s="309"/>
      <c r="P142" s="900">
        <f t="shared" si="26"/>
        <v>106</v>
      </c>
      <c r="Q142" s="908">
        <f t="shared" si="27"/>
        <v>39</v>
      </c>
      <c r="R142" s="898">
        <f t="shared" si="37"/>
        <v>73.876790741908465</v>
      </c>
      <c r="S142" s="898">
        <f t="shared" si="37"/>
        <v>61.982715337958723</v>
      </c>
      <c r="T142" s="898">
        <f t="shared" si="37"/>
        <v>59.603900257168775</v>
      </c>
      <c r="U142" s="898">
        <f t="shared" si="37"/>
        <v>54.846270095588885</v>
      </c>
      <c r="V142" s="898">
        <f t="shared" si="37"/>
        <v>52.467455014798936</v>
      </c>
      <c r="W142" s="898">
        <f t="shared" si="37"/>
        <v>47.70982485321904</v>
      </c>
      <c r="X142" s="898">
        <f t="shared" si="37"/>
        <v>42.952194691639193</v>
      </c>
      <c r="Y142" s="898">
        <f t="shared" si="37"/>
        <v>38.194564530059303</v>
      </c>
      <c r="Z142" s="898">
        <f t="shared" si="37"/>
        <v>33.436934368479406</v>
      </c>
      <c r="AA142" s="900"/>
      <c r="AB142" s="900"/>
      <c r="AC142" s="902"/>
      <c r="AD142" s="902"/>
      <c r="AE142" s="902"/>
      <c r="AF142" s="902"/>
      <c r="AG142" s="902"/>
      <c r="AH142" s="902"/>
      <c r="AI142" s="645"/>
      <c r="AJ142" s="902">
        <f t="shared" si="31"/>
        <v>0</v>
      </c>
      <c r="AK142" s="909">
        <f t="shared" si="28"/>
        <v>12.5</v>
      </c>
      <c r="AL142" s="645">
        <f t="shared" si="29"/>
        <v>-1000000000</v>
      </c>
      <c r="AM142" s="902">
        <f t="shared" si="35"/>
        <v>0</v>
      </c>
      <c r="AN142" s="902">
        <f t="shared" si="35"/>
        <v>0</v>
      </c>
      <c r="AO142" s="902">
        <f t="shared" si="35"/>
        <v>0</v>
      </c>
      <c r="AP142" s="902">
        <f t="shared" si="33"/>
        <v>0</v>
      </c>
      <c r="AQ142" s="902">
        <f t="shared" si="33"/>
        <v>0</v>
      </c>
      <c r="AR142" s="902">
        <f t="shared" si="33"/>
        <v>0</v>
      </c>
      <c r="AS142" s="902">
        <f t="shared" si="33"/>
        <v>0</v>
      </c>
      <c r="AT142" s="645">
        <f t="shared" si="18"/>
        <v>0</v>
      </c>
      <c r="AU142" s="880">
        <f t="shared" si="30"/>
        <v>0</v>
      </c>
      <c r="AV142" s="880">
        <f t="shared" si="36"/>
        <v>0</v>
      </c>
      <c r="AW142" s="880">
        <f t="shared" si="36"/>
        <v>0</v>
      </c>
      <c r="AX142" s="880">
        <f t="shared" si="36"/>
        <v>0</v>
      </c>
      <c r="AY142" s="880">
        <f t="shared" si="34"/>
        <v>0</v>
      </c>
      <c r="AZ142" s="880">
        <f t="shared" si="34"/>
        <v>0</v>
      </c>
      <c r="BA142" s="880">
        <f t="shared" si="34"/>
        <v>0</v>
      </c>
      <c r="BB142" s="880">
        <f t="shared" si="34"/>
        <v>0</v>
      </c>
      <c r="BC142" s="904">
        <f t="shared" si="19"/>
        <v>0</v>
      </c>
    </row>
    <row r="143" spans="2:55" ht="15" customHeight="1" x14ac:dyDescent="0.25">
      <c r="B143" s="674">
        <f>M22</f>
        <v>19.25</v>
      </c>
      <c r="C143" s="910"/>
      <c r="D143" s="911"/>
      <c r="E143" s="911"/>
      <c r="F143" s="911"/>
      <c r="G143" s="911"/>
      <c r="H143" s="860">
        <f>$M$10</f>
        <v>77</v>
      </c>
      <c r="I143" s="911"/>
      <c r="J143" s="911"/>
      <c r="K143" s="914"/>
      <c r="L143" s="806">
        <f t="shared" si="23"/>
        <v>145</v>
      </c>
      <c r="M143" s="895">
        <f t="shared" si="24"/>
        <v>1000000</v>
      </c>
      <c r="N143" s="806">
        <f t="shared" si="25"/>
        <v>100</v>
      </c>
      <c r="P143" s="900">
        <f t="shared" si="26"/>
        <v>107</v>
      </c>
      <c r="Q143" s="908">
        <f t="shared" si="27"/>
        <v>38</v>
      </c>
      <c r="R143" s="898">
        <f t="shared" si="37"/>
        <v>75.162834917340973</v>
      </c>
      <c r="S143" s="898">
        <f t="shared" si="37"/>
        <v>63.159245058691639</v>
      </c>
      <c r="T143" s="898">
        <f t="shared" si="37"/>
        <v>60.758527086961777</v>
      </c>
      <c r="U143" s="898">
        <f t="shared" si="37"/>
        <v>55.957091143502041</v>
      </c>
      <c r="V143" s="898">
        <f t="shared" si="37"/>
        <v>53.556373171772179</v>
      </c>
      <c r="W143" s="898">
        <f t="shared" si="37"/>
        <v>48.75493722831245</v>
      </c>
      <c r="X143" s="898">
        <f t="shared" si="37"/>
        <v>43.95350128485277</v>
      </c>
      <c r="Y143" s="898">
        <f t="shared" si="37"/>
        <v>39.15206534139304</v>
      </c>
      <c r="Z143" s="898">
        <f t="shared" si="37"/>
        <v>34.350629397933311</v>
      </c>
      <c r="AA143" s="900"/>
      <c r="AB143" s="900"/>
      <c r="AC143" s="902"/>
      <c r="AD143" s="902"/>
      <c r="AE143" s="902"/>
      <c r="AF143" s="902"/>
      <c r="AG143" s="902"/>
      <c r="AH143" s="902"/>
      <c r="AI143" s="645"/>
      <c r="AJ143" s="902">
        <f t="shared" si="31"/>
        <v>0</v>
      </c>
      <c r="AK143" s="909">
        <f t="shared" si="28"/>
        <v>12.5</v>
      </c>
      <c r="AL143" s="645">
        <f t="shared" si="29"/>
        <v>-1000000000</v>
      </c>
      <c r="AM143" s="902">
        <f t="shared" si="35"/>
        <v>0</v>
      </c>
      <c r="AN143" s="902">
        <f t="shared" si="35"/>
        <v>0</v>
      </c>
      <c r="AO143" s="902">
        <f t="shared" si="35"/>
        <v>0</v>
      </c>
      <c r="AP143" s="902">
        <f t="shared" si="33"/>
        <v>0</v>
      </c>
      <c r="AQ143" s="902">
        <f t="shared" si="33"/>
        <v>0</v>
      </c>
      <c r="AR143" s="902">
        <f t="shared" si="33"/>
        <v>0</v>
      </c>
      <c r="AS143" s="902">
        <f t="shared" si="33"/>
        <v>0</v>
      </c>
      <c r="AT143" s="645">
        <f t="shared" si="18"/>
        <v>0</v>
      </c>
      <c r="AU143" s="880">
        <f t="shared" si="30"/>
        <v>0</v>
      </c>
      <c r="AV143" s="880">
        <f t="shared" si="36"/>
        <v>0</v>
      </c>
      <c r="AW143" s="880">
        <f t="shared" si="36"/>
        <v>0</v>
      </c>
      <c r="AX143" s="880">
        <f t="shared" si="36"/>
        <v>0</v>
      </c>
      <c r="AY143" s="880">
        <f t="shared" si="34"/>
        <v>0</v>
      </c>
      <c r="AZ143" s="880">
        <f t="shared" si="34"/>
        <v>0</v>
      </c>
      <c r="BA143" s="880">
        <f t="shared" si="34"/>
        <v>0</v>
      </c>
      <c r="BB143" s="880">
        <f t="shared" si="34"/>
        <v>0</v>
      </c>
      <c r="BC143" s="904">
        <f t="shared" si="19"/>
        <v>0</v>
      </c>
    </row>
    <row r="144" spans="2:55" ht="15" customHeight="1" x14ac:dyDescent="0.25">
      <c r="B144" s="674">
        <f>N25</f>
        <v>19.333333333333332</v>
      </c>
      <c r="C144" s="910"/>
      <c r="D144" s="911"/>
      <c r="E144" s="911"/>
      <c r="F144" s="911"/>
      <c r="G144" s="911"/>
      <c r="H144" s="860"/>
      <c r="I144" s="911"/>
      <c r="J144" s="911"/>
      <c r="K144" s="912">
        <f>$N$13</f>
        <v>58</v>
      </c>
      <c r="L144" s="806">
        <f t="shared" si="23"/>
        <v>145</v>
      </c>
      <c r="M144" s="895">
        <f t="shared" si="24"/>
        <v>1000000</v>
      </c>
      <c r="N144" s="806">
        <f t="shared" si="25"/>
        <v>100</v>
      </c>
      <c r="P144" s="900">
        <f t="shared" si="26"/>
        <v>108</v>
      </c>
      <c r="Q144" s="908">
        <f t="shared" si="27"/>
        <v>37</v>
      </c>
      <c r="R144" s="898">
        <f t="shared" si="37"/>
        <v>76.479029755807915</v>
      </c>
      <c r="S144" s="898">
        <f t="shared" si="37"/>
        <v>64.365974574112073</v>
      </c>
      <c r="T144" s="898">
        <f t="shared" si="37"/>
        <v>61.94336353777291</v>
      </c>
      <c r="U144" s="898">
        <f t="shared" si="37"/>
        <v>57.098141465094571</v>
      </c>
      <c r="V144" s="898">
        <f t="shared" si="37"/>
        <v>54.675530428755401</v>
      </c>
      <c r="W144" s="898">
        <f t="shared" si="37"/>
        <v>49.830308356077069</v>
      </c>
      <c r="X144" s="898">
        <f t="shared" si="37"/>
        <v>44.985086283398786</v>
      </c>
      <c r="Y144" s="898">
        <f t="shared" si="37"/>
        <v>40.139864210720454</v>
      </c>
      <c r="Z144" s="898">
        <f t="shared" si="37"/>
        <v>35.294642138042114</v>
      </c>
      <c r="AA144" s="900"/>
      <c r="AB144" s="900"/>
      <c r="AC144" s="902"/>
      <c r="AD144" s="902"/>
      <c r="AE144" s="902"/>
      <c r="AF144" s="902"/>
      <c r="AG144" s="902"/>
      <c r="AH144" s="902"/>
      <c r="AI144" s="645"/>
      <c r="AJ144" s="902">
        <f t="shared" si="31"/>
        <v>0</v>
      </c>
      <c r="AK144" s="909">
        <f t="shared" si="28"/>
        <v>12.5</v>
      </c>
      <c r="AL144" s="645">
        <f t="shared" si="29"/>
        <v>-1000000000</v>
      </c>
      <c r="AM144" s="902">
        <f t="shared" si="35"/>
        <v>0</v>
      </c>
      <c r="AN144" s="902">
        <f t="shared" si="35"/>
        <v>0</v>
      </c>
      <c r="AO144" s="902">
        <f t="shared" si="35"/>
        <v>0</v>
      </c>
      <c r="AP144" s="902">
        <f t="shared" si="33"/>
        <v>0</v>
      </c>
      <c r="AQ144" s="902">
        <f t="shared" si="33"/>
        <v>0</v>
      </c>
      <c r="AR144" s="902">
        <f t="shared" si="33"/>
        <v>0</v>
      </c>
      <c r="AS144" s="902">
        <f t="shared" si="33"/>
        <v>0</v>
      </c>
      <c r="AT144" s="645">
        <f t="shared" si="18"/>
        <v>0</v>
      </c>
      <c r="AU144" s="880">
        <f t="shared" si="30"/>
        <v>0</v>
      </c>
      <c r="AV144" s="880">
        <f t="shared" si="36"/>
        <v>0</v>
      </c>
      <c r="AW144" s="880">
        <f t="shared" si="36"/>
        <v>0</v>
      </c>
      <c r="AX144" s="880">
        <f t="shared" si="36"/>
        <v>0</v>
      </c>
      <c r="AY144" s="880">
        <f t="shared" si="34"/>
        <v>0</v>
      </c>
      <c r="AZ144" s="880">
        <f t="shared" si="34"/>
        <v>0</v>
      </c>
      <c r="BA144" s="880">
        <f t="shared" si="34"/>
        <v>0</v>
      </c>
      <c r="BB144" s="880">
        <f t="shared" si="34"/>
        <v>0</v>
      </c>
      <c r="BC144" s="904">
        <f t="shared" si="19"/>
        <v>0</v>
      </c>
    </row>
    <row r="145" spans="2:55" ht="15" customHeight="1" x14ac:dyDescent="0.25">
      <c r="B145" s="674">
        <f>M21</f>
        <v>19.875</v>
      </c>
      <c r="C145" s="910"/>
      <c r="D145" s="911"/>
      <c r="E145" s="911"/>
      <c r="F145" s="911"/>
      <c r="G145" s="860">
        <f>$M$9</f>
        <v>79.5</v>
      </c>
      <c r="H145" s="911"/>
      <c r="I145" s="911"/>
      <c r="J145" s="911"/>
      <c r="K145" s="914"/>
      <c r="L145" s="806">
        <f t="shared" si="23"/>
        <v>145</v>
      </c>
      <c r="M145" s="895">
        <f t="shared" si="24"/>
        <v>1000000</v>
      </c>
      <c r="N145" s="806">
        <f t="shared" si="25"/>
        <v>100</v>
      </c>
      <c r="P145" s="900">
        <f t="shared" si="26"/>
        <v>109</v>
      </c>
      <c r="Q145" s="908">
        <f t="shared" si="27"/>
        <v>36</v>
      </c>
      <c r="R145" s="898">
        <f t="shared" si="37"/>
        <v>77.826515503331407</v>
      </c>
      <c r="S145" s="898">
        <f t="shared" si="37"/>
        <v>65.604044097186517</v>
      </c>
      <c r="T145" s="898">
        <f t="shared" si="37"/>
        <v>63.159549815957533</v>
      </c>
      <c r="U145" s="898">
        <f t="shared" si="37"/>
        <v>58.270561253499579</v>
      </c>
      <c r="V145" s="898">
        <f t="shared" si="37"/>
        <v>55.82606697227061</v>
      </c>
      <c r="W145" s="898">
        <f t="shared" si="37"/>
        <v>50.937078409812649</v>
      </c>
      <c r="X145" s="898">
        <f t="shared" si="37"/>
        <v>46.048089847354746</v>
      </c>
      <c r="Y145" s="898">
        <f t="shared" si="37"/>
        <v>41.159101284896792</v>
      </c>
      <c r="Z145" s="898">
        <f t="shared" si="37"/>
        <v>36.270112722438839</v>
      </c>
      <c r="AA145" s="900"/>
      <c r="AB145" s="900"/>
      <c r="AC145" s="902"/>
      <c r="AD145" s="902"/>
      <c r="AE145" s="902"/>
      <c r="AF145" s="902"/>
      <c r="AG145" s="902"/>
      <c r="AH145" s="902"/>
      <c r="AI145" s="645"/>
      <c r="AJ145" s="902">
        <f t="shared" si="31"/>
        <v>0</v>
      </c>
      <c r="AK145" s="909">
        <f t="shared" si="28"/>
        <v>12.5</v>
      </c>
      <c r="AL145" s="645">
        <f t="shared" si="29"/>
        <v>-1000000000</v>
      </c>
      <c r="AM145" s="902">
        <f t="shared" si="35"/>
        <v>0</v>
      </c>
      <c r="AN145" s="902">
        <f t="shared" si="35"/>
        <v>0</v>
      </c>
      <c r="AO145" s="902">
        <f t="shared" si="35"/>
        <v>0</v>
      </c>
      <c r="AP145" s="902">
        <f t="shared" si="33"/>
        <v>0</v>
      </c>
      <c r="AQ145" s="902">
        <f t="shared" si="33"/>
        <v>0</v>
      </c>
      <c r="AR145" s="902">
        <f t="shared" si="33"/>
        <v>0</v>
      </c>
      <c r="AS145" s="902">
        <f t="shared" si="33"/>
        <v>0</v>
      </c>
      <c r="AT145" s="645">
        <f t="shared" si="18"/>
        <v>0</v>
      </c>
      <c r="AU145" s="880">
        <f t="shared" si="30"/>
        <v>0</v>
      </c>
      <c r="AV145" s="880">
        <f t="shared" si="36"/>
        <v>0</v>
      </c>
      <c r="AW145" s="880">
        <f t="shared" si="36"/>
        <v>0</v>
      </c>
      <c r="AX145" s="880">
        <f t="shared" si="36"/>
        <v>0</v>
      </c>
      <c r="AY145" s="880">
        <f t="shared" si="34"/>
        <v>0</v>
      </c>
      <c r="AZ145" s="880">
        <f t="shared" si="34"/>
        <v>0</v>
      </c>
      <c r="BA145" s="880">
        <f t="shared" si="34"/>
        <v>0</v>
      </c>
      <c r="BB145" s="880">
        <f t="shared" si="34"/>
        <v>0</v>
      </c>
      <c r="BC145" s="904">
        <f t="shared" si="19"/>
        <v>0</v>
      </c>
    </row>
    <row r="146" spans="2:55" ht="15" customHeight="1" x14ac:dyDescent="0.25">
      <c r="B146" s="917">
        <f>B142+$B$34</f>
        <v>20</v>
      </c>
      <c r="C146" s="910"/>
      <c r="D146" s="911"/>
      <c r="E146" s="911"/>
      <c r="F146" s="911"/>
      <c r="G146" s="911"/>
      <c r="H146" s="911"/>
      <c r="I146" s="911"/>
      <c r="J146" s="911"/>
      <c r="K146" s="914"/>
      <c r="L146" s="806">
        <f t="shared" si="23"/>
        <v>145</v>
      </c>
      <c r="M146" s="895">
        <f t="shared" si="24"/>
        <v>1000000</v>
      </c>
      <c r="N146" s="806">
        <f t="shared" si="25"/>
        <v>100</v>
      </c>
      <c r="P146" s="900">
        <f t="shared" si="26"/>
        <v>110</v>
      </c>
      <c r="Q146" s="908">
        <f t="shared" si="27"/>
        <v>35</v>
      </c>
      <c r="R146" s="898">
        <f t="shared" si="37"/>
        <v>79.206474096588337</v>
      </c>
      <c r="S146" s="898">
        <f t="shared" si="37"/>
        <v>66.8746355315659</v>
      </c>
      <c r="T146" s="898">
        <f t="shared" si="37"/>
        <v>64.408267818561413</v>
      </c>
      <c r="U146" s="898">
        <f t="shared" si="37"/>
        <v>59.475532392552445</v>
      </c>
      <c r="V146" s="898">
        <f t="shared" si="37"/>
        <v>57.009164679547958</v>
      </c>
      <c r="W146" s="898">
        <f t="shared" si="37"/>
        <v>52.076429253538983</v>
      </c>
      <c r="X146" s="898">
        <f t="shared" si="37"/>
        <v>47.143693827530065</v>
      </c>
      <c r="Y146" s="898">
        <f t="shared" si="37"/>
        <v>42.21095840152109</v>
      </c>
      <c r="Z146" s="898">
        <f t="shared" si="37"/>
        <v>37.278222975512122</v>
      </c>
      <c r="AA146" s="900"/>
      <c r="AB146" s="900"/>
      <c r="AC146" s="902"/>
      <c r="AD146" s="902"/>
      <c r="AE146" s="902"/>
      <c r="AF146" s="902"/>
      <c r="AG146" s="902"/>
      <c r="AH146" s="902"/>
      <c r="AI146" s="645"/>
      <c r="AJ146" s="902">
        <f t="shared" si="31"/>
        <v>0</v>
      </c>
      <c r="AK146" s="909">
        <f t="shared" si="28"/>
        <v>12.5</v>
      </c>
      <c r="AL146" s="645">
        <f t="shared" si="29"/>
        <v>-1000000000</v>
      </c>
      <c r="AM146" s="902">
        <f t="shared" si="35"/>
        <v>0</v>
      </c>
      <c r="AN146" s="902">
        <f t="shared" si="35"/>
        <v>0</v>
      </c>
      <c r="AO146" s="902">
        <f t="shared" si="35"/>
        <v>0</v>
      </c>
      <c r="AP146" s="902">
        <f t="shared" si="33"/>
        <v>0</v>
      </c>
      <c r="AQ146" s="902">
        <f t="shared" si="33"/>
        <v>0</v>
      </c>
      <c r="AR146" s="902">
        <f t="shared" si="33"/>
        <v>0</v>
      </c>
      <c r="AS146" s="902">
        <f t="shared" si="33"/>
        <v>0</v>
      </c>
      <c r="AT146" s="645">
        <f t="shared" si="18"/>
        <v>0</v>
      </c>
      <c r="AU146" s="880">
        <f t="shared" si="30"/>
        <v>0</v>
      </c>
      <c r="AV146" s="880">
        <f t="shared" si="36"/>
        <v>0</v>
      </c>
      <c r="AW146" s="880">
        <f t="shared" si="36"/>
        <v>0</v>
      </c>
      <c r="AX146" s="880">
        <f t="shared" si="36"/>
        <v>0</v>
      </c>
      <c r="AY146" s="880">
        <f t="shared" si="34"/>
        <v>0</v>
      </c>
      <c r="AZ146" s="880">
        <f t="shared" si="34"/>
        <v>0</v>
      </c>
      <c r="BA146" s="880">
        <f t="shared" si="34"/>
        <v>0</v>
      </c>
      <c r="BB146" s="880">
        <f t="shared" si="34"/>
        <v>0</v>
      </c>
      <c r="BC146" s="904">
        <f t="shared" si="19"/>
        <v>0</v>
      </c>
    </row>
    <row r="147" spans="2:55" ht="15" customHeight="1" x14ac:dyDescent="0.25">
      <c r="B147" s="674">
        <f>M20</f>
        <v>20.125</v>
      </c>
      <c r="C147" s="910"/>
      <c r="D147" s="911"/>
      <c r="E147" s="911"/>
      <c r="F147" s="860">
        <f>$M$8</f>
        <v>80.5</v>
      </c>
      <c r="G147" s="911"/>
      <c r="H147" s="911"/>
      <c r="I147" s="911"/>
      <c r="J147" s="911"/>
      <c r="K147" s="914"/>
      <c r="L147" s="806">
        <f t="shared" si="23"/>
        <v>145</v>
      </c>
      <c r="M147" s="895">
        <f t="shared" si="24"/>
        <v>1000000</v>
      </c>
      <c r="N147" s="806">
        <f t="shared" si="25"/>
        <v>100</v>
      </c>
      <c r="P147" s="900">
        <f t="shared" si="26"/>
        <v>111</v>
      </c>
      <c r="Q147" s="908">
        <f t="shared" si="27"/>
        <v>34</v>
      </c>
      <c r="R147" s="898">
        <f t="shared" si="37"/>
        <v>80.620130658427911</v>
      </c>
      <c r="S147" s="898">
        <f t="shared" si="37"/>
        <v>68.178973967103076</v>
      </c>
      <c r="T147" s="898">
        <f t="shared" si="37"/>
        <v>65.690742628838123</v>
      </c>
      <c r="U147" s="898">
        <f t="shared" si="37"/>
        <v>60.714279952308175</v>
      </c>
      <c r="V147" s="898">
        <f t="shared" si="37"/>
        <v>58.226048614043215</v>
      </c>
      <c r="W147" s="898">
        <f t="shared" si="37"/>
        <v>53.249585937513288</v>
      </c>
      <c r="X147" s="898">
        <f t="shared" si="37"/>
        <v>48.273123260983411</v>
      </c>
      <c r="Y147" s="898">
        <f t="shared" si="37"/>
        <v>43.296660584453477</v>
      </c>
      <c r="Z147" s="898">
        <f t="shared" si="37"/>
        <v>38.320197907923543</v>
      </c>
      <c r="AA147" s="900"/>
      <c r="AB147" s="900"/>
      <c r="AC147" s="902"/>
      <c r="AD147" s="902"/>
      <c r="AE147" s="902"/>
      <c r="AF147" s="902"/>
      <c r="AG147" s="902"/>
      <c r="AH147" s="902"/>
      <c r="AI147" s="645"/>
      <c r="AJ147" s="902">
        <f t="shared" si="31"/>
        <v>0</v>
      </c>
      <c r="AK147" s="909">
        <f t="shared" si="28"/>
        <v>12.5</v>
      </c>
      <c r="AL147" s="645">
        <f t="shared" si="29"/>
        <v>-1000000000</v>
      </c>
      <c r="AM147" s="902">
        <f t="shared" si="35"/>
        <v>0</v>
      </c>
      <c r="AN147" s="902">
        <f t="shared" si="35"/>
        <v>0</v>
      </c>
      <c r="AO147" s="902">
        <f t="shared" si="35"/>
        <v>0</v>
      </c>
      <c r="AP147" s="902">
        <f t="shared" si="33"/>
        <v>0</v>
      </c>
      <c r="AQ147" s="902">
        <f t="shared" si="33"/>
        <v>0</v>
      </c>
      <c r="AR147" s="902">
        <f t="shared" si="33"/>
        <v>0</v>
      </c>
      <c r="AS147" s="902">
        <f t="shared" si="33"/>
        <v>0</v>
      </c>
      <c r="AT147" s="645">
        <f t="shared" si="33"/>
        <v>0</v>
      </c>
      <c r="AU147" s="880">
        <f t="shared" si="30"/>
        <v>0</v>
      </c>
      <c r="AV147" s="880">
        <f t="shared" si="36"/>
        <v>0</v>
      </c>
      <c r="AW147" s="880">
        <f t="shared" si="36"/>
        <v>0</v>
      </c>
      <c r="AX147" s="880">
        <f t="shared" si="36"/>
        <v>0</v>
      </c>
      <c r="AY147" s="880">
        <f t="shared" si="34"/>
        <v>0</v>
      </c>
      <c r="AZ147" s="880">
        <f t="shared" si="34"/>
        <v>0</v>
      </c>
      <c r="BA147" s="880">
        <f t="shared" si="34"/>
        <v>0</v>
      </c>
      <c r="BB147" s="880">
        <f t="shared" si="34"/>
        <v>0</v>
      </c>
      <c r="BC147" s="904">
        <f t="shared" si="34"/>
        <v>0</v>
      </c>
    </row>
    <row r="148" spans="2:55" ht="15" customHeight="1" x14ac:dyDescent="0.25">
      <c r="B148" s="674">
        <f>M19</f>
        <v>20.625</v>
      </c>
      <c r="C148" s="910"/>
      <c r="D148" s="911"/>
      <c r="E148" s="860">
        <f>$M$7</f>
        <v>82.5</v>
      </c>
      <c r="F148" s="911"/>
      <c r="G148" s="911"/>
      <c r="H148" s="911"/>
      <c r="I148" s="911"/>
      <c r="J148" s="911"/>
      <c r="K148" s="914"/>
      <c r="L148" s="806">
        <f t="shared" si="23"/>
        <v>145</v>
      </c>
      <c r="M148" s="895">
        <f t="shared" si="24"/>
        <v>1000000</v>
      </c>
      <c r="N148" s="806">
        <f t="shared" si="25"/>
        <v>100</v>
      </c>
      <c r="P148" s="900">
        <f t="shared" si="26"/>
        <v>112</v>
      </c>
      <c r="Q148" s="908">
        <f t="shared" si="27"/>
        <v>33</v>
      </c>
      <c r="R148" s="898">
        <f t="shared" si="37"/>
        <v>82.068755046247659</v>
      </c>
      <c r="S148" s="898">
        <f t="shared" si="37"/>
        <v>69.518329228228822</v>
      </c>
      <c r="T148" s="898">
        <f t="shared" si="37"/>
        <v>67.00824406462506</v>
      </c>
      <c r="U148" s="898">
        <f t="shared" si="37"/>
        <v>61.988073737417523</v>
      </c>
      <c r="V148" s="898">
        <f t="shared" si="37"/>
        <v>59.477988573813754</v>
      </c>
      <c r="W148" s="898">
        <f t="shared" si="37"/>
        <v>54.457818246606223</v>
      </c>
      <c r="X148" s="898">
        <f t="shared" si="37"/>
        <v>49.437647919398742</v>
      </c>
      <c r="Y148" s="898">
        <f t="shared" si="37"/>
        <v>44.417477592191204</v>
      </c>
      <c r="Z148" s="898">
        <f t="shared" si="37"/>
        <v>39.397307264983674</v>
      </c>
      <c r="AA148" s="900"/>
      <c r="AB148" s="900"/>
      <c r="AC148" s="902"/>
      <c r="AD148" s="902"/>
      <c r="AE148" s="902"/>
      <c r="AF148" s="902"/>
      <c r="AG148" s="902"/>
      <c r="AH148" s="902"/>
      <c r="AI148" s="645"/>
      <c r="AJ148" s="902">
        <f t="shared" si="31"/>
        <v>0</v>
      </c>
      <c r="AK148" s="909">
        <f t="shared" si="28"/>
        <v>12.5</v>
      </c>
      <c r="AL148" s="645">
        <f t="shared" si="29"/>
        <v>-1000000000</v>
      </c>
      <c r="AM148" s="902">
        <f t="shared" si="35"/>
        <v>0</v>
      </c>
      <c r="AN148" s="902">
        <f t="shared" si="35"/>
        <v>0</v>
      </c>
      <c r="AO148" s="902">
        <f t="shared" si="35"/>
        <v>0</v>
      </c>
      <c r="AP148" s="902">
        <f t="shared" si="33"/>
        <v>0</v>
      </c>
      <c r="AQ148" s="902">
        <f t="shared" si="33"/>
        <v>0</v>
      </c>
      <c r="AR148" s="902">
        <f t="shared" si="33"/>
        <v>0</v>
      </c>
      <c r="AS148" s="902">
        <f t="shared" si="33"/>
        <v>0</v>
      </c>
      <c r="AT148" s="645">
        <f t="shared" si="33"/>
        <v>0</v>
      </c>
      <c r="AU148" s="880">
        <f t="shared" si="30"/>
        <v>0</v>
      </c>
      <c r="AV148" s="880">
        <f t="shared" si="36"/>
        <v>0</v>
      </c>
      <c r="AW148" s="880">
        <f t="shared" si="36"/>
        <v>0</v>
      </c>
      <c r="AX148" s="880">
        <f t="shared" si="36"/>
        <v>0</v>
      </c>
      <c r="AY148" s="880">
        <f t="shared" si="34"/>
        <v>0</v>
      </c>
      <c r="AZ148" s="880">
        <f t="shared" si="34"/>
        <v>0</v>
      </c>
      <c r="BA148" s="880">
        <f t="shared" si="34"/>
        <v>0</v>
      </c>
      <c r="BB148" s="880">
        <f t="shared" si="34"/>
        <v>0</v>
      </c>
      <c r="BC148" s="904">
        <f t="shared" si="34"/>
        <v>0</v>
      </c>
    </row>
    <row r="149" spans="2:55" ht="15" customHeight="1" x14ac:dyDescent="0.25">
      <c r="B149" s="674">
        <f>M18</f>
        <v>20.75</v>
      </c>
      <c r="C149" s="910"/>
      <c r="D149" s="860">
        <f>$M$6</f>
        <v>83</v>
      </c>
      <c r="E149" s="911"/>
      <c r="F149" s="911"/>
      <c r="G149" s="911"/>
      <c r="H149" s="911"/>
      <c r="I149" s="860"/>
      <c r="J149" s="860"/>
      <c r="K149" s="912"/>
      <c r="L149" s="806">
        <f t="shared" si="23"/>
        <v>145</v>
      </c>
      <c r="M149" s="895">
        <f t="shared" si="24"/>
        <v>1000000</v>
      </c>
      <c r="N149" s="806">
        <f t="shared" si="25"/>
        <v>100</v>
      </c>
      <c r="O149" s="712"/>
      <c r="P149" s="900">
        <f t="shared" si="26"/>
        <v>113</v>
      </c>
      <c r="Q149" s="908">
        <f t="shared" si="27"/>
        <v>32</v>
      </c>
      <c r="R149" s="898">
        <f t="shared" si="37"/>
        <v>83.553663455075068</v>
      </c>
      <c r="S149" s="898">
        <f t="shared" si="37"/>
        <v>70.894017477033387</v>
      </c>
      <c r="T149" s="898">
        <f t="shared" si="37"/>
        <v>68.362088281425045</v>
      </c>
      <c r="U149" s="898">
        <f t="shared" si="37"/>
        <v>63.298229890208376</v>
      </c>
      <c r="V149" s="898">
        <f t="shared" si="37"/>
        <v>60.766300694600034</v>
      </c>
      <c r="W149" s="898">
        <f t="shared" si="37"/>
        <v>55.702442303383364</v>
      </c>
      <c r="X149" s="898">
        <f t="shared" si="37"/>
        <v>50.638583912166744</v>
      </c>
      <c r="Y149" s="898">
        <f t="shared" si="37"/>
        <v>45.574725520950068</v>
      </c>
      <c r="Z149" s="898">
        <f t="shared" si="37"/>
        <v>40.510867129733398</v>
      </c>
      <c r="AA149" s="900"/>
      <c r="AB149" s="900"/>
      <c r="AC149" s="902"/>
      <c r="AD149" s="902"/>
      <c r="AE149" s="902"/>
      <c r="AF149" s="902"/>
      <c r="AG149" s="902"/>
      <c r="AH149" s="902"/>
      <c r="AI149" s="645"/>
      <c r="AJ149" s="902">
        <f t="shared" si="31"/>
        <v>0</v>
      </c>
      <c r="AK149" s="909">
        <f t="shared" si="28"/>
        <v>12.5</v>
      </c>
      <c r="AL149" s="645">
        <f t="shared" si="29"/>
        <v>-1000000000</v>
      </c>
      <c r="AM149" s="902">
        <f t="shared" si="35"/>
        <v>0</v>
      </c>
      <c r="AN149" s="902">
        <f t="shared" si="35"/>
        <v>0</v>
      </c>
      <c r="AO149" s="902">
        <f t="shared" si="35"/>
        <v>0</v>
      </c>
      <c r="AP149" s="902">
        <f t="shared" si="33"/>
        <v>0</v>
      </c>
      <c r="AQ149" s="902">
        <f t="shared" si="33"/>
        <v>0</v>
      </c>
      <c r="AR149" s="902">
        <f t="shared" si="33"/>
        <v>0</v>
      </c>
      <c r="AS149" s="902">
        <f t="shared" si="33"/>
        <v>0</v>
      </c>
      <c r="AT149" s="645">
        <f t="shared" si="33"/>
        <v>0</v>
      </c>
      <c r="AU149" s="880">
        <f t="shared" si="30"/>
        <v>0</v>
      </c>
      <c r="AV149" s="880">
        <f t="shared" si="36"/>
        <v>0</v>
      </c>
      <c r="AW149" s="880">
        <f t="shared" si="36"/>
        <v>0</v>
      </c>
      <c r="AX149" s="880">
        <f t="shared" si="36"/>
        <v>0</v>
      </c>
      <c r="AY149" s="880">
        <f t="shared" si="34"/>
        <v>0</v>
      </c>
      <c r="AZ149" s="880">
        <f t="shared" si="34"/>
        <v>0</v>
      </c>
      <c r="BA149" s="880">
        <f t="shared" si="34"/>
        <v>0</v>
      </c>
      <c r="BB149" s="880">
        <f t="shared" si="34"/>
        <v>0</v>
      </c>
      <c r="BC149" s="904">
        <f t="shared" si="34"/>
        <v>0</v>
      </c>
    </row>
    <row r="150" spans="2:55" ht="15" customHeight="1" x14ac:dyDescent="0.25">
      <c r="B150" s="674">
        <f>N24</f>
        <v>20.833333333333332</v>
      </c>
      <c r="C150" s="910"/>
      <c r="D150" s="860"/>
      <c r="E150" s="911"/>
      <c r="F150" s="911"/>
      <c r="G150" s="911"/>
      <c r="H150" s="911"/>
      <c r="I150" s="860"/>
      <c r="J150" s="860">
        <f>$N$12</f>
        <v>62.5</v>
      </c>
      <c r="K150" s="912"/>
      <c r="L150" s="806">
        <f t="shared" si="23"/>
        <v>145</v>
      </c>
      <c r="M150" s="895">
        <f t="shared" si="24"/>
        <v>1000000</v>
      </c>
      <c r="N150" s="806">
        <f t="shared" si="25"/>
        <v>100</v>
      </c>
      <c r="O150" s="309"/>
      <c r="P150" s="900">
        <f t="shared" si="26"/>
        <v>114</v>
      </c>
      <c r="Q150" s="908">
        <f t="shared" si="27"/>
        <v>31</v>
      </c>
      <c r="R150" s="898">
        <f t="shared" si="37"/>
        <v>85.076220077264509</v>
      </c>
      <c r="S150" s="898">
        <f t="shared" si="37"/>
        <v>72.307402872963408</v>
      </c>
      <c r="T150" s="898">
        <f t="shared" si="37"/>
        <v>69.753639432103199</v>
      </c>
      <c r="U150" s="898">
        <f t="shared" si="37"/>
        <v>64.646112550382767</v>
      </c>
      <c r="V150" s="898">
        <f t="shared" si="37"/>
        <v>62.092349109522559</v>
      </c>
      <c r="W150" s="898">
        <f t="shared" si="37"/>
        <v>56.984822227802127</v>
      </c>
      <c r="X150" s="898">
        <f t="shared" si="37"/>
        <v>51.877295346081752</v>
      </c>
      <c r="Y150" s="898">
        <f t="shared" si="37"/>
        <v>46.769768464361306</v>
      </c>
      <c r="Z150" s="898">
        <f t="shared" si="37"/>
        <v>41.662241582640874</v>
      </c>
      <c r="AA150" s="900"/>
      <c r="AB150" s="900"/>
      <c r="AC150" s="902"/>
      <c r="AD150" s="902"/>
      <c r="AE150" s="902"/>
      <c r="AF150" s="902"/>
      <c r="AG150" s="902"/>
      <c r="AH150" s="902"/>
      <c r="AI150" s="645"/>
      <c r="AJ150" s="902">
        <f t="shared" si="31"/>
        <v>0</v>
      </c>
      <c r="AK150" s="909">
        <f t="shared" si="28"/>
        <v>12.5</v>
      </c>
      <c r="AL150" s="645">
        <f t="shared" si="29"/>
        <v>-1000000000</v>
      </c>
      <c r="AM150" s="902">
        <f t="shared" si="35"/>
        <v>0</v>
      </c>
      <c r="AN150" s="902">
        <f t="shared" si="35"/>
        <v>0</v>
      </c>
      <c r="AO150" s="902">
        <f t="shared" si="35"/>
        <v>0</v>
      </c>
      <c r="AP150" s="902">
        <f t="shared" si="33"/>
        <v>0</v>
      </c>
      <c r="AQ150" s="902">
        <f t="shared" si="33"/>
        <v>0</v>
      </c>
      <c r="AR150" s="902">
        <f t="shared" si="33"/>
        <v>0</v>
      </c>
      <c r="AS150" s="902">
        <f t="shared" si="33"/>
        <v>0</v>
      </c>
      <c r="AT150" s="645">
        <f t="shared" si="33"/>
        <v>0</v>
      </c>
      <c r="AU150" s="880">
        <f t="shared" si="30"/>
        <v>0</v>
      </c>
      <c r="AV150" s="880">
        <f t="shared" si="36"/>
        <v>0</v>
      </c>
      <c r="AW150" s="880">
        <f t="shared" si="36"/>
        <v>0</v>
      </c>
      <c r="AX150" s="880">
        <f t="shared" si="36"/>
        <v>0</v>
      </c>
      <c r="AY150" s="880">
        <f t="shared" si="34"/>
        <v>0</v>
      </c>
      <c r="AZ150" s="880">
        <f t="shared" si="34"/>
        <v>0</v>
      </c>
      <c r="BA150" s="880">
        <f t="shared" si="34"/>
        <v>0</v>
      </c>
      <c r="BB150" s="880">
        <f t="shared" si="34"/>
        <v>0</v>
      </c>
      <c r="BC150" s="904">
        <f t="shared" si="34"/>
        <v>0</v>
      </c>
    </row>
    <row r="151" spans="2:55" ht="15" customHeight="1" x14ac:dyDescent="0.25">
      <c r="B151" s="917">
        <f>B146+$B$34</f>
        <v>21</v>
      </c>
      <c r="C151" s="910"/>
      <c r="D151" s="911"/>
      <c r="E151" s="911"/>
      <c r="F151" s="911"/>
      <c r="G151" s="911"/>
      <c r="H151" s="911"/>
      <c r="I151" s="911"/>
      <c r="J151" s="911"/>
      <c r="K151" s="914"/>
      <c r="L151" s="806">
        <f t="shared" si="23"/>
        <v>145</v>
      </c>
      <c r="M151" s="895">
        <f t="shared" si="24"/>
        <v>1000000</v>
      </c>
      <c r="N151" s="806">
        <f t="shared" si="25"/>
        <v>100</v>
      </c>
      <c r="O151" s="309"/>
      <c r="P151" s="900">
        <f t="shared" si="26"/>
        <v>115</v>
      </c>
      <c r="Q151" s="908">
        <f t="shared" si="27"/>
        <v>30</v>
      </c>
      <c r="R151" s="898">
        <f t="shared" si="37"/>
        <v>86.637838820786456</v>
      </c>
      <c r="S151" s="898">
        <f t="shared" si="37"/>
        <v>73.759899291111196</v>
      </c>
      <c r="T151" s="898">
        <f t="shared" si="37"/>
        <v>71.18431138517613</v>
      </c>
      <c r="U151" s="898">
        <f t="shared" si="37"/>
        <v>66.033135573306026</v>
      </c>
      <c r="V151" s="898">
        <f t="shared" si="37"/>
        <v>63.457547667370982</v>
      </c>
      <c r="W151" s="898">
        <f t="shared" si="37"/>
        <v>58.306371855500885</v>
      </c>
      <c r="X151" s="898">
        <f t="shared" si="37"/>
        <v>53.155196043630831</v>
      </c>
      <c r="Y151" s="898">
        <f t="shared" si="37"/>
        <v>48.004020231760727</v>
      </c>
      <c r="Z151" s="898">
        <f t="shared" si="37"/>
        <v>42.852844419890623</v>
      </c>
      <c r="AA151" s="900"/>
      <c r="AB151" s="900"/>
      <c r="AC151" s="902"/>
      <c r="AD151" s="902"/>
      <c r="AE151" s="902"/>
      <c r="AF151" s="902"/>
      <c r="AG151" s="902"/>
      <c r="AH151" s="902"/>
      <c r="AI151" s="645"/>
      <c r="AJ151" s="902">
        <f t="shared" si="31"/>
        <v>0</v>
      </c>
      <c r="AK151" s="909">
        <f t="shared" si="28"/>
        <v>12.5</v>
      </c>
      <c r="AL151" s="645">
        <f t="shared" si="29"/>
        <v>-1000000000</v>
      </c>
      <c r="AM151" s="902">
        <f t="shared" si="35"/>
        <v>0</v>
      </c>
      <c r="AN151" s="902">
        <f t="shared" si="35"/>
        <v>0</v>
      </c>
      <c r="AO151" s="902">
        <f t="shared" si="35"/>
        <v>0</v>
      </c>
      <c r="AP151" s="902">
        <f t="shared" si="33"/>
        <v>0</v>
      </c>
      <c r="AQ151" s="902">
        <f t="shared" si="33"/>
        <v>0</v>
      </c>
      <c r="AR151" s="902">
        <f t="shared" si="33"/>
        <v>0</v>
      </c>
      <c r="AS151" s="902">
        <f t="shared" si="33"/>
        <v>0</v>
      </c>
      <c r="AT151" s="645">
        <f t="shared" si="33"/>
        <v>0</v>
      </c>
      <c r="AU151" s="880">
        <f t="shared" si="30"/>
        <v>0</v>
      </c>
      <c r="AV151" s="880">
        <f t="shared" si="36"/>
        <v>0</v>
      </c>
      <c r="AW151" s="880">
        <f t="shared" si="36"/>
        <v>0</v>
      </c>
      <c r="AX151" s="880">
        <f t="shared" si="36"/>
        <v>0</v>
      </c>
      <c r="AY151" s="880">
        <f t="shared" si="34"/>
        <v>0</v>
      </c>
      <c r="AZ151" s="880">
        <f t="shared" si="34"/>
        <v>0</v>
      </c>
      <c r="BA151" s="880">
        <f t="shared" si="34"/>
        <v>0</v>
      </c>
      <c r="BB151" s="880">
        <f t="shared" si="34"/>
        <v>0</v>
      </c>
      <c r="BC151" s="904">
        <f t="shared" si="34"/>
        <v>0</v>
      </c>
    </row>
    <row r="152" spans="2:55" ht="15" customHeight="1" x14ac:dyDescent="0.25">
      <c r="B152" s="917">
        <f>M17</f>
        <v>21.25</v>
      </c>
      <c r="C152" s="647">
        <f>$M$5</f>
        <v>85</v>
      </c>
      <c r="D152" s="911"/>
      <c r="E152" s="911"/>
      <c r="F152" s="911"/>
      <c r="G152" s="911"/>
      <c r="H152" s="911"/>
      <c r="I152" s="911"/>
      <c r="J152" s="911"/>
      <c r="K152" s="914"/>
      <c r="L152" s="806">
        <f t="shared" si="23"/>
        <v>145</v>
      </c>
      <c r="M152" s="895">
        <f t="shared" si="24"/>
        <v>1000000</v>
      </c>
      <c r="N152" s="806">
        <f t="shared" si="25"/>
        <v>100</v>
      </c>
      <c r="O152" s="309"/>
      <c r="P152" s="900">
        <f t="shared" si="26"/>
        <v>116</v>
      </c>
      <c r="Q152" s="908">
        <f t="shared" si="27"/>
        <v>29</v>
      </c>
      <c r="R152" s="898">
        <f t="shared" si="37"/>
        <v>88.239985088153645</v>
      </c>
      <c r="S152" s="898">
        <f t="shared" si="37"/>
        <v>75.252972101140656</v>
      </c>
      <c r="T152" s="898">
        <f t="shared" si="37"/>
        <v>72.65556950373805</v>
      </c>
      <c r="U152" s="898">
        <f t="shared" si="37"/>
        <v>67.460764308932852</v>
      </c>
      <c r="V152" s="898">
        <f t="shared" si="37"/>
        <v>64.86336171153026</v>
      </c>
      <c r="W152" s="898">
        <f t="shared" si="37"/>
        <v>59.668556516725062</v>
      </c>
      <c r="X152" s="898">
        <f t="shared" si="37"/>
        <v>54.473751321919913</v>
      </c>
      <c r="Y152" s="898">
        <f t="shared" si="37"/>
        <v>49.278946127114715</v>
      </c>
      <c r="Z152" s="898">
        <f t="shared" si="37"/>
        <v>44.084140932309516</v>
      </c>
      <c r="AA152" s="900"/>
      <c r="AB152" s="900"/>
      <c r="AC152" s="902"/>
      <c r="AD152" s="902"/>
      <c r="AE152" s="902"/>
      <c r="AF152" s="902"/>
      <c r="AG152" s="902"/>
      <c r="AH152" s="902"/>
      <c r="AI152" s="645"/>
      <c r="AJ152" s="902">
        <f t="shared" si="31"/>
        <v>0</v>
      </c>
      <c r="AK152" s="909">
        <f t="shared" si="28"/>
        <v>12.5</v>
      </c>
      <c r="AL152" s="645">
        <f t="shared" si="29"/>
        <v>-1000000000</v>
      </c>
      <c r="AM152" s="902">
        <f t="shared" si="35"/>
        <v>0</v>
      </c>
      <c r="AN152" s="902">
        <f t="shared" si="35"/>
        <v>0</v>
      </c>
      <c r="AO152" s="902">
        <f t="shared" si="35"/>
        <v>0</v>
      </c>
      <c r="AP152" s="902">
        <f t="shared" si="33"/>
        <v>0</v>
      </c>
      <c r="AQ152" s="902">
        <f t="shared" si="33"/>
        <v>0</v>
      </c>
      <c r="AR152" s="902">
        <f t="shared" si="33"/>
        <v>0</v>
      </c>
      <c r="AS152" s="902">
        <f t="shared" si="33"/>
        <v>0</v>
      </c>
      <c r="AT152" s="645">
        <f t="shared" si="33"/>
        <v>0</v>
      </c>
      <c r="AU152" s="880">
        <f t="shared" si="30"/>
        <v>0</v>
      </c>
      <c r="AV152" s="880">
        <f t="shared" si="36"/>
        <v>0</v>
      </c>
      <c r="AW152" s="880">
        <f t="shared" si="36"/>
        <v>0</v>
      </c>
      <c r="AX152" s="880">
        <f t="shared" si="36"/>
        <v>0</v>
      </c>
      <c r="AY152" s="880">
        <f t="shared" si="34"/>
        <v>0</v>
      </c>
      <c r="AZ152" s="880">
        <f t="shared" si="34"/>
        <v>0</v>
      </c>
      <c r="BA152" s="880">
        <f t="shared" si="34"/>
        <v>0</v>
      </c>
      <c r="BB152" s="880">
        <f t="shared" si="34"/>
        <v>0</v>
      </c>
      <c r="BC152" s="904">
        <f t="shared" si="34"/>
        <v>0</v>
      </c>
    </row>
    <row r="153" spans="2:55" ht="15" customHeight="1" x14ac:dyDescent="0.25">
      <c r="B153" s="917">
        <f>B151+$B$34</f>
        <v>22</v>
      </c>
      <c r="C153" s="910"/>
      <c r="D153" s="911"/>
      <c r="E153" s="911"/>
      <c r="F153" s="911"/>
      <c r="G153" s="911"/>
      <c r="H153" s="911"/>
      <c r="I153" s="860">
        <f>$N$11</f>
        <v>66</v>
      </c>
      <c r="J153" s="922"/>
      <c r="K153" s="912"/>
      <c r="L153" s="806">
        <f t="shared" si="23"/>
        <v>145</v>
      </c>
      <c r="M153" s="895">
        <f t="shared" si="24"/>
        <v>1000000</v>
      </c>
      <c r="N153" s="806">
        <f t="shared" si="25"/>
        <v>100</v>
      </c>
      <c r="O153" s="309"/>
      <c r="P153" s="900">
        <f t="shared" si="26"/>
        <v>117</v>
      </c>
      <c r="Q153" s="908">
        <f t="shared" si="27"/>
        <v>28</v>
      </c>
      <c r="R153" s="898">
        <f t="shared" si="37"/>
        <v>89.884177618099557</v>
      </c>
      <c r="S153" s="898">
        <f t="shared" si="37"/>
        <v>76.788140008965911</v>
      </c>
      <c r="T153" s="898">
        <f t="shared" si="37"/>
        <v>74.168932487139173</v>
      </c>
      <c r="U153" s="898">
        <f t="shared" si="37"/>
        <v>68.930517443485712</v>
      </c>
      <c r="V153" s="898">
        <f t="shared" si="37"/>
        <v>66.311309921658975</v>
      </c>
      <c r="W153" s="898">
        <f t="shared" si="37"/>
        <v>61.072894878005528</v>
      </c>
      <c r="X153" s="898">
        <f t="shared" si="37"/>
        <v>55.834479834352116</v>
      </c>
      <c r="Y153" s="898">
        <f t="shared" si="37"/>
        <v>50.596064790698662</v>
      </c>
      <c r="Z153" s="898">
        <f t="shared" si="37"/>
        <v>45.357649747045194</v>
      </c>
      <c r="AA153" s="900"/>
      <c r="AB153" s="900"/>
      <c r="AC153" s="902"/>
      <c r="AD153" s="902"/>
      <c r="AE153" s="902"/>
      <c r="AF153" s="902"/>
      <c r="AG153" s="902"/>
      <c r="AH153" s="902"/>
      <c r="AI153" s="645"/>
      <c r="AJ153" s="902">
        <f t="shared" si="31"/>
        <v>0</v>
      </c>
      <c r="AK153" s="909">
        <f t="shared" si="28"/>
        <v>12.5</v>
      </c>
      <c r="AL153" s="645">
        <f t="shared" si="29"/>
        <v>-1000000000</v>
      </c>
      <c r="AM153" s="902">
        <f t="shared" si="35"/>
        <v>0</v>
      </c>
      <c r="AN153" s="902">
        <f t="shared" si="35"/>
        <v>0</v>
      </c>
      <c r="AO153" s="902">
        <f t="shared" si="35"/>
        <v>0</v>
      </c>
      <c r="AP153" s="902">
        <f t="shared" si="33"/>
        <v>0</v>
      </c>
      <c r="AQ153" s="902">
        <f t="shared" si="33"/>
        <v>0</v>
      </c>
      <c r="AR153" s="902">
        <f t="shared" si="33"/>
        <v>0</v>
      </c>
      <c r="AS153" s="902">
        <f t="shared" si="33"/>
        <v>0</v>
      </c>
      <c r="AT153" s="645">
        <f t="shared" si="33"/>
        <v>0</v>
      </c>
      <c r="AU153" s="880">
        <f t="shared" si="30"/>
        <v>0</v>
      </c>
      <c r="AV153" s="880">
        <f t="shared" si="36"/>
        <v>0</v>
      </c>
      <c r="AW153" s="880">
        <f t="shared" si="36"/>
        <v>0</v>
      </c>
      <c r="AX153" s="880">
        <f t="shared" si="36"/>
        <v>0</v>
      </c>
      <c r="AY153" s="880">
        <f t="shared" si="34"/>
        <v>0</v>
      </c>
      <c r="AZ153" s="880">
        <f t="shared" si="34"/>
        <v>0</v>
      </c>
      <c r="BA153" s="880">
        <f t="shared" si="34"/>
        <v>0</v>
      </c>
      <c r="BB153" s="880">
        <f t="shared" si="34"/>
        <v>0</v>
      </c>
      <c r="BC153" s="904">
        <f t="shared" si="34"/>
        <v>0</v>
      </c>
    </row>
    <row r="154" spans="2:55" ht="15" customHeight="1" x14ac:dyDescent="0.25">
      <c r="B154" s="917">
        <f>B153+$B$34</f>
        <v>23</v>
      </c>
      <c r="C154" s="910"/>
      <c r="D154" s="911"/>
      <c r="E154" s="911"/>
      <c r="F154" s="911"/>
      <c r="G154" s="860"/>
      <c r="H154" s="911"/>
      <c r="I154" s="911"/>
      <c r="J154" s="922"/>
      <c r="K154" s="912"/>
      <c r="L154" s="806">
        <f t="shared" si="23"/>
        <v>145</v>
      </c>
      <c r="M154" s="895">
        <f t="shared" si="24"/>
        <v>1000000</v>
      </c>
      <c r="N154" s="806">
        <f t="shared" si="25"/>
        <v>100</v>
      </c>
      <c r="O154" s="309"/>
      <c r="P154" s="900">
        <f t="shared" si="26"/>
        <v>118</v>
      </c>
      <c r="Q154" s="908">
        <f t="shared" si="27"/>
        <v>27</v>
      </c>
      <c r="R154" s="898">
        <f t="shared" si="37"/>
        <v>91.571990392198018</v>
      </c>
      <c r="S154" s="898">
        <f t="shared" si="37"/>
        <v>78.366976963370789</v>
      </c>
      <c r="T154" s="898">
        <f t="shared" si="37"/>
        <v>75.725974277605346</v>
      </c>
      <c r="U154" s="898">
        <f t="shared" si="37"/>
        <v>70.44396890607446</v>
      </c>
      <c r="V154" s="898">
        <f t="shared" si="37"/>
        <v>67.802966220309003</v>
      </c>
      <c r="W154" s="898">
        <f t="shared" si="37"/>
        <v>62.520960848778124</v>
      </c>
      <c r="X154" s="898">
        <f t="shared" si="37"/>
        <v>57.238955477247288</v>
      </c>
      <c r="Y154" s="898">
        <f t="shared" si="37"/>
        <v>51.956950105716402</v>
      </c>
      <c r="Z154" s="898">
        <f t="shared" si="37"/>
        <v>46.674944734185509</v>
      </c>
      <c r="AA154" s="900"/>
      <c r="AB154" s="900"/>
      <c r="AC154" s="902"/>
      <c r="AD154" s="902"/>
      <c r="AE154" s="902"/>
      <c r="AF154" s="902"/>
      <c r="AG154" s="902"/>
      <c r="AH154" s="902"/>
      <c r="AI154" s="645"/>
      <c r="AJ154" s="902">
        <f t="shared" si="31"/>
        <v>0</v>
      </c>
      <c r="AK154" s="909">
        <f t="shared" si="28"/>
        <v>12.5</v>
      </c>
      <c r="AL154" s="645">
        <f t="shared" si="29"/>
        <v>-1000000000</v>
      </c>
      <c r="AM154" s="902">
        <f t="shared" si="35"/>
        <v>0</v>
      </c>
      <c r="AN154" s="902">
        <f t="shared" si="35"/>
        <v>0</v>
      </c>
      <c r="AO154" s="902">
        <f t="shared" si="35"/>
        <v>0</v>
      </c>
      <c r="AP154" s="902">
        <f t="shared" si="33"/>
        <v>0</v>
      </c>
      <c r="AQ154" s="902">
        <f t="shared" si="33"/>
        <v>0</v>
      </c>
      <c r="AR154" s="902">
        <f t="shared" si="33"/>
        <v>0</v>
      </c>
      <c r="AS154" s="902">
        <f t="shared" si="33"/>
        <v>0</v>
      </c>
      <c r="AT154" s="645">
        <f t="shared" si="33"/>
        <v>0</v>
      </c>
      <c r="AU154" s="880">
        <f t="shared" si="30"/>
        <v>0</v>
      </c>
      <c r="AV154" s="880">
        <f t="shared" si="36"/>
        <v>0</v>
      </c>
      <c r="AW154" s="880">
        <f t="shared" si="36"/>
        <v>0</v>
      </c>
      <c r="AX154" s="880">
        <f t="shared" si="36"/>
        <v>0</v>
      </c>
      <c r="AY154" s="880">
        <f t="shared" si="34"/>
        <v>0</v>
      </c>
      <c r="AZ154" s="880">
        <f t="shared" si="34"/>
        <v>0</v>
      </c>
      <c r="BA154" s="880">
        <f t="shared" si="34"/>
        <v>0</v>
      </c>
      <c r="BB154" s="880">
        <f t="shared" si="34"/>
        <v>0</v>
      </c>
      <c r="BC154" s="904">
        <f t="shared" si="34"/>
        <v>0</v>
      </c>
    </row>
    <row r="155" spans="2:55" ht="15" customHeight="1" x14ac:dyDescent="0.25">
      <c r="B155" s="674">
        <f>N22</f>
        <v>23.333333333333332</v>
      </c>
      <c r="C155" s="910"/>
      <c r="D155" s="911"/>
      <c r="E155" s="911"/>
      <c r="F155" s="911"/>
      <c r="G155" s="860"/>
      <c r="H155" s="860">
        <f>$N$10</f>
        <v>70</v>
      </c>
      <c r="I155" s="911"/>
      <c r="J155" s="922"/>
      <c r="K155" s="912"/>
      <c r="L155" s="806">
        <f t="shared" si="23"/>
        <v>145</v>
      </c>
      <c r="M155" s="895">
        <f t="shared" si="24"/>
        <v>1000000</v>
      </c>
      <c r="N155" s="806">
        <f t="shared" si="25"/>
        <v>100</v>
      </c>
      <c r="O155" s="309"/>
      <c r="P155" s="900">
        <f t="shared" si="26"/>
        <v>119</v>
      </c>
      <c r="Q155" s="908">
        <f t="shared" si="27"/>
        <v>26</v>
      </c>
      <c r="R155" s="898">
        <f t="shared" si="37"/>
        <v>93.305054608687996</v>
      </c>
      <c r="S155" s="898">
        <f t="shared" si="37"/>
        <v>79.991114129833662</v>
      </c>
      <c r="T155" s="898">
        <f t="shared" si="37"/>
        <v>77.328326034062783</v>
      </c>
      <c r="U155" s="898">
        <f t="shared" si="37"/>
        <v>72.002749842521069</v>
      </c>
      <c r="V155" s="898">
        <f t="shared" si="37"/>
        <v>69.339961746750191</v>
      </c>
      <c r="W155" s="898">
        <f t="shared" si="37"/>
        <v>64.014385555208435</v>
      </c>
      <c r="X155" s="898">
        <f t="shared" si="37"/>
        <v>58.688809363666763</v>
      </c>
      <c r="Y155" s="898">
        <f t="shared" si="37"/>
        <v>53.363233172125028</v>
      </c>
      <c r="Z155" s="898">
        <f t="shared" si="37"/>
        <v>48.037656980583293</v>
      </c>
      <c r="AA155" s="900"/>
      <c r="AB155" s="900"/>
      <c r="AC155" s="902"/>
      <c r="AD155" s="902"/>
      <c r="AE155" s="902"/>
      <c r="AF155" s="902"/>
      <c r="AG155" s="902"/>
      <c r="AH155" s="902"/>
      <c r="AI155" s="645"/>
      <c r="AJ155" s="902">
        <f t="shared" si="31"/>
        <v>0</v>
      </c>
      <c r="AK155" s="909">
        <f t="shared" si="28"/>
        <v>12.5</v>
      </c>
      <c r="AL155" s="645">
        <f t="shared" si="29"/>
        <v>-1000000000</v>
      </c>
      <c r="AM155" s="902">
        <f t="shared" si="35"/>
        <v>0</v>
      </c>
      <c r="AN155" s="902">
        <f t="shared" si="35"/>
        <v>0</v>
      </c>
      <c r="AO155" s="902">
        <f t="shared" si="35"/>
        <v>0</v>
      </c>
      <c r="AP155" s="902">
        <f t="shared" si="33"/>
        <v>0</v>
      </c>
      <c r="AQ155" s="902">
        <f t="shared" si="33"/>
        <v>0</v>
      </c>
      <c r="AR155" s="902">
        <f t="shared" si="33"/>
        <v>0</v>
      </c>
      <c r="AS155" s="902">
        <f t="shared" si="33"/>
        <v>0</v>
      </c>
      <c r="AT155" s="645">
        <f t="shared" si="33"/>
        <v>0</v>
      </c>
      <c r="AU155" s="880">
        <f t="shared" si="30"/>
        <v>0</v>
      </c>
      <c r="AV155" s="880">
        <f t="shared" si="36"/>
        <v>0</v>
      </c>
      <c r="AW155" s="880">
        <f t="shared" si="36"/>
        <v>0</v>
      </c>
      <c r="AX155" s="880">
        <f t="shared" si="36"/>
        <v>0</v>
      </c>
      <c r="AY155" s="880">
        <f t="shared" si="34"/>
        <v>0</v>
      </c>
      <c r="AZ155" s="880">
        <f t="shared" si="34"/>
        <v>0</v>
      </c>
      <c r="BA155" s="880">
        <f t="shared" si="34"/>
        <v>0</v>
      </c>
      <c r="BB155" s="880">
        <f t="shared" si="34"/>
        <v>0</v>
      </c>
      <c r="BC155" s="904">
        <f t="shared" si="34"/>
        <v>0</v>
      </c>
    </row>
    <row r="156" spans="2:55" ht="15" customHeight="1" x14ac:dyDescent="0.25">
      <c r="B156" s="917">
        <f>B154+$B$34</f>
        <v>24</v>
      </c>
      <c r="C156" s="910"/>
      <c r="D156" s="911"/>
      <c r="E156" s="911"/>
      <c r="F156" s="860"/>
      <c r="G156" s="911"/>
      <c r="H156" s="911"/>
      <c r="I156" s="911"/>
      <c r="J156" s="922"/>
      <c r="K156" s="912"/>
      <c r="L156" s="806">
        <f t="shared" si="23"/>
        <v>145</v>
      </c>
      <c r="M156" s="895">
        <f t="shared" si="24"/>
        <v>1000000</v>
      </c>
      <c r="N156" s="806">
        <f t="shared" si="25"/>
        <v>100</v>
      </c>
      <c r="P156" s="900">
        <f t="shared" si="26"/>
        <v>120</v>
      </c>
      <c r="Q156" s="908">
        <f t="shared" si="27"/>
        <v>25</v>
      </c>
      <c r="R156" s="898">
        <f t="shared" ref="R156:Z170" si="38">($G$26-$Q156)*(($C$31+$L$33-R$34)-($L$33/$P$32)*(1-EXP(-$Q156/$G$27)))/($T$32-$Q156*$I$29)</f>
        <v>95.085060725846361</v>
      </c>
      <c r="S156" s="898">
        <f t="shared" si="38"/>
        <v>81.662241933900034</v>
      </c>
      <c r="T156" s="898">
        <f t="shared" si="38"/>
        <v>78.977678175510789</v>
      </c>
      <c r="U156" s="898">
        <f t="shared" si="38"/>
        <v>73.608550658732256</v>
      </c>
      <c r="V156" s="898">
        <f t="shared" si="38"/>
        <v>70.923986900342996</v>
      </c>
      <c r="W156" s="898">
        <f t="shared" si="38"/>
        <v>65.554859383564448</v>
      </c>
      <c r="X156" s="898">
        <f t="shared" si="38"/>
        <v>60.185731866785986</v>
      </c>
      <c r="Y156" s="898">
        <f t="shared" si="38"/>
        <v>54.816604350007452</v>
      </c>
      <c r="Z156" s="898">
        <f t="shared" si="38"/>
        <v>49.447476833228926</v>
      </c>
      <c r="AA156" s="900"/>
      <c r="AB156" s="900"/>
      <c r="AC156" s="902"/>
      <c r="AD156" s="902"/>
      <c r="AE156" s="902"/>
      <c r="AF156" s="902"/>
      <c r="AG156" s="902"/>
      <c r="AH156" s="902"/>
      <c r="AI156" s="645"/>
      <c r="AJ156" s="902">
        <f t="shared" si="31"/>
        <v>0</v>
      </c>
      <c r="AK156" s="909">
        <f t="shared" si="28"/>
        <v>12.5</v>
      </c>
      <c r="AL156" s="645">
        <f t="shared" si="29"/>
        <v>-1000000000</v>
      </c>
      <c r="AM156" s="902">
        <f t="shared" si="35"/>
        <v>0</v>
      </c>
      <c r="AN156" s="902">
        <f t="shared" si="35"/>
        <v>0</v>
      </c>
      <c r="AO156" s="902">
        <f t="shared" si="35"/>
        <v>0</v>
      </c>
      <c r="AP156" s="902">
        <f t="shared" si="33"/>
        <v>0</v>
      </c>
      <c r="AQ156" s="902">
        <f t="shared" si="33"/>
        <v>0</v>
      </c>
      <c r="AR156" s="902">
        <f t="shared" si="33"/>
        <v>0</v>
      </c>
      <c r="AS156" s="902">
        <f t="shared" si="33"/>
        <v>0</v>
      </c>
      <c r="AT156" s="645">
        <f t="shared" si="33"/>
        <v>0</v>
      </c>
      <c r="AU156" s="880">
        <f t="shared" si="30"/>
        <v>0</v>
      </c>
      <c r="AV156" s="880">
        <f t="shared" si="36"/>
        <v>0</v>
      </c>
      <c r="AW156" s="880">
        <f t="shared" si="36"/>
        <v>0</v>
      </c>
      <c r="AX156" s="880">
        <f t="shared" si="36"/>
        <v>0</v>
      </c>
      <c r="AY156" s="880">
        <f t="shared" si="34"/>
        <v>0</v>
      </c>
      <c r="AZ156" s="880">
        <f t="shared" si="34"/>
        <v>0</v>
      </c>
      <c r="BA156" s="880">
        <f t="shared" si="34"/>
        <v>0</v>
      </c>
      <c r="BB156" s="880">
        <f t="shared" si="34"/>
        <v>0</v>
      </c>
      <c r="BC156" s="904">
        <f t="shared" si="34"/>
        <v>0</v>
      </c>
    </row>
    <row r="157" spans="2:55" ht="15" customHeight="1" x14ac:dyDescent="0.25">
      <c r="B157" s="674">
        <f>N21</f>
        <v>24.333333333333332</v>
      </c>
      <c r="C157" s="910"/>
      <c r="D157" s="911"/>
      <c r="E157" s="911"/>
      <c r="F157" s="860"/>
      <c r="G157" s="860">
        <f>$N$9</f>
        <v>73</v>
      </c>
      <c r="H157" s="911"/>
      <c r="I157" s="911"/>
      <c r="J157" s="922"/>
      <c r="K157" s="912"/>
      <c r="L157" s="806">
        <f t="shared" si="23"/>
        <v>145</v>
      </c>
      <c r="M157" s="895">
        <f t="shared" si="24"/>
        <v>1000000</v>
      </c>
      <c r="N157" s="806">
        <f t="shared" si="25"/>
        <v>100</v>
      </c>
      <c r="P157" s="900">
        <f t="shared" si="26"/>
        <v>121</v>
      </c>
      <c r="Q157" s="908">
        <f t="shared" si="27"/>
        <v>24</v>
      </c>
      <c r="R157" s="898">
        <f t="shared" si="38"/>
        <v>96.913760577331573</v>
      </c>
      <c r="S157" s="898">
        <f t="shared" si="38"/>
        <v>83.382112176526377</v>
      </c>
      <c r="T157" s="898">
        <f t="shared" si="38"/>
        <v>80.675782496365329</v>
      </c>
      <c r="U157" s="898">
        <f t="shared" si="38"/>
        <v>75.263123136043248</v>
      </c>
      <c r="V157" s="898">
        <f t="shared" si="38"/>
        <v>72.556793455882215</v>
      </c>
      <c r="W157" s="898">
        <f t="shared" si="38"/>
        <v>67.144134095560133</v>
      </c>
      <c r="X157" s="898">
        <f t="shared" si="38"/>
        <v>61.731474735238109</v>
      </c>
      <c r="Y157" s="898">
        <f t="shared" si="38"/>
        <v>56.318815374916028</v>
      </c>
      <c r="Z157" s="898">
        <f t="shared" si="38"/>
        <v>50.906156014593954</v>
      </c>
      <c r="AA157" s="900"/>
      <c r="AB157" s="900"/>
      <c r="AC157" s="902"/>
      <c r="AD157" s="902"/>
      <c r="AE157" s="902"/>
      <c r="AF157" s="902"/>
      <c r="AG157" s="902"/>
      <c r="AH157" s="902"/>
      <c r="AI157" s="645"/>
      <c r="AJ157" s="902">
        <f t="shared" si="31"/>
        <v>0</v>
      </c>
      <c r="AK157" s="909">
        <f t="shared" si="28"/>
        <v>12.5</v>
      </c>
      <c r="AL157" s="645">
        <f t="shared" si="29"/>
        <v>-1000000000</v>
      </c>
      <c r="AM157" s="902">
        <f t="shared" si="35"/>
        <v>0</v>
      </c>
      <c r="AN157" s="902">
        <f t="shared" si="35"/>
        <v>0</v>
      </c>
      <c r="AO157" s="902">
        <f t="shared" si="35"/>
        <v>0</v>
      </c>
      <c r="AP157" s="902">
        <f t="shared" si="33"/>
        <v>0</v>
      </c>
      <c r="AQ157" s="902">
        <f t="shared" si="33"/>
        <v>0</v>
      </c>
      <c r="AR157" s="902">
        <f t="shared" si="33"/>
        <v>0</v>
      </c>
      <c r="AS157" s="902">
        <f t="shared" si="33"/>
        <v>0</v>
      </c>
      <c r="AT157" s="645">
        <f t="shared" si="33"/>
        <v>0</v>
      </c>
      <c r="AU157" s="880">
        <f t="shared" si="30"/>
        <v>0</v>
      </c>
      <c r="AV157" s="880">
        <f t="shared" si="36"/>
        <v>0</v>
      </c>
      <c r="AW157" s="880">
        <f t="shared" si="36"/>
        <v>0</v>
      </c>
      <c r="AX157" s="880">
        <f t="shared" si="36"/>
        <v>0</v>
      </c>
      <c r="AY157" s="880">
        <f t="shared" si="34"/>
        <v>0</v>
      </c>
      <c r="AZ157" s="880">
        <f t="shared" si="34"/>
        <v>0</v>
      </c>
      <c r="BA157" s="880">
        <f t="shared" si="34"/>
        <v>0</v>
      </c>
      <c r="BB157" s="880">
        <f t="shared" si="34"/>
        <v>0</v>
      </c>
      <c r="BC157" s="904">
        <f t="shared" si="34"/>
        <v>0</v>
      </c>
    </row>
    <row r="158" spans="2:55" ht="15" customHeight="1" x14ac:dyDescent="0.25">
      <c r="B158" s="674">
        <f>O25</f>
        <v>24.5</v>
      </c>
      <c r="C158" s="910"/>
      <c r="D158" s="911"/>
      <c r="E158" s="911"/>
      <c r="F158" s="860"/>
      <c r="G158" s="860"/>
      <c r="H158" s="911"/>
      <c r="I158" s="911"/>
      <c r="J158" s="922"/>
      <c r="K158" s="912">
        <f>$O$13</f>
        <v>49</v>
      </c>
      <c r="L158" s="806">
        <f t="shared" si="23"/>
        <v>145</v>
      </c>
      <c r="M158" s="895">
        <f t="shared" si="24"/>
        <v>1000000</v>
      </c>
      <c r="N158" s="806">
        <f t="shared" si="25"/>
        <v>100</v>
      </c>
      <c r="P158" s="900">
        <f t="shared" si="26"/>
        <v>122</v>
      </c>
      <c r="Q158" s="908">
        <f t="shared" si="27"/>
        <v>23</v>
      </c>
      <c r="R158" s="898">
        <f t="shared" si="38"/>
        <v>98.792969562005837</v>
      </c>
      <c r="S158" s="898">
        <f t="shared" si="38"/>
        <v>85.152540223902051</v>
      </c>
      <c r="T158" s="898">
        <f t="shared" si="38"/>
        <v>82.424454356281302</v>
      </c>
      <c r="U158" s="898">
        <f t="shared" si="38"/>
        <v>76.968282621039791</v>
      </c>
      <c r="V158" s="898">
        <f t="shared" si="38"/>
        <v>74.240196753419042</v>
      </c>
      <c r="W158" s="898">
        <f t="shared" si="38"/>
        <v>68.78402501817753</v>
      </c>
      <c r="X158" s="898">
        <f t="shared" si="38"/>
        <v>63.32785328293609</v>
      </c>
      <c r="Y158" s="898">
        <f t="shared" si="38"/>
        <v>57.871681547694571</v>
      </c>
      <c r="Z158" s="898">
        <f t="shared" si="38"/>
        <v>52.415509812453067</v>
      </c>
      <c r="AA158" s="900"/>
      <c r="AB158" s="900"/>
      <c r="AC158" s="902"/>
      <c r="AD158" s="902"/>
      <c r="AE158" s="902"/>
      <c r="AF158" s="902"/>
      <c r="AG158" s="902"/>
      <c r="AH158" s="902"/>
      <c r="AI158" s="645"/>
      <c r="AJ158" s="902">
        <f t="shared" si="31"/>
        <v>0</v>
      </c>
      <c r="AK158" s="909">
        <f t="shared" si="28"/>
        <v>12.5</v>
      </c>
      <c r="AL158" s="645">
        <f t="shared" si="29"/>
        <v>-1000000000</v>
      </c>
      <c r="AM158" s="902">
        <f t="shared" si="35"/>
        <v>0</v>
      </c>
      <c r="AN158" s="902">
        <f t="shared" si="35"/>
        <v>0</v>
      </c>
      <c r="AO158" s="902">
        <f t="shared" si="35"/>
        <v>0</v>
      </c>
      <c r="AP158" s="902">
        <f t="shared" si="33"/>
        <v>0</v>
      </c>
      <c r="AQ158" s="902">
        <f t="shared" si="33"/>
        <v>0</v>
      </c>
      <c r="AR158" s="902">
        <f t="shared" si="33"/>
        <v>0</v>
      </c>
      <c r="AS158" s="902">
        <f t="shared" si="33"/>
        <v>0</v>
      </c>
      <c r="AT158" s="645">
        <f t="shared" si="33"/>
        <v>0</v>
      </c>
      <c r="AU158" s="880">
        <f t="shared" si="30"/>
        <v>0</v>
      </c>
      <c r="AV158" s="880">
        <f t="shared" si="36"/>
        <v>0</v>
      </c>
      <c r="AW158" s="880">
        <f t="shared" si="36"/>
        <v>0</v>
      </c>
      <c r="AX158" s="880">
        <f t="shared" si="36"/>
        <v>0</v>
      </c>
      <c r="AY158" s="880">
        <f t="shared" si="34"/>
        <v>0</v>
      </c>
      <c r="AZ158" s="880">
        <f t="shared" si="34"/>
        <v>0</v>
      </c>
      <c r="BA158" s="880">
        <f t="shared" si="34"/>
        <v>0</v>
      </c>
      <c r="BB158" s="880">
        <f t="shared" si="34"/>
        <v>0</v>
      </c>
      <c r="BC158" s="904">
        <f t="shared" si="34"/>
        <v>0</v>
      </c>
    </row>
    <row r="159" spans="2:55" ht="15" customHeight="1" x14ac:dyDescent="0.25">
      <c r="B159" s="674">
        <f>N20</f>
        <v>24.666666666666668</v>
      </c>
      <c r="C159" s="910"/>
      <c r="D159" s="911"/>
      <c r="E159" s="911"/>
      <c r="F159" s="860">
        <f>$N$8</f>
        <v>74</v>
      </c>
      <c r="G159" s="911"/>
      <c r="H159" s="911"/>
      <c r="I159" s="911"/>
      <c r="J159" s="922"/>
      <c r="K159" s="912"/>
      <c r="L159" s="806">
        <f t="shared" si="23"/>
        <v>145</v>
      </c>
      <c r="M159" s="895">
        <f t="shared" si="24"/>
        <v>1000000</v>
      </c>
      <c r="N159" s="806">
        <f t="shared" si="25"/>
        <v>100</v>
      </c>
      <c r="P159" s="900">
        <f t="shared" si="26"/>
        <v>123</v>
      </c>
      <c r="Q159" s="908">
        <f t="shared" si="27"/>
        <v>22</v>
      </c>
      <c r="R159" s="898">
        <f t="shared" si="38"/>
        <v>100.72456891082882</v>
      </c>
      <c r="S159" s="898">
        <f t="shared" si="38"/>
        <v>86.97540727434324</v>
      </c>
      <c r="T159" s="898">
        <f t="shared" si="38"/>
        <v>84.225574947046113</v>
      </c>
      <c r="U159" s="898">
        <f t="shared" si="38"/>
        <v>78.725910292451871</v>
      </c>
      <c r="V159" s="898">
        <f t="shared" si="38"/>
        <v>75.976077965154758</v>
      </c>
      <c r="W159" s="898">
        <f t="shared" si="38"/>
        <v>70.476413310560517</v>
      </c>
      <c r="X159" s="898">
        <f t="shared" si="38"/>
        <v>64.976748655966347</v>
      </c>
      <c r="Y159" s="898">
        <f t="shared" si="38"/>
        <v>59.477084001372098</v>
      </c>
      <c r="Z159" s="898">
        <f t="shared" si="38"/>
        <v>53.977419346777864</v>
      </c>
      <c r="AA159" s="900"/>
      <c r="AB159" s="900"/>
      <c r="AC159" s="902"/>
      <c r="AD159" s="902"/>
      <c r="AE159" s="902"/>
      <c r="AF159" s="902"/>
      <c r="AG159" s="902"/>
      <c r="AH159" s="902"/>
      <c r="AI159" s="645"/>
      <c r="AJ159" s="902">
        <f t="shared" si="31"/>
        <v>0</v>
      </c>
      <c r="AK159" s="909">
        <f t="shared" si="28"/>
        <v>12.5</v>
      </c>
      <c r="AL159" s="645">
        <f t="shared" si="29"/>
        <v>-1000000000</v>
      </c>
      <c r="AM159" s="902">
        <f t="shared" si="35"/>
        <v>0</v>
      </c>
      <c r="AN159" s="902">
        <f t="shared" si="35"/>
        <v>0</v>
      </c>
      <c r="AO159" s="902">
        <f t="shared" si="35"/>
        <v>0</v>
      </c>
      <c r="AP159" s="902">
        <f t="shared" si="33"/>
        <v>0</v>
      </c>
      <c r="AQ159" s="902">
        <f t="shared" si="33"/>
        <v>0</v>
      </c>
      <c r="AR159" s="902">
        <f t="shared" si="33"/>
        <v>0</v>
      </c>
      <c r="AS159" s="902">
        <f t="shared" si="33"/>
        <v>0</v>
      </c>
      <c r="AT159" s="645">
        <f t="shared" si="33"/>
        <v>0</v>
      </c>
      <c r="AU159" s="880">
        <f t="shared" si="30"/>
        <v>0</v>
      </c>
      <c r="AV159" s="880">
        <f t="shared" si="36"/>
        <v>0</v>
      </c>
      <c r="AW159" s="880">
        <f t="shared" si="36"/>
        <v>0</v>
      </c>
      <c r="AX159" s="880">
        <f t="shared" si="36"/>
        <v>0</v>
      </c>
      <c r="AY159" s="880">
        <f t="shared" si="34"/>
        <v>0</v>
      </c>
      <c r="AZ159" s="880">
        <f t="shared" si="34"/>
        <v>0</v>
      </c>
      <c r="BA159" s="880">
        <f t="shared" si="34"/>
        <v>0</v>
      </c>
      <c r="BB159" s="880">
        <f t="shared" si="34"/>
        <v>0</v>
      </c>
      <c r="BC159" s="904">
        <f t="shared" si="34"/>
        <v>0</v>
      </c>
    </row>
    <row r="160" spans="2:55" ht="15" customHeight="1" x14ac:dyDescent="0.25">
      <c r="B160" s="917">
        <f>B156+$B$34</f>
        <v>25</v>
      </c>
      <c r="C160" s="910"/>
      <c r="D160" s="911"/>
      <c r="E160" s="860"/>
      <c r="F160" s="911"/>
      <c r="G160" s="911"/>
      <c r="H160" s="911"/>
      <c r="I160" s="911"/>
      <c r="J160" s="922"/>
      <c r="K160" s="912"/>
      <c r="L160" s="806">
        <f t="shared" si="23"/>
        <v>145</v>
      </c>
      <c r="M160" s="895">
        <f t="shared" si="24"/>
        <v>1000000</v>
      </c>
      <c r="N160" s="806">
        <f t="shared" si="25"/>
        <v>100</v>
      </c>
      <c r="O160" s="309"/>
      <c r="P160" s="900">
        <f t="shared" si="26"/>
        <v>124</v>
      </c>
      <c r="Q160" s="908">
        <f t="shared" si="27"/>
        <v>21</v>
      </c>
      <c r="R160" s="898">
        <f t="shared" si="38"/>
        <v>102.71050803350673</v>
      </c>
      <c r="S160" s="898">
        <f t="shared" si="38"/>
        <v>88.852662704941679</v>
      </c>
      <c r="T160" s="898">
        <f t="shared" si="38"/>
        <v>86.081093639228669</v>
      </c>
      <c r="U160" s="898">
        <f t="shared" si="38"/>
        <v>80.537955507802636</v>
      </c>
      <c r="V160" s="898">
        <f t="shared" si="38"/>
        <v>77.766386442089626</v>
      </c>
      <c r="W160" s="898">
        <f t="shared" si="38"/>
        <v>72.223248310663593</v>
      </c>
      <c r="X160" s="898">
        <f t="shared" si="38"/>
        <v>66.680110179237644</v>
      </c>
      <c r="Y160" s="898">
        <f t="shared" si="38"/>
        <v>61.136972047811625</v>
      </c>
      <c r="Z160" s="898">
        <f t="shared" si="38"/>
        <v>55.593833916385599</v>
      </c>
      <c r="AA160" s="900"/>
      <c r="AB160" s="900"/>
      <c r="AC160" s="902"/>
      <c r="AD160" s="902"/>
      <c r="AE160" s="902"/>
      <c r="AF160" s="902"/>
      <c r="AG160" s="902"/>
      <c r="AH160" s="902"/>
      <c r="AI160" s="645"/>
      <c r="AJ160" s="902">
        <f t="shared" si="31"/>
        <v>0</v>
      </c>
      <c r="AK160" s="909">
        <f t="shared" si="28"/>
        <v>12.5</v>
      </c>
      <c r="AL160" s="645">
        <f t="shared" si="29"/>
        <v>-1000000000</v>
      </c>
      <c r="AM160" s="902">
        <f t="shared" si="35"/>
        <v>0</v>
      </c>
      <c r="AN160" s="902">
        <f t="shared" si="35"/>
        <v>0</v>
      </c>
      <c r="AO160" s="902">
        <f t="shared" si="35"/>
        <v>0</v>
      </c>
      <c r="AP160" s="902">
        <f t="shared" si="33"/>
        <v>0</v>
      </c>
      <c r="AQ160" s="902">
        <f t="shared" si="33"/>
        <v>0</v>
      </c>
      <c r="AR160" s="902">
        <f t="shared" si="33"/>
        <v>0</v>
      </c>
      <c r="AS160" s="902">
        <f t="shared" si="33"/>
        <v>0</v>
      </c>
      <c r="AT160" s="645">
        <f t="shared" si="33"/>
        <v>0</v>
      </c>
      <c r="AU160" s="880">
        <f t="shared" si="30"/>
        <v>0</v>
      </c>
      <c r="AV160" s="880">
        <f t="shared" si="36"/>
        <v>0</v>
      </c>
      <c r="AW160" s="880">
        <f t="shared" si="36"/>
        <v>0</v>
      </c>
      <c r="AX160" s="880">
        <f t="shared" si="36"/>
        <v>0</v>
      </c>
      <c r="AY160" s="880">
        <f t="shared" si="34"/>
        <v>0</v>
      </c>
      <c r="AZ160" s="880">
        <f t="shared" si="34"/>
        <v>0</v>
      </c>
      <c r="BA160" s="880">
        <f t="shared" si="34"/>
        <v>0</v>
      </c>
      <c r="BB160" s="880">
        <f t="shared" si="34"/>
        <v>0</v>
      </c>
      <c r="BC160" s="904">
        <f t="shared" si="34"/>
        <v>0</v>
      </c>
    </row>
    <row r="161" spans="2:55" ht="15" customHeight="1" x14ac:dyDescent="0.25">
      <c r="B161" s="674">
        <f>N19</f>
        <v>25.333333333333332</v>
      </c>
      <c r="C161" s="910"/>
      <c r="D161" s="911"/>
      <c r="E161" s="860">
        <f>$N$7</f>
        <v>76</v>
      </c>
      <c r="F161" s="911"/>
      <c r="G161" s="911"/>
      <c r="H161" s="911"/>
      <c r="I161" s="911"/>
      <c r="J161" s="922"/>
      <c r="K161" s="912"/>
      <c r="L161" s="806">
        <f t="shared" si="23"/>
        <v>145</v>
      </c>
      <c r="M161" s="895">
        <f t="shared" si="24"/>
        <v>1000000</v>
      </c>
      <c r="N161" s="806">
        <f t="shared" si="25"/>
        <v>100</v>
      </c>
      <c r="P161" s="900">
        <f t="shared" si="26"/>
        <v>125</v>
      </c>
      <c r="Q161" s="908">
        <f t="shared" si="27"/>
        <v>20</v>
      </c>
      <c r="R161" s="898">
        <f t="shared" si="38"/>
        <v>104.75280694767149</v>
      </c>
      <c r="S161" s="898">
        <f t="shared" si="38"/>
        <v>90.78632650074411</v>
      </c>
      <c r="T161" s="898">
        <f t="shared" si="38"/>
        <v>87.993030411358632</v>
      </c>
      <c r="U161" s="898">
        <f t="shared" si="38"/>
        <v>82.406438232587675</v>
      </c>
      <c r="V161" s="898">
        <f t="shared" si="38"/>
        <v>79.613142143202211</v>
      </c>
      <c r="W161" s="898">
        <f t="shared" si="38"/>
        <v>74.02654996443124</v>
      </c>
      <c r="X161" s="898">
        <f t="shared" si="38"/>
        <v>68.439957785660354</v>
      </c>
      <c r="Y161" s="898">
        <f t="shared" si="38"/>
        <v>62.853365606889398</v>
      </c>
      <c r="Z161" s="898">
        <f t="shared" si="38"/>
        <v>57.266773428118448</v>
      </c>
      <c r="AA161" s="900"/>
      <c r="AB161" s="900"/>
      <c r="AC161" s="902"/>
      <c r="AD161" s="902"/>
      <c r="AE161" s="902"/>
      <c r="AF161" s="902"/>
      <c r="AG161" s="902"/>
      <c r="AH161" s="902"/>
      <c r="AI161" s="645"/>
      <c r="AJ161" s="902">
        <f t="shared" si="31"/>
        <v>0</v>
      </c>
      <c r="AK161" s="909">
        <f t="shared" si="28"/>
        <v>12.5</v>
      </c>
      <c r="AL161" s="645">
        <f t="shared" si="29"/>
        <v>-1000000000</v>
      </c>
      <c r="AM161" s="902">
        <f t="shared" si="35"/>
        <v>0</v>
      </c>
      <c r="AN161" s="902">
        <f t="shared" si="35"/>
        <v>0</v>
      </c>
      <c r="AO161" s="902">
        <f t="shared" si="35"/>
        <v>0</v>
      </c>
      <c r="AP161" s="902">
        <f t="shared" si="33"/>
        <v>0</v>
      </c>
      <c r="AQ161" s="902">
        <f t="shared" si="33"/>
        <v>0</v>
      </c>
      <c r="AR161" s="902">
        <f t="shared" si="33"/>
        <v>0</v>
      </c>
      <c r="AS161" s="902">
        <f t="shared" si="33"/>
        <v>0</v>
      </c>
      <c r="AT161" s="645">
        <f t="shared" si="33"/>
        <v>0</v>
      </c>
      <c r="AU161" s="880">
        <f t="shared" si="30"/>
        <v>0</v>
      </c>
      <c r="AV161" s="880">
        <f t="shared" si="36"/>
        <v>0</v>
      </c>
      <c r="AW161" s="880">
        <f t="shared" si="36"/>
        <v>0</v>
      </c>
      <c r="AX161" s="880">
        <f t="shared" si="36"/>
        <v>0</v>
      </c>
      <c r="AY161" s="880">
        <f t="shared" si="34"/>
        <v>0</v>
      </c>
      <c r="AZ161" s="880">
        <f t="shared" si="34"/>
        <v>0</v>
      </c>
      <c r="BA161" s="880">
        <f t="shared" si="34"/>
        <v>0</v>
      </c>
      <c r="BB161" s="880">
        <f t="shared" si="34"/>
        <v>0</v>
      </c>
      <c r="BC161" s="904">
        <f t="shared" si="34"/>
        <v>0</v>
      </c>
    </row>
    <row r="162" spans="2:55" ht="15" customHeight="1" x14ac:dyDescent="0.25">
      <c r="B162" s="674">
        <f>N18</f>
        <v>25.5</v>
      </c>
      <c r="C162" s="910"/>
      <c r="D162" s="860">
        <f>$N$6</f>
        <v>76.5</v>
      </c>
      <c r="E162" s="860"/>
      <c r="F162" s="911"/>
      <c r="G162" s="911"/>
      <c r="H162" s="911"/>
      <c r="I162" s="911"/>
      <c r="J162" s="911"/>
      <c r="K162" s="914"/>
      <c r="L162" s="806">
        <f t="shared" si="23"/>
        <v>145</v>
      </c>
      <c r="M162" s="895">
        <f t="shared" si="24"/>
        <v>1000000</v>
      </c>
      <c r="N162" s="806">
        <f t="shared" si="25"/>
        <v>100</v>
      </c>
      <c r="O162" s="309"/>
      <c r="P162" s="900">
        <f t="shared" si="26"/>
        <v>126</v>
      </c>
      <c r="Q162" s="908">
        <f t="shared" si="27"/>
        <v>19</v>
      </c>
      <c r="R162" s="898">
        <f t="shared" si="38"/>
        <v>106.85355879346254</v>
      </c>
      <c r="S162" s="898">
        <f t="shared" si="38"/>
        <v>92.778491769333854</v>
      </c>
      <c r="T162" s="898">
        <f t="shared" si="38"/>
        <v>89.963478364508106</v>
      </c>
      <c r="U162" s="898">
        <f t="shared" si="38"/>
        <v>84.333451554856623</v>
      </c>
      <c r="V162" s="898">
        <f t="shared" si="38"/>
        <v>81.518438150030889</v>
      </c>
      <c r="W162" s="898">
        <f t="shared" si="38"/>
        <v>75.888411340379406</v>
      </c>
      <c r="X162" s="898">
        <f t="shared" si="38"/>
        <v>70.25838453072798</v>
      </c>
      <c r="Y162" s="898">
        <f t="shared" si="38"/>
        <v>64.628357721076497</v>
      </c>
      <c r="Z162" s="898">
        <f t="shared" si="38"/>
        <v>58.998330911425029</v>
      </c>
      <c r="AA162" s="900"/>
      <c r="AB162" s="900"/>
      <c r="AC162" s="902"/>
      <c r="AD162" s="902"/>
      <c r="AE162" s="902"/>
      <c r="AF162" s="902"/>
      <c r="AG162" s="902"/>
      <c r="AH162" s="902"/>
      <c r="AI162" s="645"/>
      <c r="AJ162" s="902">
        <f t="shared" si="31"/>
        <v>0</v>
      </c>
      <c r="AK162" s="909">
        <f t="shared" si="28"/>
        <v>12.5</v>
      </c>
      <c r="AL162" s="645">
        <f t="shared" si="29"/>
        <v>-1000000000</v>
      </c>
      <c r="AM162" s="902">
        <f t="shared" si="35"/>
        <v>0</v>
      </c>
      <c r="AN162" s="902">
        <f t="shared" si="35"/>
        <v>0</v>
      </c>
      <c r="AO162" s="902">
        <f t="shared" si="35"/>
        <v>0</v>
      </c>
      <c r="AP162" s="902">
        <f t="shared" si="33"/>
        <v>0</v>
      </c>
      <c r="AQ162" s="902">
        <f t="shared" si="33"/>
        <v>0</v>
      </c>
      <c r="AR162" s="902">
        <f t="shared" si="33"/>
        <v>0</v>
      </c>
      <c r="AS162" s="902">
        <f t="shared" si="33"/>
        <v>0</v>
      </c>
      <c r="AT162" s="645">
        <f t="shared" si="33"/>
        <v>0</v>
      </c>
      <c r="AU162" s="880">
        <f t="shared" si="30"/>
        <v>0</v>
      </c>
      <c r="AV162" s="880">
        <f t="shared" si="36"/>
        <v>0</v>
      </c>
      <c r="AW162" s="880">
        <f t="shared" si="36"/>
        <v>0</v>
      </c>
      <c r="AX162" s="880">
        <f t="shared" si="36"/>
        <v>0</v>
      </c>
      <c r="AY162" s="880">
        <f t="shared" si="34"/>
        <v>0</v>
      </c>
      <c r="AZ162" s="880">
        <f t="shared" si="34"/>
        <v>0</v>
      </c>
      <c r="BA162" s="880">
        <f t="shared" si="34"/>
        <v>0</v>
      </c>
      <c r="BB162" s="880">
        <f t="shared" si="34"/>
        <v>0</v>
      </c>
      <c r="BC162" s="904">
        <f t="shared" si="34"/>
        <v>0</v>
      </c>
    </row>
    <row r="163" spans="2:55" ht="15" customHeight="1" x14ac:dyDescent="0.25">
      <c r="B163" s="917">
        <f>B160+$B$34</f>
        <v>26</v>
      </c>
      <c r="C163" s="910"/>
      <c r="D163" s="860"/>
      <c r="E163" s="911"/>
      <c r="F163" s="911"/>
      <c r="G163" s="911"/>
      <c r="H163" s="911"/>
      <c r="I163" s="911"/>
      <c r="J163" s="860"/>
      <c r="K163" s="912"/>
      <c r="L163" s="806">
        <f t="shared" si="23"/>
        <v>145</v>
      </c>
      <c r="M163" s="895">
        <f t="shared" si="24"/>
        <v>1000000</v>
      </c>
      <c r="N163" s="806">
        <f t="shared" si="25"/>
        <v>100</v>
      </c>
      <c r="O163" s="309"/>
      <c r="P163" s="900">
        <f t="shared" si="26"/>
        <v>127</v>
      </c>
      <c r="Q163" s="908">
        <f t="shared" si="27"/>
        <v>18</v>
      </c>
      <c r="R163" s="898">
        <f t="shared" si="38"/>
        <v>109.01493243648085</v>
      </c>
      <c r="S163" s="898">
        <f t="shared" si="38"/>
        <v>94.831327343784821</v>
      </c>
      <c r="T163" s="898">
        <f t="shared" si="38"/>
        <v>91.994606325245613</v>
      </c>
      <c r="U163" s="898">
        <f t="shared" si="38"/>
        <v>86.321164288167211</v>
      </c>
      <c r="V163" s="898">
        <f t="shared" si="38"/>
        <v>83.484443269628017</v>
      </c>
      <c r="W163" s="898">
        <f t="shared" si="38"/>
        <v>77.811001232549614</v>
      </c>
      <c r="X163" s="898">
        <f t="shared" si="38"/>
        <v>72.137559195471255</v>
      </c>
      <c r="Y163" s="898">
        <f t="shared" si="38"/>
        <v>66.464117158392867</v>
      </c>
      <c r="Z163" s="898">
        <f t="shared" si="38"/>
        <v>60.79067512131445</v>
      </c>
      <c r="AA163" s="900"/>
      <c r="AB163" s="900"/>
      <c r="AC163" s="902"/>
      <c r="AD163" s="902"/>
      <c r="AE163" s="902"/>
      <c r="AF163" s="902"/>
      <c r="AG163" s="902"/>
      <c r="AH163" s="902"/>
      <c r="AI163" s="645"/>
      <c r="AJ163" s="902">
        <f t="shared" si="31"/>
        <v>0</v>
      </c>
      <c r="AK163" s="909">
        <f t="shared" si="28"/>
        <v>12.5</v>
      </c>
      <c r="AL163" s="645">
        <f t="shared" si="29"/>
        <v>-1000000000</v>
      </c>
      <c r="AM163" s="902">
        <f t="shared" si="35"/>
        <v>0</v>
      </c>
      <c r="AN163" s="902">
        <f t="shared" si="35"/>
        <v>0</v>
      </c>
      <c r="AO163" s="902">
        <f t="shared" si="35"/>
        <v>0</v>
      </c>
      <c r="AP163" s="902">
        <f t="shared" si="33"/>
        <v>0</v>
      </c>
      <c r="AQ163" s="902">
        <f t="shared" si="33"/>
        <v>0</v>
      </c>
      <c r="AR163" s="902">
        <f t="shared" si="33"/>
        <v>0</v>
      </c>
      <c r="AS163" s="902">
        <f t="shared" si="33"/>
        <v>0</v>
      </c>
      <c r="AT163" s="645">
        <f t="shared" si="33"/>
        <v>0</v>
      </c>
      <c r="AU163" s="880">
        <f t="shared" si="30"/>
        <v>0</v>
      </c>
      <c r="AV163" s="880">
        <f t="shared" si="36"/>
        <v>0</v>
      </c>
      <c r="AW163" s="880">
        <f t="shared" si="36"/>
        <v>0</v>
      </c>
      <c r="AX163" s="880">
        <f t="shared" si="36"/>
        <v>0</v>
      </c>
      <c r="AY163" s="880">
        <f t="shared" si="34"/>
        <v>0</v>
      </c>
      <c r="AZ163" s="880">
        <f t="shared" si="34"/>
        <v>0</v>
      </c>
      <c r="BA163" s="880">
        <f t="shared" si="34"/>
        <v>0</v>
      </c>
      <c r="BB163" s="880">
        <f t="shared" si="34"/>
        <v>0</v>
      </c>
      <c r="BC163" s="904">
        <f t="shared" si="34"/>
        <v>0</v>
      </c>
    </row>
    <row r="164" spans="2:55" ht="15" customHeight="1" x14ac:dyDescent="0.25">
      <c r="B164" s="917">
        <f>N17</f>
        <v>26.166666666666668</v>
      </c>
      <c r="C164" s="647">
        <f>$N$5</f>
        <v>78.5</v>
      </c>
      <c r="D164" s="911"/>
      <c r="E164" s="911"/>
      <c r="F164" s="911"/>
      <c r="G164" s="911"/>
      <c r="H164" s="911"/>
      <c r="I164" s="911"/>
      <c r="J164" s="911"/>
      <c r="K164" s="914"/>
      <c r="L164" s="806">
        <f t="shared" ref="L164:L206" si="39">$G$26</f>
        <v>145</v>
      </c>
      <c r="M164" s="895">
        <f t="shared" ref="M164:M206" si="40">IF(B164&lt;$C$28,-1000000,IF(B164=$C$28,0,1000000))</f>
        <v>1000000</v>
      </c>
      <c r="N164" s="806">
        <f t="shared" ref="N164:N206" si="41">$C$26</f>
        <v>100</v>
      </c>
      <c r="O164" s="309"/>
      <c r="P164" s="900">
        <f t="shared" si="26"/>
        <v>128</v>
      </c>
      <c r="Q164" s="908">
        <f t="shared" si="27"/>
        <v>17</v>
      </c>
      <c r="R164" s="898">
        <f t="shared" si="38"/>
        <v>111.2391751621885</v>
      </c>
      <c r="S164" s="898">
        <f t="shared" si="38"/>
        <v>96.947080477061206</v>
      </c>
      <c r="T164" s="898">
        <f t="shared" si="38"/>
        <v>94.088661540035744</v>
      </c>
      <c r="U164" s="898">
        <f t="shared" si="38"/>
        <v>88.37182366598482</v>
      </c>
      <c r="V164" s="898">
        <f t="shared" si="38"/>
        <v>85.513404728959358</v>
      </c>
      <c r="W164" s="898">
        <f t="shared" si="38"/>
        <v>79.796566854908434</v>
      </c>
      <c r="X164" s="898">
        <f t="shared" si="38"/>
        <v>74.079728980857581</v>
      </c>
      <c r="Y164" s="898">
        <f t="shared" si="38"/>
        <v>68.362891106806657</v>
      </c>
      <c r="Z164" s="898">
        <f t="shared" si="38"/>
        <v>62.64605323275574</v>
      </c>
      <c r="AA164" s="900"/>
      <c r="AB164" s="900"/>
      <c r="AC164" s="902"/>
      <c r="AD164" s="902"/>
      <c r="AE164" s="902"/>
      <c r="AF164" s="902"/>
      <c r="AG164" s="902"/>
      <c r="AH164" s="902"/>
      <c r="AI164" s="645"/>
      <c r="AJ164" s="902">
        <f t="shared" si="31"/>
        <v>0</v>
      </c>
      <c r="AK164" s="909">
        <f t="shared" si="28"/>
        <v>12.5</v>
      </c>
      <c r="AL164" s="645">
        <f t="shared" si="29"/>
        <v>-1000000000</v>
      </c>
      <c r="AM164" s="902">
        <f t="shared" si="35"/>
        <v>0</v>
      </c>
      <c r="AN164" s="902">
        <f t="shared" si="35"/>
        <v>0</v>
      </c>
      <c r="AO164" s="902">
        <f t="shared" si="35"/>
        <v>0</v>
      </c>
      <c r="AP164" s="902">
        <f t="shared" si="33"/>
        <v>0</v>
      </c>
      <c r="AQ164" s="902">
        <f t="shared" si="33"/>
        <v>0</v>
      </c>
      <c r="AR164" s="902">
        <f t="shared" si="33"/>
        <v>0</v>
      </c>
      <c r="AS164" s="902">
        <f t="shared" si="33"/>
        <v>0</v>
      </c>
      <c r="AT164" s="645">
        <f t="shared" si="33"/>
        <v>0</v>
      </c>
      <c r="AU164" s="880">
        <f t="shared" si="30"/>
        <v>0</v>
      </c>
      <c r="AV164" s="880">
        <f t="shared" si="36"/>
        <v>0</v>
      </c>
      <c r="AW164" s="880">
        <f t="shared" si="36"/>
        <v>0</v>
      </c>
      <c r="AX164" s="880">
        <f t="shared" si="36"/>
        <v>0</v>
      </c>
      <c r="AY164" s="880">
        <f t="shared" si="34"/>
        <v>0</v>
      </c>
      <c r="AZ164" s="880">
        <f t="shared" si="34"/>
        <v>0</v>
      </c>
      <c r="BA164" s="880">
        <f t="shared" si="34"/>
        <v>0</v>
      </c>
      <c r="BB164" s="880">
        <f t="shared" si="34"/>
        <v>0</v>
      </c>
      <c r="BC164" s="904">
        <f t="shared" si="34"/>
        <v>0</v>
      </c>
    </row>
    <row r="165" spans="2:55" ht="15" customHeight="1" x14ac:dyDescent="0.25">
      <c r="B165" s="917">
        <f>B163+$B$34</f>
        <v>27</v>
      </c>
      <c r="C165" s="910"/>
      <c r="D165" s="911"/>
      <c r="E165" s="911"/>
      <c r="F165" s="911"/>
      <c r="G165" s="911"/>
      <c r="H165" s="911"/>
      <c r="I165" s="911"/>
      <c r="J165" s="860">
        <f>$O$12</f>
        <v>54</v>
      </c>
      <c r="K165" s="914"/>
      <c r="L165" s="806">
        <f t="shared" si="39"/>
        <v>145</v>
      </c>
      <c r="M165" s="895">
        <f t="shared" si="40"/>
        <v>1000000</v>
      </c>
      <c r="N165" s="806">
        <f t="shared" si="41"/>
        <v>100</v>
      </c>
      <c r="O165" s="309"/>
      <c r="P165" s="900">
        <f t="shared" ref="P165:P171" si="42">P164+$P$34</f>
        <v>129</v>
      </c>
      <c r="Q165" s="908">
        <f t="shared" ref="Q165:Q171" si="43">$G$26-P165</f>
        <v>16</v>
      </c>
      <c r="R165" s="898">
        <f t="shared" si="38"/>
        <v>113.52861546493264</v>
      </c>
      <c r="S165" s="898">
        <f t="shared" si="38"/>
        <v>99.128079631041146</v>
      </c>
      <c r="T165" s="898">
        <f t="shared" si="38"/>
        <v>96.247972464262844</v>
      </c>
      <c r="U165" s="898">
        <f t="shared" si="38"/>
        <v>90.48775813070624</v>
      </c>
      <c r="V165" s="898">
        <f t="shared" si="38"/>
        <v>87.607650963927938</v>
      </c>
      <c r="W165" s="898">
        <f t="shared" si="38"/>
        <v>81.847436630371334</v>
      </c>
      <c r="X165" s="898">
        <f t="shared" si="38"/>
        <v>76.087222296814801</v>
      </c>
      <c r="Y165" s="898">
        <f t="shared" si="38"/>
        <v>70.327007963258197</v>
      </c>
      <c r="Z165" s="898">
        <f t="shared" si="38"/>
        <v>64.566793629701593</v>
      </c>
      <c r="AA165" s="900"/>
      <c r="AB165" s="900"/>
      <c r="AC165" s="902"/>
      <c r="AD165" s="902"/>
      <c r="AE165" s="902"/>
      <c r="AF165" s="902"/>
      <c r="AG165" s="902"/>
      <c r="AH165" s="902"/>
      <c r="AI165" s="645"/>
      <c r="AJ165" s="902">
        <f t="shared" si="31"/>
        <v>0</v>
      </c>
      <c r="AK165" s="909">
        <f t="shared" ref="AK165:AK171" si="44">$C$28</f>
        <v>12.5</v>
      </c>
      <c r="AL165" s="645">
        <f t="shared" ref="AL165:AL171" si="45">IF(Q165&gt;$C$26,1000000000,IF(Q165=$C$26,0,-1000000000))</f>
        <v>-1000000000</v>
      </c>
      <c r="AM165" s="902">
        <f t="shared" si="35"/>
        <v>0</v>
      </c>
      <c r="AN165" s="902">
        <f t="shared" si="35"/>
        <v>0</v>
      </c>
      <c r="AO165" s="902">
        <f t="shared" si="35"/>
        <v>0</v>
      </c>
      <c r="AP165" s="902">
        <f t="shared" si="33"/>
        <v>0</v>
      </c>
      <c r="AQ165" s="902">
        <f t="shared" si="33"/>
        <v>0</v>
      </c>
      <c r="AR165" s="902">
        <f t="shared" si="33"/>
        <v>0</v>
      </c>
      <c r="AS165" s="902">
        <f t="shared" si="33"/>
        <v>0</v>
      </c>
      <c r="AT165" s="645">
        <f t="shared" si="33"/>
        <v>0</v>
      </c>
      <c r="AU165" s="880">
        <f t="shared" ref="AU165:AU171" si="46">AJ165*(AA165-R165)^2</f>
        <v>0</v>
      </c>
      <c r="AV165" s="880">
        <f t="shared" si="36"/>
        <v>0</v>
      </c>
      <c r="AW165" s="880">
        <f t="shared" si="36"/>
        <v>0</v>
      </c>
      <c r="AX165" s="880">
        <f t="shared" si="36"/>
        <v>0</v>
      </c>
      <c r="AY165" s="880">
        <f t="shared" si="34"/>
        <v>0</v>
      </c>
      <c r="AZ165" s="880">
        <f t="shared" si="34"/>
        <v>0</v>
      </c>
      <c r="BA165" s="880">
        <f t="shared" si="34"/>
        <v>0</v>
      </c>
      <c r="BB165" s="880">
        <f t="shared" si="34"/>
        <v>0</v>
      </c>
      <c r="BC165" s="904">
        <f t="shared" si="34"/>
        <v>0</v>
      </c>
    </row>
    <row r="166" spans="2:55" ht="15" customHeight="1" x14ac:dyDescent="0.25">
      <c r="B166" s="917">
        <f>B165+$B$34</f>
        <v>28</v>
      </c>
      <c r="C166" s="910"/>
      <c r="D166" s="911"/>
      <c r="E166" s="911"/>
      <c r="F166" s="911"/>
      <c r="G166" s="860"/>
      <c r="H166" s="860"/>
      <c r="I166" s="860"/>
      <c r="J166" s="860"/>
      <c r="K166" s="912"/>
      <c r="L166" s="806">
        <f t="shared" si="39"/>
        <v>145</v>
      </c>
      <c r="M166" s="895">
        <f t="shared" si="40"/>
        <v>1000000</v>
      </c>
      <c r="N166" s="806">
        <f t="shared" si="41"/>
        <v>100</v>
      </c>
      <c r="O166" s="309"/>
      <c r="P166" s="900">
        <f t="shared" si="42"/>
        <v>130</v>
      </c>
      <c r="Q166" s="908">
        <f t="shared" si="43"/>
        <v>15</v>
      </c>
      <c r="R166" s="898">
        <f t="shared" si="38"/>
        <v>115.88566593488181</v>
      </c>
      <c r="S166" s="898">
        <f t="shared" si="38"/>
        <v>101.37673736345323</v>
      </c>
      <c r="T166" s="898">
        <f t="shared" si="38"/>
        <v>98.474951649167508</v>
      </c>
      <c r="U166" s="898">
        <f t="shared" si="38"/>
        <v>92.671380220596077</v>
      </c>
      <c r="V166" s="898">
        <f t="shared" si="38"/>
        <v>89.769594506310355</v>
      </c>
      <c r="W166" s="898">
        <f t="shared" si="38"/>
        <v>83.966023077738924</v>
      </c>
      <c r="X166" s="898">
        <f t="shared" si="38"/>
        <v>78.162451649167551</v>
      </c>
      <c r="Y166" s="898">
        <f t="shared" si="38"/>
        <v>72.35888022059612</v>
      </c>
      <c r="Z166" s="898">
        <f t="shared" si="38"/>
        <v>66.55530879202469</v>
      </c>
      <c r="AA166" s="900"/>
      <c r="AB166" s="900"/>
      <c r="AC166" s="902"/>
      <c r="AD166" s="902"/>
      <c r="AE166" s="902"/>
      <c r="AF166" s="902"/>
      <c r="AG166" s="902"/>
      <c r="AH166" s="902"/>
      <c r="AI166" s="645"/>
      <c r="AJ166" s="902">
        <f t="shared" ref="AJ166:AJ171" si="47">IF(AA166=0,0,1)</f>
        <v>0</v>
      </c>
      <c r="AK166" s="909">
        <f t="shared" si="44"/>
        <v>12.5</v>
      </c>
      <c r="AL166" s="645">
        <f t="shared" si="45"/>
        <v>-1000000000</v>
      </c>
      <c r="AM166" s="902">
        <f t="shared" si="35"/>
        <v>0</v>
      </c>
      <c r="AN166" s="902">
        <f t="shared" si="35"/>
        <v>0</v>
      </c>
      <c r="AO166" s="902">
        <f t="shared" si="35"/>
        <v>0</v>
      </c>
      <c r="AP166" s="902">
        <f t="shared" si="33"/>
        <v>0</v>
      </c>
      <c r="AQ166" s="902">
        <f t="shared" si="33"/>
        <v>0</v>
      </c>
      <c r="AR166" s="902">
        <f t="shared" si="33"/>
        <v>0</v>
      </c>
      <c r="AS166" s="902">
        <f t="shared" si="33"/>
        <v>0</v>
      </c>
      <c r="AT166" s="645">
        <f t="shared" si="33"/>
        <v>0</v>
      </c>
      <c r="AU166" s="880">
        <f t="shared" si="46"/>
        <v>0</v>
      </c>
      <c r="AV166" s="880">
        <f t="shared" si="36"/>
        <v>0</v>
      </c>
      <c r="AW166" s="880">
        <f t="shared" si="36"/>
        <v>0</v>
      </c>
      <c r="AX166" s="880">
        <f t="shared" si="36"/>
        <v>0</v>
      </c>
      <c r="AY166" s="880">
        <f t="shared" si="34"/>
        <v>0</v>
      </c>
      <c r="AZ166" s="880">
        <f t="shared" si="34"/>
        <v>0</v>
      </c>
      <c r="BA166" s="880">
        <f t="shared" si="34"/>
        <v>0</v>
      </c>
      <c r="BB166" s="880">
        <f t="shared" si="34"/>
        <v>0</v>
      </c>
      <c r="BC166" s="904">
        <f t="shared" si="34"/>
        <v>0</v>
      </c>
    </row>
    <row r="167" spans="2:55" ht="15" customHeight="1" x14ac:dyDescent="0.25">
      <c r="B167" s="674">
        <f>O23</f>
        <v>28.5</v>
      </c>
      <c r="C167" s="910"/>
      <c r="D167" s="911"/>
      <c r="E167" s="911"/>
      <c r="F167" s="911"/>
      <c r="G167" s="860"/>
      <c r="H167" s="860"/>
      <c r="I167" s="860">
        <f>$O$11</f>
        <v>57</v>
      </c>
      <c r="J167" s="860"/>
      <c r="K167" s="912"/>
      <c r="L167" s="806">
        <f t="shared" si="39"/>
        <v>145</v>
      </c>
      <c r="M167" s="895">
        <f t="shared" si="40"/>
        <v>1000000</v>
      </c>
      <c r="N167" s="806">
        <f t="shared" si="41"/>
        <v>100</v>
      </c>
      <c r="O167" s="309"/>
      <c r="P167" s="900">
        <f t="shared" si="42"/>
        <v>131</v>
      </c>
      <c r="Q167" s="908">
        <f t="shared" si="43"/>
        <v>14</v>
      </c>
      <c r="R167" s="898">
        <f t="shared" si="38"/>
        <v>118.3128262462767</v>
      </c>
      <c r="S167" s="898">
        <f t="shared" si="38"/>
        <v>103.69555331612717</v>
      </c>
      <c r="T167" s="898">
        <f t="shared" si="38"/>
        <v>100.77209873009727</v>
      </c>
      <c r="U167" s="898">
        <f t="shared" si="38"/>
        <v>94.925189558037445</v>
      </c>
      <c r="V167" s="898">
        <f t="shared" si="38"/>
        <v>92.00173497200754</v>
      </c>
      <c r="W167" s="898">
        <f t="shared" si="38"/>
        <v>86.15482579994773</v>
      </c>
      <c r="X167" s="898">
        <f t="shared" si="38"/>
        <v>80.307916627887977</v>
      </c>
      <c r="Y167" s="898">
        <f t="shared" si="38"/>
        <v>74.461007455828167</v>
      </c>
      <c r="Z167" s="898">
        <f t="shared" si="38"/>
        <v>68.614098283768357</v>
      </c>
      <c r="AA167" s="900"/>
      <c r="AB167" s="900"/>
      <c r="AC167" s="902"/>
      <c r="AD167" s="902"/>
      <c r="AE167" s="902"/>
      <c r="AF167" s="902"/>
      <c r="AG167" s="902"/>
      <c r="AH167" s="902"/>
      <c r="AI167" s="645"/>
      <c r="AJ167" s="902">
        <f t="shared" si="47"/>
        <v>0</v>
      </c>
      <c r="AK167" s="909">
        <f t="shared" si="44"/>
        <v>12.5</v>
      </c>
      <c r="AL167" s="645">
        <f t="shared" si="45"/>
        <v>-1000000000</v>
      </c>
      <c r="AM167" s="902">
        <f t="shared" si="35"/>
        <v>0</v>
      </c>
      <c r="AN167" s="902">
        <f t="shared" si="35"/>
        <v>0</v>
      </c>
      <c r="AO167" s="902">
        <f t="shared" si="35"/>
        <v>0</v>
      </c>
      <c r="AP167" s="902">
        <f t="shared" si="33"/>
        <v>0</v>
      </c>
      <c r="AQ167" s="902">
        <f t="shared" si="33"/>
        <v>0</v>
      </c>
      <c r="AR167" s="902">
        <f t="shared" si="33"/>
        <v>0</v>
      </c>
      <c r="AS167" s="902">
        <f t="shared" si="33"/>
        <v>0</v>
      </c>
      <c r="AT167" s="645">
        <f t="shared" si="33"/>
        <v>0</v>
      </c>
      <c r="AU167" s="880">
        <f t="shared" si="46"/>
        <v>0</v>
      </c>
      <c r="AV167" s="880">
        <f t="shared" si="36"/>
        <v>0</v>
      </c>
      <c r="AW167" s="880">
        <f t="shared" si="36"/>
        <v>0</v>
      </c>
      <c r="AX167" s="880">
        <f t="shared" si="36"/>
        <v>0</v>
      </c>
      <c r="AY167" s="880">
        <f t="shared" si="34"/>
        <v>0</v>
      </c>
      <c r="AZ167" s="880">
        <f t="shared" si="34"/>
        <v>0</v>
      </c>
      <c r="BA167" s="880">
        <f t="shared" si="34"/>
        <v>0</v>
      </c>
      <c r="BB167" s="880">
        <f t="shared" si="34"/>
        <v>0</v>
      </c>
      <c r="BC167" s="904">
        <f t="shared" si="34"/>
        <v>0</v>
      </c>
    </row>
    <row r="168" spans="2:55" ht="15" customHeight="1" x14ac:dyDescent="0.25">
      <c r="B168" s="917">
        <f>B166+$B$34</f>
        <v>29</v>
      </c>
      <c r="C168" s="910"/>
      <c r="D168" s="911"/>
      <c r="E168" s="911"/>
      <c r="F168" s="911"/>
      <c r="G168" s="911"/>
      <c r="H168" s="911"/>
      <c r="I168" s="911"/>
      <c r="J168" s="922"/>
      <c r="K168" s="912"/>
      <c r="L168" s="806">
        <f t="shared" si="39"/>
        <v>145</v>
      </c>
      <c r="M168" s="895">
        <f t="shared" si="40"/>
        <v>1000000</v>
      </c>
      <c r="N168" s="806">
        <f t="shared" si="41"/>
        <v>100</v>
      </c>
      <c r="O168" s="309"/>
      <c r="P168" s="900">
        <f t="shared" si="42"/>
        <v>132</v>
      </c>
      <c r="Q168" s="908">
        <f t="shared" si="43"/>
        <v>13</v>
      </c>
      <c r="R168" s="898">
        <f t="shared" si="38"/>
        <v>120.81268625051393</v>
      </c>
      <c r="S168" s="898">
        <f t="shared" si="38"/>
        <v>106.0871173080775</v>
      </c>
      <c r="T168" s="898">
        <f t="shared" si="38"/>
        <v>103.14200351959022</v>
      </c>
      <c r="U168" s="898">
        <f t="shared" si="38"/>
        <v>97.251775942615652</v>
      </c>
      <c r="V168" s="898">
        <f t="shared" si="38"/>
        <v>94.306662154128375</v>
      </c>
      <c r="W168" s="898">
        <f t="shared" si="38"/>
        <v>88.416434577153808</v>
      </c>
      <c r="X168" s="898">
        <f t="shared" si="38"/>
        <v>82.526207000179298</v>
      </c>
      <c r="Y168" s="898">
        <f t="shared" si="38"/>
        <v>76.635979423204716</v>
      </c>
      <c r="Z168" s="898">
        <f t="shared" si="38"/>
        <v>70.745751846230149</v>
      </c>
      <c r="AA168" s="900"/>
      <c r="AB168" s="900"/>
      <c r="AC168" s="902"/>
      <c r="AD168" s="902"/>
      <c r="AE168" s="902"/>
      <c r="AF168" s="902"/>
      <c r="AG168" s="902"/>
      <c r="AH168" s="902"/>
      <c r="AI168" s="645"/>
      <c r="AJ168" s="902">
        <f t="shared" si="47"/>
        <v>0</v>
      </c>
      <c r="AK168" s="909">
        <f t="shared" si="44"/>
        <v>12.5</v>
      </c>
      <c r="AL168" s="645">
        <f t="shared" si="45"/>
        <v>-1000000000</v>
      </c>
      <c r="AM168" s="902">
        <f t="shared" si="35"/>
        <v>0</v>
      </c>
      <c r="AN168" s="902">
        <f t="shared" si="35"/>
        <v>0</v>
      </c>
      <c r="AO168" s="902">
        <f t="shared" si="35"/>
        <v>0</v>
      </c>
      <c r="AP168" s="902">
        <f t="shared" si="33"/>
        <v>0</v>
      </c>
      <c r="AQ168" s="902">
        <f t="shared" si="33"/>
        <v>0</v>
      </c>
      <c r="AR168" s="902">
        <f t="shared" si="33"/>
        <v>0</v>
      </c>
      <c r="AS168" s="902">
        <f t="shared" si="33"/>
        <v>0</v>
      </c>
      <c r="AT168" s="645">
        <f t="shared" si="33"/>
        <v>0</v>
      </c>
      <c r="AU168" s="880">
        <f t="shared" si="46"/>
        <v>0</v>
      </c>
      <c r="AV168" s="880">
        <f t="shared" si="36"/>
        <v>0</v>
      </c>
      <c r="AW168" s="880">
        <f t="shared" si="36"/>
        <v>0</v>
      </c>
      <c r="AX168" s="880">
        <f t="shared" si="36"/>
        <v>0</v>
      </c>
      <c r="AY168" s="880">
        <f t="shared" si="34"/>
        <v>0</v>
      </c>
      <c r="AZ168" s="880">
        <f t="shared" si="34"/>
        <v>0</v>
      </c>
      <c r="BA168" s="880">
        <f t="shared" si="34"/>
        <v>0</v>
      </c>
      <c r="BB168" s="880">
        <f t="shared" si="34"/>
        <v>0</v>
      </c>
      <c r="BC168" s="904">
        <f t="shared" si="34"/>
        <v>0</v>
      </c>
    </row>
    <row r="169" spans="2:55" ht="15" customHeight="1" x14ac:dyDescent="0.25">
      <c r="B169" s="917">
        <f>B168+$B$34</f>
        <v>30</v>
      </c>
      <c r="C169" s="910"/>
      <c r="D169" s="911"/>
      <c r="E169" s="911"/>
      <c r="F169" s="911"/>
      <c r="G169" s="911"/>
      <c r="H169" s="911"/>
      <c r="I169" s="911"/>
      <c r="J169" s="922"/>
      <c r="K169" s="912"/>
      <c r="L169" s="806">
        <f t="shared" si="39"/>
        <v>145</v>
      </c>
      <c r="M169" s="895">
        <f t="shared" si="40"/>
        <v>1000000</v>
      </c>
      <c r="N169" s="806">
        <f t="shared" si="41"/>
        <v>100</v>
      </c>
      <c r="O169" s="309"/>
      <c r="P169" s="900">
        <f t="shared" si="42"/>
        <v>133</v>
      </c>
      <c r="Q169" s="908">
        <f t="shared" si="43"/>
        <v>12</v>
      </c>
      <c r="R169" s="898"/>
      <c r="S169" s="898">
        <f>($G$26-$Q169)*(($C$31+$L$33-S$34)-($L$33/$P$32)*(1-EXP(-$Q169/$G$27)))/($T$32-$Q169*$I$29)</f>
        <v>108.55411253706049</v>
      </c>
      <c r="T169" s="898">
        <f t="shared" si="38"/>
        <v>105.587349208932</v>
      </c>
      <c r="U169" s="898">
        <f t="shared" si="38"/>
        <v>99.653822552675038</v>
      </c>
      <c r="V169" s="898">
        <f t="shared" si="38"/>
        <v>96.68705922454653</v>
      </c>
      <c r="W169" s="898">
        <f t="shared" si="38"/>
        <v>90.753532568289558</v>
      </c>
      <c r="X169" s="898">
        <f t="shared" si="38"/>
        <v>84.820005912032656</v>
      </c>
      <c r="Y169" s="898">
        <f t="shared" si="38"/>
        <v>78.886479255775683</v>
      </c>
      <c r="Z169" s="898">
        <f t="shared" si="38"/>
        <v>72.952952599518696</v>
      </c>
      <c r="AA169" s="900"/>
      <c r="AB169" s="900"/>
      <c r="AC169" s="902"/>
      <c r="AD169" s="902"/>
      <c r="AE169" s="902"/>
      <c r="AF169" s="902"/>
      <c r="AG169" s="902"/>
      <c r="AH169" s="902"/>
      <c r="AI169" s="645"/>
      <c r="AJ169" s="902">
        <f t="shared" si="47"/>
        <v>0</v>
      </c>
      <c r="AK169" s="909">
        <f t="shared" si="44"/>
        <v>12.5</v>
      </c>
      <c r="AL169" s="645">
        <f t="shared" si="45"/>
        <v>-1000000000</v>
      </c>
      <c r="AM169" s="902">
        <f t="shared" si="35"/>
        <v>0</v>
      </c>
      <c r="AN169" s="902">
        <f t="shared" si="35"/>
        <v>0</v>
      </c>
      <c r="AO169" s="902">
        <f t="shared" si="35"/>
        <v>0</v>
      </c>
      <c r="AP169" s="902">
        <f t="shared" si="33"/>
        <v>0</v>
      </c>
      <c r="AQ169" s="902">
        <f t="shared" si="33"/>
        <v>0</v>
      </c>
      <c r="AR169" s="902">
        <f t="shared" si="33"/>
        <v>0</v>
      </c>
      <c r="AS169" s="902">
        <f t="shared" si="33"/>
        <v>0</v>
      </c>
      <c r="AT169" s="645">
        <f t="shared" si="33"/>
        <v>0</v>
      </c>
      <c r="AU169" s="880">
        <f t="shared" si="46"/>
        <v>0</v>
      </c>
      <c r="AV169" s="880">
        <f t="shared" si="36"/>
        <v>0</v>
      </c>
      <c r="AW169" s="880">
        <f t="shared" si="36"/>
        <v>0</v>
      </c>
      <c r="AX169" s="880">
        <f t="shared" si="36"/>
        <v>0</v>
      </c>
      <c r="AY169" s="880">
        <f t="shared" si="34"/>
        <v>0</v>
      </c>
      <c r="AZ169" s="880">
        <f t="shared" si="34"/>
        <v>0</v>
      </c>
      <c r="BA169" s="880">
        <f t="shared" si="34"/>
        <v>0</v>
      </c>
      <c r="BB169" s="880">
        <f t="shared" si="34"/>
        <v>0</v>
      </c>
      <c r="BC169" s="904">
        <f t="shared" si="34"/>
        <v>0</v>
      </c>
    </row>
    <row r="170" spans="2:55" ht="15" customHeight="1" x14ac:dyDescent="0.25">
      <c r="B170" s="674">
        <f>O22</f>
        <v>30.5</v>
      </c>
      <c r="C170" s="910"/>
      <c r="D170" s="911"/>
      <c r="E170" s="911"/>
      <c r="F170" s="911"/>
      <c r="G170" s="911"/>
      <c r="H170" s="860">
        <f>$O$10</f>
        <v>61</v>
      </c>
      <c r="I170" s="911"/>
      <c r="J170" s="922"/>
      <c r="K170" s="912"/>
      <c r="L170" s="806">
        <f t="shared" si="39"/>
        <v>145</v>
      </c>
      <c r="M170" s="895">
        <f t="shared" si="40"/>
        <v>1000000</v>
      </c>
      <c r="N170" s="806">
        <f t="shared" si="41"/>
        <v>100</v>
      </c>
      <c r="P170" s="900">
        <f t="shared" si="42"/>
        <v>134</v>
      </c>
      <c r="Q170" s="908">
        <f t="shared" si="43"/>
        <v>11</v>
      </c>
      <c r="R170" s="898"/>
      <c r="S170" s="898"/>
      <c r="T170" s="898"/>
      <c r="U170" s="898">
        <f t="shared" si="38"/>
        <v>102.13410925911411</v>
      </c>
      <c r="V170" s="898">
        <f t="shared" si="38"/>
        <v>99.145706047695754</v>
      </c>
      <c r="W170" s="898">
        <f t="shared" si="38"/>
        <v>93.16889962485898</v>
      </c>
      <c r="X170" s="898">
        <f t="shared" si="38"/>
        <v>87.192093202022292</v>
      </c>
      <c r="Y170" s="898">
        <f t="shared" si="38"/>
        <v>81.215286779185547</v>
      </c>
      <c r="Z170" s="898">
        <f t="shared" si="38"/>
        <v>75.238480356348774</v>
      </c>
      <c r="AA170" s="900"/>
      <c r="AB170" s="900"/>
      <c r="AC170" s="902"/>
      <c r="AD170" s="902"/>
      <c r="AE170" s="902"/>
      <c r="AF170" s="902"/>
      <c r="AG170" s="902"/>
      <c r="AH170" s="902"/>
      <c r="AI170" s="645"/>
      <c r="AJ170" s="902">
        <f t="shared" si="47"/>
        <v>0</v>
      </c>
      <c r="AK170" s="909">
        <f t="shared" si="44"/>
        <v>12.5</v>
      </c>
      <c r="AL170" s="645">
        <f t="shared" si="45"/>
        <v>-1000000000</v>
      </c>
      <c r="AM170" s="902">
        <f t="shared" si="35"/>
        <v>0</v>
      </c>
      <c r="AN170" s="902">
        <f t="shared" si="35"/>
        <v>0</v>
      </c>
      <c r="AO170" s="902">
        <f t="shared" si="35"/>
        <v>0</v>
      </c>
      <c r="AP170" s="902">
        <f t="shared" si="33"/>
        <v>0</v>
      </c>
      <c r="AQ170" s="902">
        <f t="shared" si="33"/>
        <v>0</v>
      </c>
      <c r="AR170" s="902">
        <f t="shared" si="33"/>
        <v>0</v>
      </c>
      <c r="AS170" s="902">
        <f t="shared" si="33"/>
        <v>0</v>
      </c>
      <c r="AT170" s="645">
        <f t="shared" si="33"/>
        <v>0</v>
      </c>
      <c r="AU170" s="880">
        <f t="shared" si="46"/>
        <v>0</v>
      </c>
      <c r="AV170" s="880">
        <f t="shared" si="36"/>
        <v>0</v>
      </c>
      <c r="AW170" s="880">
        <f t="shared" si="36"/>
        <v>0</v>
      </c>
      <c r="AX170" s="880">
        <f t="shared" si="36"/>
        <v>0</v>
      </c>
      <c r="AY170" s="880">
        <f t="shared" si="34"/>
        <v>0</v>
      </c>
      <c r="AZ170" s="880">
        <f t="shared" si="34"/>
        <v>0</v>
      </c>
      <c r="BA170" s="880">
        <f t="shared" si="34"/>
        <v>0</v>
      </c>
      <c r="BB170" s="880">
        <f t="shared" si="34"/>
        <v>0</v>
      </c>
      <c r="BC170" s="904">
        <f t="shared" si="34"/>
        <v>0</v>
      </c>
    </row>
    <row r="171" spans="2:55" ht="15" customHeight="1" x14ac:dyDescent="0.25">
      <c r="B171" s="917">
        <f>B169+$B$34</f>
        <v>31</v>
      </c>
      <c r="C171" s="647"/>
      <c r="D171" s="911"/>
      <c r="E171" s="911"/>
      <c r="F171" s="911"/>
      <c r="G171" s="911"/>
      <c r="H171" s="911"/>
      <c r="I171" s="911"/>
      <c r="J171" s="911"/>
      <c r="K171" s="914"/>
      <c r="L171" s="806">
        <f t="shared" si="39"/>
        <v>145</v>
      </c>
      <c r="M171" s="895">
        <f t="shared" si="40"/>
        <v>1000000</v>
      </c>
      <c r="N171" s="806">
        <f t="shared" si="41"/>
        <v>100</v>
      </c>
      <c r="O171" s="309"/>
      <c r="P171" s="925">
        <f t="shared" si="42"/>
        <v>135</v>
      </c>
      <c r="Q171" s="926">
        <f t="shared" si="43"/>
        <v>10</v>
      </c>
      <c r="R171" s="927"/>
      <c r="S171" s="927"/>
      <c r="T171" s="927"/>
      <c r="U171" s="927"/>
      <c r="V171" s="927"/>
      <c r="W171" s="927"/>
      <c r="X171" s="927"/>
      <c r="Y171" s="927"/>
      <c r="Z171" s="927">
        <f>($G$26-$Q171)*(($C$31+$L$33-Z$34)-($L$33/$P$32)*(1-EXP(-$Q171/$G$27)))/($T$32-$Q171*$I$29)</f>
        <v>77.605215051969736</v>
      </c>
      <c r="AA171" s="925"/>
      <c r="AB171" s="925"/>
      <c r="AC171" s="928"/>
      <c r="AD171" s="928"/>
      <c r="AE171" s="928"/>
      <c r="AF171" s="928"/>
      <c r="AG171" s="928"/>
      <c r="AH171" s="928"/>
      <c r="AI171" s="819"/>
      <c r="AJ171" s="902">
        <f t="shared" si="47"/>
        <v>0</v>
      </c>
      <c r="AK171" s="929">
        <f t="shared" si="44"/>
        <v>12.5</v>
      </c>
      <c r="AL171" s="819">
        <f t="shared" si="45"/>
        <v>-1000000000</v>
      </c>
      <c r="AM171" s="902">
        <f t="shared" si="35"/>
        <v>0</v>
      </c>
      <c r="AN171" s="902">
        <f t="shared" si="35"/>
        <v>0</v>
      </c>
      <c r="AO171" s="902">
        <f t="shared" si="35"/>
        <v>0</v>
      </c>
      <c r="AP171" s="902">
        <f t="shared" si="33"/>
        <v>0</v>
      </c>
      <c r="AQ171" s="902">
        <f t="shared" si="33"/>
        <v>0</v>
      </c>
      <c r="AR171" s="902">
        <f t="shared" si="33"/>
        <v>0</v>
      </c>
      <c r="AS171" s="902">
        <f t="shared" si="33"/>
        <v>0</v>
      </c>
      <c r="AT171" s="645">
        <f t="shared" si="33"/>
        <v>0</v>
      </c>
      <c r="AU171" s="880">
        <f t="shared" si="46"/>
        <v>0</v>
      </c>
      <c r="AV171" s="880">
        <f t="shared" si="36"/>
        <v>0</v>
      </c>
      <c r="AW171" s="880">
        <f t="shared" si="36"/>
        <v>0</v>
      </c>
      <c r="AX171" s="880">
        <f t="shared" si="36"/>
        <v>0</v>
      </c>
      <c r="AY171" s="880">
        <f t="shared" si="34"/>
        <v>0</v>
      </c>
      <c r="AZ171" s="880">
        <f t="shared" si="34"/>
        <v>0</v>
      </c>
      <c r="BA171" s="880">
        <f t="shared" si="34"/>
        <v>0</v>
      </c>
      <c r="BB171" s="880">
        <f t="shared" si="34"/>
        <v>0</v>
      </c>
      <c r="BC171" s="904">
        <f t="shared" si="34"/>
        <v>0</v>
      </c>
    </row>
    <row r="172" spans="2:55" ht="15" customHeight="1" x14ac:dyDescent="0.25">
      <c r="B172" s="917">
        <f>B171+$B$34</f>
        <v>32</v>
      </c>
      <c r="C172" s="910"/>
      <c r="D172" s="911"/>
      <c r="E172" s="911"/>
      <c r="F172" s="911"/>
      <c r="G172" s="860">
        <f>$O$9</f>
        <v>64</v>
      </c>
      <c r="H172" s="911"/>
      <c r="I172" s="911"/>
      <c r="J172" s="922"/>
      <c r="K172" s="912"/>
      <c r="L172" s="806">
        <f t="shared" si="39"/>
        <v>145</v>
      </c>
      <c r="M172" s="895">
        <f t="shared" si="40"/>
        <v>1000000</v>
      </c>
      <c r="N172" s="806">
        <f t="shared" si="41"/>
        <v>100</v>
      </c>
      <c r="O172" s="309"/>
      <c r="U172" s="922"/>
      <c r="V172" s="930"/>
      <c r="W172" s="309"/>
    </row>
    <row r="173" spans="2:55" ht="15" customHeight="1" x14ac:dyDescent="0.25">
      <c r="B173" s="674">
        <f>O20</f>
        <v>32.5</v>
      </c>
      <c r="C173" s="910"/>
      <c r="D173" s="911"/>
      <c r="E173" s="911"/>
      <c r="F173" s="860">
        <f>$O$8</f>
        <v>65</v>
      </c>
      <c r="G173" s="911"/>
      <c r="H173" s="911"/>
      <c r="I173" s="911"/>
      <c r="J173" s="922"/>
      <c r="K173" s="912"/>
      <c r="L173" s="806">
        <f t="shared" si="39"/>
        <v>145</v>
      </c>
      <c r="M173" s="895">
        <f t="shared" si="40"/>
        <v>1000000</v>
      </c>
      <c r="N173" s="806">
        <f t="shared" si="41"/>
        <v>100</v>
      </c>
      <c r="O173" s="309"/>
      <c r="U173" s="922"/>
      <c r="V173" s="930"/>
      <c r="W173" s="309"/>
    </row>
    <row r="174" spans="2:55" ht="15" customHeight="1" x14ac:dyDescent="0.25">
      <c r="B174" s="917">
        <f>B172+$B$34</f>
        <v>33</v>
      </c>
      <c r="C174" s="910"/>
      <c r="D174" s="911"/>
      <c r="E174" s="911"/>
      <c r="F174" s="911"/>
      <c r="G174" s="911"/>
      <c r="H174" s="911"/>
      <c r="I174" s="911"/>
      <c r="J174" s="922"/>
      <c r="K174" s="914"/>
      <c r="L174" s="806">
        <f t="shared" si="39"/>
        <v>145</v>
      </c>
      <c r="M174" s="895">
        <f t="shared" si="40"/>
        <v>1000000</v>
      </c>
      <c r="N174" s="806">
        <f t="shared" si="41"/>
        <v>100</v>
      </c>
      <c r="O174" s="309"/>
      <c r="U174" s="922"/>
      <c r="V174" s="930"/>
      <c r="W174" s="309"/>
    </row>
    <row r="175" spans="2:55" ht="15" customHeight="1" x14ac:dyDescent="0.25">
      <c r="B175" s="674">
        <f>O19</f>
        <v>33.75</v>
      </c>
      <c r="C175" s="910"/>
      <c r="D175" s="911"/>
      <c r="E175" s="860">
        <f>$O$7</f>
        <v>67.5</v>
      </c>
      <c r="F175" s="911"/>
      <c r="G175" s="911"/>
      <c r="H175" s="911"/>
      <c r="I175" s="911"/>
      <c r="J175" s="922"/>
      <c r="K175" s="912"/>
      <c r="L175" s="806">
        <f t="shared" si="39"/>
        <v>145</v>
      </c>
      <c r="M175" s="895">
        <f t="shared" si="40"/>
        <v>1000000</v>
      </c>
      <c r="N175" s="806">
        <f t="shared" si="41"/>
        <v>100</v>
      </c>
      <c r="O175" s="309"/>
      <c r="U175" s="922"/>
      <c r="V175" s="930"/>
      <c r="W175" s="309"/>
    </row>
    <row r="176" spans="2:55" ht="15" customHeight="1" x14ac:dyDescent="0.25">
      <c r="B176" s="917">
        <f>B174+$B$34</f>
        <v>34</v>
      </c>
      <c r="C176" s="910"/>
      <c r="D176" s="860">
        <f>$O$6</f>
        <v>68</v>
      </c>
      <c r="E176" s="911"/>
      <c r="F176" s="860"/>
      <c r="G176" s="911"/>
      <c r="H176" s="911"/>
      <c r="I176" s="911"/>
      <c r="J176" s="922"/>
      <c r="K176" s="912"/>
      <c r="L176" s="806">
        <f t="shared" si="39"/>
        <v>145</v>
      </c>
      <c r="M176" s="895">
        <f t="shared" si="40"/>
        <v>1000000</v>
      </c>
      <c r="N176" s="806">
        <f t="shared" si="41"/>
        <v>100</v>
      </c>
      <c r="O176" s="309"/>
      <c r="U176" s="922"/>
      <c r="V176" s="930"/>
      <c r="W176" s="309"/>
    </row>
    <row r="177" spans="2:23" ht="15" customHeight="1" x14ac:dyDescent="0.25">
      <c r="B177" s="674">
        <f>P25</f>
        <v>34.5</v>
      </c>
      <c r="C177" s="910"/>
      <c r="D177" s="860"/>
      <c r="E177" s="911"/>
      <c r="F177" s="860"/>
      <c r="G177" s="911"/>
      <c r="H177" s="911"/>
      <c r="I177" s="911"/>
      <c r="J177" s="922"/>
      <c r="K177" s="912">
        <f>$P$13</f>
        <v>34.5</v>
      </c>
      <c r="L177" s="806">
        <f t="shared" si="39"/>
        <v>145</v>
      </c>
      <c r="M177" s="895">
        <f t="shared" si="40"/>
        <v>1000000</v>
      </c>
      <c r="N177" s="806">
        <f t="shared" si="41"/>
        <v>100</v>
      </c>
      <c r="O177" s="309"/>
      <c r="U177" s="922"/>
      <c r="V177" s="930"/>
      <c r="W177" s="309"/>
    </row>
    <row r="178" spans="2:23" ht="15" customHeight="1" x14ac:dyDescent="0.25">
      <c r="B178" s="917">
        <f>B176+$B$34</f>
        <v>35</v>
      </c>
      <c r="C178" s="910"/>
      <c r="D178" s="911"/>
      <c r="E178" s="911"/>
      <c r="F178" s="911"/>
      <c r="G178" s="911"/>
      <c r="H178" s="911"/>
      <c r="I178" s="911"/>
      <c r="J178" s="911"/>
      <c r="K178" s="914"/>
      <c r="L178" s="806">
        <f t="shared" si="39"/>
        <v>145</v>
      </c>
      <c r="M178" s="895">
        <f t="shared" si="40"/>
        <v>1000000</v>
      </c>
      <c r="N178" s="806">
        <f t="shared" si="41"/>
        <v>100</v>
      </c>
      <c r="O178" s="309"/>
      <c r="U178" s="922"/>
      <c r="V178" s="930"/>
      <c r="W178" s="309"/>
    </row>
    <row r="179" spans="2:23" ht="15" customHeight="1" x14ac:dyDescent="0.25">
      <c r="B179" s="917">
        <f>O17</f>
        <v>35.5</v>
      </c>
      <c r="C179" s="647">
        <f>$O$5</f>
        <v>71</v>
      </c>
      <c r="D179" s="911"/>
      <c r="E179" s="911"/>
      <c r="F179" s="860"/>
      <c r="G179" s="860"/>
      <c r="H179" s="860"/>
      <c r="I179" s="911"/>
      <c r="J179" s="911"/>
      <c r="K179" s="914"/>
      <c r="L179" s="806">
        <f t="shared" si="39"/>
        <v>145</v>
      </c>
      <c r="M179" s="895">
        <f t="shared" si="40"/>
        <v>1000000</v>
      </c>
      <c r="N179" s="806">
        <f t="shared" si="41"/>
        <v>100</v>
      </c>
      <c r="O179" s="309"/>
      <c r="U179" s="922"/>
      <c r="V179" s="930"/>
      <c r="W179" s="309"/>
    </row>
    <row r="180" spans="2:23" ht="15" customHeight="1" x14ac:dyDescent="0.25">
      <c r="B180" s="917">
        <f>B178+$B$34</f>
        <v>36</v>
      </c>
      <c r="C180" s="910"/>
      <c r="D180" s="911"/>
      <c r="E180" s="911"/>
      <c r="F180" s="860"/>
      <c r="G180" s="911"/>
      <c r="H180" s="911"/>
      <c r="I180" s="911"/>
      <c r="J180" s="911"/>
      <c r="K180" s="914"/>
      <c r="L180" s="806">
        <f t="shared" si="39"/>
        <v>145</v>
      </c>
      <c r="M180" s="895">
        <f t="shared" si="40"/>
        <v>1000000</v>
      </c>
      <c r="N180" s="806">
        <f t="shared" si="41"/>
        <v>100</v>
      </c>
      <c r="O180" s="309"/>
      <c r="U180" s="922"/>
      <c r="V180" s="930"/>
      <c r="W180" s="309"/>
    </row>
    <row r="181" spans="2:23" ht="15" customHeight="1" x14ac:dyDescent="0.25">
      <c r="B181" s="917">
        <f t="shared" ref="B181:B188" si="48">B180+$B$34</f>
        <v>37</v>
      </c>
      <c r="C181" s="910"/>
      <c r="D181" s="911"/>
      <c r="E181" s="860"/>
      <c r="F181" s="911"/>
      <c r="G181" s="911"/>
      <c r="H181" s="911"/>
      <c r="I181" s="911"/>
      <c r="J181" s="911"/>
      <c r="K181" s="914"/>
      <c r="L181" s="806">
        <f t="shared" si="39"/>
        <v>145</v>
      </c>
      <c r="M181" s="895">
        <f t="shared" si="40"/>
        <v>1000000</v>
      </c>
      <c r="N181" s="806">
        <f t="shared" si="41"/>
        <v>100</v>
      </c>
      <c r="U181" s="922"/>
      <c r="V181" s="930"/>
      <c r="W181" s="309"/>
    </row>
    <row r="182" spans="2:23" ht="15" customHeight="1" x14ac:dyDescent="0.25">
      <c r="B182" s="917">
        <f t="shared" si="48"/>
        <v>38</v>
      </c>
      <c r="C182" s="910"/>
      <c r="D182" s="860"/>
      <c r="E182" s="911"/>
      <c r="F182" s="911"/>
      <c r="G182" s="911"/>
      <c r="H182" s="911"/>
      <c r="I182" s="911"/>
      <c r="J182" s="860">
        <f>$P$12</f>
        <v>38</v>
      </c>
      <c r="K182" s="914"/>
      <c r="L182" s="806">
        <f t="shared" si="39"/>
        <v>145</v>
      </c>
      <c r="M182" s="895">
        <f t="shared" si="40"/>
        <v>1000000</v>
      </c>
      <c r="N182" s="806">
        <f t="shared" si="41"/>
        <v>100</v>
      </c>
      <c r="O182" s="309"/>
      <c r="U182" s="902"/>
      <c r="V182" s="370"/>
      <c r="W182" s="309"/>
    </row>
    <row r="183" spans="2:23" ht="15" customHeight="1" x14ac:dyDescent="0.25">
      <c r="B183" s="917">
        <f t="shared" si="48"/>
        <v>39</v>
      </c>
      <c r="C183" s="647"/>
      <c r="D183" s="911"/>
      <c r="E183" s="911"/>
      <c r="F183" s="911"/>
      <c r="G183" s="911"/>
      <c r="H183" s="911"/>
      <c r="I183" s="911"/>
      <c r="J183" s="911"/>
      <c r="K183" s="914"/>
      <c r="L183" s="806">
        <f t="shared" si="39"/>
        <v>145</v>
      </c>
      <c r="M183" s="895">
        <f t="shared" si="40"/>
        <v>1000000</v>
      </c>
      <c r="N183" s="806">
        <f t="shared" si="41"/>
        <v>100</v>
      </c>
      <c r="O183" s="309"/>
      <c r="U183" s="922"/>
      <c r="V183" s="930"/>
      <c r="W183" s="309"/>
    </row>
    <row r="184" spans="2:23" ht="15" customHeight="1" x14ac:dyDescent="0.25">
      <c r="B184" s="917">
        <f t="shared" si="48"/>
        <v>40</v>
      </c>
      <c r="C184" s="910"/>
      <c r="D184" s="911"/>
      <c r="E184" s="911"/>
      <c r="F184" s="911"/>
      <c r="G184" s="911"/>
      <c r="H184" s="911"/>
      <c r="I184" s="911"/>
      <c r="J184" s="911"/>
      <c r="K184" s="914"/>
      <c r="L184" s="806">
        <f t="shared" si="39"/>
        <v>145</v>
      </c>
      <c r="M184" s="895">
        <f t="shared" si="40"/>
        <v>1000000</v>
      </c>
      <c r="N184" s="806">
        <f t="shared" si="41"/>
        <v>100</v>
      </c>
      <c r="O184" s="309"/>
      <c r="U184" s="922"/>
      <c r="V184" s="930"/>
      <c r="W184" s="309"/>
    </row>
    <row r="185" spans="2:23" ht="15" customHeight="1" x14ac:dyDescent="0.25">
      <c r="B185" s="917">
        <f t="shared" si="48"/>
        <v>41</v>
      </c>
      <c r="C185" s="910"/>
      <c r="D185" s="911"/>
      <c r="E185" s="911"/>
      <c r="F185" s="911"/>
      <c r="G185" s="911"/>
      <c r="H185" s="911"/>
      <c r="I185" s="860">
        <f>$P$11</f>
        <v>41</v>
      </c>
      <c r="J185" s="911"/>
      <c r="K185" s="914"/>
      <c r="L185" s="806">
        <f t="shared" si="39"/>
        <v>145</v>
      </c>
      <c r="M185" s="895">
        <f t="shared" si="40"/>
        <v>1000000</v>
      </c>
      <c r="N185" s="806">
        <f t="shared" si="41"/>
        <v>100</v>
      </c>
      <c r="O185" s="309"/>
      <c r="U185" s="922"/>
      <c r="V185" s="930"/>
      <c r="W185" s="309"/>
    </row>
    <row r="186" spans="2:23" ht="15" customHeight="1" x14ac:dyDescent="0.25">
      <c r="B186" s="917">
        <f t="shared" si="48"/>
        <v>42</v>
      </c>
      <c r="C186" s="910"/>
      <c r="D186" s="911"/>
      <c r="E186" s="911"/>
      <c r="F186" s="911"/>
      <c r="G186" s="911"/>
      <c r="H186" s="911"/>
      <c r="I186" s="911"/>
      <c r="J186" s="911"/>
      <c r="K186" s="914"/>
      <c r="L186" s="806">
        <f t="shared" si="39"/>
        <v>145</v>
      </c>
      <c r="M186" s="895">
        <f t="shared" si="40"/>
        <v>1000000</v>
      </c>
      <c r="N186" s="806">
        <f t="shared" si="41"/>
        <v>100</v>
      </c>
      <c r="O186" s="309"/>
      <c r="P186" s="885"/>
      <c r="Q186" s="806"/>
      <c r="R186" s="885"/>
      <c r="S186" s="309"/>
      <c r="T186" s="309"/>
      <c r="U186" s="309"/>
      <c r="V186" s="309"/>
      <c r="W186" s="309"/>
    </row>
    <row r="187" spans="2:23" ht="15" customHeight="1" x14ac:dyDescent="0.25">
      <c r="B187" s="917">
        <f t="shared" si="48"/>
        <v>43</v>
      </c>
      <c r="C187" s="910"/>
      <c r="D187" s="911"/>
      <c r="E187" s="860"/>
      <c r="F187" s="911"/>
      <c r="G187" s="911"/>
      <c r="H187" s="911"/>
      <c r="I187" s="911"/>
      <c r="J187" s="911"/>
      <c r="K187" s="914"/>
      <c r="L187" s="806">
        <f t="shared" si="39"/>
        <v>145</v>
      </c>
      <c r="M187" s="895">
        <f t="shared" si="40"/>
        <v>1000000</v>
      </c>
      <c r="N187" s="806">
        <f t="shared" si="41"/>
        <v>100</v>
      </c>
      <c r="O187" s="309"/>
      <c r="P187" s="885"/>
      <c r="Q187" s="806"/>
      <c r="R187" s="885"/>
      <c r="S187" s="309"/>
      <c r="T187" s="309"/>
      <c r="U187" s="309"/>
      <c r="V187" s="309"/>
      <c r="W187" s="309"/>
    </row>
    <row r="188" spans="2:23" ht="15" customHeight="1" x14ac:dyDescent="0.25">
      <c r="B188" s="917">
        <f t="shared" si="48"/>
        <v>44</v>
      </c>
      <c r="C188" s="910"/>
      <c r="D188" s="911"/>
      <c r="E188" s="911"/>
      <c r="F188" s="911"/>
      <c r="G188" s="911"/>
      <c r="H188" s="911"/>
      <c r="I188" s="911"/>
      <c r="J188" s="911"/>
      <c r="K188" s="914"/>
      <c r="L188" s="806">
        <f t="shared" si="39"/>
        <v>145</v>
      </c>
      <c r="M188" s="895">
        <f t="shared" si="40"/>
        <v>1000000</v>
      </c>
      <c r="N188" s="806">
        <f t="shared" si="41"/>
        <v>100</v>
      </c>
      <c r="O188" s="309"/>
      <c r="P188" s="885"/>
      <c r="Q188" s="806"/>
      <c r="R188" s="885"/>
      <c r="S188" s="309"/>
      <c r="T188" s="309"/>
      <c r="U188" s="309"/>
      <c r="V188" s="309"/>
      <c r="W188" s="309"/>
    </row>
    <row r="189" spans="2:23" ht="15" customHeight="1" x14ac:dyDescent="0.25">
      <c r="B189" s="674">
        <f>P22</f>
        <v>44.5</v>
      </c>
      <c r="C189" s="910"/>
      <c r="D189" s="911"/>
      <c r="E189" s="911"/>
      <c r="F189" s="911"/>
      <c r="G189" s="911"/>
      <c r="H189" s="860">
        <f>$P$10</f>
        <v>44.5</v>
      </c>
      <c r="I189" s="911"/>
      <c r="J189" s="911"/>
      <c r="K189" s="914"/>
      <c r="L189" s="806">
        <f t="shared" si="39"/>
        <v>145</v>
      </c>
      <c r="M189" s="895">
        <f t="shared" si="40"/>
        <v>1000000</v>
      </c>
      <c r="N189" s="806">
        <f t="shared" si="41"/>
        <v>100</v>
      </c>
      <c r="O189" s="309"/>
      <c r="P189" s="885"/>
      <c r="Q189" s="806"/>
      <c r="R189" s="885"/>
      <c r="S189" s="309"/>
      <c r="T189" s="309"/>
      <c r="U189" s="309"/>
      <c r="V189" s="309"/>
      <c r="W189" s="309"/>
    </row>
    <row r="190" spans="2:23" ht="15" customHeight="1" x14ac:dyDescent="0.25">
      <c r="B190" s="917">
        <f>B188+$B$34</f>
        <v>45</v>
      </c>
      <c r="C190" s="910"/>
      <c r="D190" s="911"/>
      <c r="E190" s="911"/>
      <c r="F190" s="911"/>
      <c r="G190" s="911"/>
      <c r="H190" s="911"/>
      <c r="I190" s="911"/>
      <c r="J190" s="911"/>
      <c r="K190" s="914"/>
      <c r="L190" s="806">
        <f t="shared" si="39"/>
        <v>145</v>
      </c>
      <c r="M190" s="895">
        <f t="shared" si="40"/>
        <v>1000000</v>
      </c>
      <c r="N190" s="806">
        <f t="shared" si="41"/>
        <v>100</v>
      </c>
      <c r="O190" s="309"/>
      <c r="P190" s="885"/>
      <c r="Q190" s="806"/>
      <c r="R190" s="885"/>
      <c r="S190" s="309"/>
      <c r="T190" s="309"/>
      <c r="U190" s="309"/>
      <c r="V190" s="309"/>
      <c r="W190" s="309"/>
    </row>
    <row r="191" spans="2:23" ht="15" customHeight="1" x14ac:dyDescent="0.25">
      <c r="B191" s="917">
        <f>B190+$B$34</f>
        <v>46</v>
      </c>
      <c r="C191" s="910"/>
      <c r="D191" s="911"/>
      <c r="E191" s="911"/>
      <c r="F191" s="911"/>
      <c r="G191" s="911"/>
      <c r="H191" s="911"/>
      <c r="I191" s="911"/>
      <c r="J191" s="911"/>
      <c r="K191" s="914"/>
      <c r="L191" s="806">
        <f t="shared" si="39"/>
        <v>145</v>
      </c>
      <c r="M191" s="895">
        <f t="shared" si="40"/>
        <v>1000000</v>
      </c>
      <c r="N191" s="806">
        <f t="shared" si="41"/>
        <v>100</v>
      </c>
      <c r="O191" s="309"/>
      <c r="P191" s="885"/>
      <c r="Q191" s="806"/>
      <c r="R191" s="885"/>
      <c r="S191" s="309"/>
      <c r="T191" s="309"/>
      <c r="U191" s="309"/>
      <c r="V191" s="309"/>
      <c r="W191" s="309"/>
    </row>
    <row r="192" spans="2:23" ht="15" customHeight="1" x14ac:dyDescent="0.25">
      <c r="B192" s="917">
        <f>B191+$B$34</f>
        <v>47</v>
      </c>
      <c r="C192" s="910"/>
      <c r="D192" s="911"/>
      <c r="E192" s="911"/>
      <c r="F192" s="911"/>
      <c r="G192" s="860">
        <f>$P$9</f>
        <v>47</v>
      </c>
      <c r="H192" s="911"/>
      <c r="I192" s="911"/>
      <c r="J192" s="911"/>
      <c r="K192" s="914"/>
      <c r="L192" s="806">
        <f t="shared" si="39"/>
        <v>145</v>
      </c>
      <c r="M192" s="895">
        <f t="shared" si="40"/>
        <v>1000000</v>
      </c>
      <c r="N192" s="806">
        <f t="shared" si="41"/>
        <v>100</v>
      </c>
      <c r="O192" s="309"/>
      <c r="P192" s="885"/>
      <c r="Q192" s="806"/>
      <c r="R192" s="885"/>
      <c r="S192" s="309"/>
      <c r="T192" s="309"/>
      <c r="U192" s="309"/>
      <c r="V192" s="309"/>
      <c r="W192" s="309"/>
    </row>
    <row r="193" spans="2:23" ht="15" customHeight="1" x14ac:dyDescent="0.25">
      <c r="B193" s="917">
        <f>B192+$B$34</f>
        <v>48</v>
      </c>
      <c r="C193" s="910"/>
      <c r="D193" s="911"/>
      <c r="E193" s="911"/>
      <c r="F193" s="860">
        <f>$P$8</f>
        <v>48</v>
      </c>
      <c r="G193" s="911"/>
      <c r="H193" s="911"/>
      <c r="I193" s="911"/>
      <c r="J193" s="911"/>
      <c r="K193" s="914"/>
      <c r="L193" s="806">
        <f t="shared" si="39"/>
        <v>145</v>
      </c>
      <c r="M193" s="895">
        <f t="shared" si="40"/>
        <v>1000000</v>
      </c>
      <c r="N193" s="806">
        <f t="shared" si="41"/>
        <v>100</v>
      </c>
      <c r="P193" s="885"/>
      <c r="Q193" s="806"/>
      <c r="R193" s="885"/>
      <c r="S193" s="309"/>
      <c r="T193" s="309"/>
      <c r="U193" s="309"/>
      <c r="V193" s="309"/>
      <c r="W193" s="309"/>
    </row>
    <row r="194" spans="2:23" ht="15" customHeight="1" x14ac:dyDescent="0.25">
      <c r="B194" s="917">
        <f>B193+$B$34</f>
        <v>49</v>
      </c>
      <c r="C194" s="910"/>
      <c r="D194" s="911"/>
      <c r="E194" s="860"/>
      <c r="F194" s="911"/>
      <c r="G194" s="911"/>
      <c r="H194" s="911"/>
      <c r="I194" s="911"/>
      <c r="J194" s="911"/>
      <c r="K194" s="914"/>
      <c r="L194" s="806">
        <f t="shared" si="39"/>
        <v>145</v>
      </c>
      <c r="M194" s="895">
        <f t="shared" si="40"/>
        <v>1000000</v>
      </c>
      <c r="N194" s="806">
        <f t="shared" si="41"/>
        <v>100</v>
      </c>
      <c r="P194" s="885"/>
      <c r="Q194" s="806"/>
      <c r="R194" s="885"/>
      <c r="S194" s="309"/>
      <c r="T194" s="309"/>
      <c r="U194" s="309"/>
      <c r="V194" s="309"/>
      <c r="W194" s="309"/>
    </row>
    <row r="195" spans="2:23" ht="15" customHeight="1" x14ac:dyDescent="0.25">
      <c r="B195" s="674">
        <f>P19</f>
        <v>49.9</v>
      </c>
      <c r="C195" s="910"/>
      <c r="D195" s="911"/>
      <c r="E195" s="860">
        <f>$P$7</f>
        <v>49.9</v>
      </c>
      <c r="F195" s="911"/>
      <c r="G195" s="911"/>
      <c r="H195" s="911"/>
      <c r="I195" s="911"/>
      <c r="J195" s="911"/>
      <c r="K195" s="914"/>
      <c r="L195" s="806">
        <f t="shared" si="39"/>
        <v>145</v>
      </c>
      <c r="M195" s="895">
        <f t="shared" si="40"/>
        <v>1000000</v>
      </c>
      <c r="N195" s="806">
        <f t="shared" si="41"/>
        <v>100</v>
      </c>
      <c r="O195" s="309"/>
      <c r="P195" s="885"/>
      <c r="Q195" s="806"/>
      <c r="R195" s="885"/>
      <c r="S195" s="309"/>
      <c r="T195" s="309"/>
      <c r="U195" s="309"/>
      <c r="V195" s="309"/>
      <c r="W195" s="309"/>
    </row>
    <row r="196" spans="2:23" ht="15" customHeight="1" x14ac:dyDescent="0.25">
      <c r="B196" s="917">
        <f>B194+$B$34</f>
        <v>50</v>
      </c>
      <c r="C196" s="910"/>
      <c r="D196" s="860"/>
      <c r="E196" s="911"/>
      <c r="F196" s="911"/>
      <c r="G196" s="911"/>
      <c r="H196" s="911"/>
      <c r="I196" s="911"/>
      <c r="J196" s="911"/>
      <c r="K196" s="914"/>
      <c r="L196" s="806">
        <f t="shared" si="39"/>
        <v>145</v>
      </c>
      <c r="M196" s="895">
        <f t="shared" si="40"/>
        <v>1000000</v>
      </c>
      <c r="N196" s="806">
        <f t="shared" si="41"/>
        <v>100</v>
      </c>
      <c r="O196" s="309"/>
      <c r="P196" s="885"/>
      <c r="Q196" s="806"/>
      <c r="R196" s="885"/>
      <c r="S196" s="309"/>
      <c r="T196" s="309"/>
      <c r="U196" s="309"/>
      <c r="V196" s="309"/>
      <c r="W196" s="309"/>
    </row>
    <row r="197" spans="2:23" ht="15" customHeight="1" x14ac:dyDescent="0.25">
      <c r="B197" s="917">
        <f t="shared" ref="B197:B206" si="49">B196+$B$34</f>
        <v>51</v>
      </c>
      <c r="C197" s="910"/>
      <c r="D197" s="860">
        <f>$P$6</f>
        <v>50.1</v>
      </c>
      <c r="E197" s="860"/>
      <c r="F197" s="911"/>
      <c r="G197" s="911"/>
      <c r="H197" s="911"/>
      <c r="I197" s="911"/>
      <c r="J197" s="911"/>
      <c r="K197" s="914"/>
      <c r="L197" s="806">
        <f t="shared" si="39"/>
        <v>145</v>
      </c>
      <c r="M197" s="895">
        <f t="shared" si="40"/>
        <v>1000000</v>
      </c>
      <c r="N197" s="806">
        <f t="shared" si="41"/>
        <v>100</v>
      </c>
      <c r="O197" s="309"/>
      <c r="P197" s="885"/>
      <c r="Q197" s="806"/>
      <c r="R197" s="885"/>
      <c r="S197" s="309"/>
      <c r="T197" s="309"/>
      <c r="U197" s="309"/>
      <c r="V197" s="309"/>
      <c r="W197" s="309"/>
    </row>
    <row r="198" spans="2:23" ht="15" customHeight="1" x14ac:dyDescent="0.25">
      <c r="B198" s="917">
        <f t="shared" si="49"/>
        <v>52</v>
      </c>
      <c r="C198" s="647">
        <f>$P$5</f>
        <v>52</v>
      </c>
      <c r="D198" s="911"/>
      <c r="E198" s="860"/>
      <c r="F198" s="911"/>
      <c r="G198" s="911"/>
      <c r="H198" s="911"/>
      <c r="I198" s="911"/>
      <c r="J198" s="911"/>
      <c r="K198" s="914"/>
      <c r="L198" s="806">
        <f t="shared" si="39"/>
        <v>145</v>
      </c>
      <c r="M198" s="895">
        <f t="shared" si="40"/>
        <v>1000000</v>
      </c>
      <c r="N198" s="806">
        <f t="shared" si="41"/>
        <v>100</v>
      </c>
      <c r="O198" s="309"/>
      <c r="P198" s="885"/>
      <c r="Q198" s="806"/>
      <c r="R198" s="885"/>
      <c r="S198" s="309"/>
      <c r="T198" s="309"/>
      <c r="U198" s="309"/>
      <c r="V198" s="309"/>
      <c r="W198" s="309"/>
    </row>
    <row r="199" spans="2:23" ht="15" customHeight="1" x14ac:dyDescent="0.25">
      <c r="B199" s="917">
        <f t="shared" si="49"/>
        <v>53</v>
      </c>
      <c r="C199" s="910"/>
      <c r="D199" s="911"/>
      <c r="E199" s="911"/>
      <c r="F199" s="911"/>
      <c r="G199" s="911"/>
      <c r="H199" s="911"/>
      <c r="I199" s="911"/>
      <c r="J199" s="911"/>
      <c r="K199" s="914"/>
      <c r="L199" s="806">
        <f t="shared" si="39"/>
        <v>145</v>
      </c>
      <c r="M199" s="895">
        <f t="shared" si="40"/>
        <v>1000000</v>
      </c>
      <c r="N199" s="806">
        <f t="shared" si="41"/>
        <v>100</v>
      </c>
      <c r="O199" s="309"/>
      <c r="P199" s="885"/>
      <c r="Q199" s="806"/>
      <c r="R199" s="885"/>
      <c r="S199" s="309"/>
      <c r="T199" s="309"/>
      <c r="U199" s="309"/>
      <c r="V199" s="309"/>
      <c r="W199" s="309"/>
    </row>
    <row r="200" spans="2:23" ht="15" customHeight="1" x14ac:dyDescent="0.25">
      <c r="B200" s="917">
        <f t="shared" si="49"/>
        <v>54</v>
      </c>
      <c r="C200" s="910"/>
      <c r="D200" s="911"/>
      <c r="E200" s="911"/>
      <c r="F200" s="911"/>
      <c r="G200" s="911"/>
      <c r="H200" s="911"/>
      <c r="I200" s="911"/>
      <c r="J200" s="911"/>
      <c r="K200" s="914"/>
      <c r="L200" s="806">
        <f t="shared" si="39"/>
        <v>145</v>
      </c>
      <c r="M200" s="895">
        <f t="shared" si="40"/>
        <v>1000000</v>
      </c>
      <c r="N200" s="806">
        <f t="shared" si="41"/>
        <v>100</v>
      </c>
      <c r="O200" s="309"/>
      <c r="P200" s="885"/>
      <c r="Q200" s="806"/>
      <c r="R200" s="885"/>
      <c r="S200" s="309"/>
      <c r="T200" s="309"/>
    </row>
    <row r="201" spans="2:23" ht="15" customHeight="1" x14ac:dyDescent="0.25">
      <c r="B201" s="917">
        <f t="shared" si="49"/>
        <v>55</v>
      </c>
      <c r="C201" s="910"/>
      <c r="D201" s="911"/>
      <c r="E201" s="911"/>
      <c r="F201" s="911"/>
      <c r="G201" s="911"/>
      <c r="H201" s="911"/>
      <c r="I201" s="911"/>
      <c r="J201" s="911"/>
      <c r="K201" s="914"/>
      <c r="L201" s="806">
        <f t="shared" si="39"/>
        <v>145</v>
      </c>
      <c r="M201" s="895">
        <f t="shared" si="40"/>
        <v>1000000</v>
      </c>
      <c r="N201" s="806">
        <f t="shared" si="41"/>
        <v>100</v>
      </c>
      <c r="O201" s="309"/>
      <c r="P201" s="885"/>
      <c r="Q201" s="806"/>
      <c r="R201" s="885"/>
      <c r="S201" s="309"/>
      <c r="T201" s="309"/>
    </row>
    <row r="202" spans="2:23" ht="15" customHeight="1" x14ac:dyDescent="0.25">
      <c r="B202" s="917">
        <f t="shared" si="49"/>
        <v>56</v>
      </c>
      <c r="C202" s="910"/>
      <c r="D202" s="911"/>
      <c r="E202" s="911"/>
      <c r="F202" s="911"/>
      <c r="G202" s="911"/>
      <c r="H202" s="911"/>
      <c r="I202" s="911"/>
      <c r="J202" s="911"/>
      <c r="K202" s="914"/>
      <c r="L202" s="806">
        <f t="shared" si="39"/>
        <v>145</v>
      </c>
      <c r="M202" s="895">
        <f t="shared" si="40"/>
        <v>1000000</v>
      </c>
      <c r="N202" s="806">
        <f t="shared" si="41"/>
        <v>100</v>
      </c>
      <c r="O202" s="309"/>
      <c r="P202" s="885"/>
      <c r="Q202" s="806"/>
      <c r="R202" s="885"/>
      <c r="S202" s="309"/>
      <c r="T202" s="309"/>
    </row>
    <row r="203" spans="2:23" ht="15" customHeight="1" x14ac:dyDescent="0.25">
      <c r="B203" s="917">
        <f t="shared" si="49"/>
        <v>57</v>
      </c>
      <c r="C203" s="647"/>
      <c r="D203" s="911"/>
      <c r="E203" s="911"/>
      <c r="F203" s="911"/>
      <c r="G203" s="911"/>
      <c r="H203" s="911"/>
      <c r="I203" s="911"/>
      <c r="J203" s="911"/>
      <c r="K203" s="914"/>
      <c r="L203" s="806">
        <f t="shared" si="39"/>
        <v>145</v>
      </c>
      <c r="M203" s="895">
        <f t="shared" si="40"/>
        <v>1000000</v>
      </c>
      <c r="N203" s="806">
        <f t="shared" si="41"/>
        <v>100</v>
      </c>
      <c r="O203" s="309"/>
      <c r="P203" s="885"/>
      <c r="Q203" s="309"/>
      <c r="R203" s="309"/>
      <c r="S203" s="309"/>
      <c r="T203" s="309"/>
    </row>
    <row r="204" spans="2:23" ht="15" customHeight="1" x14ac:dyDescent="0.25">
      <c r="B204" s="917">
        <f t="shared" si="49"/>
        <v>58</v>
      </c>
      <c r="C204" s="910"/>
      <c r="D204" s="911"/>
      <c r="E204" s="911"/>
      <c r="F204" s="911"/>
      <c r="G204" s="911"/>
      <c r="H204" s="911"/>
      <c r="I204" s="911"/>
      <c r="J204" s="911"/>
      <c r="K204" s="914"/>
      <c r="L204" s="806">
        <f t="shared" si="39"/>
        <v>145</v>
      </c>
      <c r="M204" s="895">
        <f t="shared" si="40"/>
        <v>1000000</v>
      </c>
      <c r="N204" s="806">
        <f t="shared" si="41"/>
        <v>100</v>
      </c>
      <c r="O204" s="309"/>
      <c r="P204" s="885"/>
      <c r="Q204" s="309"/>
      <c r="R204" s="309"/>
      <c r="S204" s="309"/>
      <c r="T204" s="309"/>
    </row>
    <row r="205" spans="2:23" ht="15" customHeight="1" x14ac:dyDescent="0.25">
      <c r="B205" s="917">
        <f t="shared" si="49"/>
        <v>59</v>
      </c>
      <c r="C205" s="910"/>
      <c r="D205" s="911"/>
      <c r="E205" s="911"/>
      <c r="F205" s="911"/>
      <c r="G205" s="911"/>
      <c r="H205" s="911"/>
      <c r="I205" s="911"/>
      <c r="J205" s="911"/>
      <c r="K205" s="914"/>
      <c r="L205" s="806">
        <f t="shared" si="39"/>
        <v>145</v>
      </c>
      <c r="M205" s="895">
        <f t="shared" si="40"/>
        <v>1000000</v>
      </c>
      <c r="N205" s="806">
        <f t="shared" si="41"/>
        <v>100</v>
      </c>
      <c r="O205" s="309"/>
      <c r="P205" s="885"/>
      <c r="Q205" s="309"/>
      <c r="R205" s="309"/>
      <c r="S205" s="309"/>
      <c r="T205" s="309"/>
    </row>
    <row r="206" spans="2:23" ht="15" customHeight="1" x14ac:dyDescent="0.25">
      <c r="B206" s="723">
        <f t="shared" si="49"/>
        <v>60</v>
      </c>
      <c r="C206" s="931"/>
      <c r="D206" s="932"/>
      <c r="E206" s="932"/>
      <c r="F206" s="932"/>
      <c r="G206" s="932"/>
      <c r="H206" s="932"/>
      <c r="I206" s="932"/>
      <c r="J206" s="932"/>
      <c r="K206" s="933"/>
      <c r="L206" s="806">
        <f t="shared" si="39"/>
        <v>145</v>
      </c>
      <c r="M206" s="895">
        <f t="shared" si="40"/>
        <v>1000000</v>
      </c>
      <c r="N206" s="806">
        <f t="shared" si="41"/>
        <v>100</v>
      </c>
      <c r="O206" s="309"/>
      <c r="P206" s="885"/>
      <c r="Q206" s="309"/>
      <c r="R206" s="309"/>
      <c r="S206" s="309"/>
      <c r="T206" s="309"/>
    </row>
    <row r="207" spans="2:23" ht="15" customHeight="1" x14ac:dyDescent="0.25">
      <c r="L207" s="309"/>
      <c r="M207" s="309"/>
      <c r="N207" s="309"/>
      <c r="O207" s="309"/>
      <c r="P207" s="885"/>
      <c r="Q207" s="309"/>
      <c r="R207" s="309"/>
      <c r="S207" s="309"/>
      <c r="T207" s="309"/>
    </row>
    <row r="208" spans="2:23" ht="15" customHeight="1" x14ac:dyDescent="0.25">
      <c r="L208" s="309"/>
      <c r="M208" s="309"/>
      <c r="N208" s="309"/>
      <c r="O208" s="309"/>
      <c r="P208" s="885"/>
      <c r="Q208" s="309"/>
      <c r="R208" s="309"/>
      <c r="S208" s="309"/>
      <c r="T208" s="309"/>
    </row>
    <row r="209" spans="1:20" ht="15" customHeight="1" x14ac:dyDescent="0.25">
      <c r="L209" s="309"/>
      <c r="M209" s="309"/>
      <c r="N209" s="309"/>
      <c r="O209" s="309"/>
      <c r="P209" s="885"/>
      <c r="Q209" s="309"/>
      <c r="R209" s="309"/>
      <c r="S209" s="309"/>
      <c r="T209" s="309"/>
    </row>
    <row r="210" spans="1:20" ht="15" customHeight="1" x14ac:dyDescent="0.25">
      <c r="L210" s="309"/>
      <c r="M210" s="309"/>
      <c r="N210" s="309"/>
      <c r="O210" s="309"/>
      <c r="P210" s="885"/>
      <c r="Q210" s="309"/>
      <c r="R210" s="309"/>
      <c r="S210" s="309"/>
      <c r="T210" s="309"/>
    </row>
    <row r="211" spans="1:20" ht="15" customHeight="1" x14ac:dyDescent="0.25">
      <c r="L211" s="309"/>
      <c r="M211" s="309"/>
      <c r="N211" s="309"/>
      <c r="O211" s="309"/>
      <c r="P211" s="885"/>
      <c r="Q211" s="309"/>
      <c r="R211" s="309"/>
      <c r="S211" s="309"/>
      <c r="T211" s="309"/>
    </row>
    <row r="212" spans="1:20" ht="15" customHeight="1" x14ac:dyDescent="0.25">
      <c r="L212" s="309"/>
      <c r="M212" s="309"/>
      <c r="N212" s="309"/>
      <c r="O212" s="309"/>
      <c r="P212" s="885"/>
      <c r="Q212" s="309"/>
      <c r="R212" s="309"/>
      <c r="S212" s="309"/>
      <c r="T212" s="309"/>
    </row>
    <row r="213" spans="1:20" ht="15" customHeight="1" x14ac:dyDescent="0.25">
      <c r="L213" s="309"/>
      <c r="M213" s="309"/>
      <c r="N213" s="309"/>
      <c r="O213" s="309"/>
      <c r="P213" s="885"/>
      <c r="Q213" s="309"/>
      <c r="R213" s="309"/>
      <c r="S213" s="309"/>
      <c r="T213" s="309"/>
    </row>
    <row r="214" spans="1:20" ht="15" customHeight="1" x14ac:dyDescent="0.25">
      <c r="L214" s="309"/>
      <c r="M214" s="309"/>
      <c r="N214" s="309"/>
      <c r="O214" s="309"/>
      <c r="P214" s="885"/>
      <c r="Q214" s="309"/>
      <c r="R214" s="309"/>
      <c r="S214" s="309"/>
      <c r="T214" s="309"/>
    </row>
    <row r="215" spans="1:20" ht="15" customHeight="1" x14ac:dyDescent="0.25">
      <c r="A215" s="640"/>
      <c r="B215" s="309"/>
      <c r="C215" s="309"/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309"/>
      <c r="P215" s="885"/>
      <c r="Q215" s="309"/>
      <c r="R215" s="309"/>
      <c r="S215" s="309"/>
      <c r="T215" s="309"/>
    </row>
    <row r="216" spans="1:20" ht="15" customHeight="1" x14ac:dyDescent="0.25">
      <c r="A216" s="640"/>
      <c r="B216" s="309"/>
      <c r="C216" s="309"/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/>
      <c r="P216" s="885"/>
      <c r="Q216" s="309"/>
      <c r="R216" s="309"/>
      <c r="S216" s="309"/>
      <c r="T216" s="309"/>
    </row>
    <row r="217" spans="1:20" ht="15" customHeight="1" x14ac:dyDescent="0.25">
      <c r="A217" s="640"/>
      <c r="B217" s="309"/>
      <c r="C217" s="309"/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885"/>
      <c r="Q217" s="309"/>
      <c r="R217" s="309"/>
      <c r="S217" s="309"/>
      <c r="T217" s="309"/>
    </row>
    <row r="218" spans="1:20" ht="15" customHeight="1" x14ac:dyDescent="0.25">
      <c r="A218" s="640"/>
      <c r="B218" s="309"/>
      <c r="C218" s="309"/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885"/>
      <c r="Q218" s="309"/>
      <c r="R218" s="309"/>
      <c r="S218" s="309"/>
      <c r="T218" s="309"/>
    </row>
    <row r="219" spans="1:20" ht="15" customHeight="1" x14ac:dyDescent="0.25">
      <c r="A219" s="640"/>
      <c r="B219" s="309"/>
      <c r="C219" s="309"/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885"/>
      <c r="Q219" s="309"/>
      <c r="R219" s="309"/>
      <c r="S219" s="309"/>
      <c r="T219" s="309"/>
    </row>
    <row r="220" spans="1:20" ht="15" customHeight="1" x14ac:dyDescent="0.25">
      <c r="A220" s="640"/>
      <c r="B220" s="309"/>
      <c r="C220" s="309"/>
      <c r="D220" s="309"/>
      <c r="E220" s="309"/>
      <c r="F220" s="652"/>
      <c r="G220" s="309"/>
      <c r="H220" s="309"/>
      <c r="I220" s="309"/>
      <c r="J220" s="309"/>
      <c r="K220" s="309"/>
      <c r="L220" s="309"/>
      <c r="M220" s="309"/>
      <c r="N220" s="309"/>
      <c r="O220" s="309"/>
      <c r="P220" s="885"/>
      <c r="Q220" s="309"/>
      <c r="R220" s="309"/>
      <c r="S220" s="309"/>
      <c r="T220" s="309"/>
    </row>
    <row r="221" spans="1:20" ht="15" customHeight="1" x14ac:dyDescent="0.25">
      <c r="A221" s="640"/>
      <c r="B221" s="309"/>
      <c r="C221" s="309"/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885"/>
      <c r="Q221" s="309"/>
      <c r="R221" s="309"/>
      <c r="S221" s="309"/>
      <c r="T221" s="309"/>
    </row>
    <row r="222" spans="1:20" ht="15" customHeight="1" x14ac:dyDescent="0.25">
      <c r="A222" s="640"/>
      <c r="B222" s="309"/>
      <c r="C222" s="309"/>
      <c r="D222" s="309"/>
      <c r="E222" s="652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885"/>
      <c r="Q222" s="309"/>
      <c r="R222" s="309"/>
      <c r="S222" s="309"/>
      <c r="T222" s="309"/>
    </row>
    <row r="223" spans="1:20" ht="15" customHeight="1" x14ac:dyDescent="0.25">
      <c r="A223" s="640"/>
      <c r="B223" s="309"/>
      <c r="C223" s="652"/>
      <c r="D223" s="652"/>
      <c r="E223" s="317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885"/>
      <c r="Q223" s="309"/>
      <c r="R223" s="309"/>
      <c r="S223" s="309"/>
      <c r="T223" s="309"/>
    </row>
    <row r="224" spans="1:20" ht="15" customHeight="1" x14ac:dyDescent="0.25">
      <c r="A224" s="640"/>
      <c r="B224" s="309"/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309"/>
      <c r="P224" s="885"/>
      <c r="Q224" s="309"/>
      <c r="R224" s="309"/>
      <c r="S224" s="309"/>
      <c r="T224" s="309"/>
    </row>
    <row r="225" spans="1:20" ht="15" customHeight="1" x14ac:dyDescent="0.25">
      <c r="A225" s="640"/>
      <c r="B225" s="652"/>
      <c r="C225" s="309"/>
      <c r="D225" s="309"/>
      <c r="E225" s="309"/>
      <c r="F225" s="309"/>
      <c r="G225" s="309"/>
      <c r="H225" s="309"/>
      <c r="I225" s="309"/>
      <c r="J225" s="309"/>
      <c r="K225" s="309"/>
      <c r="L225" s="309"/>
      <c r="M225" s="309"/>
      <c r="N225" s="309"/>
      <c r="O225" s="309"/>
      <c r="P225" s="885"/>
      <c r="Q225" s="309"/>
      <c r="R225" s="309"/>
      <c r="S225" s="309"/>
      <c r="T225" s="309"/>
    </row>
    <row r="226" spans="1:20" ht="15" customHeight="1" x14ac:dyDescent="0.25">
      <c r="A226" s="640"/>
      <c r="B226" s="309"/>
      <c r="C226" s="309"/>
      <c r="D226" s="309"/>
      <c r="E226" s="309"/>
      <c r="F226" s="309"/>
      <c r="G226" s="309"/>
      <c r="H226" s="309"/>
      <c r="I226" s="309"/>
      <c r="J226" s="309"/>
      <c r="K226" s="309"/>
      <c r="L226" s="309"/>
      <c r="M226" s="309"/>
      <c r="N226" s="309"/>
      <c r="O226" s="309"/>
      <c r="P226" s="885"/>
      <c r="Q226" s="309"/>
      <c r="R226" s="309"/>
      <c r="S226" s="309"/>
      <c r="T226" s="309"/>
    </row>
    <row r="227" spans="1:20" ht="15" customHeight="1" x14ac:dyDescent="0.25">
      <c r="A227" s="640"/>
      <c r="B227" s="309"/>
      <c r="C227" s="309"/>
      <c r="D227" s="309"/>
      <c r="E227" s="309"/>
      <c r="F227" s="309"/>
      <c r="G227" s="309"/>
      <c r="H227" s="309"/>
      <c r="I227" s="309"/>
      <c r="J227" s="309"/>
      <c r="K227" s="309"/>
      <c r="L227" s="309"/>
      <c r="M227" s="309"/>
      <c r="N227" s="309"/>
      <c r="O227" s="309"/>
      <c r="P227" s="885"/>
      <c r="Q227" s="309"/>
      <c r="R227" s="309"/>
      <c r="S227" s="309"/>
      <c r="T227" s="309"/>
    </row>
    <row r="228" spans="1:20" ht="15" customHeight="1" x14ac:dyDescent="0.25">
      <c r="A228" s="640"/>
      <c r="B228" s="309"/>
      <c r="C228" s="309"/>
      <c r="D228" s="309"/>
      <c r="E228" s="309"/>
      <c r="F228" s="309"/>
      <c r="G228" s="309"/>
      <c r="H228" s="309"/>
      <c r="I228" s="309"/>
      <c r="J228" s="309"/>
      <c r="K228" s="309"/>
      <c r="L228" s="309"/>
      <c r="M228" s="309"/>
      <c r="N228" s="309"/>
      <c r="O228" s="309"/>
      <c r="P228" s="885"/>
      <c r="Q228" s="309"/>
      <c r="R228" s="309"/>
      <c r="S228" s="309"/>
      <c r="T228" s="309"/>
    </row>
    <row r="229" spans="1:20" ht="15" customHeight="1" x14ac:dyDescent="0.25">
      <c r="A229" s="640"/>
      <c r="B229" s="309"/>
      <c r="C229" s="309"/>
      <c r="D229" s="309"/>
      <c r="E229" s="309"/>
      <c r="F229" s="309"/>
      <c r="G229" s="309"/>
      <c r="H229" s="309"/>
      <c r="I229" s="309"/>
      <c r="J229" s="309"/>
      <c r="K229" s="309"/>
      <c r="L229" s="309"/>
      <c r="M229" s="309"/>
      <c r="N229" s="309"/>
      <c r="O229" s="309"/>
      <c r="P229" s="885"/>
      <c r="Q229" s="309"/>
      <c r="R229" s="309"/>
      <c r="S229" s="309"/>
      <c r="T229" s="309"/>
    </row>
    <row r="230" spans="1:20" ht="15" customHeight="1" x14ac:dyDescent="0.25">
      <c r="A230" s="640"/>
      <c r="B230" s="309"/>
      <c r="C230" s="309"/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09"/>
      <c r="O230" s="309"/>
      <c r="P230" s="885"/>
      <c r="Q230" s="309"/>
      <c r="R230" s="309"/>
      <c r="S230" s="309"/>
      <c r="T230" s="309"/>
    </row>
    <row r="231" spans="1:20" ht="15" customHeight="1" x14ac:dyDescent="0.25">
      <c r="A231" s="640"/>
      <c r="B231" s="309"/>
      <c r="C231" s="309"/>
      <c r="D231" s="309"/>
      <c r="E231" s="309"/>
      <c r="F231" s="309"/>
      <c r="G231" s="309"/>
      <c r="H231" s="309"/>
      <c r="I231" s="309"/>
      <c r="J231" s="309"/>
      <c r="K231" s="309"/>
      <c r="L231" s="309"/>
      <c r="M231" s="309"/>
      <c r="N231" s="309"/>
      <c r="O231" s="309"/>
      <c r="P231" s="885"/>
      <c r="Q231" s="309"/>
      <c r="R231" s="309"/>
      <c r="S231" s="309"/>
      <c r="T231" s="309"/>
    </row>
    <row r="232" spans="1:20" ht="15" customHeight="1" x14ac:dyDescent="0.25">
      <c r="A232" s="640"/>
      <c r="B232" s="309"/>
      <c r="C232" s="309"/>
      <c r="D232" s="309"/>
      <c r="E232" s="309"/>
      <c r="F232" s="309"/>
      <c r="G232" s="309"/>
      <c r="H232" s="309"/>
      <c r="I232" s="309"/>
      <c r="J232" s="309"/>
      <c r="K232" s="309"/>
      <c r="L232" s="309"/>
      <c r="M232" s="309"/>
      <c r="N232" s="309"/>
      <c r="O232" s="309"/>
      <c r="P232" s="885"/>
      <c r="Q232" s="309"/>
      <c r="R232" s="309"/>
      <c r="S232" s="309"/>
      <c r="T232" s="309"/>
    </row>
    <row r="233" spans="1:20" ht="15" customHeight="1" x14ac:dyDescent="0.25">
      <c r="A233" s="640"/>
      <c r="B233" s="309"/>
      <c r="C233" s="309"/>
      <c r="D233" s="309"/>
      <c r="E233" s="309"/>
      <c r="F233" s="652"/>
      <c r="G233" s="309"/>
      <c r="H233" s="309"/>
      <c r="I233" s="309"/>
      <c r="J233" s="309"/>
      <c r="K233" s="309"/>
      <c r="L233" s="309"/>
      <c r="M233" s="309"/>
      <c r="N233" s="309"/>
      <c r="O233" s="309"/>
      <c r="P233" s="885"/>
      <c r="Q233" s="309"/>
      <c r="R233" s="309"/>
      <c r="S233" s="309"/>
      <c r="T233" s="309"/>
    </row>
    <row r="234" spans="1:20" ht="15" customHeight="1" x14ac:dyDescent="0.25">
      <c r="A234" s="640"/>
      <c r="B234" s="309"/>
      <c r="C234" s="309"/>
      <c r="D234" s="309"/>
      <c r="E234" s="652"/>
      <c r="F234" s="309"/>
      <c r="G234" s="309"/>
      <c r="H234" s="309"/>
      <c r="I234" s="309"/>
      <c r="J234" s="309"/>
      <c r="K234" s="309"/>
      <c r="L234" s="309"/>
      <c r="M234" s="309"/>
      <c r="N234" s="309"/>
      <c r="O234" s="309"/>
      <c r="P234" s="885"/>
      <c r="Q234" s="309"/>
      <c r="R234" s="309"/>
      <c r="S234" s="309"/>
      <c r="T234" s="309"/>
    </row>
    <row r="235" spans="1:20" ht="15" customHeight="1" x14ac:dyDescent="0.25">
      <c r="A235" s="640"/>
      <c r="B235" s="309"/>
      <c r="C235" s="309"/>
      <c r="D235" s="652"/>
      <c r="E235" s="309"/>
      <c r="F235" s="309"/>
      <c r="G235" s="309"/>
      <c r="H235" s="309"/>
      <c r="I235" s="309"/>
      <c r="J235" s="309"/>
      <c r="K235" s="309"/>
      <c r="L235" s="309"/>
      <c r="M235" s="309"/>
      <c r="N235" s="309"/>
      <c r="O235" s="309"/>
      <c r="P235" s="885"/>
      <c r="Q235" s="309"/>
      <c r="R235" s="309"/>
      <c r="S235" s="309"/>
      <c r="T235" s="309"/>
    </row>
    <row r="236" spans="1:20" ht="15" customHeight="1" x14ac:dyDescent="0.25">
      <c r="A236" s="640"/>
      <c r="B236" s="309"/>
      <c r="C236" s="652"/>
      <c r="D236" s="309"/>
      <c r="E236" s="309"/>
      <c r="F236" s="309"/>
      <c r="G236" s="309"/>
      <c r="H236" s="309"/>
      <c r="I236" s="309"/>
      <c r="J236" s="309"/>
      <c r="K236" s="309"/>
      <c r="L236" s="309"/>
      <c r="M236" s="309"/>
      <c r="N236" s="309"/>
      <c r="O236" s="309"/>
      <c r="P236" s="885"/>
      <c r="Q236" s="309"/>
      <c r="R236" s="309"/>
      <c r="S236" s="309"/>
      <c r="T236" s="309"/>
    </row>
    <row r="237" spans="1:20" ht="15" customHeight="1" x14ac:dyDescent="0.25">
      <c r="A237" s="640"/>
      <c r="B237" s="309"/>
      <c r="C237" s="309"/>
      <c r="D237" s="309"/>
      <c r="E237" s="309"/>
      <c r="F237" s="309"/>
      <c r="G237" s="309"/>
      <c r="H237" s="309"/>
      <c r="I237" s="309"/>
      <c r="J237" s="309"/>
      <c r="K237" s="309"/>
      <c r="L237" s="309"/>
      <c r="M237" s="309"/>
      <c r="N237" s="309"/>
      <c r="O237" s="309"/>
      <c r="P237" s="885"/>
      <c r="Q237" s="309"/>
      <c r="R237" s="309"/>
      <c r="S237" s="309"/>
      <c r="T237" s="309"/>
    </row>
    <row r="238" spans="1:20" ht="15" customHeight="1" x14ac:dyDescent="0.25">
      <c r="A238" s="640"/>
      <c r="B238" s="652"/>
      <c r="C238" s="309"/>
      <c r="D238" s="309"/>
      <c r="E238" s="309"/>
      <c r="F238" s="309"/>
      <c r="G238" s="309"/>
      <c r="H238" s="309"/>
      <c r="I238" s="309"/>
      <c r="J238" s="309"/>
      <c r="K238" s="309"/>
      <c r="L238" s="309"/>
      <c r="M238" s="309"/>
      <c r="N238" s="309"/>
      <c r="O238" s="309"/>
      <c r="P238" s="885"/>
      <c r="Q238" s="309"/>
      <c r="R238" s="309"/>
      <c r="S238" s="309"/>
      <c r="T238" s="309"/>
    </row>
    <row r="239" spans="1:20" ht="15" customHeight="1" x14ac:dyDescent="0.25">
      <c r="A239" s="640"/>
      <c r="B239" s="309"/>
      <c r="C239" s="309"/>
      <c r="D239" s="309"/>
      <c r="E239" s="309"/>
      <c r="F239" s="309"/>
      <c r="G239" s="309"/>
      <c r="H239" s="309"/>
      <c r="I239" s="309"/>
      <c r="J239" s="309"/>
      <c r="K239" s="309"/>
      <c r="L239" s="309"/>
      <c r="M239" s="309"/>
      <c r="N239" s="309"/>
      <c r="O239" s="309"/>
      <c r="P239" s="885"/>
      <c r="Q239" s="309"/>
      <c r="R239" s="309"/>
      <c r="S239" s="309"/>
      <c r="T239" s="309"/>
    </row>
    <row r="240" spans="1:20" ht="15" customHeight="1" x14ac:dyDescent="0.25">
      <c r="A240" s="640"/>
      <c r="B240" s="309"/>
      <c r="C240" s="309"/>
      <c r="D240" s="309"/>
      <c r="E240" s="309"/>
      <c r="F240" s="309"/>
      <c r="G240" s="309"/>
      <c r="H240" s="309"/>
      <c r="I240" s="309"/>
      <c r="J240" s="309"/>
      <c r="K240" s="309"/>
      <c r="L240" s="309"/>
      <c r="M240" s="309"/>
      <c r="N240" s="309"/>
      <c r="O240" s="309"/>
      <c r="P240" s="885"/>
      <c r="Q240" s="309"/>
      <c r="R240" s="309"/>
      <c r="S240" s="309"/>
      <c r="T240" s="309"/>
    </row>
    <row r="241" spans="1:20" ht="15" customHeight="1" x14ac:dyDescent="0.25">
      <c r="A241" s="640"/>
      <c r="B241" s="309"/>
      <c r="C241" s="309"/>
      <c r="D241" s="309"/>
      <c r="E241" s="309"/>
      <c r="F241" s="309"/>
      <c r="G241" s="309"/>
      <c r="H241" s="309"/>
      <c r="I241" s="309"/>
      <c r="J241" s="309"/>
      <c r="K241" s="309"/>
      <c r="L241" s="309"/>
      <c r="M241" s="309"/>
      <c r="N241" s="309"/>
      <c r="O241" s="309"/>
      <c r="P241" s="885"/>
      <c r="Q241" s="309"/>
      <c r="R241" s="309"/>
      <c r="S241" s="309"/>
      <c r="T241" s="309"/>
    </row>
    <row r="242" spans="1:20" ht="15" customHeight="1" x14ac:dyDescent="0.25">
      <c r="A242" s="640"/>
      <c r="B242" s="309"/>
      <c r="C242" s="309"/>
      <c r="D242" s="309"/>
      <c r="E242" s="309"/>
      <c r="F242" s="309"/>
      <c r="G242" s="309"/>
      <c r="H242" s="309"/>
      <c r="I242" s="309"/>
      <c r="J242" s="309"/>
      <c r="K242" s="309"/>
      <c r="L242" s="309"/>
      <c r="M242" s="309"/>
      <c r="N242" s="309"/>
      <c r="O242" s="309"/>
      <c r="P242" s="885"/>
      <c r="Q242" s="309"/>
      <c r="R242" s="309"/>
      <c r="S242" s="309"/>
      <c r="T242" s="309"/>
    </row>
    <row r="243" spans="1:20" ht="15" customHeight="1" x14ac:dyDescent="0.25">
      <c r="A243" s="640"/>
      <c r="B243" s="309"/>
      <c r="C243" s="309"/>
      <c r="D243" s="309"/>
      <c r="E243" s="309"/>
      <c r="F243" s="309"/>
      <c r="G243" s="309"/>
      <c r="H243" s="309"/>
      <c r="I243" s="309"/>
      <c r="J243" s="309"/>
      <c r="K243" s="309"/>
      <c r="L243" s="309"/>
      <c r="M243" s="309"/>
      <c r="N243" s="309"/>
      <c r="O243" s="309"/>
      <c r="P243" s="885"/>
      <c r="Q243" s="309"/>
      <c r="R243" s="309"/>
      <c r="S243" s="309"/>
      <c r="T243" s="309"/>
    </row>
    <row r="244" spans="1:20" ht="15" customHeight="1" x14ac:dyDescent="0.25">
      <c r="A244" s="727"/>
      <c r="B244" s="309"/>
      <c r="C244" s="309"/>
      <c r="D244" s="309"/>
      <c r="E244" s="309"/>
      <c r="F244" s="309"/>
      <c r="G244" s="309"/>
      <c r="H244" s="309"/>
      <c r="I244" s="309"/>
      <c r="J244" s="309"/>
      <c r="K244" s="309"/>
      <c r="L244" s="309"/>
      <c r="M244" s="309"/>
      <c r="N244" s="309"/>
      <c r="O244" s="309"/>
      <c r="P244" s="885"/>
      <c r="Q244" s="309"/>
      <c r="R244" s="309"/>
      <c r="S244" s="309"/>
      <c r="T244" s="309"/>
    </row>
    <row r="245" spans="1:20" ht="15" customHeight="1" x14ac:dyDescent="0.25">
      <c r="A245" s="727"/>
      <c r="B245" s="309"/>
      <c r="C245" s="309"/>
      <c r="D245" s="309"/>
      <c r="E245" s="309"/>
      <c r="F245" s="309"/>
      <c r="G245" s="309"/>
      <c r="H245" s="309"/>
      <c r="I245" s="309"/>
      <c r="J245" s="309"/>
      <c r="K245" s="309"/>
      <c r="L245" s="309"/>
      <c r="M245" s="309"/>
      <c r="N245" s="309"/>
      <c r="O245" s="309"/>
      <c r="P245" s="885"/>
      <c r="Q245" s="309"/>
      <c r="R245" s="309"/>
      <c r="S245" s="309"/>
      <c r="T245" s="309"/>
    </row>
    <row r="246" spans="1:20" ht="15" customHeight="1" x14ac:dyDescent="0.25">
      <c r="A246" s="727"/>
      <c r="B246" s="309"/>
      <c r="C246" s="309"/>
      <c r="D246" s="309"/>
      <c r="E246" s="309"/>
      <c r="F246" s="309"/>
      <c r="G246" s="309"/>
      <c r="H246" s="309"/>
      <c r="I246" s="309"/>
      <c r="J246" s="309"/>
      <c r="K246" s="309"/>
      <c r="L246" s="309"/>
      <c r="M246" s="309"/>
      <c r="N246" s="309"/>
      <c r="O246" s="309"/>
      <c r="P246" s="885"/>
      <c r="Q246" s="309"/>
      <c r="R246" s="309"/>
      <c r="S246" s="309"/>
      <c r="T246" s="309"/>
    </row>
    <row r="247" spans="1:20" ht="15" customHeight="1" x14ac:dyDescent="0.25">
      <c r="A247" s="727"/>
      <c r="B247" s="309"/>
      <c r="C247" s="309"/>
      <c r="D247" s="309"/>
      <c r="E247" s="309"/>
      <c r="F247" s="309"/>
      <c r="G247" s="309"/>
      <c r="H247" s="309"/>
      <c r="I247" s="309"/>
      <c r="J247" s="309"/>
      <c r="K247" s="309"/>
      <c r="L247" s="309"/>
      <c r="M247" s="309"/>
      <c r="N247" s="309"/>
      <c r="O247" s="309"/>
      <c r="P247" s="885"/>
      <c r="Q247" s="309"/>
      <c r="R247" s="309"/>
      <c r="S247" s="309"/>
      <c r="T247" s="309"/>
    </row>
    <row r="248" spans="1:20" ht="15" customHeight="1" x14ac:dyDescent="0.25">
      <c r="A248" s="727"/>
      <c r="B248" s="309"/>
      <c r="C248" s="309"/>
      <c r="D248" s="309"/>
      <c r="E248" s="309"/>
      <c r="F248" s="309"/>
      <c r="G248" s="309"/>
      <c r="H248" s="309"/>
      <c r="I248" s="309"/>
      <c r="J248" s="309"/>
      <c r="K248" s="309"/>
      <c r="L248" s="309"/>
      <c r="M248" s="309"/>
      <c r="N248" s="309"/>
      <c r="O248" s="309"/>
      <c r="P248" s="885"/>
      <c r="Q248" s="309"/>
      <c r="R248" s="309"/>
      <c r="S248" s="309"/>
      <c r="T248" s="309"/>
    </row>
    <row r="249" spans="1:20" ht="15" customHeight="1" x14ac:dyDescent="0.25">
      <c r="A249" s="727"/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09"/>
      <c r="O249" s="309"/>
      <c r="P249" s="885"/>
      <c r="Q249" s="309"/>
      <c r="R249" s="309"/>
      <c r="S249" s="309"/>
      <c r="T249" s="309"/>
    </row>
    <row r="250" spans="1:20" ht="15" customHeight="1" x14ac:dyDescent="0.25">
      <c r="A250" s="727"/>
      <c r="B250" s="309"/>
      <c r="C250" s="309"/>
      <c r="D250" s="309"/>
      <c r="E250" s="309"/>
      <c r="F250" s="309"/>
      <c r="G250" s="309"/>
      <c r="H250" s="309"/>
      <c r="I250" s="309"/>
      <c r="J250" s="309"/>
      <c r="K250" s="309"/>
      <c r="L250" s="309"/>
      <c r="M250" s="309"/>
      <c r="N250" s="309"/>
      <c r="O250" s="309"/>
      <c r="P250" s="885"/>
      <c r="Q250" s="309"/>
      <c r="R250" s="309"/>
      <c r="S250" s="309"/>
      <c r="T250" s="309"/>
    </row>
    <row r="251" spans="1:20" ht="15" customHeight="1" x14ac:dyDescent="0.25">
      <c r="A251" s="727"/>
      <c r="B251" s="309"/>
      <c r="C251" s="309"/>
      <c r="D251" s="309"/>
      <c r="E251" s="309"/>
      <c r="F251" s="309"/>
      <c r="G251" s="309"/>
      <c r="H251" s="309"/>
      <c r="I251" s="309"/>
      <c r="J251" s="309"/>
      <c r="K251" s="309"/>
      <c r="L251" s="309"/>
      <c r="M251" s="309"/>
      <c r="N251" s="309"/>
      <c r="O251" s="309"/>
      <c r="P251" s="885"/>
      <c r="Q251" s="309"/>
      <c r="R251" s="309"/>
      <c r="S251" s="309"/>
      <c r="T251" s="309"/>
    </row>
    <row r="252" spans="1:20" ht="15" customHeight="1" x14ac:dyDescent="0.25">
      <c r="A252" s="727"/>
      <c r="B252" s="309"/>
      <c r="C252" s="309"/>
      <c r="D252" s="309"/>
      <c r="E252" s="309"/>
      <c r="F252" s="309"/>
      <c r="G252" s="309"/>
      <c r="H252" s="309"/>
      <c r="I252" s="309"/>
      <c r="J252" s="309"/>
      <c r="K252" s="309"/>
      <c r="L252" s="309"/>
      <c r="M252" s="309"/>
      <c r="N252" s="309"/>
      <c r="O252" s="309"/>
      <c r="P252" s="885"/>
      <c r="Q252" s="309"/>
      <c r="R252" s="309"/>
      <c r="S252" s="309"/>
      <c r="T252" s="309"/>
    </row>
    <row r="253" spans="1:20" ht="15" customHeight="1" x14ac:dyDescent="0.25">
      <c r="A253" s="727"/>
      <c r="B253" s="309"/>
      <c r="C253" s="309"/>
      <c r="D253" s="309"/>
      <c r="E253" s="309"/>
      <c r="F253" s="309"/>
      <c r="G253" s="309"/>
      <c r="H253" s="309"/>
      <c r="I253" s="309"/>
      <c r="J253" s="309"/>
      <c r="K253" s="309"/>
      <c r="L253" s="309"/>
      <c r="M253" s="309"/>
      <c r="N253" s="309"/>
      <c r="O253" s="309"/>
      <c r="P253" s="885"/>
      <c r="Q253" s="309"/>
      <c r="R253" s="309"/>
      <c r="S253" s="309"/>
      <c r="T253" s="309"/>
    </row>
    <row r="254" spans="1:20" ht="15" customHeight="1" x14ac:dyDescent="0.25">
      <c r="A254" s="727"/>
      <c r="B254" s="309"/>
      <c r="C254" s="309"/>
      <c r="D254" s="309"/>
      <c r="E254" s="309"/>
      <c r="F254" s="309"/>
      <c r="G254" s="309"/>
      <c r="H254" s="309"/>
      <c r="I254" s="309"/>
      <c r="J254" s="309"/>
      <c r="K254" s="309"/>
      <c r="L254" s="309"/>
      <c r="M254" s="309"/>
      <c r="N254" s="309"/>
      <c r="O254" s="309"/>
      <c r="P254" s="885"/>
      <c r="Q254" s="309"/>
      <c r="R254" s="309"/>
      <c r="S254" s="309"/>
      <c r="T254" s="309"/>
    </row>
    <row r="255" spans="1:20" ht="15" customHeight="1" x14ac:dyDescent="0.25">
      <c r="A255" s="727"/>
      <c r="B255" s="309"/>
      <c r="C255" s="309"/>
      <c r="D255" s="309"/>
      <c r="E255" s="309"/>
      <c r="F255" s="309"/>
      <c r="G255" s="309"/>
      <c r="H255" s="309"/>
      <c r="I255" s="309"/>
      <c r="J255" s="309"/>
      <c r="K255" s="309"/>
      <c r="L255" s="309"/>
      <c r="M255" s="309"/>
      <c r="N255" s="309"/>
      <c r="O255" s="309"/>
      <c r="P255" s="885"/>
      <c r="Q255" s="309"/>
      <c r="R255" s="309"/>
      <c r="S255" s="309"/>
      <c r="T255" s="309"/>
    </row>
    <row r="256" spans="1:20" ht="15" customHeight="1" x14ac:dyDescent="0.25">
      <c r="A256" s="727"/>
      <c r="B256" s="309"/>
      <c r="C256" s="309"/>
      <c r="D256" s="309"/>
      <c r="E256" s="309"/>
      <c r="F256" s="309"/>
      <c r="G256" s="309"/>
      <c r="H256" s="309"/>
      <c r="I256" s="309"/>
      <c r="J256" s="309"/>
      <c r="K256" s="309"/>
      <c r="L256" s="309"/>
      <c r="M256" s="309"/>
      <c r="N256" s="309"/>
      <c r="O256" s="309"/>
      <c r="P256" s="309"/>
      <c r="Q256" s="309"/>
      <c r="R256" s="309"/>
      <c r="S256" s="309"/>
      <c r="T256" s="309"/>
    </row>
    <row r="257" spans="1:20" ht="15" customHeight="1" x14ac:dyDescent="0.25">
      <c r="A257" s="727"/>
      <c r="B257" s="309"/>
      <c r="C257" s="309"/>
      <c r="D257" s="309"/>
      <c r="E257" s="309"/>
      <c r="F257" s="309"/>
      <c r="G257" s="309"/>
      <c r="H257" s="309"/>
      <c r="I257" s="309"/>
      <c r="J257" s="309"/>
      <c r="K257" s="309"/>
      <c r="L257" s="309"/>
      <c r="M257" s="309"/>
      <c r="N257" s="309"/>
      <c r="O257" s="309"/>
      <c r="P257" s="309"/>
      <c r="Q257" s="309"/>
      <c r="R257" s="309"/>
      <c r="S257" s="309"/>
      <c r="T257" s="309"/>
    </row>
    <row r="258" spans="1:20" ht="15" customHeight="1" x14ac:dyDescent="0.25">
      <c r="A258" s="727"/>
      <c r="B258" s="309"/>
      <c r="C258" s="309"/>
      <c r="D258" s="309"/>
      <c r="E258" s="309"/>
      <c r="F258" s="309"/>
      <c r="G258" s="309"/>
      <c r="H258" s="309"/>
      <c r="I258" s="309"/>
      <c r="J258" s="309"/>
      <c r="K258" s="309"/>
      <c r="L258" s="309"/>
      <c r="M258" s="309"/>
      <c r="N258" s="309"/>
      <c r="O258" s="309"/>
      <c r="P258" s="309"/>
      <c r="Q258" s="309"/>
      <c r="R258" s="309"/>
      <c r="S258" s="309"/>
      <c r="T258" s="309"/>
    </row>
    <row r="259" spans="1:20" ht="15" customHeight="1" x14ac:dyDescent="0.25">
      <c r="A259" s="727"/>
      <c r="B259" s="309"/>
      <c r="C259" s="309"/>
      <c r="D259" s="309"/>
      <c r="E259" s="309"/>
      <c r="F259" s="309"/>
      <c r="G259" s="309"/>
      <c r="H259" s="309"/>
      <c r="I259" s="309"/>
      <c r="J259" s="309"/>
      <c r="K259" s="309"/>
      <c r="L259" s="309"/>
      <c r="M259" s="309"/>
      <c r="N259" s="309"/>
      <c r="O259" s="309"/>
      <c r="P259" s="309"/>
      <c r="Q259" s="309"/>
      <c r="R259" s="309"/>
      <c r="S259" s="309"/>
      <c r="T259" s="309"/>
    </row>
    <row r="260" spans="1:20" ht="15" customHeight="1" x14ac:dyDescent="0.25">
      <c r="A260" s="727"/>
      <c r="B260" s="309"/>
      <c r="C260" s="309"/>
      <c r="D260" s="309"/>
      <c r="E260" s="309"/>
      <c r="F260" s="309"/>
      <c r="G260" s="309"/>
      <c r="H260" s="309"/>
      <c r="I260" s="309"/>
      <c r="J260" s="309"/>
      <c r="K260" s="309"/>
      <c r="L260" s="309"/>
      <c r="M260" s="309"/>
      <c r="N260" s="309"/>
      <c r="O260" s="309"/>
      <c r="P260" s="309"/>
      <c r="Q260" s="309"/>
      <c r="R260" s="309"/>
      <c r="S260" s="309"/>
      <c r="T260" s="309"/>
    </row>
    <row r="261" spans="1:20" ht="15" customHeight="1" x14ac:dyDescent="0.25">
      <c r="A261" s="727"/>
      <c r="B261" s="309"/>
      <c r="C261" s="309"/>
      <c r="D261" s="309"/>
      <c r="E261" s="309"/>
      <c r="F261" s="309"/>
      <c r="G261" s="309"/>
      <c r="H261" s="309"/>
      <c r="I261" s="309"/>
      <c r="J261" s="309"/>
      <c r="K261" s="309"/>
      <c r="L261" s="309"/>
      <c r="M261" s="309"/>
      <c r="N261" s="309"/>
      <c r="O261" s="309"/>
      <c r="P261" s="309"/>
      <c r="Q261" s="309"/>
      <c r="R261" s="309"/>
      <c r="S261" s="309"/>
      <c r="T261" s="309"/>
    </row>
    <row r="262" spans="1:20" ht="15" customHeight="1" x14ac:dyDescent="0.25">
      <c r="A262" s="727"/>
      <c r="B262" s="309"/>
      <c r="C262" s="309"/>
      <c r="D262" s="309"/>
      <c r="E262" s="309"/>
      <c r="F262" s="309"/>
      <c r="G262" s="309"/>
      <c r="H262" s="309"/>
      <c r="I262" s="309"/>
      <c r="J262" s="309"/>
      <c r="K262" s="309"/>
      <c r="L262" s="309"/>
      <c r="M262" s="309"/>
      <c r="N262" s="309"/>
      <c r="O262" s="309"/>
      <c r="P262" s="309"/>
      <c r="Q262" s="309"/>
      <c r="R262" s="309"/>
      <c r="S262" s="309"/>
      <c r="T262" s="309"/>
    </row>
    <row r="263" spans="1:20" ht="15" customHeight="1" x14ac:dyDescent="0.25">
      <c r="A263" s="727"/>
      <c r="B263" s="309"/>
      <c r="C263" s="309"/>
      <c r="D263" s="309"/>
      <c r="E263" s="309"/>
      <c r="F263" s="309"/>
      <c r="G263" s="309"/>
      <c r="H263" s="309"/>
      <c r="I263" s="309"/>
      <c r="J263" s="309"/>
      <c r="K263" s="309"/>
      <c r="L263" s="309"/>
      <c r="M263" s="309"/>
      <c r="N263" s="309"/>
      <c r="O263" s="309"/>
      <c r="P263" s="309"/>
      <c r="Q263" s="309"/>
      <c r="R263" s="309"/>
      <c r="S263" s="309"/>
      <c r="T263" s="309"/>
    </row>
    <row r="264" spans="1:20" ht="15" customHeight="1" x14ac:dyDescent="0.25">
      <c r="A264" s="727"/>
      <c r="B264" s="309"/>
      <c r="C264" s="309"/>
      <c r="D264" s="309"/>
      <c r="E264" s="309"/>
      <c r="F264" s="309"/>
      <c r="G264" s="309"/>
      <c r="H264" s="309"/>
      <c r="I264" s="309"/>
      <c r="J264" s="309"/>
      <c r="K264" s="309"/>
      <c r="L264" s="309"/>
      <c r="M264" s="309"/>
      <c r="N264" s="309"/>
      <c r="O264" s="309"/>
      <c r="P264" s="309"/>
      <c r="Q264" s="309"/>
      <c r="R264" s="309"/>
      <c r="S264" s="309"/>
      <c r="T264" s="309"/>
    </row>
    <row r="265" spans="1:20" ht="15" customHeight="1" x14ac:dyDescent="0.25">
      <c r="A265" s="727"/>
      <c r="B265" s="309"/>
      <c r="C265" s="309"/>
      <c r="D265" s="309"/>
      <c r="E265" s="309"/>
      <c r="F265" s="309"/>
      <c r="G265" s="309"/>
      <c r="H265" s="309"/>
      <c r="I265" s="309"/>
      <c r="J265" s="309"/>
      <c r="K265" s="309"/>
      <c r="L265" s="309"/>
      <c r="M265" s="309"/>
      <c r="N265" s="309"/>
      <c r="O265" s="309"/>
      <c r="P265" s="309"/>
      <c r="Q265" s="309"/>
      <c r="R265" s="309"/>
      <c r="S265" s="309"/>
      <c r="T265" s="309"/>
    </row>
    <row r="266" spans="1:20" ht="15" customHeight="1" x14ac:dyDescent="0.25">
      <c r="A266" s="727"/>
      <c r="B266" s="309"/>
      <c r="C266" s="309"/>
      <c r="D266" s="309"/>
      <c r="E266" s="309"/>
      <c r="F266" s="309"/>
      <c r="G266" s="309"/>
      <c r="H266" s="309"/>
      <c r="I266" s="309"/>
      <c r="J266" s="309"/>
      <c r="K266" s="309"/>
      <c r="L266" s="309"/>
      <c r="M266" s="309"/>
      <c r="N266" s="309"/>
      <c r="O266" s="309"/>
      <c r="P266" s="309"/>
      <c r="Q266" s="309"/>
      <c r="R266" s="309"/>
      <c r="S266" s="309"/>
      <c r="T266" s="309"/>
    </row>
    <row r="267" spans="1:20" ht="15" customHeight="1" x14ac:dyDescent="0.25">
      <c r="A267" s="727"/>
      <c r="B267" s="309"/>
      <c r="C267" s="309"/>
      <c r="D267" s="309"/>
      <c r="E267" s="309"/>
      <c r="F267" s="309"/>
      <c r="G267" s="309"/>
      <c r="H267" s="309"/>
      <c r="I267" s="309"/>
      <c r="J267" s="309"/>
      <c r="K267" s="309"/>
      <c r="L267" s="309"/>
      <c r="M267" s="309"/>
      <c r="N267" s="309"/>
      <c r="O267" s="309"/>
      <c r="P267" s="309"/>
      <c r="Q267" s="309"/>
      <c r="R267" s="309"/>
      <c r="S267" s="309"/>
      <c r="T267" s="309"/>
    </row>
    <row r="268" spans="1:20" ht="15" customHeight="1" x14ac:dyDescent="0.25">
      <c r="A268" s="727"/>
      <c r="B268" s="309"/>
      <c r="C268" s="309"/>
      <c r="D268" s="309"/>
      <c r="E268" s="309"/>
      <c r="F268" s="309"/>
      <c r="G268" s="309"/>
      <c r="H268" s="309"/>
      <c r="I268" s="309"/>
      <c r="J268" s="309"/>
      <c r="K268" s="309"/>
      <c r="L268" s="309"/>
      <c r="M268" s="309"/>
      <c r="N268" s="309"/>
      <c r="O268" s="309"/>
      <c r="P268" s="309"/>
      <c r="Q268" s="309"/>
      <c r="R268" s="309"/>
      <c r="S268" s="309"/>
      <c r="T268" s="309"/>
    </row>
    <row r="269" spans="1:20" ht="15" customHeight="1" x14ac:dyDescent="0.25">
      <c r="A269" s="317"/>
      <c r="B269" s="309"/>
      <c r="C269" s="309"/>
      <c r="D269" s="309"/>
      <c r="E269" s="309"/>
      <c r="F269" s="652"/>
      <c r="G269" s="309"/>
      <c r="H269" s="309"/>
      <c r="I269" s="309"/>
      <c r="J269" s="309"/>
      <c r="K269" s="309"/>
      <c r="L269" s="309"/>
      <c r="M269" s="309"/>
      <c r="N269" s="309"/>
      <c r="O269" s="309"/>
      <c r="P269" s="309"/>
      <c r="Q269" s="309"/>
      <c r="R269" s="309"/>
      <c r="S269" s="309"/>
      <c r="T269" s="309"/>
    </row>
    <row r="270" spans="1:20" ht="15" customHeight="1" x14ac:dyDescent="0.25">
      <c r="A270" s="727"/>
      <c r="B270" s="309"/>
      <c r="C270" s="309"/>
      <c r="D270" s="309"/>
      <c r="E270" s="309"/>
      <c r="F270" s="309"/>
      <c r="G270" s="309"/>
      <c r="H270" s="309"/>
      <c r="I270" s="309"/>
      <c r="J270" s="309"/>
      <c r="K270" s="309"/>
      <c r="L270" s="309"/>
      <c r="M270" s="309"/>
      <c r="N270" s="309"/>
      <c r="O270" s="309"/>
      <c r="P270" s="309"/>
      <c r="Q270" s="309"/>
      <c r="R270" s="309"/>
      <c r="S270" s="309"/>
      <c r="T270" s="309"/>
    </row>
    <row r="271" spans="1:20" ht="15" customHeight="1" x14ac:dyDescent="0.25">
      <c r="A271" s="317"/>
      <c r="B271" s="309"/>
      <c r="C271" s="309"/>
      <c r="D271" s="309"/>
      <c r="E271" s="652"/>
      <c r="F271" s="309"/>
      <c r="G271" s="309"/>
      <c r="H271" s="309"/>
      <c r="I271" s="309"/>
      <c r="J271" s="309"/>
      <c r="K271" s="309"/>
      <c r="L271" s="309"/>
      <c r="M271" s="309"/>
      <c r="N271" s="309"/>
      <c r="O271" s="309"/>
      <c r="P271" s="309"/>
      <c r="Q271" s="309"/>
      <c r="R271" s="309"/>
      <c r="S271" s="309"/>
      <c r="T271" s="309"/>
    </row>
    <row r="272" spans="1:20" ht="15" customHeight="1" x14ac:dyDescent="0.25">
      <c r="A272" s="727"/>
      <c r="B272" s="309"/>
      <c r="C272" s="309"/>
      <c r="D272" s="309"/>
      <c r="E272" s="309"/>
      <c r="F272" s="309"/>
      <c r="G272" s="309"/>
      <c r="H272" s="309"/>
      <c r="I272" s="309"/>
      <c r="J272" s="309"/>
      <c r="K272" s="309"/>
      <c r="L272" s="309"/>
      <c r="M272" s="309"/>
      <c r="N272" s="309"/>
      <c r="O272" s="309"/>
      <c r="P272" s="309"/>
      <c r="Q272" s="309"/>
      <c r="R272" s="309"/>
      <c r="S272" s="309"/>
      <c r="T272" s="309"/>
    </row>
    <row r="273" spans="1:20" ht="15" customHeight="1" x14ac:dyDescent="0.25">
      <c r="A273" s="317"/>
      <c r="B273" s="309"/>
      <c r="C273" s="309"/>
      <c r="D273" s="652"/>
      <c r="E273" s="309"/>
      <c r="F273" s="309"/>
      <c r="G273" s="309"/>
      <c r="H273" s="309"/>
      <c r="I273" s="309"/>
      <c r="J273" s="309"/>
      <c r="K273" s="309"/>
      <c r="L273" s="309"/>
      <c r="M273" s="309"/>
      <c r="N273" s="309"/>
      <c r="O273" s="309"/>
      <c r="P273" s="309"/>
      <c r="Q273" s="309"/>
      <c r="R273" s="309"/>
      <c r="S273" s="309"/>
      <c r="T273" s="309"/>
    </row>
    <row r="274" spans="1:20" ht="15" customHeight="1" x14ac:dyDescent="0.25">
      <c r="A274" s="317"/>
      <c r="B274" s="309"/>
      <c r="C274" s="652"/>
      <c r="D274" s="309"/>
      <c r="E274" s="309"/>
      <c r="F274" s="309"/>
      <c r="G274" s="309"/>
      <c r="H274" s="309"/>
      <c r="I274" s="309"/>
      <c r="J274" s="309"/>
      <c r="K274" s="309"/>
      <c r="L274" s="309"/>
      <c r="M274" s="309"/>
      <c r="N274" s="309"/>
      <c r="O274" s="309"/>
      <c r="P274" s="309"/>
      <c r="Q274" s="309"/>
      <c r="R274" s="309"/>
      <c r="S274" s="309"/>
      <c r="T274" s="309"/>
    </row>
    <row r="275" spans="1:20" ht="15" customHeight="1" x14ac:dyDescent="0.25">
      <c r="A275" s="727"/>
      <c r="B275" s="309"/>
      <c r="C275" s="309"/>
      <c r="D275" s="309"/>
      <c r="E275" s="309"/>
      <c r="F275" s="309"/>
      <c r="G275" s="309"/>
      <c r="H275" s="309"/>
      <c r="I275" s="309"/>
      <c r="J275" s="309"/>
      <c r="K275" s="309"/>
      <c r="L275" s="309"/>
      <c r="M275" s="309"/>
      <c r="N275" s="309"/>
      <c r="O275" s="309"/>
      <c r="P275" s="309"/>
      <c r="Q275" s="309"/>
      <c r="R275" s="309"/>
      <c r="S275" s="309"/>
      <c r="T275" s="309"/>
    </row>
    <row r="276" spans="1:20" ht="15" customHeight="1" x14ac:dyDescent="0.25">
      <c r="A276" s="317"/>
      <c r="B276" s="652"/>
      <c r="C276" s="309"/>
      <c r="D276" s="309"/>
      <c r="E276" s="309"/>
      <c r="F276" s="309"/>
      <c r="G276" s="309"/>
      <c r="H276" s="309"/>
      <c r="I276" s="309"/>
      <c r="J276" s="309"/>
      <c r="K276" s="309"/>
      <c r="L276" s="309"/>
      <c r="M276" s="309"/>
      <c r="N276" s="309"/>
      <c r="O276" s="309"/>
      <c r="P276" s="309"/>
      <c r="Q276" s="309"/>
      <c r="R276" s="309"/>
      <c r="S276" s="309"/>
      <c r="T276" s="309"/>
    </row>
    <row r="277" spans="1:20" ht="15" customHeight="1" x14ac:dyDescent="0.25">
      <c r="A277" s="727"/>
      <c r="B277" s="309"/>
      <c r="C277" s="309"/>
      <c r="D277" s="309"/>
      <c r="E277" s="309"/>
      <c r="F277" s="309"/>
      <c r="G277" s="309"/>
      <c r="H277" s="309"/>
      <c r="I277" s="309"/>
      <c r="J277" s="309"/>
      <c r="K277" s="309"/>
      <c r="L277" s="309"/>
      <c r="M277" s="309"/>
      <c r="N277" s="309"/>
      <c r="O277" s="309"/>
      <c r="P277" s="309"/>
      <c r="Q277" s="309"/>
      <c r="R277" s="309"/>
      <c r="S277" s="309"/>
      <c r="T277" s="309"/>
    </row>
    <row r="278" spans="1:20" ht="15" customHeight="1" x14ac:dyDescent="0.25">
      <c r="A278" s="727"/>
      <c r="B278" s="309"/>
      <c r="C278" s="309"/>
      <c r="D278" s="317"/>
      <c r="E278" s="309"/>
      <c r="F278" s="309"/>
      <c r="G278" s="309"/>
      <c r="H278" s="309"/>
      <c r="I278" s="309"/>
      <c r="J278" s="309"/>
      <c r="K278" s="309"/>
      <c r="L278" s="309"/>
      <c r="M278" s="309"/>
      <c r="N278" s="309"/>
      <c r="O278" s="309"/>
      <c r="P278" s="309"/>
      <c r="Q278" s="309"/>
      <c r="R278" s="309"/>
      <c r="S278" s="309"/>
      <c r="T278" s="309"/>
    </row>
    <row r="279" spans="1:20" ht="15" customHeight="1" x14ac:dyDescent="0.25">
      <c r="A279" s="727"/>
      <c r="B279" s="309"/>
      <c r="C279" s="309"/>
      <c r="D279" s="309"/>
      <c r="E279" s="309"/>
      <c r="F279" s="309"/>
      <c r="G279" s="309"/>
      <c r="H279" s="309"/>
      <c r="I279" s="309"/>
      <c r="J279" s="309"/>
      <c r="K279" s="309"/>
      <c r="L279" s="309"/>
      <c r="M279" s="309"/>
      <c r="N279" s="309"/>
      <c r="O279" s="309"/>
      <c r="P279" s="309"/>
      <c r="Q279" s="309"/>
      <c r="R279" s="309"/>
      <c r="S279" s="309"/>
      <c r="T279" s="309"/>
    </row>
    <row r="280" spans="1:20" ht="15" customHeight="1" x14ac:dyDescent="0.25">
      <c r="A280" s="727"/>
      <c r="B280" s="309"/>
      <c r="C280" s="309"/>
      <c r="D280" s="309"/>
      <c r="E280" s="309"/>
      <c r="F280" s="309"/>
      <c r="G280" s="309"/>
      <c r="H280" s="309"/>
      <c r="I280" s="309"/>
      <c r="J280" s="309"/>
      <c r="K280" s="309"/>
      <c r="L280" s="309"/>
      <c r="M280" s="309"/>
      <c r="N280" s="309"/>
      <c r="O280" s="309"/>
      <c r="P280" s="309"/>
      <c r="Q280" s="309"/>
      <c r="R280" s="309"/>
      <c r="S280" s="309"/>
      <c r="T280" s="309"/>
    </row>
    <row r="281" spans="1:20" ht="15" customHeight="1" x14ac:dyDescent="0.25">
      <c r="A281" s="727"/>
      <c r="B281" s="309"/>
      <c r="C281" s="309"/>
      <c r="D281" s="309"/>
      <c r="E281" s="309"/>
      <c r="F281" s="309"/>
      <c r="G281" s="309"/>
      <c r="H281" s="309"/>
      <c r="I281" s="309"/>
      <c r="J281" s="309"/>
      <c r="K281" s="309"/>
      <c r="L281" s="309"/>
      <c r="M281" s="309"/>
      <c r="N281" s="309"/>
      <c r="O281" s="309"/>
      <c r="P281" s="309"/>
      <c r="Q281" s="309"/>
      <c r="R281" s="309"/>
      <c r="S281" s="309"/>
      <c r="T281" s="309"/>
    </row>
    <row r="282" spans="1:20" ht="15" customHeight="1" x14ac:dyDescent="0.25">
      <c r="A282" s="727"/>
      <c r="B282" s="309"/>
      <c r="C282" s="309"/>
      <c r="D282" s="309"/>
      <c r="E282" s="309"/>
      <c r="F282" s="309"/>
      <c r="G282" s="309"/>
      <c r="H282" s="309"/>
      <c r="I282" s="309"/>
      <c r="J282" s="309"/>
      <c r="K282" s="309"/>
      <c r="L282" s="309"/>
      <c r="M282" s="309"/>
      <c r="N282" s="309"/>
      <c r="O282" s="309"/>
      <c r="P282" s="309"/>
      <c r="Q282" s="309"/>
      <c r="R282" s="309"/>
      <c r="S282" s="309"/>
      <c r="T282" s="309"/>
    </row>
    <row r="283" spans="1:20" ht="15" customHeight="1" x14ac:dyDescent="0.25">
      <c r="A283" s="727"/>
      <c r="B283" s="309"/>
      <c r="C283" s="309"/>
      <c r="D283" s="309"/>
      <c r="E283" s="309"/>
      <c r="F283" s="309"/>
      <c r="G283" s="309"/>
      <c r="H283" s="309"/>
      <c r="I283" s="309"/>
      <c r="J283" s="309"/>
      <c r="K283" s="309"/>
      <c r="L283" s="309"/>
      <c r="M283" s="309"/>
      <c r="N283" s="309"/>
      <c r="O283" s="309"/>
      <c r="P283" s="309"/>
      <c r="Q283" s="309"/>
      <c r="R283" s="309"/>
      <c r="S283" s="309"/>
      <c r="T283" s="309"/>
    </row>
    <row r="284" spans="1:20" ht="15" customHeight="1" x14ac:dyDescent="0.25">
      <c r="A284" s="727"/>
      <c r="B284" s="309"/>
      <c r="C284" s="309"/>
      <c r="D284" s="309"/>
      <c r="E284" s="309"/>
      <c r="F284" s="309"/>
      <c r="G284" s="309"/>
      <c r="H284" s="309"/>
      <c r="I284" s="309"/>
      <c r="J284" s="309"/>
      <c r="K284" s="309"/>
      <c r="L284" s="309"/>
      <c r="M284" s="309"/>
      <c r="N284" s="309"/>
      <c r="O284" s="309"/>
      <c r="P284" s="309"/>
      <c r="Q284" s="309"/>
      <c r="R284" s="309"/>
      <c r="S284" s="309"/>
      <c r="T284" s="309"/>
    </row>
    <row r="285" spans="1:20" ht="15" customHeight="1" x14ac:dyDescent="0.25">
      <c r="A285" s="727"/>
      <c r="B285" s="309"/>
      <c r="C285" s="309"/>
      <c r="D285" s="309"/>
      <c r="E285" s="309"/>
      <c r="F285" s="309"/>
      <c r="G285" s="309"/>
      <c r="H285" s="309"/>
      <c r="I285" s="309"/>
      <c r="J285" s="309"/>
      <c r="K285" s="309"/>
      <c r="L285" s="309"/>
      <c r="M285" s="309"/>
      <c r="N285" s="309"/>
      <c r="O285" s="309"/>
      <c r="P285" s="309"/>
      <c r="Q285" s="309"/>
      <c r="R285" s="309"/>
      <c r="S285" s="309"/>
      <c r="T285" s="309"/>
    </row>
    <row r="286" spans="1:20" ht="15" customHeight="1" x14ac:dyDescent="0.25">
      <c r="A286" s="727"/>
      <c r="B286" s="309"/>
      <c r="C286" s="309"/>
      <c r="D286" s="309"/>
      <c r="E286" s="309"/>
      <c r="F286" s="309"/>
      <c r="G286" s="309"/>
      <c r="H286" s="309"/>
      <c r="I286" s="309"/>
      <c r="J286" s="309"/>
      <c r="K286" s="309"/>
      <c r="L286" s="309"/>
      <c r="M286" s="309"/>
      <c r="N286" s="309"/>
      <c r="O286" s="309"/>
      <c r="P286" s="309"/>
      <c r="Q286" s="309"/>
      <c r="R286" s="309"/>
      <c r="S286" s="309"/>
      <c r="T286" s="309"/>
    </row>
    <row r="287" spans="1:20" ht="15" customHeight="1" x14ac:dyDescent="0.25">
      <c r="A287" s="727"/>
      <c r="B287" s="309"/>
      <c r="C287" s="309"/>
      <c r="D287" s="309"/>
      <c r="E287" s="309"/>
      <c r="F287" s="309"/>
      <c r="G287" s="309"/>
      <c r="H287" s="309"/>
      <c r="I287" s="309"/>
      <c r="J287" s="309"/>
      <c r="K287" s="309"/>
      <c r="L287" s="309"/>
      <c r="M287" s="309"/>
      <c r="N287" s="309"/>
      <c r="O287" s="309"/>
      <c r="P287" s="309"/>
      <c r="Q287" s="309"/>
      <c r="R287" s="309"/>
      <c r="S287" s="309"/>
      <c r="T287" s="309"/>
    </row>
    <row r="288" spans="1:20" ht="15" customHeight="1" x14ac:dyDescent="0.25">
      <c r="A288" s="727"/>
      <c r="B288" s="309"/>
      <c r="C288" s="309"/>
      <c r="D288" s="309"/>
      <c r="E288" s="309"/>
      <c r="F288" s="652"/>
      <c r="G288" s="309"/>
      <c r="H288" s="309"/>
      <c r="I288" s="309"/>
      <c r="J288" s="309"/>
      <c r="K288" s="309"/>
      <c r="L288" s="309"/>
      <c r="M288" s="309"/>
      <c r="N288" s="309"/>
      <c r="O288" s="309"/>
      <c r="P288" s="309"/>
      <c r="Q288" s="309"/>
      <c r="R288" s="309"/>
      <c r="S288" s="309"/>
      <c r="T288" s="309"/>
    </row>
    <row r="289" spans="1:20" ht="15" customHeight="1" x14ac:dyDescent="0.25">
      <c r="A289" s="317"/>
      <c r="B289" s="309"/>
      <c r="C289" s="309"/>
      <c r="D289" s="309"/>
      <c r="E289" s="652"/>
      <c r="F289" s="309"/>
      <c r="G289" s="309"/>
      <c r="H289" s="309"/>
      <c r="I289" s="309"/>
      <c r="J289" s="309"/>
      <c r="K289" s="309"/>
      <c r="L289" s="309"/>
      <c r="M289" s="309"/>
      <c r="N289" s="309"/>
      <c r="O289" s="309"/>
      <c r="P289" s="309"/>
      <c r="Q289" s="309"/>
      <c r="R289" s="309"/>
      <c r="S289" s="309"/>
      <c r="T289" s="309"/>
    </row>
    <row r="290" spans="1:20" ht="15" customHeight="1" x14ac:dyDescent="0.25">
      <c r="A290" s="727"/>
      <c r="B290" s="309"/>
      <c r="C290" s="309"/>
      <c r="D290" s="652"/>
      <c r="E290" s="309"/>
      <c r="F290" s="309"/>
      <c r="G290" s="309"/>
      <c r="H290" s="309"/>
      <c r="I290" s="309"/>
      <c r="J290" s="309"/>
      <c r="K290" s="309"/>
      <c r="L290" s="309"/>
      <c r="M290" s="309"/>
      <c r="N290" s="309"/>
      <c r="O290" s="309"/>
      <c r="P290" s="309"/>
      <c r="Q290" s="309"/>
      <c r="R290" s="309"/>
      <c r="S290" s="309"/>
      <c r="T290" s="309"/>
    </row>
    <row r="291" spans="1:20" ht="15" customHeight="1" x14ac:dyDescent="0.25">
      <c r="A291" s="317"/>
      <c r="B291" s="309"/>
      <c r="C291" s="652"/>
      <c r="D291" s="309"/>
      <c r="E291" s="317"/>
      <c r="F291" s="309"/>
      <c r="G291" s="652"/>
      <c r="H291" s="309"/>
      <c r="I291" s="309"/>
      <c r="J291" s="309"/>
      <c r="K291" s="309"/>
      <c r="L291" s="309"/>
      <c r="M291" s="309"/>
      <c r="N291" s="309"/>
      <c r="O291" s="309"/>
      <c r="P291" s="309"/>
      <c r="Q291" s="309"/>
      <c r="R291" s="309"/>
      <c r="S291" s="309"/>
      <c r="T291" s="309"/>
    </row>
    <row r="292" spans="1:20" ht="15" customHeight="1" x14ac:dyDescent="0.25">
      <c r="A292" s="727"/>
      <c r="B292" s="309"/>
      <c r="C292" s="317"/>
      <c r="D292" s="309"/>
      <c r="E292" s="309"/>
      <c r="F292" s="317"/>
      <c r="G292" s="309"/>
      <c r="H292" s="309"/>
      <c r="I292" s="309"/>
      <c r="J292" s="309"/>
      <c r="K292" s="309"/>
      <c r="L292" s="309"/>
      <c r="M292" s="309"/>
      <c r="N292" s="309"/>
      <c r="O292" s="309"/>
      <c r="P292" s="309"/>
      <c r="Q292" s="309"/>
      <c r="R292" s="309"/>
      <c r="S292" s="309"/>
      <c r="T292" s="309"/>
    </row>
    <row r="293" spans="1:20" ht="15" customHeight="1" x14ac:dyDescent="0.25">
      <c r="A293" s="727"/>
      <c r="B293" s="652"/>
      <c r="C293" s="309"/>
      <c r="D293" s="309"/>
      <c r="E293" s="309"/>
      <c r="F293" s="309"/>
      <c r="G293" s="309"/>
      <c r="H293" s="309"/>
      <c r="I293" s="309"/>
      <c r="J293" s="309"/>
      <c r="K293" s="309"/>
      <c r="L293" s="309"/>
      <c r="M293" s="309"/>
      <c r="N293" s="309"/>
      <c r="O293" s="309"/>
      <c r="P293" s="309"/>
      <c r="Q293" s="309"/>
      <c r="R293" s="309"/>
      <c r="S293" s="309"/>
      <c r="T293" s="309"/>
    </row>
    <row r="294" spans="1:20" ht="15" customHeight="1" x14ac:dyDescent="0.25">
      <c r="A294" s="727"/>
      <c r="B294" s="309"/>
      <c r="C294" s="309"/>
      <c r="D294" s="309"/>
      <c r="E294" s="309"/>
      <c r="F294" s="309"/>
      <c r="G294" s="309"/>
      <c r="H294" s="309"/>
      <c r="I294" s="309"/>
      <c r="J294" s="309"/>
      <c r="K294" s="309"/>
      <c r="L294" s="309"/>
      <c r="M294" s="309"/>
      <c r="N294" s="309"/>
      <c r="O294" s="309"/>
      <c r="P294" s="309"/>
      <c r="Q294" s="309"/>
      <c r="R294" s="309"/>
      <c r="S294" s="309"/>
      <c r="T294" s="309"/>
    </row>
    <row r="295" spans="1:20" ht="15" customHeight="1" x14ac:dyDescent="0.25">
      <c r="A295" s="727"/>
      <c r="B295" s="309"/>
      <c r="C295" s="309"/>
      <c r="D295" s="309"/>
      <c r="E295" s="309"/>
      <c r="F295" s="309"/>
      <c r="G295" s="309"/>
      <c r="H295" s="309"/>
      <c r="I295" s="309"/>
      <c r="J295" s="309"/>
      <c r="K295" s="309"/>
      <c r="L295" s="309"/>
      <c r="M295" s="309"/>
      <c r="N295" s="309"/>
      <c r="O295" s="309"/>
      <c r="P295" s="309"/>
      <c r="Q295" s="309"/>
      <c r="R295" s="309"/>
      <c r="S295" s="309"/>
      <c r="T295" s="309"/>
    </row>
    <row r="296" spans="1:20" ht="15" customHeight="1" x14ac:dyDescent="0.25">
      <c r="A296" s="727"/>
      <c r="B296" s="309"/>
      <c r="C296" s="309"/>
      <c r="D296" s="309"/>
      <c r="E296" s="309"/>
      <c r="F296" s="309"/>
      <c r="G296" s="309"/>
      <c r="H296" s="309"/>
      <c r="I296" s="309"/>
      <c r="J296" s="309"/>
      <c r="K296" s="309"/>
      <c r="L296" s="309"/>
      <c r="M296" s="309"/>
      <c r="N296" s="309"/>
      <c r="O296" s="309"/>
      <c r="P296" s="309"/>
      <c r="Q296" s="309"/>
      <c r="R296" s="309"/>
      <c r="S296" s="309"/>
      <c r="T296" s="309"/>
    </row>
    <row r="297" spans="1:20" ht="15" customHeight="1" x14ac:dyDescent="0.25">
      <c r="A297" s="727"/>
      <c r="B297" s="309"/>
      <c r="C297" s="309"/>
      <c r="D297" s="309"/>
      <c r="E297" s="309"/>
      <c r="F297" s="309"/>
      <c r="G297" s="309"/>
      <c r="H297" s="309"/>
      <c r="I297" s="309"/>
      <c r="J297" s="309"/>
      <c r="K297" s="309"/>
      <c r="L297" s="309"/>
      <c r="M297" s="309"/>
      <c r="N297" s="309"/>
      <c r="O297" s="309"/>
      <c r="P297" s="309"/>
      <c r="Q297" s="309"/>
      <c r="R297" s="309"/>
      <c r="S297" s="309"/>
      <c r="T297" s="309"/>
    </row>
    <row r="298" spans="1:20" ht="15" customHeight="1" x14ac:dyDescent="0.25">
      <c r="A298" s="727"/>
      <c r="B298" s="309"/>
      <c r="C298" s="309"/>
      <c r="D298" s="309"/>
      <c r="E298" s="309"/>
      <c r="F298" s="309"/>
      <c r="G298" s="309"/>
      <c r="H298" s="309"/>
      <c r="I298" s="309"/>
      <c r="J298" s="309"/>
      <c r="K298" s="309"/>
      <c r="L298" s="309"/>
      <c r="M298" s="309"/>
      <c r="N298" s="309"/>
      <c r="O298" s="309"/>
      <c r="P298" s="309"/>
      <c r="Q298" s="309"/>
      <c r="R298" s="309"/>
      <c r="S298" s="309"/>
      <c r="T298" s="309"/>
    </row>
    <row r="299" spans="1:20" ht="15" customHeight="1" x14ac:dyDescent="0.25">
      <c r="A299" s="727"/>
      <c r="B299" s="309"/>
      <c r="C299" s="309"/>
      <c r="D299" s="309"/>
      <c r="E299" s="309"/>
      <c r="F299" s="309"/>
      <c r="G299" s="309"/>
      <c r="H299" s="309"/>
      <c r="I299" s="309"/>
      <c r="J299" s="309"/>
      <c r="K299" s="309"/>
      <c r="L299" s="309"/>
      <c r="M299" s="309"/>
      <c r="N299" s="309"/>
      <c r="O299" s="309"/>
      <c r="P299" s="309"/>
      <c r="Q299" s="309"/>
      <c r="R299" s="309"/>
      <c r="S299" s="309"/>
      <c r="T299" s="309"/>
    </row>
    <row r="300" spans="1:20" ht="15" customHeight="1" x14ac:dyDescent="0.25">
      <c r="A300" s="727"/>
      <c r="B300" s="309"/>
      <c r="C300" s="309"/>
      <c r="D300" s="309"/>
      <c r="E300" s="309"/>
      <c r="F300" s="309"/>
      <c r="G300" s="309"/>
      <c r="H300" s="309"/>
      <c r="I300" s="309"/>
      <c r="J300" s="309"/>
      <c r="K300" s="309"/>
      <c r="L300" s="309"/>
      <c r="M300" s="309"/>
      <c r="N300" s="309"/>
      <c r="O300" s="309"/>
      <c r="P300" s="309"/>
      <c r="Q300" s="309"/>
      <c r="R300" s="309"/>
      <c r="S300" s="309"/>
      <c r="T300" s="309"/>
    </row>
    <row r="301" spans="1:20" ht="15" customHeight="1" x14ac:dyDescent="0.25">
      <c r="A301" s="727"/>
      <c r="B301" s="309"/>
      <c r="C301" s="309"/>
      <c r="D301" s="309"/>
      <c r="E301" s="309"/>
      <c r="F301" s="309"/>
      <c r="G301" s="309"/>
      <c r="H301" s="309"/>
      <c r="I301" s="309"/>
      <c r="J301" s="309"/>
      <c r="K301" s="309"/>
      <c r="L301" s="309"/>
      <c r="M301" s="309"/>
      <c r="N301" s="309"/>
      <c r="O301" s="309"/>
      <c r="P301" s="309"/>
      <c r="Q301" s="309"/>
      <c r="R301" s="309"/>
      <c r="S301" s="309"/>
      <c r="T301" s="309"/>
    </row>
    <row r="302" spans="1:20" ht="15" customHeight="1" x14ac:dyDescent="0.25">
      <c r="A302" s="727"/>
      <c r="B302" s="309"/>
      <c r="C302" s="309"/>
      <c r="D302" s="309"/>
      <c r="E302" s="309"/>
      <c r="F302" s="309"/>
      <c r="G302" s="309"/>
      <c r="H302" s="309"/>
      <c r="I302" s="309"/>
      <c r="J302" s="309"/>
      <c r="K302" s="309"/>
      <c r="L302" s="309"/>
      <c r="M302" s="309"/>
      <c r="N302" s="309"/>
      <c r="O302" s="309"/>
      <c r="P302" s="309"/>
      <c r="Q302" s="309"/>
      <c r="R302" s="309"/>
      <c r="S302" s="309"/>
      <c r="T302" s="309"/>
    </row>
    <row r="303" spans="1:20" ht="15" customHeight="1" x14ac:dyDescent="0.25">
      <c r="A303" s="727"/>
      <c r="B303" s="309"/>
      <c r="C303" s="309"/>
      <c r="D303" s="309"/>
      <c r="E303" s="309"/>
      <c r="F303" s="309"/>
      <c r="G303" s="309"/>
      <c r="H303" s="309"/>
      <c r="I303" s="309"/>
      <c r="J303" s="309"/>
      <c r="K303" s="309"/>
      <c r="L303" s="309"/>
      <c r="M303" s="309"/>
      <c r="N303" s="309"/>
      <c r="O303" s="309"/>
      <c r="P303" s="309"/>
      <c r="Q303" s="309"/>
      <c r="R303" s="309"/>
      <c r="S303" s="309"/>
      <c r="T303" s="309"/>
    </row>
    <row r="304" spans="1:20" ht="15" customHeight="1" x14ac:dyDescent="0.25">
      <c r="A304" s="727"/>
      <c r="B304" s="309"/>
      <c r="C304" s="309"/>
      <c r="D304" s="309"/>
      <c r="E304" s="309"/>
      <c r="F304" s="309"/>
      <c r="G304" s="309"/>
      <c r="H304" s="309"/>
      <c r="I304" s="309"/>
      <c r="J304" s="309"/>
      <c r="K304" s="309"/>
      <c r="L304" s="309"/>
      <c r="M304" s="309"/>
      <c r="N304" s="309"/>
      <c r="O304" s="309"/>
      <c r="P304" s="309"/>
      <c r="Q304" s="309"/>
      <c r="R304" s="309"/>
      <c r="S304" s="309"/>
      <c r="T304" s="309"/>
    </row>
    <row r="305" spans="1:20" ht="15" customHeight="1" x14ac:dyDescent="0.25">
      <c r="A305" s="727"/>
      <c r="B305" s="309"/>
      <c r="C305" s="309"/>
      <c r="D305" s="309"/>
      <c r="E305" s="309"/>
      <c r="F305" s="309"/>
      <c r="G305" s="309"/>
      <c r="H305" s="309"/>
      <c r="I305" s="309"/>
      <c r="J305" s="309"/>
      <c r="K305" s="309"/>
      <c r="L305" s="309"/>
      <c r="M305" s="309"/>
      <c r="N305" s="309"/>
      <c r="O305" s="309"/>
      <c r="P305" s="309"/>
      <c r="Q305" s="309"/>
      <c r="R305" s="309"/>
      <c r="S305" s="309"/>
      <c r="T305" s="309"/>
    </row>
    <row r="306" spans="1:20" ht="15" customHeight="1" x14ac:dyDescent="0.25">
      <c r="A306" s="727"/>
      <c r="B306" s="309"/>
      <c r="C306" s="309"/>
      <c r="D306" s="309"/>
      <c r="E306" s="309"/>
      <c r="F306" s="309"/>
      <c r="G306" s="309"/>
      <c r="H306" s="309"/>
      <c r="I306" s="309"/>
      <c r="J306" s="309"/>
      <c r="K306" s="309"/>
      <c r="L306" s="309"/>
      <c r="M306" s="309"/>
      <c r="N306" s="309"/>
      <c r="O306" s="309"/>
      <c r="P306" s="309"/>
      <c r="Q306" s="309"/>
      <c r="R306" s="309"/>
      <c r="S306" s="309"/>
      <c r="T306" s="309"/>
    </row>
    <row r="307" spans="1:20" ht="15" customHeight="1" x14ac:dyDescent="0.25">
      <c r="A307" s="727"/>
      <c r="B307" s="309"/>
      <c r="C307" s="309"/>
      <c r="D307" s="309"/>
      <c r="E307" s="309"/>
      <c r="F307" s="309"/>
      <c r="G307" s="309"/>
      <c r="H307" s="309"/>
      <c r="I307" s="309"/>
      <c r="J307" s="309"/>
      <c r="K307" s="309"/>
      <c r="L307" s="309"/>
      <c r="M307" s="309"/>
      <c r="N307" s="309"/>
      <c r="O307" s="309"/>
      <c r="P307" s="309"/>
      <c r="Q307" s="309"/>
      <c r="R307" s="309"/>
      <c r="S307" s="309"/>
      <c r="T307" s="309"/>
    </row>
    <row r="308" spans="1:20" ht="15" customHeight="1" x14ac:dyDescent="0.25">
      <c r="A308" s="727"/>
      <c r="B308" s="309"/>
      <c r="C308" s="309"/>
      <c r="D308" s="309"/>
      <c r="E308" s="309"/>
      <c r="F308" s="652"/>
      <c r="G308" s="309"/>
      <c r="H308" s="309"/>
      <c r="I308" s="309"/>
      <c r="J308" s="309"/>
      <c r="K308" s="309"/>
      <c r="L308" s="309"/>
      <c r="M308" s="309"/>
      <c r="N308" s="309"/>
      <c r="O308" s="309"/>
      <c r="P308" s="309"/>
      <c r="Q308" s="309"/>
      <c r="R308" s="309"/>
      <c r="S308" s="309"/>
      <c r="T308" s="309"/>
    </row>
    <row r="309" spans="1:20" ht="15" customHeight="1" x14ac:dyDescent="0.25">
      <c r="A309" s="727"/>
      <c r="B309" s="309"/>
      <c r="C309" s="309"/>
      <c r="D309" s="309"/>
      <c r="E309" s="309"/>
      <c r="F309" s="309"/>
      <c r="G309" s="309"/>
      <c r="H309" s="309"/>
      <c r="I309" s="309"/>
      <c r="J309" s="309"/>
      <c r="K309" s="309"/>
      <c r="L309" s="309"/>
      <c r="M309" s="309"/>
      <c r="N309" s="309"/>
      <c r="O309" s="309"/>
      <c r="P309" s="309"/>
      <c r="Q309" s="309"/>
      <c r="R309" s="309"/>
      <c r="S309" s="309"/>
      <c r="T309" s="309"/>
    </row>
    <row r="310" spans="1:20" ht="15" customHeight="1" x14ac:dyDescent="0.25">
      <c r="A310" s="317"/>
      <c r="B310" s="309"/>
      <c r="C310" s="309"/>
      <c r="D310" s="309"/>
      <c r="E310" s="652"/>
      <c r="F310" s="309"/>
      <c r="G310" s="309"/>
      <c r="H310" s="309"/>
      <c r="I310" s="309"/>
      <c r="J310" s="309"/>
      <c r="K310" s="309"/>
      <c r="L310" s="309"/>
      <c r="M310" s="309"/>
      <c r="N310" s="309"/>
      <c r="O310" s="309"/>
      <c r="P310" s="309"/>
      <c r="Q310" s="309"/>
      <c r="R310" s="309"/>
      <c r="S310" s="309"/>
      <c r="T310" s="309"/>
    </row>
    <row r="311" spans="1:20" ht="15" customHeight="1" x14ac:dyDescent="0.25">
      <c r="A311" s="727"/>
      <c r="B311" s="309"/>
      <c r="C311" s="309"/>
      <c r="D311" s="309"/>
      <c r="E311" s="309"/>
      <c r="F311" s="317"/>
      <c r="G311" s="309"/>
      <c r="H311" s="309"/>
      <c r="I311" s="309"/>
      <c r="J311" s="309"/>
      <c r="K311" s="309"/>
      <c r="L311" s="309"/>
      <c r="M311" s="309"/>
      <c r="N311" s="309"/>
      <c r="O311" s="309"/>
      <c r="P311" s="309"/>
      <c r="Q311" s="309"/>
      <c r="R311" s="309"/>
      <c r="S311" s="309"/>
      <c r="T311" s="309"/>
    </row>
    <row r="312" spans="1:20" ht="15" customHeight="1" x14ac:dyDescent="0.25">
      <c r="A312" s="317"/>
      <c r="B312" s="309"/>
      <c r="C312" s="309"/>
      <c r="D312" s="652"/>
      <c r="E312" s="309"/>
      <c r="F312" s="309"/>
      <c r="G312" s="309"/>
      <c r="H312" s="309"/>
      <c r="I312" s="309"/>
      <c r="J312" s="309"/>
      <c r="K312" s="309"/>
      <c r="L312" s="309"/>
      <c r="M312" s="309"/>
      <c r="N312" s="309"/>
      <c r="O312" s="309"/>
      <c r="P312" s="309"/>
      <c r="Q312" s="309"/>
      <c r="R312" s="309"/>
      <c r="S312" s="309"/>
      <c r="T312" s="309"/>
    </row>
    <row r="313" spans="1:20" ht="15" customHeight="1" x14ac:dyDescent="0.25">
      <c r="A313" s="727"/>
      <c r="B313" s="309"/>
      <c r="C313" s="309"/>
      <c r="D313" s="309"/>
      <c r="E313" s="309"/>
      <c r="F313" s="309"/>
      <c r="G313" s="309"/>
      <c r="H313" s="309"/>
      <c r="I313" s="309"/>
      <c r="J313" s="309"/>
      <c r="K313" s="309"/>
      <c r="L313" s="309"/>
      <c r="M313" s="309"/>
      <c r="N313" s="309"/>
      <c r="O313" s="309"/>
      <c r="P313" s="309"/>
      <c r="Q313" s="309"/>
      <c r="R313" s="309"/>
      <c r="S313" s="309"/>
      <c r="T313" s="309"/>
    </row>
    <row r="314" spans="1:20" ht="15" customHeight="1" x14ac:dyDescent="0.25">
      <c r="A314" s="727"/>
      <c r="B314" s="309"/>
      <c r="C314" s="309"/>
      <c r="D314" s="309"/>
      <c r="E314" s="309"/>
      <c r="F314" s="309"/>
      <c r="G314" s="309"/>
      <c r="H314" s="309"/>
      <c r="I314" s="309"/>
      <c r="J314" s="309"/>
      <c r="K314" s="309"/>
      <c r="L314" s="309"/>
      <c r="M314" s="309"/>
      <c r="N314" s="309"/>
      <c r="O314" s="309"/>
      <c r="P314" s="309"/>
      <c r="Q314" s="309"/>
      <c r="R314" s="309"/>
      <c r="S314" s="309"/>
      <c r="T314" s="309"/>
    </row>
    <row r="315" spans="1:20" ht="15" customHeight="1" x14ac:dyDescent="0.25">
      <c r="A315" s="727"/>
      <c r="B315" s="652"/>
      <c r="C315" s="309"/>
      <c r="D315" s="309"/>
      <c r="E315" s="309"/>
      <c r="F315" s="309"/>
      <c r="G315" s="309"/>
      <c r="H315" s="309"/>
      <c r="I315" s="309"/>
      <c r="J315" s="309"/>
      <c r="K315" s="309"/>
      <c r="L315" s="309"/>
      <c r="M315" s="309"/>
      <c r="N315" s="309"/>
      <c r="O315" s="309"/>
      <c r="P315" s="309"/>
      <c r="Q315" s="309"/>
      <c r="R315" s="309"/>
      <c r="S315" s="309"/>
      <c r="T315" s="309"/>
    </row>
    <row r="316" spans="1:20" ht="15" customHeight="1" x14ac:dyDescent="0.25">
      <c r="A316" s="727"/>
      <c r="B316" s="309"/>
      <c r="C316" s="309"/>
      <c r="D316" s="309"/>
      <c r="E316" s="309"/>
      <c r="F316" s="309"/>
      <c r="G316" s="309"/>
      <c r="H316" s="309"/>
      <c r="I316" s="309"/>
      <c r="J316" s="309"/>
      <c r="K316" s="309"/>
      <c r="L316" s="309"/>
      <c r="M316" s="309"/>
      <c r="N316" s="309"/>
      <c r="O316" s="309"/>
      <c r="P316" s="309"/>
      <c r="Q316" s="309"/>
      <c r="R316" s="309"/>
      <c r="S316" s="309"/>
      <c r="T316" s="309"/>
    </row>
    <row r="317" spans="1:20" ht="15" customHeight="1" x14ac:dyDescent="0.25">
      <c r="A317" s="727"/>
      <c r="B317" s="309"/>
      <c r="C317" s="309"/>
      <c r="D317" s="309"/>
      <c r="E317" s="309"/>
      <c r="F317" s="309"/>
      <c r="G317" s="309"/>
      <c r="H317" s="309"/>
      <c r="I317" s="309"/>
      <c r="J317" s="309"/>
      <c r="K317" s="309"/>
      <c r="L317" s="309"/>
      <c r="M317" s="309"/>
      <c r="N317" s="309"/>
      <c r="O317" s="309"/>
      <c r="P317" s="309"/>
      <c r="Q317" s="309"/>
      <c r="R317" s="309"/>
      <c r="S317" s="309"/>
      <c r="T317" s="309"/>
    </row>
    <row r="318" spans="1:20" ht="15" customHeight="1" x14ac:dyDescent="0.25">
      <c r="A318" s="727"/>
      <c r="B318" s="309"/>
      <c r="C318" s="309"/>
      <c r="D318" s="309"/>
      <c r="E318" s="309"/>
      <c r="F318" s="309"/>
      <c r="G318" s="309"/>
      <c r="H318" s="309"/>
      <c r="I318" s="309"/>
      <c r="J318" s="309"/>
      <c r="K318" s="309"/>
      <c r="L318" s="309"/>
      <c r="M318" s="309"/>
      <c r="N318" s="309"/>
      <c r="O318" s="309"/>
      <c r="P318" s="309"/>
      <c r="Q318" s="309"/>
      <c r="R318" s="309"/>
      <c r="S318" s="309"/>
      <c r="T318" s="309"/>
    </row>
    <row r="319" spans="1:20" ht="15" customHeight="1" x14ac:dyDescent="0.25">
      <c r="A319" s="727"/>
      <c r="B319" s="309"/>
      <c r="C319" s="309"/>
      <c r="D319" s="309"/>
      <c r="E319" s="309"/>
      <c r="F319" s="309"/>
      <c r="G319" s="309"/>
      <c r="H319" s="309"/>
      <c r="I319" s="309"/>
      <c r="J319" s="309"/>
      <c r="K319" s="309"/>
      <c r="L319" s="309"/>
      <c r="M319" s="309"/>
      <c r="N319" s="309"/>
      <c r="O319" s="309"/>
      <c r="P319" s="309"/>
      <c r="Q319" s="309"/>
      <c r="R319" s="309"/>
      <c r="S319" s="309"/>
      <c r="T319" s="309"/>
    </row>
    <row r="320" spans="1:20" ht="15" customHeight="1" x14ac:dyDescent="0.25">
      <c r="A320" s="727"/>
      <c r="B320" s="309"/>
      <c r="C320" s="309"/>
      <c r="D320" s="309"/>
      <c r="E320" s="309"/>
      <c r="F320" s="309"/>
      <c r="G320" s="309"/>
      <c r="H320" s="309"/>
      <c r="I320" s="309"/>
      <c r="J320" s="309"/>
      <c r="K320" s="309"/>
      <c r="L320" s="309"/>
      <c r="M320" s="309"/>
      <c r="N320" s="309"/>
      <c r="O320" s="309"/>
      <c r="P320" s="309"/>
      <c r="Q320" s="309"/>
      <c r="R320" s="309"/>
      <c r="S320" s="309"/>
      <c r="T320" s="309"/>
    </row>
    <row r="321" spans="1:20" ht="15" customHeight="1" x14ac:dyDescent="0.25">
      <c r="A321" s="727"/>
      <c r="B321" s="309"/>
      <c r="C321" s="309"/>
      <c r="D321" s="309"/>
      <c r="E321" s="309"/>
      <c r="F321" s="309"/>
      <c r="G321" s="309"/>
      <c r="H321" s="309"/>
      <c r="I321" s="309"/>
      <c r="J321" s="309"/>
      <c r="K321" s="309"/>
      <c r="L321" s="309"/>
      <c r="M321" s="309"/>
      <c r="N321" s="309"/>
      <c r="O321" s="309"/>
      <c r="P321" s="309"/>
      <c r="Q321" s="309"/>
      <c r="R321" s="309"/>
      <c r="S321" s="309"/>
      <c r="T321" s="309"/>
    </row>
    <row r="322" spans="1:20" ht="15" customHeight="1" x14ac:dyDescent="0.25">
      <c r="A322" s="317"/>
      <c r="B322" s="309"/>
      <c r="C322" s="652"/>
      <c r="D322" s="309"/>
      <c r="E322" s="309"/>
      <c r="F322" s="309"/>
      <c r="G322" s="309"/>
      <c r="H322" s="309"/>
      <c r="I322" s="309"/>
      <c r="J322" s="309"/>
      <c r="K322" s="309"/>
      <c r="L322" s="309"/>
      <c r="M322" s="309"/>
      <c r="N322" s="309"/>
      <c r="O322" s="309"/>
      <c r="P322" s="309"/>
      <c r="Q322" s="309"/>
      <c r="R322" s="309"/>
      <c r="S322" s="309"/>
      <c r="T322" s="309"/>
    </row>
    <row r="323" spans="1:20" ht="15" customHeight="1" x14ac:dyDescent="0.25">
      <c r="A323" s="727"/>
      <c r="B323" s="309"/>
      <c r="C323" s="309"/>
      <c r="D323" s="309"/>
      <c r="E323" s="309"/>
      <c r="F323" s="309"/>
      <c r="G323" s="309"/>
      <c r="H323" s="309"/>
      <c r="I323" s="309"/>
      <c r="J323" s="309"/>
      <c r="K323" s="309"/>
      <c r="L323" s="309"/>
      <c r="M323" s="309"/>
      <c r="N323" s="309"/>
      <c r="O323" s="309"/>
      <c r="P323" s="309"/>
      <c r="Q323" s="309"/>
      <c r="R323" s="309"/>
      <c r="S323" s="309"/>
      <c r="T323" s="309"/>
    </row>
    <row r="324" spans="1:20" ht="15" customHeight="1" x14ac:dyDescent="0.25">
      <c r="A324" s="727"/>
      <c r="B324" s="309"/>
      <c r="C324" s="309"/>
      <c r="D324" s="309"/>
      <c r="E324" s="309"/>
      <c r="F324" s="309"/>
      <c r="G324" s="309"/>
      <c r="H324" s="309"/>
      <c r="I324" s="309"/>
      <c r="J324" s="309"/>
      <c r="K324" s="309"/>
      <c r="L324" s="309"/>
      <c r="M324" s="309"/>
      <c r="N324" s="309"/>
      <c r="O324" s="309"/>
      <c r="P324" s="309"/>
      <c r="Q324" s="309"/>
      <c r="R324" s="309"/>
      <c r="S324" s="309"/>
      <c r="T324" s="309"/>
    </row>
    <row r="325" spans="1:20" ht="15" customHeight="1" x14ac:dyDescent="0.25">
      <c r="A325" s="727"/>
      <c r="B325" s="309"/>
      <c r="C325" s="309"/>
      <c r="D325" s="309"/>
      <c r="E325" s="309"/>
      <c r="F325" s="309"/>
      <c r="G325" s="309"/>
      <c r="H325" s="309"/>
      <c r="I325" s="309"/>
      <c r="J325" s="309"/>
      <c r="K325" s="309"/>
      <c r="L325" s="309"/>
      <c r="M325" s="309"/>
      <c r="N325" s="309"/>
      <c r="O325" s="309"/>
      <c r="P325" s="309"/>
      <c r="Q325" s="309"/>
      <c r="R325" s="309"/>
      <c r="S325" s="309"/>
      <c r="T325" s="309"/>
    </row>
    <row r="326" spans="1:20" ht="15" customHeight="1" x14ac:dyDescent="0.25">
      <c r="A326" s="727"/>
      <c r="B326" s="309"/>
      <c r="C326" s="309"/>
      <c r="D326" s="309"/>
      <c r="E326" s="309"/>
      <c r="F326" s="309"/>
      <c r="G326" s="309"/>
      <c r="H326" s="309"/>
      <c r="I326" s="309"/>
      <c r="J326" s="309"/>
      <c r="K326" s="309"/>
      <c r="L326" s="309"/>
      <c r="M326" s="309"/>
      <c r="N326" s="309"/>
      <c r="O326" s="309"/>
      <c r="P326" s="309"/>
      <c r="Q326" s="309"/>
      <c r="R326" s="309"/>
      <c r="S326" s="309"/>
      <c r="T326" s="309"/>
    </row>
    <row r="327" spans="1:20" ht="15" customHeight="1" x14ac:dyDescent="0.25">
      <c r="A327" s="727"/>
      <c r="B327" s="309"/>
      <c r="C327" s="309"/>
      <c r="D327" s="309"/>
      <c r="E327" s="309"/>
      <c r="F327" s="309"/>
      <c r="G327" s="309"/>
      <c r="H327" s="309"/>
      <c r="I327" s="309"/>
      <c r="J327" s="309"/>
      <c r="K327" s="309"/>
      <c r="L327" s="309"/>
      <c r="M327" s="309"/>
      <c r="N327" s="309"/>
      <c r="O327" s="309"/>
      <c r="P327" s="309"/>
      <c r="Q327" s="309"/>
      <c r="R327" s="309"/>
      <c r="S327" s="309"/>
      <c r="T327" s="309"/>
    </row>
    <row r="328" spans="1:20" ht="15" customHeight="1" x14ac:dyDescent="0.25">
      <c r="A328" s="727"/>
      <c r="B328" s="309"/>
      <c r="C328" s="309"/>
      <c r="D328" s="309"/>
      <c r="E328" s="309"/>
      <c r="F328" s="309"/>
      <c r="G328" s="309"/>
      <c r="H328" s="309"/>
      <c r="I328" s="309"/>
      <c r="J328" s="309"/>
      <c r="K328" s="309"/>
      <c r="L328" s="309"/>
      <c r="M328" s="309"/>
      <c r="N328" s="309"/>
      <c r="O328" s="309"/>
      <c r="P328" s="309"/>
      <c r="Q328" s="309"/>
      <c r="R328" s="309"/>
      <c r="S328" s="309"/>
      <c r="T328" s="309"/>
    </row>
    <row r="329" spans="1:20" ht="15" customHeight="1" x14ac:dyDescent="0.25">
      <c r="A329" s="727"/>
      <c r="B329" s="309"/>
      <c r="C329" s="309"/>
      <c r="D329" s="309"/>
      <c r="E329" s="309"/>
      <c r="F329" s="309"/>
      <c r="G329" s="309"/>
      <c r="H329" s="309"/>
      <c r="I329" s="309"/>
      <c r="J329" s="309"/>
      <c r="K329" s="309"/>
      <c r="L329" s="309"/>
      <c r="M329" s="309"/>
      <c r="N329" s="309"/>
      <c r="O329" s="309"/>
      <c r="P329" s="309"/>
      <c r="Q329" s="309"/>
      <c r="R329" s="309"/>
      <c r="S329" s="309"/>
      <c r="T329" s="309"/>
    </row>
    <row r="330" spans="1:20" ht="15" customHeight="1" x14ac:dyDescent="0.25">
      <c r="A330" s="727"/>
      <c r="B330" s="309"/>
      <c r="C330" s="309"/>
      <c r="D330" s="309"/>
      <c r="E330" s="309"/>
      <c r="F330" s="309"/>
      <c r="G330" s="309"/>
      <c r="H330" s="309"/>
      <c r="I330" s="309"/>
      <c r="J330" s="309"/>
      <c r="K330" s="309"/>
      <c r="L330" s="309"/>
      <c r="M330" s="309"/>
      <c r="N330" s="309"/>
      <c r="O330" s="309"/>
      <c r="P330" s="309"/>
      <c r="Q330" s="309"/>
      <c r="R330" s="309"/>
      <c r="S330" s="309"/>
      <c r="T330" s="309"/>
    </row>
    <row r="331" spans="1:20" ht="15" customHeight="1" x14ac:dyDescent="0.25">
      <c r="A331" s="727"/>
      <c r="B331" s="309"/>
      <c r="C331" s="309"/>
      <c r="D331" s="309"/>
      <c r="E331" s="309"/>
      <c r="F331" s="309"/>
      <c r="G331" s="309"/>
      <c r="H331" s="309"/>
      <c r="I331" s="309"/>
      <c r="J331" s="309"/>
      <c r="K331" s="309"/>
      <c r="L331" s="309"/>
      <c r="M331" s="309"/>
      <c r="N331" s="309"/>
      <c r="O331" s="309"/>
      <c r="P331" s="309"/>
      <c r="Q331" s="309"/>
      <c r="R331" s="309"/>
      <c r="S331" s="309"/>
      <c r="T331" s="309"/>
    </row>
    <row r="332" spans="1:20" ht="15" customHeight="1" x14ac:dyDescent="0.25">
      <c r="A332" s="727"/>
      <c r="B332" s="309"/>
      <c r="C332" s="309"/>
      <c r="D332" s="309"/>
      <c r="E332" s="309"/>
      <c r="F332" s="309"/>
      <c r="G332" s="309"/>
      <c r="H332" s="309"/>
      <c r="I332" s="309"/>
      <c r="J332" s="309"/>
      <c r="K332" s="309"/>
      <c r="L332" s="309"/>
      <c r="M332" s="309"/>
      <c r="N332" s="309"/>
      <c r="O332" s="309"/>
      <c r="P332" s="309"/>
      <c r="Q332" s="309"/>
      <c r="R332" s="309"/>
      <c r="S332" s="309"/>
      <c r="T332" s="309"/>
    </row>
    <row r="333" spans="1:20" ht="15" customHeight="1" x14ac:dyDescent="0.25">
      <c r="A333" s="727"/>
      <c r="B333" s="309"/>
      <c r="C333" s="309"/>
      <c r="D333" s="309"/>
      <c r="E333" s="309"/>
      <c r="F333" s="309"/>
      <c r="G333" s="309"/>
      <c r="H333" s="309"/>
      <c r="I333" s="309"/>
      <c r="J333" s="309"/>
      <c r="K333" s="309"/>
      <c r="L333" s="309"/>
      <c r="M333" s="309"/>
      <c r="N333" s="309"/>
      <c r="O333" s="309"/>
      <c r="P333" s="309"/>
      <c r="Q333" s="309"/>
      <c r="R333" s="309"/>
      <c r="S333" s="309"/>
      <c r="T333" s="309"/>
    </row>
    <row r="334" spans="1:20" ht="15" customHeight="1" x14ac:dyDescent="0.25">
      <c r="A334" s="727"/>
      <c r="B334" s="309"/>
      <c r="C334" s="309"/>
      <c r="D334" s="309"/>
      <c r="E334" s="309"/>
      <c r="F334" s="309"/>
      <c r="G334" s="309"/>
      <c r="H334" s="309"/>
      <c r="I334" s="309"/>
      <c r="J334" s="309"/>
      <c r="K334" s="309"/>
      <c r="L334" s="309"/>
      <c r="M334" s="309"/>
      <c r="N334" s="309"/>
      <c r="O334" s="309"/>
      <c r="P334" s="309"/>
      <c r="Q334" s="309"/>
      <c r="R334" s="309"/>
      <c r="S334" s="309"/>
      <c r="T334" s="309"/>
    </row>
    <row r="335" spans="1:20" ht="15" customHeight="1" x14ac:dyDescent="0.25">
      <c r="A335" s="727"/>
      <c r="B335" s="309"/>
      <c r="C335" s="309"/>
      <c r="D335" s="309"/>
      <c r="E335" s="309"/>
      <c r="F335" s="309"/>
      <c r="G335" s="309"/>
      <c r="H335" s="309"/>
      <c r="I335" s="309"/>
      <c r="J335" s="309"/>
      <c r="K335" s="309"/>
      <c r="L335" s="309"/>
      <c r="M335" s="309"/>
      <c r="N335" s="309"/>
      <c r="O335" s="309"/>
      <c r="P335" s="309"/>
      <c r="Q335" s="309"/>
      <c r="R335" s="309"/>
      <c r="S335" s="309"/>
      <c r="T335" s="309"/>
    </row>
    <row r="336" spans="1:20" ht="15" customHeight="1" x14ac:dyDescent="0.25">
      <c r="A336" s="727"/>
      <c r="B336" s="309"/>
      <c r="C336" s="309"/>
      <c r="D336" s="309"/>
      <c r="E336" s="309"/>
      <c r="F336" s="309"/>
      <c r="G336" s="309"/>
      <c r="H336" s="309"/>
      <c r="I336" s="309"/>
      <c r="J336" s="309"/>
      <c r="K336" s="309"/>
      <c r="L336" s="309"/>
      <c r="M336" s="309"/>
      <c r="N336" s="309"/>
      <c r="O336" s="309"/>
      <c r="P336" s="309"/>
      <c r="Q336" s="309"/>
      <c r="R336" s="309"/>
      <c r="S336" s="309"/>
      <c r="T336" s="309"/>
    </row>
    <row r="337" spans="1:20" ht="15" customHeight="1" x14ac:dyDescent="0.25">
      <c r="A337" s="727"/>
      <c r="B337" s="309"/>
      <c r="C337" s="309"/>
      <c r="D337" s="309"/>
      <c r="E337" s="309"/>
      <c r="F337" s="309"/>
      <c r="G337" s="309"/>
      <c r="H337" s="309"/>
      <c r="I337" s="309"/>
      <c r="J337" s="309"/>
      <c r="K337" s="309"/>
      <c r="L337" s="309"/>
      <c r="M337" s="309"/>
      <c r="N337" s="309"/>
      <c r="O337" s="309"/>
      <c r="P337" s="309"/>
      <c r="Q337" s="309"/>
      <c r="R337" s="309"/>
      <c r="S337" s="309"/>
      <c r="T337" s="309"/>
    </row>
    <row r="338" spans="1:20" ht="15" customHeight="1" x14ac:dyDescent="0.25">
      <c r="A338" s="727"/>
      <c r="B338" s="309"/>
      <c r="C338" s="309"/>
      <c r="D338" s="309"/>
      <c r="E338" s="309"/>
      <c r="F338" s="309"/>
      <c r="G338" s="309"/>
      <c r="H338" s="309"/>
      <c r="I338" s="309"/>
      <c r="J338" s="309"/>
      <c r="K338" s="309"/>
      <c r="L338" s="309"/>
      <c r="M338" s="309"/>
      <c r="N338" s="309"/>
      <c r="O338" s="309"/>
      <c r="P338" s="309"/>
      <c r="Q338" s="309"/>
      <c r="R338" s="309"/>
      <c r="S338" s="309"/>
      <c r="T338" s="309"/>
    </row>
    <row r="339" spans="1:20" ht="15" customHeight="1" x14ac:dyDescent="0.25">
      <c r="A339" s="727"/>
      <c r="B339" s="309"/>
      <c r="C339" s="309"/>
      <c r="D339" s="309"/>
      <c r="E339" s="309"/>
      <c r="F339" s="309"/>
      <c r="G339" s="309"/>
      <c r="H339" s="309"/>
      <c r="I339" s="309"/>
      <c r="J339" s="309"/>
      <c r="K339" s="309"/>
      <c r="L339" s="309"/>
      <c r="M339" s="309"/>
      <c r="N339" s="309"/>
      <c r="O339" s="309"/>
      <c r="P339" s="309"/>
      <c r="Q339" s="309"/>
      <c r="R339" s="309"/>
      <c r="S339" s="309"/>
      <c r="T339" s="309"/>
    </row>
    <row r="340" spans="1:20" ht="15" customHeight="1" x14ac:dyDescent="0.25">
      <c r="A340" s="317"/>
      <c r="B340" s="309"/>
      <c r="C340" s="309"/>
      <c r="D340" s="309"/>
      <c r="E340" s="309"/>
      <c r="F340" s="652"/>
      <c r="G340" s="309"/>
      <c r="H340" s="309"/>
      <c r="I340" s="309"/>
      <c r="J340" s="309"/>
      <c r="K340" s="309"/>
      <c r="L340" s="309"/>
      <c r="M340" s="309"/>
      <c r="N340" s="309"/>
      <c r="O340" s="309"/>
      <c r="P340" s="309"/>
      <c r="Q340" s="309"/>
      <c r="R340" s="309"/>
      <c r="S340" s="309"/>
      <c r="T340" s="309"/>
    </row>
    <row r="341" spans="1:20" ht="15" customHeight="1" x14ac:dyDescent="0.25">
      <c r="A341" s="727"/>
      <c r="B341" s="309"/>
      <c r="C341" s="309"/>
      <c r="D341" s="309"/>
      <c r="E341" s="309"/>
      <c r="F341" s="309"/>
      <c r="G341" s="309"/>
      <c r="H341" s="309"/>
      <c r="I341" s="309"/>
      <c r="J341" s="309"/>
      <c r="K341" s="309"/>
      <c r="L341" s="309"/>
      <c r="M341" s="309"/>
      <c r="N341" s="309"/>
      <c r="O341" s="309"/>
      <c r="P341" s="309"/>
      <c r="Q341" s="309"/>
      <c r="R341" s="309"/>
      <c r="S341" s="309"/>
      <c r="T341" s="309"/>
    </row>
    <row r="342" spans="1:20" ht="15" customHeight="1" x14ac:dyDescent="0.25">
      <c r="A342" s="727"/>
      <c r="B342" s="309"/>
      <c r="C342" s="309"/>
      <c r="D342" s="309"/>
      <c r="E342" s="652"/>
      <c r="F342" s="309"/>
      <c r="G342" s="309"/>
      <c r="H342" s="309"/>
      <c r="I342" s="309"/>
      <c r="J342" s="309"/>
      <c r="K342" s="309"/>
      <c r="L342" s="309"/>
      <c r="M342" s="309"/>
      <c r="N342" s="309"/>
      <c r="O342" s="309"/>
      <c r="P342" s="309"/>
      <c r="Q342" s="309"/>
      <c r="R342" s="309"/>
      <c r="S342" s="309"/>
      <c r="T342" s="309"/>
    </row>
    <row r="343" spans="1:20" ht="15" customHeight="1" x14ac:dyDescent="0.25">
      <c r="A343" s="727"/>
      <c r="B343" s="309"/>
      <c r="C343" s="309"/>
      <c r="D343" s="309"/>
      <c r="E343" s="309"/>
      <c r="F343" s="309"/>
      <c r="G343" s="309"/>
      <c r="H343" s="309"/>
      <c r="I343" s="309"/>
      <c r="J343" s="309"/>
      <c r="K343" s="309"/>
      <c r="L343" s="309"/>
      <c r="M343" s="309"/>
      <c r="N343" s="309"/>
      <c r="O343" s="309"/>
      <c r="P343" s="309"/>
      <c r="Q343" s="309"/>
      <c r="R343" s="309"/>
      <c r="S343" s="309"/>
      <c r="T343" s="309"/>
    </row>
    <row r="344" spans="1:20" ht="15" customHeight="1" x14ac:dyDescent="0.25">
      <c r="A344" s="727"/>
      <c r="B344" s="309"/>
      <c r="C344" s="309"/>
      <c r="D344" s="309"/>
      <c r="E344" s="309"/>
      <c r="F344" s="309"/>
      <c r="G344" s="309"/>
      <c r="H344" s="309"/>
      <c r="I344" s="309"/>
      <c r="J344" s="309"/>
      <c r="K344" s="309"/>
      <c r="L344" s="309"/>
      <c r="M344" s="309"/>
      <c r="N344" s="309"/>
      <c r="O344" s="309"/>
      <c r="P344" s="309"/>
      <c r="Q344" s="309"/>
      <c r="R344" s="309"/>
      <c r="S344" s="309"/>
      <c r="T344" s="309"/>
    </row>
    <row r="345" spans="1:20" ht="15" customHeight="1" x14ac:dyDescent="0.25">
      <c r="A345" s="727"/>
      <c r="B345" s="309"/>
      <c r="C345" s="309"/>
      <c r="D345" s="309"/>
      <c r="E345" s="309"/>
      <c r="F345" s="309"/>
      <c r="G345" s="309"/>
      <c r="H345" s="309"/>
      <c r="I345" s="309"/>
      <c r="J345" s="309"/>
      <c r="K345" s="309"/>
      <c r="L345" s="309"/>
      <c r="M345" s="309"/>
      <c r="N345" s="309"/>
      <c r="O345" s="309"/>
      <c r="P345" s="309"/>
      <c r="Q345" s="309"/>
      <c r="R345" s="309"/>
      <c r="S345" s="309"/>
      <c r="T345" s="309"/>
    </row>
    <row r="346" spans="1:20" ht="15" customHeight="1" x14ac:dyDescent="0.25">
      <c r="A346" s="317"/>
      <c r="B346" s="309"/>
      <c r="C346" s="309"/>
      <c r="D346" s="652"/>
      <c r="E346" s="309"/>
      <c r="F346" s="309"/>
      <c r="G346" s="309"/>
      <c r="H346" s="309"/>
      <c r="I346" s="309"/>
      <c r="J346" s="309"/>
      <c r="K346" s="309"/>
      <c r="L346" s="309"/>
      <c r="M346" s="309"/>
      <c r="N346" s="309"/>
      <c r="O346" s="309"/>
      <c r="P346" s="309"/>
      <c r="Q346" s="309"/>
      <c r="R346" s="309"/>
      <c r="S346" s="309"/>
      <c r="T346" s="309"/>
    </row>
    <row r="347" spans="1:20" ht="15" customHeight="1" x14ac:dyDescent="0.25">
      <c r="A347" s="317"/>
      <c r="B347" s="309"/>
      <c r="C347" s="652"/>
      <c r="D347" s="309"/>
      <c r="E347" s="309"/>
      <c r="F347" s="309"/>
      <c r="G347" s="309"/>
      <c r="H347" s="309"/>
      <c r="I347" s="309"/>
      <c r="J347" s="309"/>
      <c r="K347" s="309"/>
      <c r="L347" s="309"/>
      <c r="M347" s="309"/>
      <c r="N347" s="309"/>
      <c r="O347" s="309"/>
      <c r="P347" s="309"/>
      <c r="Q347" s="309"/>
      <c r="R347" s="309"/>
      <c r="S347" s="309"/>
      <c r="T347" s="309"/>
    </row>
    <row r="348" spans="1:20" ht="15" customHeight="1" x14ac:dyDescent="0.25">
      <c r="A348" s="727"/>
      <c r="B348" s="309"/>
      <c r="C348" s="309"/>
      <c r="D348" s="309"/>
      <c r="E348" s="309"/>
      <c r="F348" s="309"/>
      <c r="G348" s="309"/>
      <c r="H348" s="309"/>
      <c r="I348" s="309"/>
      <c r="J348" s="309"/>
      <c r="K348" s="309"/>
      <c r="L348" s="309"/>
      <c r="M348" s="309"/>
      <c r="N348" s="309"/>
      <c r="O348" s="309"/>
      <c r="P348" s="309"/>
      <c r="Q348" s="309"/>
      <c r="R348" s="309"/>
      <c r="S348" s="309"/>
      <c r="T348" s="309"/>
    </row>
    <row r="349" spans="1:20" ht="15" customHeight="1" x14ac:dyDescent="0.25">
      <c r="A349" s="727"/>
      <c r="B349" s="309"/>
      <c r="C349" s="309"/>
      <c r="D349" s="309"/>
      <c r="E349" s="309"/>
      <c r="F349" s="309"/>
      <c r="G349" s="309"/>
      <c r="H349" s="309"/>
      <c r="I349" s="309"/>
      <c r="J349" s="309"/>
      <c r="K349" s="309"/>
      <c r="L349" s="309"/>
      <c r="M349" s="309"/>
      <c r="N349" s="309"/>
      <c r="O349" s="309"/>
      <c r="P349" s="309"/>
      <c r="Q349" s="309"/>
      <c r="R349" s="309"/>
      <c r="S349" s="309"/>
      <c r="T349" s="309"/>
    </row>
    <row r="350" spans="1:20" ht="15" customHeight="1" x14ac:dyDescent="0.25">
      <c r="A350" s="727"/>
      <c r="B350" s="309"/>
      <c r="C350" s="309"/>
      <c r="D350" s="309"/>
      <c r="E350" s="309"/>
      <c r="F350" s="309"/>
      <c r="G350" s="309"/>
      <c r="H350" s="309"/>
      <c r="I350" s="309"/>
      <c r="J350" s="309"/>
      <c r="K350" s="309"/>
      <c r="L350" s="309"/>
      <c r="M350" s="309"/>
      <c r="N350" s="309"/>
      <c r="O350" s="309"/>
      <c r="P350" s="309"/>
      <c r="Q350" s="309"/>
      <c r="R350" s="309"/>
      <c r="S350" s="309"/>
      <c r="T350" s="309"/>
    </row>
    <row r="351" spans="1:20" ht="15" customHeight="1" x14ac:dyDescent="0.25">
      <c r="A351" s="317"/>
      <c r="B351" s="652"/>
      <c r="C351" s="309"/>
      <c r="D351" s="309"/>
      <c r="E351" s="309"/>
      <c r="F351" s="309"/>
      <c r="G351" s="309"/>
      <c r="H351" s="309"/>
      <c r="I351" s="309"/>
      <c r="J351" s="309"/>
      <c r="K351" s="309"/>
      <c r="L351" s="309"/>
      <c r="M351" s="309"/>
      <c r="N351" s="309"/>
      <c r="O351" s="309"/>
      <c r="P351" s="309"/>
      <c r="Q351" s="309"/>
      <c r="R351" s="309"/>
      <c r="S351" s="309"/>
      <c r="T351" s="309"/>
    </row>
    <row r="352" spans="1:20" ht="15" customHeight="1" x14ac:dyDescent="0.25">
      <c r="A352" s="727"/>
      <c r="B352" s="309"/>
      <c r="C352" s="309"/>
      <c r="D352" s="309"/>
      <c r="E352" s="309"/>
      <c r="F352" s="317"/>
      <c r="G352" s="309"/>
      <c r="H352" s="309"/>
      <c r="I352" s="309"/>
      <c r="J352" s="309"/>
      <c r="K352" s="309"/>
      <c r="L352" s="309"/>
      <c r="M352" s="309"/>
      <c r="N352" s="309"/>
      <c r="O352" s="309"/>
      <c r="P352" s="309"/>
      <c r="Q352" s="309"/>
      <c r="R352" s="309"/>
      <c r="S352" s="309"/>
      <c r="T352" s="309"/>
    </row>
    <row r="353" spans="1:20" ht="15" customHeight="1" x14ac:dyDescent="0.25">
      <c r="A353" s="727"/>
      <c r="B353" s="309"/>
      <c r="C353" s="309"/>
      <c r="D353" s="309"/>
      <c r="E353" s="309"/>
      <c r="F353" s="309"/>
      <c r="G353" s="309"/>
      <c r="H353" s="309"/>
      <c r="I353" s="309"/>
      <c r="J353" s="309"/>
      <c r="K353" s="309"/>
      <c r="L353" s="309"/>
      <c r="M353" s="309"/>
      <c r="N353" s="309"/>
      <c r="O353" s="309"/>
      <c r="P353" s="309"/>
      <c r="Q353" s="309"/>
      <c r="R353" s="309"/>
      <c r="S353" s="309"/>
      <c r="T353" s="309"/>
    </row>
    <row r="354" spans="1:20" ht="15" customHeight="1" x14ac:dyDescent="0.25">
      <c r="A354" s="727"/>
      <c r="B354" s="309"/>
      <c r="C354" s="309"/>
      <c r="D354" s="309"/>
      <c r="E354" s="309"/>
      <c r="F354" s="309"/>
      <c r="G354" s="309"/>
      <c r="H354" s="309"/>
      <c r="I354" s="309"/>
      <c r="J354" s="309"/>
      <c r="K354" s="309"/>
      <c r="L354" s="309"/>
      <c r="M354" s="309"/>
      <c r="N354" s="309"/>
      <c r="O354" s="309"/>
      <c r="P354" s="309"/>
      <c r="Q354" s="309"/>
      <c r="R354" s="309"/>
      <c r="S354" s="309"/>
      <c r="T354" s="309"/>
    </row>
    <row r="355" spans="1:20" ht="15" customHeight="1" x14ac:dyDescent="0.25">
      <c r="A355" s="727"/>
      <c r="B355" s="309"/>
      <c r="C355" s="309"/>
      <c r="D355" s="309"/>
      <c r="E355" s="309"/>
      <c r="F355" s="309"/>
      <c r="G355" s="309"/>
      <c r="H355" s="309"/>
      <c r="I355" s="309"/>
      <c r="J355" s="309"/>
      <c r="K355" s="309"/>
      <c r="L355" s="309"/>
      <c r="M355" s="309"/>
      <c r="N355" s="309"/>
      <c r="O355" s="309"/>
      <c r="P355" s="309"/>
      <c r="Q355" s="309"/>
      <c r="R355" s="309"/>
      <c r="S355" s="309"/>
      <c r="T355" s="309"/>
    </row>
    <row r="356" spans="1:20" ht="15" customHeight="1" x14ac:dyDescent="0.25">
      <c r="A356" s="727"/>
      <c r="B356" s="309"/>
      <c r="C356" s="309"/>
      <c r="D356" s="309"/>
      <c r="E356" s="309"/>
      <c r="F356" s="309"/>
      <c r="G356" s="309"/>
      <c r="H356" s="309"/>
      <c r="I356" s="309"/>
      <c r="J356" s="309"/>
      <c r="K356" s="309"/>
      <c r="L356" s="309"/>
      <c r="M356" s="309"/>
      <c r="N356" s="309"/>
      <c r="O356" s="309"/>
      <c r="P356" s="309"/>
      <c r="Q356" s="309"/>
      <c r="R356" s="309"/>
      <c r="S356" s="309"/>
      <c r="T356" s="309"/>
    </row>
    <row r="357" spans="1:20" ht="15" customHeight="1" x14ac:dyDescent="0.25">
      <c r="A357" s="727"/>
      <c r="B357" s="309"/>
      <c r="C357" s="309"/>
      <c r="D357" s="309"/>
      <c r="E357" s="309"/>
      <c r="F357" s="309"/>
      <c r="G357" s="309"/>
      <c r="H357" s="309"/>
      <c r="I357" s="309"/>
      <c r="J357" s="309"/>
      <c r="K357" s="309"/>
      <c r="L357" s="309"/>
      <c r="M357" s="309"/>
      <c r="N357" s="309"/>
      <c r="O357" s="309"/>
      <c r="P357" s="309"/>
      <c r="Q357" s="309"/>
      <c r="R357" s="309"/>
      <c r="S357" s="309"/>
      <c r="T357" s="309"/>
    </row>
    <row r="358" spans="1:20" ht="15" customHeight="1" x14ac:dyDescent="0.25">
      <c r="A358" s="727"/>
      <c r="B358" s="309"/>
      <c r="C358" s="309"/>
      <c r="D358" s="309"/>
      <c r="E358" s="309"/>
      <c r="F358" s="309"/>
      <c r="G358" s="309"/>
      <c r="H358" s="309"/>
      <c r="I358" s="309"/>
      <c r="J358" s="309"/>
      <c r="K358" s="309"/>
      <c r="L358" s="309"/>
      <c r="M358" s="309"/>
      <c r="N358" s="309"/>
      <c r="O358" s="309"/>
      <c r="P358" s="309"/>
      <c r="Q358" s="309"/>
      <c r="R358" s="309"/>
      <c r="S358" s="309"/>
      <c r="T358" s="309"/>
    </row>
    <row r="359" spans="1:20" ht="15" customHeight="1" x14ac:dyDescent="0.25">
      <c r="A359" s="727"/>
      <c r="B359" s="309"/>
      <c r="C359" s="309"/>
      <c r="D359" s="309"/>
      <c r="E359" s="309"/>
      <c r="F359" s="309"/>
      <c r="G359" s="309"/>
      <c r="H359" s="309"/>
      <c r="I359" s="309"/>
      <c r="J359" s="309"/>
      <c r="K359" s="309"/>
      <c r="L359" s="309"/>
      <c r="M359" s="309"/>
      <c r="N359" s="309"/>
      <c r="O359" s="309"/>
      <c r="P359" s="309"/>
      <c r="Q359" s="309"/>
      <c r="R359" s="309"/>
      <c r="S359" s="309"/>
      <c r="T359" s="309"/>
    </row>
    <row r="360" spans="1:20" ht="15" customHeight="1" x14ac:dyDescent="0.25">
      <c r="A360" s="727"/>
      <c r="B360" s="309"/>
      <c r="C360" s="309"/>
      <c r="D360" s="309"/>
      <c r="E360" s="309"/>
      <c r="F360" s="309"/>
      <c r="G360" s="309"/>
      <c r="H360" s="309"/>
      <c r="I360" s="309"/>
      <c r="J360" s="309"/>
      <c r="K360" s="309"/>
      <c r="L360" s="309"/>
      <c r="M360" s="309"/>
      <c r="N360" s="309"/>
      <c r="O360" s="309"/>
      <c r="P360" s="309"/>
      <c r="Q360" s="309"/>
      <c r="R360" s="309"/>
      <c r="S360" s="309"/>
      <c r="T360" s="309"/>
    </row>
    <row r="361" spans="1:20" ht="15" customHeight="1" x14ac:dyDescent="0.25">
      <c r="A361" s="727"/>
      <c r="B361" s="309"/>
      <c r="C361" s="309"/>
      <c r="D361" s="309"/>
      <c r="E361" s="309"/>
      <c r="F361" s="309"/>
      <c r="G361" s="309"/>
      <c r="H361" s="309"/>
      <c r="I361" s="309"/>
      <c r="J361" s="309"/>
      <c r="K361" s="309"/>
      <c r="L361" s="309"/>
      <c r="M361" s="309"/>
      <c r="N361" s="309"/>
      <c r="O361" s="309"/>
      <c r="P361" s="309"/>
      <c r="Q361" s="309"/>
      <c r="R361" s="309"/>
      <c r="S361" s="309"/>
      <c r="T361" s="309"/>
    </row>
    <row r="362" spans="1:20" ht="15" customHeight="1" x14ac:dyDescent="0.25">
      <c r="A362" s="727"/>
      <c r="B362" s="309"/>
      <c r="C362" s="309"/>
      <c r="D362" s="309"/>
      <c r="E362" s="309"/>
      <c r="F362" s="309"/>
      <c r="G362" s="309"/>
      <c r="H362" s="309"/>
      <c r="I362" s="309"/>
      <c r="J362" s="309"/>
      <c r="K362" s="309"/>
      <c r="L362" s="309"/>
      <c r="M362" s="309"/>
      <c r="N362" s="309"/>
      <c r="O362" s="309"/>
      <c r="P362" s="309"/>
      <c r="Q362" s="309"/>
      <c r="R362" s="309"/>
      <c r="S362" s="309"/>
      <c r="T362" s="309"/>
    </row>
    <row r="363" spans="1:20" ht="15" customHeight="1" x14ac:dyDescent="0.25">
      <c r="A363" s="727"/>
      <c r="B363" s="309"/>
      <c r="C363" s="309"/>
      <c r="D363" s="309"/>
      <c r="E363" s="309"/>
      <c r="F363" s="309"/>
      <c r="G363" s="309"/>
      <c r="H363" s="309"/>
      <c r="I363" s="309"/>
      <c r="J363" s="309"/>
      <c r="K363" s="309"/>
      <c r="L363" s="309"/>
      <c r="M363" s="309"/>
      <c r="N363" s="309"/>
      <c r="O363" s="309"/>
      <c r="P363" s="309"/>
      <c r="Q363" s="309"/>
      <c r="R363" s="309"/>
      <c r="S363" s="309"/>
      <c r="T363" s="309"/>
    </row>
    <row r="364" spans="1:20" ht="15" customHeight="1" x14ac:dyDescent="0.25">
      <c r="A364" s="727"/>
      <c r="B364" s="309"/>
      <c r="C364" s="309"/>
      <c r="D364" s="309"/>
      <c r="E364" s="309"/>
      <c r="F364" s="309"/>
      <c r="G364" s="309"/>
      <c r="H364" s="309"/>
      <c r="I364" s="309"/>
      <c r="J364" s="309"/>
      <c r="K364" s="309"/>
      <c r="L364" s="309"/>
      <c r="M364" s="309"/>
      <c r="N364" s="309"/>
      <c r="O364" s="309"/>
      <c r="P364" s="309"/>
      <c r="Q364" s="309"/>
      <c r="R364" s="309"/>
      <c r="S364" s="309"/>
      <c r="T364" s="309"/>
    </row>
    <row r="365" spans="1:20" ht="15" customHeight="1" x14ac:dyDescent="0.25">
      <c r="A365" s="727"/>
      <c r="B365" s="309"/>
      <c r="C365" s="309"/>
      <c r="D365" s="309"/>
      <c r="E365" s="309"/>
      <c r="F365" s="309"/>
      <c r="G365" s="309"/>
      <c r="H365" s="309"/>
      <c r="I365" s="309"/>
      <c r="J365" s="309"/>
      <c r="K365" s="309"/>
      <c r="L365" s="309"/>
      <c r="M365" s="309"/>
      <c r="N365" s="309"/>
      <c r="O365" s="309"/>
      <c r="P365" s="309"/>
      <c r="Q365" s="309"/>
      <c r="R365" s="309"/>
      <c r="S365" s="309"/>
      <c r="T365" s="309"/>
    </row>
    <row r="366" spans="1:20" ht="15" customHeight="1" x14ac:dyDescent="0.25">
      <c r="A366" s="727"/>
      <c r="B366" s="309"/>
      <c r="C366" s="309"/>
      <c r="D366" s="309"/>
      <c r="E366" s="309"/>
      <c r="F366" s="309"/>
      <c r="G366" s="309"/>
      <c r="H366" s="309"/>
      <c r="I366" s="309"/>
      <c r="J366" s="309"/>
      <c r="K366" s="309"/>
      <c r="L366" s="309"/>
      <c r="M366" s="309"/>
      <c r="N366" s="309"/>
      <c r="O366" s="309"/>
      <c r="P366" s="309"/>
      <c r="Q366" s="309"/>
      <c r="R366" s="309"/>
      <c r="S366" s="309"/>
      <c r="T366" s="309"/>
    </row>
    <row r="367" spans="1:20" ht="15" customHeight="1" x14ac:dyDescent="0.25">
      <c r="A367" s="727"/>
      <c r="B367" s="309"/>
      <c r="C367" s="309"/>
      <c r="D367" s="309"/>
      <c r="E367" s="309"/>
      <c r="F367" s="309"/>
      <c r="G367" s="309"/>
      <c r="H367" s="309"/>
      <c r="I367" s="309"/>
      <c r="J367" s="309"/>
      <c r="K367" s="309"/>
      <c r="L367" s="309"/>
      <c r="M367" s="309"/>
      <c r="N367" s="309"/>
      <c r="O367" s="309"/>
      <c r="P367" s="309"/>
      <c r="Q367" s="309"/>
      <c r="R367" s="309"/>
      <c r="S367" s="309"/>
      <c r="T367" s="309"/>
    </row>
    <row r="368" spans="1:20" ht="15" customHeight="1" x14ac:dyDescent="0.25">
      <c r="A368" s="727"/>
      <c r="B368" s="309"/>
      <c r="C368" s="309"/>
      <c r="D368" s="309"/>
      <c r="E368" s="309"/>
      <c r="F368" s="309"/>
      <c r="G368" s="309"/>
      <c r="H368" s="309"/>
      <c r="I368" s="309"/>
      <c r="J368" s="309"/>
      <c r="K368" s="309"/>
      <c r="L368" s="309"/>
      <c r="M368" s="309"/>
      <c r="N368" s="309"/>
      <c r="O368" s="309"/>
      <c r="P368" s="309"/>
      <c r="Q368" s="309"/>
      <c r="R368" s="309"/>
      <c r="S368" s="309"/>
      <c r="T368" s="309"/>
    </row>
    <row r="369" spans="1:20" ht="15" customHeight="1" x14ac:dyDescent="0.25">
      <c r="A369" s="727"/>
      <c r="B369" s="309"/>
      <c r="C369" s="309"/>
      <c r="D369" s="309"/>
      <c r="E369" s="309"/>
      <c r="F369" s="309"/>
      <c r="G369" s="309"/>
      <c r="H369" s="309"/>
      <c r="I369" s="309"/>
      <c r="J369" s="309"/>
      <c r="K369" s="309"/>
      <c r="L369" s="309"/>
      <c r="M369" s="309"/>
      <c r="N369" s="309"/>
      <c r="O369" s="309"/>
      <c r="P369" s="309"/>
      <c r="Q369" s="309"/>
      <c r="R369" s="309"/>
      <c r="S369" s="309"/>
      <c r="T369" s="309"/>
    </row>
    <row r="370" spans="1:20" ht="15" customHeight="1" x14ac:dyDescent="0.25">
      <c r="A370" s="727"/>
      <c r="B370" s="309"/>
      <c r="C370" s="309"/>
      <c r="D370" s="309"/>
      <c r="E370" s="309"/>
      <c r="F370" s="309"/>
      <c r="G370" s="309"/>
      <c r="H370" s="309"/>
      <c r="I370" s="309"/>
      <c r="J370" s="309"/>
      <c r="K370" s="309"/>
      <c r="L370" s="309"/>
      <c r="M370" s="309"/>
      <c r="N370" s="309"/>
      <c r="O370" s="309"/>
      <c r="P370" s="309"/>
      <c r="Q370" s="309"/>
      <c r="R370" s="309"/>
      <c r="S370" s="309"/>
      <c r="T370" s="309"/>
    </row>
    <row r="371" spans="1:20" ht="15" customHeight="1" x14ac:dyDescent="0.25">
      <c r="A371" s="727"/>
      <c r="B371" s="309"/>
      <c r="C371" s="309"/>
      <c r="D371" s="309"/>
      <c r="E371" s="309"/>
      <c r="F371" s="309"/>
      <c r="G371" s="309"/>
      <c r="H371" s="309"/>
      <c r="I371" s="309"/>
      <c r="J371" s="309"/>
      <c r="K371" s="309"/>
      <c r="L371" s="309"/>
      <c r="M371" s="309"/>
      <c r="N371" s="309"/>
      <c r="O371" s="309"/>
      <c r="P371" s="309"/>
      <c r="Q371" s="309"/>
      <c r="R371" s="309"/>
      <c r="S371" s="309"/>
      <c r="T371" s="309"/>
    </row>
    <row r="372" spans="1:20" ht="15" customHeight="1" x14ac:dyDescent="0.25">
      <c r="A372" s="727"/>
      <c r="B372" s="309"/>
      <c r="C372" s="309"/>
      <c r="D372" s="309"/>
      <c r="E372" s="309"/>
      <c r="F372" s="309"/>
      <c r="G372" s="309"/>
      <c r="H372" s="309"/>
      <c r="I372" s="309"/>
      <c r="J372" s="309"/>
      <c r="K372" s="309"/>
      <c r="L372" s="309"/>
      <c r="M372" s="309"/>
      <c r="N372" s="309"/>
      <c r="O372" s="309"/>
      <c r="P372" s="309"/>
      <c r="Q372" s="309"/>
      <c r="R372" s="309"/>
      <c r="S372" s="309"/>
      <c r="T372" s="309"/>
    </row>
    <row r="373" spans="1:20" ht="15" customHeight="1" x14ac:dyDescent="0.25">
      <c r="A373" s="727"/>
      <c r="B373" s="309"/>
      <c r="C373" s="309"/>
      <c r="D373" s="309"/>
      <c r="E373" s="309"/>
      <c r="F373" s="309"/>
      <c r="G373" s="309"/>
      <c r="H373" s="309"/>
      <c r="I373" s="309"/>
      <c r="J373" s="309"/>
      <c r="K373" s="309"/>
      <c r="L373" s="309"/>
      <c r="M373" s="309"/>
      <c r="N373" s="309"/>
      <c r="O373" s="309"/>
      <c r="P373" s="309"/>
      <c r="Q373" s="309"/>
      <c r="R373" s="309"/>
      <c r="S373" s="309"/>
      <c r="T373" s="309"/>
    </row>
    <row r="374" spans="1:20" ht="15" customHeight="1" x14ac:dyDescent="0.25">
      <c r="A374" s="727"/>
      <c r="B374" s="309"/>
      <c r="C374" s="309"/>
      <c r="D374" s="309"/>
      <c r="E374" s="309"/>
      <c r="F374" s="309"/>
      <c r="G374" s="309"/>
      <c r="H374" s="309"/>
      <c r="I374" s="309"/>
      <c r="J374" s="309"/>
      <c r="K374" s="309"/>
      <c r="L374" s="309"/>
      <c r="M374" s="309"/>
      <c r="N374" s="309"/>
      <c r="O374" s="309"/>
      <c r="P374" s="309"/>
      <c r="Q374" s="309"/>
      <c r="R374" s="309"/>
      <c r="S374" s="309"/>
      <c r="T374" s="309"/>
    </row>
    <row r="375" spans="1:20" ht="15" customHeight="1" x14ac:dyDescent="0.25">
      <c r="A375" s="727"/>
      <c r="B375" s="309"/>
      <c r="C375" s="309"/>
      <c r="D375" s="309"/>
      <c r="E375" s="309"/>
      <c r="F375" s="309"/>
      <c r="G375" s="309"/>
      <c r="H375" s="309"/>
      <c r="I375" s="309"/>
      <c r="J375" s="309"/>
      <c r="K375" s="309"/>
      <c r="L375" s="309"/>
      <c r="M375" s="309"/>
      <c r="N375" s="309"/>
      <c r="O375" s="309"/>
      <c r="P375" s="309"/>
      <c r="Q375" s="309"/>
      <c r="R375" s="309"/>
      <c r="S375" s="309"/>
      <c r="T375" s="309"/>
    </row>
    <row r="376" spans="1:20" ht="15" customHeight="1" x14ac:dyDescent="0.25">
      <c r="A376" s="727"/>
      <c r="B376" s="309"/>
      <c r="C376" s="309"/>
      <c r="D376" s="309"/>
      <c r="E376" s="309"/>
      <c r="F376" s="309"/>
      <c r="G376" s="309"/>
      <c r="H376" s="309"/>
      <c r="I376" s="309"/>
      <c r="J376" s="309"/>
      <c r="K376" s="309"/>
      <c r="L376" s="309"/>
      <c r="M376" s="309"/>
      <c r="N376" s="309"/>
      <c r="O376" s="309"/>
      <c r="P376" s="309"/>
      <c r="Q376" s="309"/>
      <c r="R376" s="309"/>
      <c r="S376" s="309"/>
      <c r="T376" s="309"/>
    </row>
    <row r="377" spans="1:20" ht="15" customHeight="1" x14ac:dyDescent="0.25">
      <c r="A377" s="727"/>
      <c r="B377" s="309"/>
      <c r="C377" s="309"/>
      <c r="D377" s="309"/>
      <c r="E377" s="309"/>
      <c r="F377" s="309"/>
      <c r="G377" s="309"/>
      <c r="H377" s="309"/>
      <c r="I377" s="309"/>
      <c r="J377" s="309"/>
      <c r="K377" s="309"/>
      <c r="L377" s="309"/>
      <c r="M377" s="309"/>
      <c r="N377" s="309"/>
      <c r="O377" s="309"/>
      <c r="P377" s="309"/>
      <c r="Q377" s="309"/>
      <c r="R377" s="309"/>
      <c r="S377" s="309"/>
      <c r="T377" s="309"/>
    </row>
    <row r="378" spans="1:20" ht="15" customHeight="1" x14ac:dyDescent="0.25">
      <c r="A378" s="727"/>
      <c r="B378" s="309"/>
      <c r="C378" s="309"/>
      <c r="D378" s="309"/>
      <c r="E378" s="309"/>
      <c r="F378" s="309"/>
      <c r="G378" s="309"/>
      <c r="H378" s="309"/>
      <c r="I378" s="309"/>
      <c r="J378" s="309"/>
      <c r="K378" s="309"/>
      <c r="L378" s="309"/>
      <c r="M378" s="309"/>
      <c r="N378" s="309"/>
      <c r="O378" s="309"/>
      <c r="P378" s="309"/>
      <c r="Q378" s="309"/>
      <c r="R378" s="309"/>
      <c r="S378" s="309"/>
      <c r="T378" s="309"/>
    </row>
    <row r="379" spans="1:20" ht="15" customHeight="1" x14ac:dyDescent="0.25">
      <c r="A379" s="727"/>
      <c r="B379" s="309"/>
      <c r="C379" s="309"/>
      <c r="D379" s="309"/>
      <c r="E379" s="309"/>
      <c r="F379" s="309"/>
      <c r="G379" s="309"/>
      <c r="H379" s="309"/>
      <c r="I379" s="309"/>
      <c r="J379" s="309"/>
      <c r="K379" s="309"/>
      <c r="L379" s="309"/>
      <c r="M379" s="309"/>
      <c r="N379" s="309"/>
      <c r="O379" s="309"/>
      <c r="P379" s="309"/>
      <c r="Q379" s="309"/>
      <c r="R379" s="309"/>
      <c r="S379" s="309"/>
      <c r="T379" s="309"/>
    </row>
    <row r="380" spans="1:20" ht="15" customHeight="1" x14ac:dyDescent="0.25">
      <c r="A380" s="727"/>
      <c r="B380" s="309"/>
      <c r="C380" s="309"/>
      <c r="D380" s="309"/>
      <c r="E380" s="309"/>
      <c r="F380" s="309"/>
      <c r="G380" s="309"/>
      <c r="H380" s="309"/>
      <c r="I380" s="309"/>
      <c r="J380" s="309"/>
      <c r="K380" s="309"/>
      <c r="L380" s="309"/>
      <c r="M380" s="309"/>
      <c r="N380" s="309"/>
      <c r="O380" s="309"/>
      <c r="P380" s="309"/>
      <c r="Q380" s="309"/>
      <c r="R380" s="309"/>
      <c r="S380" s="309"/>
      <c r="T380" s="309"/>
    </row>
    <row r="381" spans="1:20" ht="15" customHeight="1" x14ac:dyDescent="0.25">
      <c r="A381" s="727"/>
      <c r="B381" s="309"/>
      <c r="C381" s="309"/>
      <c r="D381" s="309"/>
      <c r="E381" s="309"/>
      <c r="F381" s="309"/>
      <c r="G381" s="309"/>
      <c r="H381" s="309"/>
      <c r="I381" s="309"/>
      <c r="J381" s="309"/>
      <c r="K381" s="309"/>
      <c r="L381" s="309"/>
      <c r="M381" s="309"/>
      <c r="N381" s="309"/>
      <c r="O381" s="309"/>
      <c r="P381" s="309"/>
      <c r="Q381" s="309"/>
      <c r="R381" s="309"/>
      <c r="S381" s="309"/>
      <c r="T381" s="309"/>
    </row>
    <row r="382" spans="1:20" ht="15" customHeight="1" x14ac:dyDescent="0.25">
      <c r="A382" s="727"/>
      <c r="B382" s="309"/>
      <c r="C382" s="309"/>
      <c r="D382" s="309"/>
      <c r="E382" s="309"/>
      <c r="F382" s="309"/>
      <c r="G382" s="309"/>
      <c r="H382" s="309"/>
      <c r="I382" s="309"/>
      <c r="J382" s="309"/>
      <c r="K382" s="309"/>
      <c r="L382" s="309"/>
      <c r="M382" s="309"/>
      <c r="N382" s="309"/>
      <c r="O382" s="309"/>
      <c r="P382" s="309"/>
      <c r="Q382" s="309"/>
      <c r="R382" s="309"/>
      <c r="S382" s="309"/>
      <c r="T382" s="309"/>
    </row>
    <row r="383" spans="1:20" ht="15" customHeight="1" x14ac:dyDescent="0.25">
      <c r="A383" s="727"/>
      <c r="B383" s="309"/>
      <c r="C383" s="309"/>
      <c r="D383" s="309"/>
      <c r="E383" s="309"/>
      <c r="F383" s="309"/>
      <c r="G383" s="309"/>
      <c r="H383" s="309"/>
      <c r="I383" s="309"/>
      <c r="J383" s="309"/>
      <c r="K383" s="309"/>
      <c r="L383" s="309"/>
      <c r="M383" s="309"/>
      <c r="N383" s="309"/>
      <c r="O383" s="309"/>
      <c r="P383" s="309"/>
      <c r="Q383" s="309"/>
      <c r="R383" s="309"/>
      <c r="S383" s="309"/>
      <c r="T383" s="309"/>
    </row>
    <row r="384" spans="1:20" ht="15" customHeight="1" x14ac:dyDescent="0.25">
      <c r="A384" s="727"/>
      <c r="B384" s="309"/>
      <c r="C384" s="309"/>
      <c r="D384" s="309"/>
      <c r="E384" s="309"/>
      <c r="F384" s="309"/>
      <c r="G384" s="309"/>
      <c r="H384" s="309"/>
      <c r="I384" s="309"/>
      <c r="J384" s="309"/>
      <c r="K384" s="309"/>
      <c r="L384" s="309"/>
      <c r="M384" s="309"/>
      <c r="N384" s="309"/>
      <c r="O384" s="309"/>
      <c r="P384" s="309"/>
      <c r="Q384" s="309"/>
      <c r="R384" s="309"/>
      <c r="S384" s="309"/>
      <c r="T384" s="309"/>
    </row>
    <row r="385" spans="1:20" ht="15" customHeight="1" x14ac:dyDescent="0.25">
      <c r="A385" s="727"/>
      <c r="B385" s="309"/>
      <c r="C385" s="309"/>
      <c r="D385" s="309"/>
      <c r="E385" s="309"/>
      <c r="F385" s="309"/>
      <c r="G385" s="309"/>
      <c r="H385" s="309"/>
      <c r="I385" s="309"/>
      <c r="J385" s="309"/>
      <c r="K385" s="309"/>
      <c r="L385" s="309"/>
      <c r="M385" s="309"/>
      <c r="N385" s="309"/>
      <c r="O385" s="309"/>
      <c r="P385" s="309"/>
      <c r="Q385" s="309"/>
      <c r="R385" s="309"/>
      <c r="S385" s="309"/>
      <c r="T385" s="309"/>
    </row>
    <row r="386" spans="1:20" ht="15" customHeight="1" x14ac:dyDescent="0.25">
      <c r="A386" s="727"/>
      <c r="B386" s="309"/>
      <c r="C386" s="309"/>
      <c r="D386" s="309"/>
      <c r="E386" s="309"/>
      <c r="F386" s="309"/>
      <c r="G386" s="309"/>
      <c r="H386" s="309"/>
      <c r="I386" s="309"/>
      <c r="J386" s="309"/>
      <c r="K386" s="309"/>
      <c r="L386" s="309"/>
      <c r="M386" s="309"/>
      <c r="N386" s="309"/>
      <c r="O386" s="309"/>
      <c r="P386" s="309"/>
      <c r="Q386" s="309"/>
      <c r="R386" s="309"/>
      <c r="S386" s="309"/>
      <c r="T386" s="309"/>
    </row>
    <row r="387" spans="1:20" ht="15" customHeight="1" x14ac:dyDescent="0.25">
      <c r="A387" s="727"/>
      <c r="B387" s="309"/>
      <c r="C387" s="309"/>
      <c r="D387" s="309"/>
      <c r="E387" s="309"/>
      <c r="F387" s="309"/>
      <c r="G387" s="309"/>
      <c r="H387" s="309"/>
      <c r="I387" s="309"/>
      <c r="J387" s="309"/>
      <c r="K387" s="309"/>
      <c r="L387" s="309"/>
      <c r="M387" s="309"/>
      <c r="N387" s="309"/>
      <c r="O387" s="309"/>
      <c r="P387" s="309"/>
      <c r="Q387" s="309"/>
      <c r="R387" s="309"/>
      <c r="S387" s="309"/>
      <c r="T387" s="309"/>
    </row>
    <row r="388" spans="1:20" ht="15" customHeight="1" x14ac:dyDescent="0.25">
      <c r="A388" s="727"/>
      <c r="B388" s="309"/>
      <c r="C388" s="309"/>
      <c r="D388" s="309"/>
      <c r="E388" s="309"/>
      <c r="F388" s="309"/>
      <c r="G388" s="309"/>
      <c r="H388" s="309"/>
      <c r="I388" s="309"/>
      <c r="J388" s="309"/>
      <c r="K388" s="309"/>
      <c r="L388" s="309"/>
      <c r="M388" s="309"/>
      <c r="N388" s="309"/>
      <c r="O388" s="309"/>
      <c r="P388" s="309"/>
      <c r="Q388" s="309"/>
      <c r="R388" s="309"/>
      <c r="S388" s="309"/>
      <c r="T388" s="309"/>
    </row>
    <row r="389" spans="1:20" ht="15" customHeight="1" x14ac:dyDescent="0.25">
      <c r="A389" s="727"/>
      <c r="B389" s="309"/>
      <c r="C389" s="309"/>
      <c r="D389" s="309"/>
      <c r="E389" s="309"/>
      <c r="F389" s="309"/>
      <c r="G389" s="309"/>
      <c r="H389" s="309"/>
      <c r="I389" s="309"/>
      <c r="J389" s="309"/>
      <c r="K389" s="309"/>
      <c r="L389" s="309"/>
      <c r="M389" s="309"/>
      <c r="N389" s="309"/>
      <c r="O389" s="309"/>
      <c r="P389" s="309"/>
      <c r="Q389" s="309"/>
      <c r="R389" s="309"/>
      <c r="S389" s="309"/>
      <c r="T389" s="309"/>
    </row>
    <row r="390" spans="1:20" ht="15" customHeight="1" x14ac:dyDescent="0.25">
      <c r="A390" s="727"/>
      <c r="B390" s="309"/>
      <c r="C390" s="309"/>
      <c r="D390" s="309"/>
      <c r="E390" s="309"/>
      <c r="F390" s="309"/>
      <c r="G390" s="309"/>
      <c r="H390" s="309"/>
      <c r="I390" s="309"/>
      <c r="J390" s="309"/>
      <c r="K390" s="309"/>
      <c r="L390" s="309"/>
      <c r="M390" s="309"/>
      <c r="N390" s="309"/>
      <c r="O390" s="309"/>
      <c r="P390" s="309"/>
      <c r="Q390" s="309"/>
      <c r="R390" s="309"/>
      <c r="S390" s="309"/>
      <c r="T390" s="309"/>
    </row>
    <row r="391" spans="1:20" ht="15" customHeight="1" x14ac:dyDescent="0.25">
      <c r="A391" s="727"/>
      <c r="B391" s="309"/>
      <c r="C391" s="309"/>
      <c r="D391" s="309"/>
      <c r="E391" s="309"/>
      <c r="F391" s="309"/>
      <c r="G391" s="309"/>
      <c r="H391" s="309"/>
      <c r="I391" s="309"/>
      <c r="J391" s="309"/>
      <c r="K391" s="309"/>
      <c r="L391" s="309"/>
      <c r="M391" s="309"/>
      <c r="N391" s="309"/>
      <c r="O391" s="309"/>
      <c r="P391" s="309"/>
      <c r="Q391" s="309"/>
      <c r="R391" s="309"/>
      <c r="S391" s="309"/>
      <c r="T391" s="309"/>
    </row>
    <row r="392" spans="1:20" ht="15" customHeight="1" x14ac:dyDescent="0.25">
      <c r="A392" s="727"/>
      <c r="B392" s="309"/>
      <c r="C392" s="309"/>
      <c r="D392" s="309"/>
      <c r="E392" s="309"/>
      <c r="F392" s="309"/>
      <c r="G392" s="309"/>
      <c r="H392" s="309"/>
      <c r="I392" s="309"/>
      <c r="J392" s="309"/>
      <c r="K392" s="309"/>
      <c r="L392" s="309"/>
      <c r="M392" s="309"/>
      <c r="N392" s="309"/>
      <c r="O392" s="309"/>
      <c r="P392" s="309"/>
      <c r="Q392" s="309"/>
      <c r="R392" s="309"/>
      <c r="S392" s="309"/>
      <c r="T392" s="309"/>
    </row>
    <row r="393" spans="1:20" ht="15" customHeight="1" x14ac:dyDescent="0.25">
      <c r="A393" s="727"/>
      <c r="B393" s="309"/>
      <c r="C393" s="309"/>
      <c r="D393" s="309"/>
      <c r="E393" s="309"/>
      <c r="F393" s="309"/>
      <c r="G393" s="309"/>
      <c r="H393" s="309"/>
      <c r="I393" s="309"/>
      <c r="J393" s="309"/>
      <c r="K393" s="309"/>
      <c r="L393" s="309"/>
      <c r="M393" s="309"/>
      <c r="N393" s="309"/>
      <c r="O393" s="309"/>
      <c r="P393" s="309"/>
      <c r="Q393" s="309"/>
      <c r="R393" s="309"/>
      <c r="S393" s="309"/>
      <c r="T393" s="309"/>
    </row>
    <row r="394" spans="1:20" ht="15" customHeight="1" x14ac:dyDescent="0.25">
      <c r="A394" s="317"/>
      <c r="B394" s="309"/>
      <c r="C394" s="309"/>
      <c r="D394" s="309"/>
      <c r="E394" s="309"/>
      <c r="F394" s="652"/>
      <c r="G394" s="309"/>
      <c r="H394" s="309"/>
      <c r="I394" s="309"/>
      <c r="J394" s="309"/>
      <c r="K394" s="309"/>
      <c r="L394" s="309"/>
      <c r="M394" s="309"/>
      <c r="N394" s="309"/>
      <c r="O394" s="309"/>
      <c r="P394" s="309"/>
      <c r="Q394" s="309"/>
      <c r="R394" s="309"/>
      <c r="S394" s="309"/>
      <c r="T394" s="309"/>
    </row>
    <row r="395" spans="1:20" ht="15" customHeight="1" x14ac:dyDescent="0.25">
      <c r="A395" s="727"/>
      <c r="B395" s="309"/>
      <c r="C395" s="309"/>
      <c r="D395" s="309"/>
      <c r="E395" s="309"/>
      <c r="F395" s="309"/>
      <c r="G395" s="309"/>
      <c r="H395" s="309"/>
      <c r="I395" s="309"/>
      <c r="J395" s="309"/>
      <c r="K395" s="309"/>
      <c r="L395" s="309"/>
      <c r="M395" s="309"/>
      <c r="N395" s="309"/>
      <c r="O395" s="309"/>
      <c r="P395" s="309"/>
      <c r="Q395" s="309"/>
      <c r="R395" s="309"/>
      <c r="S395" s="309"/>
      <c r="T395" s="309"/>
    </row>
    <row r="396" spans="1:20" ht="15" customHeight="1" x14ac:dyDescent="0.25">
      <c r="A396" s="727"/>
      <c r="B396" s="309"/>
      <c r="C396" s="309"/>
      <c r="D396" s="309"/>
      <c r="E396" s="309"/>
      <c r="F396" s="309"/>
      <c r="G396" s="309"/>
      <c r="H396" s="309"/>
      <c r="I396" s="309"/>
      <c r="J396" s="309"/>
      <c r="K396" s="309"/>
      <c r="L396" s="309"/>
      <c r="M396" s="309"/>
      <c r="N396" s="309"/>
      <c r="O396" s="309"/>
      <c r="P396" s="309"/>
      <c r="Q396" s="309"/>
      <c r="R396" s="309"/>
      <c r="S396" s="309"/>
      <c r="T396" s="309"/>
    </row>
    <row r="397" spans="1:20" ht="15" customHeight="1" x14ac:dyDescent="0.25">
      <c r="A397" s="727"/>
      <c r="B397" s="309"/>
      <c r="C397" s="309"/>
      <c r="D397" s="309"/>
      <c r="E397" s="309"/>
      <c r="F397" s="309"/>
      <c r="G397" s="309"/>
      <c r="H397" s="309"/>
      <c r="I397" s="309"/>
      <c r="J397" s="309"/>
      <c r="K397" s="309"/>
      <c r="L397" s="309"/>
      <c r="M397" s="309"/>
      <c r="N397" s="309"/>
      <c r="O397" s="309"/>
      <c r="P397" s="309"/>
      <c r="Q397" s="309"/>
      <c r="R397" s="309"/>
      <c r="S397" s="309"/>
      <c r="T397" s="309"/>
    </row>
    <row r="398" spans="1:20" ht="15" customHeight="1" x14ac:dyDescent="0.25">
      <c r="A398" s="317"/>
      <c r="B398" s="309"/>
      <c r="C398" s="309"/>
      <c r="D398" s="309"/>
      <c r="E398" s="652"/>
      <c r="F398" s="309"/>
      <c r="G398" s="309"/>
      <c r="H398" s="309"/>
      <c r="I398" s="309"/>
      <c r="J398" s="309"/>
      <c r="K398" s="309"/>
      <c r="L398" s="309"/>
      <c r="M398" s="309"/>
      <c r="N398" s="309"/>
      <c r="O398" s="309"/>
      <c r="P398" s="309"/>
      <c r="Q398" s="309"/>
      <c r="R398" s="309"/>
      <c r="S398" s="309"/>
      <c r="T398" s="309"/>
    </row>
    <row r="399" spans="1:20" ht="15" customHeight="1" x14ac:dyDescent="0.25">
      <c r="A399" s="727"/>
      <c r="B399" s="309"/>
      <c r="C399" s="309"/>
      <c r="D399" s="309"/>
      <c r="E399" s="309"/>
      <c r="F399" s="309"/>
      <c r="G399" s="309"/>
      <c r="H399" s="309"/>
      <c r="I399" s="309"/>
      <c r="J399" s="309"/>
      <c r="K399" s="309"/>
      <c r="L399" s="309"/>
      <c r="M399" s="309"/>
      <c r="N399" s="309"/>
      <c r="O399" s="309"/>
      <c r="P399" s="309"/>
      <c r="Q399" s="309"/>
      <c r="R399" s="309"/>
      <c r="S399" s="309"/>
      <c r="T399" s="309"/>
    </row>
    <row r="400" spans="1:20" ht="15" customHeight="1" x14ac:dyDescent="0.25">
      <c r="A400" s="727"/>
      <c r="B400" s="309"/>
      <c r="C400" s="309"/>
      <c r="D400" s="309"/>
      <c r="E400" s="309"/>
      <c r="F400" s="309"/>
      <c r="G400" s="309"/>
      <c r="H400" s="309"/>
      <c r="I400" s="309"/>
      <c r="J400" s="309"/>
      <c r="K400" s="309"/>
      <c r="L400" s="309"/>
      <c r="M400" s="309"/>
      <c r="N400" s="309"/>
      <c r="O400" s="309"/>
      <c r="P400" s="309"/>
      <c r="Q400" s="309"/>
      <c r="R400" s="309"/>
      <c r="S400" s="309"/>
      <c r="T400" s="309"/>
    </row>
    <row r="401" spans="1:20" ht="15" customHeight="1" x14ac:dyDescent="0.25">
      <c r="A401" s="727"/>
      <c r="B401" s="309"/>
      <c r="C401" s="309"/>
      <c r="D401" s="309"/>
      <c r="E401" s="309"/>
      <c r="F401" s="309"/>
      <c r="G401" s="309"/>
      <c r="H401" s="309"/>
      <c r="I401" s="309"/>
      <c r="J401" s="309"/>
      <c r="K401" s="309"/>
      <c r="L401" s="309"/>
      <c r="M401" s="309"/>
      <c r="N401" s="309"/>
      <c r="O401" s="309"/>
      <c r="P401" s="309"/>
      <c r="Q401" s="309"/>
      <c r="R401" s="309"/>
      <c r="S401" s="309"/>
      <c r="T401" s="309"/>
    </row>
    <row r="402" spans="1:20" ht="15" customHeight="1" x14ac:dyDescent="0.25">
      <c r="A402" s="727"/>
      <c r="B402" s="309"/>
      <c r="C402" s="309"/>
      <c r="D402" s="309"/>
      <c r="E402" s="309"/>
      <c r="F402" s="309"/>
      <c r="G402" s="309"/>
      <c r="H402" s="309"/>
      <c r="I402" s="309"/>
      <c r="J402" s="309"/>
      <c r="K402" s="309"/>
      <c r="L402" s="309"/>
      <c r="M402" s="309"/>
      <c r="N402" s="309"/>
      <c r="O402" s="309"/>
      <c r="P402" s="309"/>
      <c r="Q402" s="309"/>
      <c r="R402" s="309"/>
      <c r="S402" s="309"/>
      <c r="T402" s="309"/>
    </row>
    <row r="403" spans="1:20" ht="15" customHeight="1" x14ac:dyDescent="0.25">
      <c r="A403" s="727"/>
      <c r="B403" s="309"/>
      <c r="C403" s="309"/>
      <c r="D403" s="309"/>
      <c r="E403" s="309"/>
      <c r="F403" s="309"/>
      <c r="G403" s="309"/>
      <c r="H403" s="309"/>
      <c r="I403" s="309"/>
      <c r="J403" s="309"/>
      <c r="K403" s="309"/>
      <c r="L403" s="309"/>
      <c r="M403" s="309"/>
      <c r="N403" s="309"/>
      <c r="O403" s="309"/>
      <c r="P403" s="309"/>
      <c r="Q403" s="309"/>
      <c r="R403" s="309"/>
      <c r="S403" s="309"/>
      <c r="T403" s="309"/>
    </row>
    <row r="404" spans="1:20" ht="15" customHeight="1" x14ac:dyDescent="0.25">
      <c r="A404" s="317"/>
      <c r="B404" s="309"/>
      <c r="C404" s="309"/>
      <c r="D404" s="652"/>
      <c r="E404" s="309"/>
      <c r="F404" s="309"/>
      <c r="G404" s="309"/>
      <c r="H404" s="309"/>
      <c r="I404" s="309"/>
      <c r="J404" s="309"/>
      <c r="K404" s="309"/>
      <c r="L404" s="309"/>
      <c r="M404" s="309"/>
      <c r="N404" s="309"/>
      <c r="O404" s="309"/>
      <c r="P404" s="309"/>
      <c r="Q404" s="309"/>
      <c r="R404" s="309"/>
      <c r="S404" s="309"/>
      <c r="T404" s="309"/>
    </row>
    <row r="405" spans="1:20" ht="15" customHeight="1" x14ac:dyDescent="0.25">
      <c r="A405" s="727"/>
      <c r="B405" s="309"/>
      <c r="C405" s="309"/>
      <c r="D405" s="309"/>
      <c r="E405" s="309"/>
      <c r="F405" s="309"/>
      <c r="G405" s="309"/>
      <c r="H405" s="309"/>
      <c r="I405" s="309"/>
      <c r="J405" s="309"/>
      <c r="K405" s="309"/>
      <c r="L405" s="309"/>
      <c r="M405" s="309"/>
      <c r="N405" s="309"/>
      <c r="O405" s="309"/>
      <c r="P405" s="309"/>
      <c r="Q405" s="309"/>
      <c r="R405" s="309"/>
      <c r="S405" s="309"/>
      <c r="T405" s="309"/>
    </row>
    <row r="406" spans="1:20" ht="15" customHeight="1" x14ac:dyDescent="0.25">
      <c r="A406" s="317"/>
      <c r="B406" s="309"/>
      <c r="C406" s="652"/>
      <c r="D406" s="309"/>
      <c r="E406" s="309"/>
      <c r="F406" s="309"/>
      <c r="G406" s="309"/>
      <c r="H406" s="309"/>
      <c r="I406" s="309"/>
      <c r="J406" s="309"/>
      <c r="K406" s="309"/>
      <c r="L406" s="309"/>
      <c r="M406" s="309"/>
      <c r="N406" s="309"/>
      <c r="O406" s="309"/>
      <c r="P406" s="309"/>
      <c r="Q406" s="309"/>
      <c r="R406" s="309"/>
      <c r="S406" s="309"/>
      <c r="T406" s="309"/>
    </row>
    <row r="407" spans="1:20" ht="15" customHeight="1" x14ac:dyDescent="0.25">
      <c r="A407" s="727"/>
      <c r="B407" s="309"/>
      <c r="C407" s="309"/>
      <c r="D407" s="309"/>
      <c r="E407" s="309"/>
      <c r="F407" s="309"/>
      <c r="G407" s="309"/>
      <c r="H407" s="309"/>
      <c r="I407" s="309"/>
      <c r="J407" s="309"/>
      <c r="K407" s="309"/>
      <c r="L407" s="309"/>
      <c r="M407" s="309"/>
      <c r="N407" s="309"/>
      <c r="O407" s="309"/>
      <c r="P407" s="309"/>
      <c r="Q407" s="309"/>
      <c r="R407" s="309"/>
      <c r="S407" s="309"/>
      <c r="T407" s="309"/>
    </row>
    <row r="408" spans="1:20" ht="15" customHeight="1" x14ac:dyDescent="0.25">
      <c r="A408" s="727"/>
      <c r="B408" s="309"/>
      <c r="C408" s="309"/>
      <c r="D408" s="309"/>
      <c r="E408" s="309"/>
      <c r="F408" s="309"/>
      <c r="G408" s="309"/>
      <c r="H408" s="309"/>
      <c r="I408" s="309"/>
      <c r="J408" s="309"/>
      <c r="K408" s="309"/>
      <c r="L408" s="309"/>
      <c r="M408" s="309"/>
      <c r="N408" s="309"/>
      <c r="O408" s="309"/>
      <c r="P408" s="309"/>
      <c r="Q408" s="309"/>
      <c r="R408" s="309"/>
      <c r="S408" s="309"/>
      <c r="T408" s="309"/>
    </row>
    <row r="409" spans="1:20" ht="15" customHeight="1" x14ac:dyDescent="0.25">
      <c r="A409" s="727"/>
      <c r="B409" s="309"/>
      <c r="C409" s="309"/>
      <c r="D409" s="309"/>
      <c r="E409" s="309"/>
      <c r="F409" s="309"/>
      <c r="G409" s="309"/>
      <c r="H409" s="309"/>
      <c r="I409" s="309"/>
      <c r="J409" s="309"/>
      <c r="K409" s="309"/>
      <c r="L409" s="309"/>
      <c r="M409" s="309"/>
      <c r="N409" s="309"/>
      <c r="O409" s="309"/>
      <c r="P409" s="309"/>
      <c r="Q409" s="309"/>
      <c r="R409" s="309"/>
      <c r="S409" s="309"/>
      <c r="T409" s="309"/>
    </row>
    <row r="410" spans="1:20" ht="15" customHeight="1" x14ac:dyDescent="0.25">
      <c r="A410" s="727"/>
      <c r="B410" s="309"/>
      <c r="C410" s="309"/>
      <c r="D410" s="309"/>
      <c r="E410" s="309"/>
      <c r="F410" s="309"/>
      <c r="G410" s="309"/>
      <c r="H410" s="309"/>
      <c r="I410" s="309"/>
      <c r="J410" s="309"/>
      <c r="K410" s="309"/>
      <c r="L410" s="309"/>
      <c r="M410" s="309"/>
      <c r="N410" s="309"/>
      <c r="O410" s="309"/>
      <c r="P410" s="309"/>
      <c r="Q410" s="309"/>
      <c r="R410" s="309"/>
      <c r="S410" s="309"/>
      <c r="T410" s="309"/>
    </row>
    <row r="411" spans="1:20" ht="15" customHeight="1" x14ac:dyDescent="0.25">
      <c r="A411" s="727"/>
      <c r="B411" s="309"/>
      <c r="C411" s="309"/>
      <c r="D411" s="309"/>
      <c r="E411" s="309"/>
      <c r="F411" s="309"/>
      <c r="G411" s="309"/>
      <c r="H411" s="309"/>
      <c r="I411" s="309"/>
      <c r="J411" s="309"/>
      <c r="K411" s="309"/>
      <c r="L411" s="309"/>
      <c r="M411" s="309"/>
      <c r="N411" s="309"/>
      <c r="O411" s="309"/>
      <c r="P411" s="309"/>
      <c r="Q411" s="309"/>
      <c r="R411" s="309"/>
      <c r="S411" s="309"/>
      <c r="T411" s="309"/>
    </row>
    <row r="412" spans="1:20" ht="15" customHeight="1" x14ac:dyDescent="0.25">
      <c r="A412" s="317"/>
      <c r="B412" s="652"/>
      <c r="C412" s="309"/>
      <c r="D412" s="309"/>
      <c r="E412" s="309"/>
      <c r="F412" s="309"/>
      <c r="G412" s="309"/>
      <c r="H412" s="309"/>
      <c r="I412" s="309"/>
      <c r="J412" s="309"/>
      <c r="K412" s="309"/>
      <c r="L412" s="309"/>
      <c r="M412" s="309"/>
      <c r="N412" s="309"/>
      <c r="O412" s="309"/>
      <c r="P412" s="309"/>
      <c r="Q412" s="309"/>
      <c r="R412" s="309"/>
      <c r="S412" s="309"/>
      <c r="T412" s="309"/>
    </row>
    <row r="413" spans="1:20" ht="15" customHeight="1" x14ac:dyDescent="0.25">
      <c r="A413" s="727"/>
      <c r="B413" s="309"/>
      <c r="C413" s="309"/>
      <c r="D413" s="309"/>
      <c r="E413" s="309"/>
      <c r="F413" s="309"/>
      <c r="G413" s="309"/>
      <c r="H413" s="309"/>
      <c r="I413" s="309"/>
      <c r="J413" s="309"/>
      <c r="K413" s="309"/>
      <c r="L413" s="309"/>
      <c r="M413" s="309"/>
      <c r="N413" s="309"/>
      <c r="O413" s="309"/>
      <c r="P413" s="309"/>
      <c r="Q413" s="309"/>
      <c r="R413" s="309"/>
      <c r="S413" s="309"/>
      <c r="T413" s="309"/>
    </row>
    <row r="414" spans="1:20" ht="15" customHeight="1" x14ac:dyDescent="0.25">
      <c r="A414" s="727"/>
      <c r="B414" s="309"/>
      <c r="C414" s="309"/>
      <c r="D414" s="309"/>
      <c r="E414" s="309"/>
      <c r="F414" s="309"/>
      <c r="G414" s="309"/>
      <c r="H414" s="309"/>
      <c r="I414" s="309"/>
      <c r="J414" s="309"/>
      <c r="K414" s="309"/>
      <c r="L414" s="309"/>
      <c r="M414" s="309"/>
      <c r="N414" s="309"/>
      <c r="O414" s="309"/>
      <c r="P414" s="309"/>
      <c r="Q414" s="309"/>
      <c r="R414" s="309"/>
      <c r="S414" s="309"/>
      <c r="T414" s="309"/>
    </row>
    <row r="415" spans="1:20" ht="15" customHeight="1" x14ac:dyDescent="0.25">
      <c r="A415" s="727"/>
      <c r="B415" s="309"/>
      <c r="C415" s="309"/>
      <c r="D415" s="309"/>
      <c r="E415" s="309"/>
      <c r="F415" s="309"/>
      <c r="G415" s="309"/>
      <c r="H415" s="309"/>
      <c r="I415" s="309"/>
      <c r="J415" s="309"/>
      <c r="K415" s="309"/>
      <c r="L415" s="309"/>
      <c r="M415" s="309"/>
      <c r="N415" s="309"/>
      <c r="O415" s="309"/>
      <c r="P415" s="309"/>
      <c r="Q415" s="309"/>
      <c r="R415" s="309"/>
      <c r="S415" s="309"/>
      <c r="T415" s="309"/>
    </row>
    <row r="416" spans="1:20" ht="15" customHeight="1" x14ac:dyDescent="0.25">
      <c r="A416" s="727"/>
      <c r="B416" s="309"/>
      <c r="C416" s="309"/>
      <c r="D416" s="309"/>
      <c r="E416" s="309"/>
      <c r="F416" s="309"/>
      <c r="G416" s="309"/>
      <c r="H416" s="309"/>
      <c r="I416" s="309"/>
      <c r="J416" s="309"/>
      <c r="K416" s="309"/>
      <c r="L416" s="309"/>
      <c r="M416" s="309"/>
      <c r="N416" s="309"/>
      <c r="O416" s="309"/>
      <c r="P416" s="309"/>
      <c r="Q416" s="309"/>
      <c r="R416" s="309"/>
      <c r="S416" s="309"/>
      <c r="T416" s="309"/>
    </row>
    <row r="417" spans="1:20" ht="15" customHeight="1" x14ac:dyDescent="0.25">
      <c r="A417" s="727"/>
      <c r="B417" s="309"/>
      <c r="C417" s="309"/>
      <c r="D417" s="309"/>
      <c r="E417" s="309"/>
      <c r="F417" s="309"/>
      <c r="G417" s="309"/>
      <c r="H417" s="309"/>
      <c r="I417" s="309"/>
      <c r="J417" s="309"/>
      <c r="K417" s="309"/>
      <c r="L417" s="309"/>
      <c r="M417" s="309"/>
      <c r="N417" s="309"/>
      <c r="O417" s="309"/>
      <c r="P417" s="309"/>
      <c r="Q417" s="309"/>
      <c r="R417" s="309"/>
      <c r="S417" s="309"/>
      <c r="T417" s="309"/>
    </row>
    <row r="418" spans="1:20" ht="15" customHeight="1" x14ac:dyDescent="0.25">
      <c r="A418" s="727"/>
      <c r="B418" s="309"/>
      <c r="C418" s="309"/>
      <c r="D418" s="309"/>
      <c r="E418" s="309"/>
      <c r="F418" s="309"/>
      <c r="G418" s="309"/>
      <c r="H418" s="309"/>
      <c r="I418" s="309"/>
      <c r="J418" s="309"/>
      <c r="K418" s="309"/>
      <c r="L418" s="309"/>
      <c r="M418" s="309"/>
      <c r="N418" s="309"/>
      <c r="O418" s="309"/>
      <c r="P418" s="309"/>
      <c r="Q418" s="309"/>
      <c r="R418" s="309"/>
      <c r="S418" s="309"/>
      <c r="T418" s="309"/>
    </row>
    <row r="419" spans="1:20" ht="15" customHeight="1" x14ac:dyDescent="0.25">
      <c r="A419" s="727"/>
      <c r="B419" s="309"/>
      <c r="C419" s="309"/>
      <c r="D419" s="309"/>
      <c r="E419" s="309"/>
      <c r="F419" s="309"/>
      <c r="G419" s="309"/>
      <c r="H419" s="309"/>
      <c r="I419" s="309"/>
      <c r="J419" s="309"/>
      <c r="K419" s="309"/>
      <c r="L419" s="309"/>
      <c r="M419" s="309"/>
      <c r="N419" s="309"/>
      <c r="O419" s="309"/>
      <c r="P419" s="309"/>
      <c r="Q419" s="309"/>
      <c r="R419" s="309"/>
      <c r="S419" s="309"/>
      <c r="T419" s="309"/>
    </row>
    <row r="420" spans="1:20" ht="15" customHeight="1" x14ac:dyDescent="0.25">
      <c r="A420" s="727"/>
      <c r="B420" s="309"/>
      <c r="C420" s="309"/>
      <c r="D420" s="309"/>
      <c r="E420" s="309"/>
      <c r="F420" s="309"/>
      <c r="G420" s="309"/>
      <c r="H420" s="309"/>
      <c r="I420" s="309"/>
      <c r="J420" s="309"/>
      <c r="K420" s="309"/>
      <c r="L420" s="309"/>
      <c r="M420" s="309"/>
      <c r="N420" s="309"/>
      <c r="O420" s="309"/>
      <c r="P420" s="309"/>
      <c r="Q420" s="309"/>
      <c r="R420" s="309"/>
      <c r="S420" s="309"/>
      <c r="T420" s="309"/>
    </row>
    <row r="421" spans="1:20" ht="15" customHeight="1" x14ac:dyDescent="0.25">
      <c r="A421" s="727"/>
      <c r="B421" s="309"/>
      <c r="C421" s="309"/>
      <c r="D421" s="309"/>
      <c r="E421" s="309"/>
      <c r="F421" s="309"/>
      <c r="G421" s="309"/>
      <c r="H421" s="309"/>
      <c r="I421" s="309"/>
      <c r="J421" s="309"/>
      <c r="K421" s="309"/>
      <c r="L421" s="309"/>
      <c r="M421" s="309"/>
      <c r="N421" s="309"/>
      <c r="O421" s="309"/>
      <c r="P421" s="309"/>
      <c r="Q421" s="309"/>
      <c r="R421" s="309"/>
      <c r="S421" s="309"/>
      <c r="T421" s="309"/>
    </row>
    <row r="422" spans="1:20" ht="15" customHeight="1" x14ac:dyDescent="0.25">
      <c r="A422" s="727"/>
      <c r="B422" s="309"/>
      <c r="C422" s="309"/>
      <c r="D422" s="309"/>
      <c r="E422" s="309"/>
      <c r="F422" s="309"/>
      <c r="G422" s="309"/>
      <c r="H422" s="309"/>
      <c r="I422" s="309"/>
      <c r="J422" s="309"/>
      <c r="K422" s="309"/>
      <c r="L422" s="309"/>
      <c r="M422" s="309"/>
      <c r="N422" s="309"/>
      <c r="O422" s="309"/>
      <c r="P422" s="309"/>
      <c r="Q422" s="309"/>
      <c r="R422" s="309"/>
      <c r="S422" s="309"/>
      <c r="T422" s="309"/>
    </row>
    <row r="423" spans="1:20" ht="15" customHeight="1" x14ac:dyDescent="0.25">
      <c r="A423" s="727"/>
      <c r="B423" s="309"/>
      <c r="C423" s="309"/>
      <c r="D423" s="309"/>
      <c r="E423" s="309"/>
      <c r="F423" s="309"/>
      <c r="G423" s="309"/>
      <c r="H423" s="309"/>
      <c r="I423" s="309"/>
      <c r="J423" s="309"/>
      <c r="K423" s="309"/>
      <c r="L423" s="309"/>
      <c r="M423" s="309"/>
      <c r="N423" s="309"/>
      <c r="O423" s="309"/>
      <c r="P423" s="309"/>
      <c r="Q423" s="309"/>
      <c r="R423" s="309"/>
      <c r="S423" s="309"/>
      <c r="T423" s="309"/>
    </row>
    <row r="424" spans="1:20" ht="15" customHeight="1" x14ac:dyDescent="0.25">
      <c r="A424" s="727"/>
      <c r="B424" s="309"/>
      <c r="C424" s="309"/>
      <c r="D424" s="309"/>
      <c r="E424" s="309"/>
      <c r="F424" s="309"/>
      <c r="G424" s="309"/>
      <c r="H424" s="309"/>
      <c r="I424" s="309"/>
      <c r="J424" s="309"/>
      <c r="K424" s="309"/>
      <c r="L424" s="309"/>
      <c r="M424" s="309"/>
      <c r="N424" s="309"/>
      <c r="O424" s="309"/>
      <c r="P424" s="309"/>
      <c r="Q424" s="309"/>
      <c r="R424" s="309"/>
      <c r="S424" s="309"/>
      <c r="T424" s="309"/>
    </row>
    <row r="425" spans="1:20" ht="15" customHeight="1" x14ac:dyDescent="0.25">
      <c r="A425" s="727"/>
      <c r="B425" s="309"/>
      <c r="C425" s="652"/>
      <c r="D425" s="309"/>
      <c r="E425" s="309"/>
      <c r="F425" s="309"/>
      <c r="G425" s="309"/>
      <c r="H425" s="309"/>
      <c r="I425" s="309"/>
      <c r="J425" s="309"/>
      <c r="K425" s="309"/>
      <c r="L425" s="309"/>
      <c r="M425" s="309"/>
      <c r="N425" s="309"/>
      <c r="O425" s="309"/>
      <c r="P425" s="309"/>
      <c r="Q425" s="309"/>
      <c r="R425" s="309"/>
      <c r="S425" s="309"/>
      <c r="T425" s="309"/>
    </row>
    <row r="426" spans="1:20" ht="15" customHeight="1" x14ac:dyDescent="0.25">
      <c r="A426" s="727"/>
      <c r="B426" s="309"/>
      <c r="C426" s="309"/>
      <c r="D426" s="309"/>
      <c r="E426" s="309"/>
      <c r="F426" s="309"/>
      <c r="G426" s="309"/>
      <c r="H426" s="309"/>
      <c r="I426" s="309"/>
      <c r="J426" s="309"/>
      <c r="K426" s="309"/>
      <c r="L426" s="309"/>
      <c r="M426" s="309"/>
      <c r="N426" s="309"/>
      <c r="O426" s="309"/>
      <c r="P426" s="309"/>
      <c r="Q426" s="309"/>
      <c r="R426" s="309"/>
      <c r="S426" s="309"/>
      <c r="T426" s="309"/>
    </row>
    <row r="427" spans="1:20" ht="15" customHeight="1" x14ac:dyDescent="0.25">
      <c r="A427" s="727"/>
      <c r="B427" s="309"/>
      <c r="C427" s="309"/>
      <c r="D427" s="309"/>
      <c r="E427" s="309"/>
      <c r="F427" s="309"/>
      <c r="G427" s="309"/>
      <c r="H427" s="309"/>
      <c r="I427" s="309"/>
      <c r="J427" s="309"/>
      <c r="K427" s="309"/>
      <c r="L427" s="309"/>
      <c r="M427" s="309"/>
      <c r="N427" s="309"/>
      <c r="O427" s="309"/>
      <c r="P427" s="309"/>
      <c r="Q427" s="309"/>
      <c r="R427" s="309"/>
      <c r="S427" s="309"/>
      <c r="T427" s="309"/>
    </row>
    <row r="428" spans="1:20" ht="15" customHeight="1" x14ac:dyDescent="0.25">
      <c r="A428" s="727"/>
      <c r="B428" s="309"/>
      <c r="C428" s="309"/>
      <c r="D428" s="309"/>
      <c r="E428" s="309"/>
      <c r="F428" s="309"/>
      <c r="G428" s="309"/>
      <c r="H428" s="309"/>
      <c r="I428" s="309"/>
      <c r="J428" s="309"/>
      <c r="K428" s="309"/>
      <c r="L428" s="309"/>
      <c r="M428" s="309"/>
      <c r="N428" s="309"/>
      <c r="O428" s="309"/>
      <c r="P428" s="309"/>
      <c r="Q428" s="309"/>
      <c r="R428" s="309"/>
      <c r="S428" s="309"/>
      <c r="T428" s="309"/>
    </row>
    <row r="429" spans="1:20" ht="15" customHeight="1" x14ac:dyDescent="0.25">
      <c r="A429" s="727"/>
      <c r="B429" s="309"/>
      <c r="C429" s="309"/>
      <c r="D429" s="309"/>
      <c r="E429" s="309"/>
      <c r="F429" s="309"/>
      <c r="G429" s="309"/>
      <c r="H429" s="309"/>
      <c r="I429" s="309"/>
      <c r="J429" s="309"/>
      <c r="K429" s="309"/>
      <c r="L429" s="309"/>
      <c r="M429" s="309"/>
      <c r="N429" s="309"/>
      <c r="O429" s="309"/>
      <c r="P429" s="309"/>
      <c r="Q429" s="309"/>
      <c r="R429" s="309"/>
      <c r="S429" s="309"/>
      <c r="T429" s="309"/>
    </row>
    <row r="430" spans="1:20" ht="15" customHeight="1" x14ac:dyDescent="0.25">
      <c r="A430" s="727"/>
      <c r="B430" s="309"/>
      <c r="C430" s="309"/>
      <c r="D430" s="309"/>
      <c r="E430" s="309"/>
      <c r="F430" s="309"/>
      <c r="G430" s="309"/>
      <c r="H430" s="309"/>
      <c r="I430" s="309"/>
      <c r="J430" s="309"/>
      <c r="K430" s="309"/>
      <c r="L430" s="309"/>
      <c r="M430" s="309"/>
      <c r="N430" s="309"/>
      <c r="O430" s="309"/>
      <c r="P430" s="309"/>
      <c r="Q430" s="309"/>
      <c r="R430" s="309"/>
      <c r="S430" s="309"/>
      <c r="T430" s="309"/>
    </row>
    <row r="431" spans="1:20" ht="15" customHeight="1" x14ac:dyDescent="0.25">
      <c r="A431" s="727"/>
      <c r="B431" s="309"/>
      <c r="C431" s="309"/>
      <c r="D431" s="317"/>
      <c r="E431" s="309"/>
      <c r="F431" s="309"/>
      <c r="G431" s="309"/>
      <c r="H431" s="309"/>
      <c r="I431" s="309"/>
      <c r="J431" s="309"/>
      <c r="K431" s="309"/>
      <c r="L431" s="309"/>
      <c r="M431" s="309"/>
      <c r="N431" s="309"/>
      <c r="O431" s="309"/>
      <c r="P431" s="309"/>
      <c r="Q431" s="309"/>
      <c r="R431" s="309"/>
      <c r="S431" s="309"/>
      <c r="T431" s="309"/>
    </row>
    <row r="432" spans="1:20" ht="15" customHeight="1" x14ac:dyDescent="0.25">
      <c r="A432" s="727"/>
      <c r="B432" s="309"/>
      <c r="C432" s="309"/>
      <c r="D432" s="309"/>
      <c r="E432" s="309"/>
      <c r="F432" s="309"/>
      <c r="G432" s="309"/>
      <c r="H432" s="309"/>
      <c r="I432" s="309"/>
      <c r="J432" s="309"/>
      <c r="K432" s="309"/>
      <c r="L432" s="309"/>
      <c r="M432" s="309"/>
      <c r="N432" s="309"/>
      <c r="O432" s="309"/>
      <c r="P432" s="309"/>
      <c r="Q432" s="309"/>
      <c r="R432" s="309"/>
      <c r="S432" s="309"/>
      <c r="T432" s="309"/>
    </row>
    <row r="433" spans="1:20" ht="15" customHeight="1" x14ac:dyDescent="0.25">
      <c r="A433" s="727"/>
      <c r="B433" s="309"/>
      <c r="C433" s="309"/>
      <c r="D433" s="309"/>
      <c r="E433" s="309"/>
      <c r="F433" s="309"/>
      <c r="G433" s="309"/>
      <c r="H433" s="309"/>
      <c r="I433" s="309"/>
      <c r="J433" s="309"/>
      <c r="K433" s="309"/>
      <c r="L433" s="309"/>
      <c r="M433" s="309"/>
      <c r="N433" s="309"/>
      <c r="O433" s="309"/>
      <c r="P433" s="309"/>
      <c r="Q433" s="309"/>
      <c r="R433" s="309"/>
      <c r="S433" s="309"/>
      <c r="T433" s="309"/>
    </row>
    <row r="434" spans="1:20" ht="15" customHeight="1" x14ac:dyDescent="0.25">
      <c r="A434" s="727"/>
      <c r="B434" s="309"/>
      <c r="C434" s="309"/>
      <c r="D434" s="309"/>
      <c r="E434" s="309"/>
      <c r="F434" s="309"/>
      <c r="G434" s="309"/>
      <c r="H434" s="309"/>
      <c r="I434" s="309"/>
      <c r="J434" s="309"/>
      <c r="K434" s="309"/>
      <c r="L434" s="309"/>
      <c r="M434" s="309"/>
      <c r="N434" s="309"/>
      <c r="O434" s="309"/>
      <c r="P434" s="309"/>
      <c r="Q434" s="309"/>
      <c r="R434" s="309"/>
      <c r="S434" s="309"/>
      <c r="T434" s="309"/>
    </row>
    <row r="435" spans="1:20" ht="15" customHeight="1" x14ac:dyDescent="0.25">
      <c r="A435" s="727"/>
      <c r="B435" s="309"/>
      <c r="C435" s="309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309"/>
      <c r="P435" s="309"/>
      <c r="Q435" s="309"/>
      <c r="R435" s="309"/>
      <c r="S435" s="309"/>
      <c r="T435" s="309"/>
    </row>
    <row r="436" spans="1:20" ht="15" customHeight="1" x14ac:dyDescent="0.25">
      <c r="A436" s="727"/>
      <c r="B436" s="309"/>
      <c r="C436" s="309"/>
      <c r="D436" s="309"/>
      <c r="E436" s="309"/>
      <c r="F436" s="309"/>
      <c r="G436" s="309"/>
      <c r="H436" s="309"/>
      <c r="I436" s="309"/>
      <c r="J436" s="309"/>
      <c r="K436" s="309"/>
      <c r="L436" s="309"/>
      <c r="M436" s="309"/>
      <c r="N436" s="309"/>
      <c r="O436" s="309"/>
      <c r="P436" s="309"/>
      <c r="Q436" s="309"/>
      <c r="R436" s="309"/>
      <c r="S436" s="309"/>
      <c r="T436" s="309"/>
    </row>
    <row r="437" spans="1:20" ht="15" customHeight="1" x14ac:dyDescent="0.25">
      <c r="A437" s="727"/>
      <c r="B437" s="309"/>
      <c r="C437" s="309"/>
      <c r="D437" s="309"/>
      <c r="E437" s="309"/>
      <c r="F437" s="309"/>
      <c r="G437" s="309"/>
      <c r="H437" s="309"/>
      <c r="I437" s="309"/>
      <c r="J437" s="309"/>
      <c r="K437" s="309"/>
      <c r="L437" s="309"/>
      <c r="M437" s="309"/>
      <c r="N437" s="309"/>
      <c r="O437" s="309"/>
      <c r="P437" s="309"/>
      <c r="Q437" s="309"/>
      <c r="R437" s="309"/>
      <c r="S437" s="309"/>
      <c r="T437" s="309"/>
    </row>
    <row r="438" spans="1:20" ht="15" customHeight="1" x14ac:dyDescent="0.25">
      <c r="A438" s="727"/>
      <c r="B438" s="309"/>
      <c r="C438" s="309"/>
      <c r="D438" s="309"/>
      <c r="E438" s="309"/>
      <c r="F438" s="309"/>
      <c r="G438" s="309"/>
      <c r="H438" s="309"/>
      <c r="I438" s="309"/>
      <c r="J438" s="309"/>
      <c r="K438" s="309"/>
      <c r="L438" s="309"/>
      <c r="M438" s="309"/>
      <c r="N438" s="309"/>
      <c r="O438" s="309"/>
      <c r="P438" s="309"/>
      <c r="Q438" s="309"/>
      <c r="R438" s="309"/>
      <c r="S438" s="309"/>
      <c r="T438" s="309"/>
    </row>
    <row r="439" spans="1:20" ht="15" customHeight="1" x14ac:dyDescent="0.25">
      <c r="A439" s="727"/>
      <c r="B439" s="309"/>
      <c r="C439" s="309"/>
      <c r="D439" s="309"/>
      <c r="E439" s="309"/>
      <c r="F439" s="309"/>
      <c r="G439" s="309"/>
      <c r="H439" s="309"/>
      <c r="I439" s="309"/>
      <c r="J439" s="309"/>
      <c r="K439" s="309"/>
      <c r="L439" s="309"/>
      <c r="M439" s="309"/>
      <c r="N439" s="309"/>
      <c r="O439" s="309"/>
      <c r="P439" s="309"/>
      <c r="Q439" s="309"/>
      <c r="R439" s="309"/>
      <c r="S439" s="309"/>
      <c r="T439" s="309"/>
    </row>
    <row r="440" spans="1:20" ht="15" customHeight="1" x14ac:dyDescent="0.25">
      <c r="A440" s="727"/>
      <c r="B440" s="309"/>
      <c r="C440" s="309"/>
      <c r="D440" s="309"/>
      <c r="E440" s="309"/>
      <c r="F440" s="309"/>
      <c r="G440" s="309"/>
      <c r="H440" s="309"/>
      <c r="I440" s="309"/>
      <c r="J440" s="309"/>
      <c r="K440" s="309"/>
      <c r="L440" s="309"/>
      <c r="M440" s="309"/>
      <c r="N440" s="309"/>
      <c r="O440" s="309"/>
      <c r="P440" s="309"/>
      <c r="Q440" s="309"/>
      <c r="R440" s="309"/>
      <c r="S440" s="309"/>
      <c r="T440" s="309"/>
    </row>
    <row r="441" spans="1:20" ht="15" customHeight="1" x14ac:dyDescent="0.25">
      <c r="A441" s="727"/>
      <c r="B441" s="309"/>
      <c r="C441" s="309"/>
      <c r="D441" s="309"/>
      <c r="E441" s="309"/>
      <c r="F441" s="309"/>
      <c r="G441" s="309"/>
      <c r="H441" s="309"/>
      <c r="I441" s="309"/>
      <c r="J441" s="309"/>
      <c r="K441" s="309"/>
      <c r="L441" s="309"/>
      <c r="M441" s="309"/>
      <c r="N441" s="309"/>
      <c r="O441" s="309"/>
      <c r="P441" s="309"/>
      <c r="Q441" s="309"/>
      <c r="R441" s="309"/>
      <c r="S441" s="309"/>
      <c r="T441" s="309"/>
    </row>
    <row r="442" spans="1:20" ht="15" customHeight="1" x14ac:dyDescent="0.25">
      <c r="A442" s="727"/>
      <c r="B442" s="309"/>
      <c r="C442" s="309"/>
      <c r="D442" s="309"/>
      <c r="E442" s="309"/>
      <c r="F442" s="309"/>
      <c r="G442" s="309"/>
      <c r="H442" s="309"/>
      <c r="I442" s="309"/>
      <c r="J442" s="309"/>
      <c r="K442" s="309"/>
      <c r="L442" s="309"/>
      <c r="M442" s="309"/>
      <c r="N442" s="309"/>
      <c r="O442" s="309"/>
      <c r="P442" s="309"/>
      <c r="Q442" s="309"/>
      <c r="R442" s="309"/>
      <c r="S442" s="309"/>
      <c r="T442" s="309"/>
    </row>
    <row r="443" spans="1:20" ht="15" customHeight="1" x14ac:dyDescent="0.25">
      <c r="A443" s="727"/>
      <c r="B443" s="309"/>
      <c r="C443" s="309"/>
      <c r="D443" s="309"/>
      <c r="E443" s="309"/>
      <c r="F443" s="309"/>
      <c r="G443" s="309"/>
      <c r="H443" s="309"/>
      <c r="I443" s="309"/>
      <c r="J443" s="309"/>
      <c r="K443" s="309"/>
      <c r="L443" s="309"/>
      <c r="M443" s="309"/>
      <c r="N443" s="309"/>
      <c r="O443" s="309"/>
      <c r="P443" s="309"/>
      <c r="Q443" s="309"/>
      <c r="R443" s="309"/>
      <c r="S443" s="309"/>
      <c r="T443" s="309"/>
    </row>
    <row r="444" spans="1:20" ht="15" customHeight="1" x14ac:dyDescent="0.25">
      <c r="A444" s="317"/>
      <c r="B444" s="309"/>
      <c r="C444" s="309"/>
      <c r="D444" s="309"/>
      <c r="E444" s="309"/>
      <c r="F444" s="652"/>
      <c r="G444" s="309"/>
      <c r="H444" s="309"/>
      <c r="I444" s="309"/>
      <c r="J444" s="309"/>
      <c r="K444" s="309"/>
      <c r="L444" s="309"/>
      <c r="M444" s="309"/>
      <c r="N444" s="309"/>
      <c r="O444" s="309"/>
      <c r="P444" s="309"/>
      <c r="Q444" s="309"/>
      <c r="R444" s="309"/>
      <c r="S444" s="309"/>
      <c r="T444" s="309"/>
    </row>
    <row r="445" spans="1:20" ht="15" customHeight="1" x14ac:dyDescent="0.25">
      <c r="A445" s="727"/>
      <c r="B445" s="309"/>
      <c r="C445" s="309"/>
      <c r="D445" s="309"/>
      <c r="E445" s="309"/>
      <c r="F445" s="309"/>
      <c r="G445" s="309"/>
      <c r="H445" s="309"/>
      <c r="I445" s="309"/>
      <c r="J445" s="309"/>
      <c r="K445" s="309"/>
      <c r="L445" s="309"/>
      <c r="M445" s="309"/>
      <c r="N445" s="309"/>
      <c r="O445" s="309"/>
      <c r="P445" s="309"/>
      <c r="Q445" s="309"/>
      <c r="R445" s="309"/>
      <c r="S445" s="309"/>
      <c r="T445" s="309"/>
    </row>
    <row r="446" spans="1:20" ht="15" customHeight="1" x14ac:dyDescent="0.25">
      <c r="A446" s="727"/>
      <c r="B446" s="309"/>
      <c r="C446" s="309"/>
      <c r="D446" s="309"/>
      <c r="E446" s="309"/>
      <c r="F446" s="309"/>
      <c r="G446" s="309"/>
      <c r="H446" s="309"/>
      <c r="I446" s="309"/>
      <c r="J446" s="309"/>
      <c r="K446" s="309"/>
      <c r="L446" s="309"/>
      <c r="M446" s="309"/>
      <c r="N446" s="309"/>
      <c r="O446" s="309"/>
      <c r="P446" s="309"/>
      <c r="Q446" s="309"/>
      <c r="R446" s="309"/>
      <c r="S446" s="309"/>
      <c r="T446" s="309"/>
    </row>
    <row r="447" spans="1:20" ht="15" customHeight="1" x14ac:dyDescent="0.25">
      <c r="A447" s="727"/>
      <c r="B447" s="309"/>
      <c r="C447" s="309"/>
      <c r="D447" s="309"/>
      <c r="E447" s="309"/>
      <c r="F447" s="309"/>
      <c r="G447" s="309"/>
      <c r="H447" s="309"/>
      <c r="I447" s="309"/>
      <c r="J447" s="309"/>
      <c r="K447" s="309"/>
      <c r="L447" s="309"/>
      <c r="M447" s="309"/>
      <c r="N447" s="309"/>
      <c r="O447" s="309"/>
      <c r="P447" s="309"/>
      <c r="Q447" s="309"/>
      <c r="R447" s="309"/>
      <c r="S447" s="309"/>
      <c r="T447" s="309"/>
    </row>
    <row r="448" spans="1:20" ht="15" customHeight="1" x14ac:dyDescent="0.25">
      <c r="A448" s="317"/>
      <c r="B448" s="309"/>
      <c r="C448" s="309"/>
      <c r="D448" s="309"/>
      <c r="E448" s="652"/>
      <c r="F448" s="309"/>
      <c r="G448" s="309"/>
      <c r="H448" s="309"/>
      <c r="I448" s="309"/>
      <c r="J448" s="309"/>
      <c r="K448" s="309"/>
      <c r="L448" s="309"/>
      <c r="M448" s="309"/>
      <c r="N448" s="309"/>
      <c r="O448" s="309"/>
      <c r="P448" s="309"/>
      <c r="Q448" s="309"/>
      <c r="R448" s="309"/>
      <c r="S448" s="309"/>
      <c r="T448" s="309"/>
    </row>
    <row r="449" spans="1:20" ht="15" customHeight="1" x14ac:dyDescent="0.25">
      <c r="A449" s="727"/>
      <c r="B449" s="309"/>
      <c r="C449" s="309"/>
      <c r="D449" s="309"/>
      <c r="E449" s="309"/>
      <c r="F449" s="309"/>
      <c r="G449" s="309"/>
      <c r="H449" s="309"/>
      <c r="I449" s="309"/>
      <c r="J449" s="309"/>
      <c r="K449" s="309"/>
      <c r="L449" s="309"/>
      <c r="M449" s="309"/>
      <c r="N449" s="309"/>
      <c r="O449" s="309"/>
      <c r="P449" s="309"/>
      <c r="Q449" s="309"/>
      <c r="R449" s="309"/>
      <c r="S449" s="309"/>
      <c r="T449" s="309"/>
    </row>
    <row r="450" spans="1:20" ht="15" customHeight="1" x14ac:dyDescent="0.25">
      <c r="A450" s="727"/>
      <c r="B450" s="309"/>
      <c r="C450" s="309"/>
      <c r="D450" s="309"/>
      <c r="E450" s="309"/>
      <c r="F450" s="309"/>
      <c r="G450" s="309"/>
      <c r="H450" s="309"/>
      <c r="I450" s="309"/>
      <c r="J450" s="309"/>
      <c r="K450" s="309"/>
      <c r="L450" s="309"/>
      <c r="M450" s="309"/>
      <c r="N450" s="309"/>
      <c r="O450" s="309"/>
      <c r="P450" s="309"/>
      <c r="Q450" s="309"/>
      <c r="R450" s="309"/>
      <c r="S450" s="309"/>
      <c r="T450" s="309"/>
    </row>
    <row r="451" spans="1:20" ht="15" customHeight="1" x14ac:dyDescent="0.25">
      <c r="A451" s="727"/>
      <c r="B451" s="309"/>
      <c r="C451" s="309"/>
      <c r="D451" s="309"/>
      <c r="E451" s="309"/>
      <c r="F451" s="309"/>
      <c r="G451" s="309"/>
      <c r="H451" s="309"/>
      <c r="I451" s="309"/>
      <c r="J451" s="309"/>
      <c r="K451" s="309"/>
      <c r="L451" s="309"/>
      <c r="M451" s="309"/>
      <c r="N451" s="309"/>
      <c r="O451" s="309"/>
      <c r="P451" s="309"/>
      <c r="Q451" s="309"/>
      <c r="R451" s="309"/>
      <c r="S451" s="309"/>
      <c r="T451" s="309"/>
    </row>
    <row r="452" spans="1:20" ht="15" customHeight="1" x14ac:dyDescent="0.25">
      <c r="A452" s="727"/>
      <c r="B452" s="309"/>
      <c r="C452" s="309"/>
      <c r="D452" s="317"/>
      <c r="E452" s="309"/>
      <c r="F452" s="309"/>
      <c r="G452" s="309"/>
      <c r="H452" s="309"/>
      <c r="I452" s="309"/>
      <c r="J452" s="309"/>
      <c r="K452" s="309"/>
      <c r="L452" s="309"/>
      <c r="M452" s="309"/>
      <c r="N452" s="309"/>
      <c r="O452" s="309"/>
      <c r="P452" s="309"/>
      <c r="Q452" s="309"/>
      <c r="R452" s="309"/>
      <c r="S452" s="309"/>
      <c r="T452" s="309"/>
    </row>
    <row r="453" spans="1:20" ht="15" customHeight="1" x14ac:dyDescent="0.25">
      <c r="A453" s="727"/>
      <c r="B453" s="309"/>
      <c r="C453" s="309"/>
      <c r="D453" s="309"/>
      <c r="E453" s="309"/>
      <c r="F453" s="309"/>
      <c r="G453" s="309"/>
      <c r="H453" s="309"/>
      <c r="I453" s="309"/>
      <c r="J453" s="309"/>
      <c r="K453" s="309"/>
      <c r="L453" s="309"/>
      <c r="M453" s="309"/>
      <c r="N453" s="309"/>
      <c r="O453" s="309"/>
      <c r="P453" s="309"/>
      <c r="Q453" s="309"/>
      <c r="R453" s="309"/>
      <c r="S453" s="309"/>
      <c r="T453" s="309"/>
    </row>
    <row r="454" spans="1:20" ht="15" customHeight="1" x14ac:dyDescent="0.25">
      <c r="A454" s="727"/>
      <c r="B454" s="309"/>
      <c r="C454" s="309"/>
      <c r="D454" s="309"/>
      <c r="E454" s="309"/>
      <c r="F454" s="309"/>
      <c r="G454" s="309"/>
      <c r="H454" s="309"/>
      <c r="I454" s="309"/>
      <c r="J454" s="309"/>
      <c r="K454" s="309"/>
      <c r="L454" s="309"/>
      <c r="M454" s="309"/>
      <c r="N454" s="309"/>
      <c r="O454" s="309"/>
      <c r="P454" s="309"/>
      <c r="Q454" s="309"/>
      <c r="R454" s="309"/>
      <c r="S454" s="309"/>
      <c r="T454" s="309"/>
    </row>
    <row r="455" spans="1:20" ht="15" customHeight="1" x14ac:dyDescent="0.25">
      <c r="A455" s="727"/>
      <c r="B455" s="309"/>
      <c r="C455" s="309"/>
      <c r="D455" s="317"/>
      <c r="E455" s="652"/>
      <c r="F455" s="309"/>
      <c r="G455" s="309"/>
      <c r="H455" s="309"/>
      <c r="I455" s="309"/>
      <c r="J455" s="309"/>
      <c r="K455" s="309"/>
      <c r="L455" s="309"/>
      <c r="M455" s="309"/>
      <c r="N455" s="309"/>
      <c r="O455" s="309"/>
      <c r="P455" s="309"/>
      <c r="Q455" s="309"/>
      <c r="R455" s="309"/>
      <c r="S455" s="309"/>
      <c r="T455" s="309"/>
    </row>
    <row r="456" spans="1:20" ht="15" customHeight="1" x14ac:dyDescent="0.25">
      <c r="A456" s="317"/>
      <c r="B456" s="309"/>
      <c r="C456" s="309"/>
      <c r="D456" s="652"/>
      <c r="E456" s="652"/>
      <c r="F456" s="309"/>
      <c r="G456" s="309"/>
      <c r="H456" s="309"/>
      <c r="I456" s="309"/>
      <c r="J456" s="309"/>
      <c r="K456" s="309"/>
      <c r="L456" s="309"/>
      <c r="M456" s="309"/>
      <c r="N456" s="309"/>
      <c r="O456" s="309"/>
      <c r="P456" s="309"/>
      <c r="Q456" s="309"/>
      <c r="R456" s="309"/>
      <c r="S456" s="309"/>
      <c r="T456" s="309"/>
    </row>
    <row r="457" spans="1:20" ht="15" customHeight="1" x14ac:dyDescent="0.25">
      <c r="A457" s="727"/>
      <c r="B457" s="309"/>
      <c r="C457" s="309"/>
      <c r="D457" s="317"/>
      <c r="E457" s="652"/>
      <c r="F457" s="309"/>
      <c r="G457" s="309"/>
      <c r="H457" s="309"/>
      <c r="I457" s="309"/>
      <c r="J457" s="309"/>
      <c r="K457" s="309"/>
      <c r="L457" s="309"/>
      <c r="M457" s="309"/>
      <c r="N457" s="309"/>
      <c r="O457" s="309"/>
      <c r="P457" s="309"/>
      <c r="Q457" s="309"/>
      <c r="R457" s="309"/>
      <c r="S457" s="309"/>
      <c r="T457" s="309"/>
    </row>
    <row r="458" spans="1:20" ht="15" customHeight="1" x14ac:dyDescent="0.25">
      <c r="A458" s="727"/>
      <c r="B458" s="309"/>
      <c r="C458" s="309"/>
      <c r="D458" s="309"/>
      <c r="E458" s="309"/>
      <c r="F458" s="309"/>
      <c r="G458" s="309"/>
      <c r="H458" s="309"/>
      <c r="I458" s="309"/>
      <c r="J458" s="309"/>
      <c r="K458" s="309"/>
      <c r="L458" s="309"/>
      <c r="M458" s="309"/>
      <c r="N458" s="309"/>
      <c r="O458" s="309"/>
      <c r="P458" s="309"/>
      <c r="Q458" s="309"/>
      <c r="R458" s="309"/>
      <c r="S458" s="309"/>
      <c r="T458" s="309"/>
    </row>
    <row r="459" spans="1:20" ht="15" customHeight="1" x14ac:dyDescent="0.25">
      <c r="A459" s="727"/>
      <c r="B459" s="309"/>
      <c r="C459" s="309"/>
      <c r="D459" s="309"/>
      <c r="E459" s="309"/>
      <c r="F459" s="309"/>
      <c r="G459" s="309"/>
      <c r="H459" s="309"/>
      <c r="I459" s="309"/>
      <c r="J459" s="309"/>
      <c r="K459" s="309"/>
      <c r="L459" s="309"/>
      <c r="M459" s="309"/>
      <c r="N459" s="309"/>
      <c r="O459" s="309"/>
      <c r="P459" s="309"/>
      <c r="Q459" s="309"/>
      <c r="R459" s="309"/>
      <c r="S459" s="309"/>
      <c r="T459" s="309"/>
    </row>
    <row r="460" spans="1:20" ht="15" customHeight="1" x14ac:dyDescent="0.25">
      <c r="A460" s="727"/>
      <c r="B460" s="309"/>
      <c r="C460" s="309"/>
      <c r="D460" s="309"/>
      <c r="E460" s="309"/>
      <c r="F460" s="309"/>
      <c r="G460" s="309"/>
      <c r="H460" s="309"/>
      <c r="I460" s="309"/>
      <c r="J460" s="309"/>
      <c r="K460" s="309"/>
      <c r="L460" s="309"/>
      <c r="M460" s="309"/>
      <c r="N460" s="309"/>
      <c r="O460" s="309"/>
      <c r="P460" s="309"/>
      <c r="Q460" s="309"/>
      <c r="R460" s="309"/>
      <c r="S460" s="309"/>
      <c r="T460" s="309"/>
    </row>
    <row r="461" spans="1:20" ht="15" customHeight="1" x14ac:dyDescent="0.25">
      <c r="A461" s="727"/>
      <c r="B461" s="309"/>
      <c r="C461" s="309"/>
      <c r="D461" s="309"/>
      <c r="E461" s="309"/>
      <c r="F461" s="309"/>
      <c r="G461" s="309"/>
      <c r="H461" s="309"/>
      <c r="I461" s="309"/>
      <c r="J461" s="309"/>
      <c r="K461" s="309"/>
      <c r="L461" s="309"/>
      <c r="M461" s="309"/>
      <c r="N461" s="309"/>
      <c r="O461" s="309"/>
      <c r="P461" s="309"/>
      <c r="Q461" s="309"/>
      <c r="R461" s="309"/>
      <c r="S461" s="309"/>
      <c r="T461" s="309"/>
    </row>
    <row r="462" spans="1:20" ht="15" customHeight="1" x14ac:dyDescent="0.25">
      <c r="A462" s="727"/>
      <c r="B462" s="309"/>
      <c r="C462" s="309"/>
      <c r="D462" s="309"/>
      <c r="E462" s="309"/>
      <c r="F462" s="309"/>
      <c r="G462" s="309"/>
      <c r="H462" s="309"/>
      <c r="I462" s="309"/>
      <c r="J462" s="309"/>
      <c r="K462" s="309"/>
      <c r="L462" s="309"/>
      <c r="M462" s="309"/>
      <c r="N462" s="309"/>
      <c r="O462" s="309"/>
      <c r="P462" s="309"/>
      <c r="Q462" s="309"/>
      <c r="R462" s="309"/>
      <c r="S462" s="309"/>
      <c r="T462" s="309"/>
    </row>
    <row r="463" spans="1:20" ht="15" customHeight="1" x14ac:dyDescent="0.25">
      <c r="A463" s="727"/>
      <c r="B463" s="309"/>
      <c r="C463" s="309"/>
      <c r="D463" s="309"/>
      <c r="E463" s="309"/>
      <c r="F463" s="309"/>
      <c r="G463" s="309"/>
      <c r="H463" s="309"/>
      <c r="I463" s="309"/>
      <c r="J463" s="309"/>
      <c r="K463" s="309"/>
      <c r="L463" s="309"/>
      <c r="M463" s="309"/>
      <c r="N463" s="309"/>
      <c r="O463" s="309"/>
      <c r="P463" s="309"/>
      <c r="Q463" s="309"/>
      <c r="R463" s="309"/>
      <c r="S463" s="309"/>
      <c r="T463" s="309"/>
    </row>
    <row r="464" spans="1:20" ht="15" customHeight="1" x14ac:dyDescent="0.25">
      <c r="A464" s="727"/>
      <c r="B464" s="309"/>
      <c r="C464" s="309"/>
      <c r="D464" s="309"/>
      <c r="E464" s="309"/>
      <c r="F464" s="309"/>
      <c r="G464" s="309"/>
      <c r="H464" s="309"/>
      <c r="I464" s="309"/>
      <c r="J464" s="309"/>
      <c r="K464" s="309"/>
      <c r="L464" s="309"/>
      <c r="M464" s="309"/>
      <c r="N464" s="309"/>
      <c r="O464" s="309"/>
      <c r="P464" s="309"/>
      <c r="Q464" s="309"/>
      <c r="R464" s="309"/>
      <c r="S464" s="309"/>
      <c r="T464" s="309"/>
    </row>
    <row r="465" spans="1:20" ht="15" customHeight="1" x14ac:dyDescent="0.25">
      <c r="A465" s="317"/>
      <c r="B465" s="652"/>
      <c r="C465" s="309"/>
      <c r="D465" s="309"/>
      <c r="E465" s="309"/>
      <c r="F465" s="309"/>
      <c r="G465" s="309"/>
      <c r="H465" s="309"/>
      <c r="I465" s="309"/>
      <c r="J465" s="309"/>
      <c r="K465" s="309"/>
      <c r="L465" s="309"/>
      <c r="M465" s="309"/>
      <c r="N465" s="309"/>
      <c r="O465" s="309"/>
      <c r="P465" s="309"/>
      <c r="Q465" s="309"/>
      <c r="R465" s="309"/>
      <c r="S465" s="309"/>
      <c r="T465" s="309"/>
    </row>
    <row r="466" spans="1:20" ht="15" customHeight="1" x14ac:dyDescent="0.25">
      <c r="A466" s="727"/>
      <c r="B466" s="309"/>
      <c r="C466" s="309"/>
      <c r="D466" s="309"/>
      <c r="E466" s="309"/>
      <c r="F466" s="309"/>
      <c r="G466" s="309"/>
      <c r="H466" s="309"/>
      <c r="I466" s="309"/>
      <c r="J466" s="309"/>
      <c r="K466" s="309"/>
      <c r="L466" s="309"/>
      <c r="M466" s="309"/>
      <c r="N466" s="309"/>
      <c r="O466" s="309"/>
      <c r="P466" s="309"/>
      <c r="Q466" s="309"/>
      <c r="R466" s="309"/>
      <c r="S466" s="309"/>
      <c r="T466" s="309"/>
    </row>
    <row r="467" spans="1:20" ht="15" customHeight="1" x14ac:dyDescent="0.25">
      <c r="A467" s="727"/>
      <c r="B467" s="309"/>
      <c r="C467" s="309"/>
      <c r="D467" s="309"/>
      <c r="E467" s="309"/>
      <c r="F467" s="309"/>
      <c r="G467" s="309"/>
      <c r="H467" s="309"/>
      <c r="I467" s="309"/>
      <c r="J467" s="309"/>
      <c r="K467" s="309"/>
      <c r="L467" s="309"/>
      <c r="M467" s="309"/>
      <c r="N467" s="309"/>
      <c r="O467" s="309"/>
      <c r="P467" s="309"/>
      <c r="Q467" s="309"/>
      <c r="R467" s="309"/>
      <c r="S467" s="309"/>
      <c r="T467" s="309"/>
    </row>
    <row r="468" spans="1:20" ht="15" customHeight="1" x14ac:dyDescent="0.25">
      <c r="A468" s="727"/>
      <c r="B468" s="309"/>
      <c r="C468" s="309"/>
      <c r="D468" s="309"/>
      <c r="E468" s="309"/>
      <c r="F468" s="309"/>
      <c r="G468" s="309"/>
      <c r="H468" s="309"/>
      <c r="I468" s="309"/>
      <c r="J468" s="309"/>
      <c r="K468" s="309"/>
      <c r="L468" s="309"/>
      <c r="M468" s="309"/>
      <c r="N468" s="309"/>
      <c r="O468" s="309"/>
      <c r="P468" s="309"/>
      <c r="Q468" s="309"/>
      <c r="R468" s="309"/>
      <c r="S468" s="309"/>
      <c r="T468" s="309"/>
    </row>
    <row r="469" spans="1:20" ht="15" customHeight="1" x14ac:dyDescent="0.25">
      <c r="A469" s="727"/>
      <c r="B469" s="309"/>
      <c r="C469" s="309"/>
      <c r="D469" s="309"/>
      <c r="E469" s="309"/>
      <c r="F469" s="309"/>
      <c r="G469" s="309"/>
      <c r="H469" s="309"/>
      <c r="I469" s="309"/>
      <c r="J469" s="309"/>
      <c r="K469" s="309"/>
      <c r="L469" s="309"/>
      <c r="M469" s="309"/>
      <c r="N469" s="309"/>
      <c r="O469" s="309"/>
      <c r="P469" s="309"/>
      <c r="Q469" s="309"/>
      <c r="R469" s="309"/>
      <c r="S469" s="309"/>
      <c r="T469" s="309"/>
    </row>
    <row r="470" spans="1:20" ht="15" customHeight="1" x14ac:dyDescent="0.25">
      <c r="A470" s="727"/>
      <c r="B470" s="309"/>
      <c r="C470" s="309"/>
      <c r="D470" s="309"/>
      <c r="E470" s="309"/>
      <c r="F470" s="309"/>
      <c r="G470" s="309"/>
      <c r="H470" s="309"/>
      <c r="I470" s="309"/>
      <c r="J470" s="309"/>
      <c r="K470" s="309"/>
      <c r="L470" s="309"/>
      <c r="M470" s="309"/>
      <c r="N470" s="309"/>
      <c r="O470" s="309"/>
      <c r="P470" s="309"/>
      <c r="Q470" s="309"/>
      <c r="R470" s="309"/>
      <c r="S470" s="309"/>
      <c r="T470" s="309"/>
    </row>
    <row r="471" spans="1:20" ht="15" customHeight="1" x14ac:dyDescent="0.25">
      <c r="A471" s="727"/>
      <c r="B471" s="309"/>
      <c r="C471" s="309"/>
      <c r="D471" s="309"/>
      <c r="E471" s="309"/>
      <c r="F471" s="309"/>
      <c r="G471" s="309"/>
      <c r="H471" s="309"/>
      <c r="I471" s="309"/>
      <c r="J471" s="309"/>
      <c r="K471" s="309"/>
      <c r="L471" s="309"/>
      <c r="M471" s="309"/>
      <c r="N471" s="309"/>
      <c r="O471" s="309"/>
      <c r="P471" s="309"/>
      <c r="Q471" s="309"/>
      <c r="R471" s="309"/>
      <c r="S471" s="309"/>
      <c r="T471" s="309"/>
    </row>
    <row r="472" spans="1:20" ht="15" customHeight="1" x14ac:dyDescent="0.25">
      <c r="A472" s="727"/>
      <c r="B472" s="309"/>
      <c r="C472" s="309"/>
      <c r="D472" s="309"/>
      <c r="E472" s="309"/>
      <c r="F472" s="309"/>
      <c r="G472" s="309"/>
      <c r="H472" s="309"/>
      <c r="I472" s="309"/>
      <c r="J472" s="309"/>
      <c r="K472" s="309"/>
      <c r="L472" s="309"/>
      <c r="M472" s="309"/>
      <c r="N472" s="309"/>
      <c r="O472" s="309"/>
      <c r="P472" s="309"/>
      <c r="Q472" s="309"/>
      <c r="R472" s="309"/>
      <c r="S472" s="309"/>
      <c r="T472" s="309"/>
    </row>
    <row r="473" spans="1:20" ht="15" customHeight="1" x14ac:dyDescent="0.25">
      <c r="A473" s="727"/>
      <c r="B473" s="309"/>
      <c r="C473" s="309"/>
      <c r="D473" s="309"/>
      <c r="E473" s="309"/>
      <c r="F473" s="309"/>
      <c r="G473" s="309"/>
      <c r="H473" s="309"/>
      <c r="I473" s="309"/>
      <c r="J473" s="309"/>
      <c r="K473" s="309"/>
      <c r="L473" s="309"/>
      <c r="M473" s="309"/>
      <c r="N473" s="309"/>
      <c r="O473" s="309"/>
      <c r="P473" s="309"/>
      <c r="Q473" s="309"/>
      <c r="R473" s="309"/>
      <c r="S473" s="309"/>
      <c r="T473" s="309"/>
    </row>
    <row r="474" spans="1:20" ht="15" customHeight="1" x14ac:dyDescent="0.25">
      <c r="A474" s="727"/>
      <c r="B474" s="309"/>
      <c r="C474" s="309"/>
      <c r="D474" s="309"/>
      <c r="E474" s="309"/>
      <c r="F474" s="309"/>
      <c r="G474" s="309"/>
      <c r="H474" s="309"/>
      <c r="I474" s="309"/>
      <c r="J474" s="309"/>
      <c r="K474" s="309"/>
      <c r="L474" s="309"/>
      <c r="M474" s="309"/>
      <c r="N474" s="309"/>
      <c r="O474" s="309"/>
      <c r="P474" s="309"/>
      <c r="Q474" s="309"/>
      <c r="R474" s="309"/>
      <c r="S474" s="309"/>
      <c r="T474" s="309"/>
    </row>
    <row r="475" spans="1:20" ht="15" customHeight="1" x14ac:dyDescent="0.25">
      <c r="A475" s="727"/>
      <c r="B475" s="309"/>
      <c r="C475" s="309"/>
      <c r="D475" s="309"/>
      <c r="E475" s="309"/>
      <c r="F475" s="309"/>
      <c r="G475" s="309"/>
      <c r="H475" s="309"/>
      <c r="I475" s="309"/>
      <c r="J475" s="309"/>
      <c r="K475" s="309"/>
      <c r="L475" s="309"/>
      <c r="M475" s="309"/>
      <c r="N475" s="309"/>
      <c r="O475" s="309"/>
      <c r="P475" s="309"/>
      <c r="Q475" s="309"/>
      <c r="R475" s="309"/>
      <c r="S475" s="309"/>
      <c r="T475" s="309"/>
    </row>
    <row r="476" spans="1:20" ht="15" customHeight="1" x14ac:dyDescent="0.25">
      <c r="A476" s="727"/>
      <c r="B476" s="309"/>
      <c r="C476" s="309"/>
      <c r="D476" s="309"/>
      <c r="E476" s="309"/>
      <c r="F476" s="309"/>
      <c r="G476" s="309"/>
      <c r="H476" s="309"/>
      <c r="I476" s="309"/>
      <c r="J476" s="309"/>
      <c r="K476" s="309"/>
      <c r="L476" s="309"/>
      <c r="M476" s="309"/>
      <c r="N476" s="309"/>
      <c r="O476" s="309"/>
      <c r="P476" s="309"/>
      <c r="Q476" s="309"/>
      <c r="R476" s="309"/>
      <c r="S476" s="309"/>
      <c r="T476" s="309"/>
    </row>
    <row r="477" spans="1:20" ht="15" customHeight="1" x14ac:dyDescent="0.25">
      <c r="A477" s="727"/>
      <c r="B477" s="309"/>
      <c r="C477" s="309"/>
      <c r="D477" s="309"/>
      <c r="E477" s="309"/>
      <c r="F477" s="309"/>
      <c r="G477" s="309"/>
      <c r="H477" s="309"/>
      <c r="I477" s="309"/>
      <c r="J477" s="309"/>
      <c r="K477" s="309"/>
      <c r="L477" s="309"/>
      <c r="M477" s="309"/>
      <c r="N477" s="309"/>
      <c r="O477" s="309"/>
      <c r="P477" s="309"/>
      <c r="Q477" s="309"/>
      <c r="R477" s="309"/>
      <c r="S477" s="309"/>
      <c r="T477" s="309"/>
    </row>
    <row r="478" spans="1:20" ht="15" customHeight="1" x14ac:dyDescent="0.25">
      <c r="A478" s="727"/>
      <c r="B478" s="309"/>
      <c r="C478" s="309"/>
      <c r="D478" s="309"/>
      <c r="E478" s="309"/>
      <c r="F478" s="309"/>
      <c r="G478" s="309"/>
      <c r="H478" s="309"/>
      <c r="I478" s="309"/>
      <c r="J478" s="309"/>
      <c r="K478" s="309"/>
      <c r="L478" s="309"/>
      <c r="M478" s="309"/>
      <c r="N478" s="309"/>
      <c r="O478" s="309"/>
      <c r="P478" s="309"/>
      <c r="Q478" s="309"/>
      <c r="R478" s="309"/>
      <c r="S478" s="309"/>
      <c r="T478" s="309"/>
    </row>
    <row r="479" spans="1:20" ht="15" customHeight="1" x14ac:dyDescent="0.25">
      <c r="A479" s="727"/>
      <c r="B479" s="309"/>
      <c r="C479" s="309"/>
      <c r="D479" s="309"/>
      <c r="E479" s="309"/>
      <c r="F479" s="309"/>
      <c r="G479" s="309"/>
      <c r="H479" s="309"/>
      <c r="I479" s="309"/>
      <c r="J479" s="309"/>
      <c r="K479" s="309"/>
      <c r="L479" s="309"/>
      <c r="M479" s="309"/>
      <c r="N479" s="309"/>
      <c r="O479" s="309"/>
      <c r="P479" s="309"/>
      <c r="Q479" s="309"/>
      <c r="R479" s="309"/>
      <c r="S479" s="309"/>
      <c r="T479" s="309"/>
    </row>
    <row r="480" spans="1:20" ht="15" customHeight="1" x14ac:dyDescent="0.25">
      <c r="A480" s="727"/>
      <c r="B480" s="309"/>
      <c r="C480" s="309"/>
      <c r="D480" s="309"/>
      <c r="E480" s="309"/>
      <c r="F480" s="309"/>
      <c r="G480" s="309"/>
      <c r="H480" s="309"/>
      <c r="I480" s="309"/>
      <c r="J480" s="309"/>
      <c r="K480" s="309"/>
      <c r="L480" s="309"/>
      <c r="M480" s="309"/>
      <c r="N480" s="309"/>
      <c r="O480" s="309"/>
      <c r="P480" s="309"/>
      <c r="Q480" s="309"/>
      <c r="R480" s="309"/>
      <c r="S480" s="309"/>
      <c r="T480" s="309"/>
    </row>
    <row r="481" spans="1:20" ht="15" customHeight="1" x14ac:dyDescent="0.25">
      <c r="A481" s="727"/>
      <c r="B481" s="309"/>
      <c r="C481" s="309"/>
      <c r="D481" s="309"/>
      <c r="E481" s="309"/>
      <c r="F481" s="309"/>
      <c r="G481" s="309"/>
      <c r="H481" s="309"/>
      <c r="I481" s="309"/>
      <c r="J481" s="309"/>
      <c r="K481" s="309"/>
      <c r="L481" s="309"/>
      <c r="M481" s="309"/>
      <c r="N481" s="309"/>
      <c r="O481" s="309"/>
      <c r="P481" s="309"/>
      <c r="Q481" s="309"/>
      <c r="R481" s="309"/>
      <c r="S481" s="309"/>
      <c r="T481" s="309"/>
    </row>
    <row r="482" spans="1:20" ht="15" customHeight="1" x14ac:dyDescent="0.25">
      <c r="A482" s="727"/>
      <c r="B482" s="309"/>
      <c r="C482" s="309"/>
      <c r="D482" s="309"/>
      <c r="E482" s="309"/>
      <c r="F482" s="309"/>
      <c r="G482" s="309"/>
      <c r="H482" s="309"/>
      <c r="I482" s="309"/>
      <c r="J482" s="309"/>
      <c r="K482" s="309"/>
      <c r="L482" s="309"/>
      <c r="M482" s="309"/>
      <c r="N482" s="309"/>
      <c r="O482" s="309"/>
      <c r="P482" s="309"/>
      <c r="Q482" s="309"/>
      <c r="R482" s="309"/>
      <c r="S482" s="309"/>
      <c r="T482" s="309"/>
    </row>
    <row r="483" spans="1:20" ht="15" customHeight="1" x14ac:dyDescent="0.25">
      <c r="A483" s="727"/>
      <c r="B483" s="309"/>
      <c r="C483" s="309"/>
      <c r="D483" s="309"/>
      <c r="E483" s="309"/>
      <c r="F483" s="309"/>
      <c r="G483" s="309"/>
      <c r="H483" s="309"/>
      <c r="I483" s="309"/>
      <c r="J483" s="309"/>
      <c r="K483" s="309"/>
      <c r="L483" s="309"/>
      <c r="M483" s="309"/>
      <c r="N483" s="309"/>
      <c r="O483" s="309"/>
      <c r="P483" s="309"/>
      <c r="Q483" s="309"/>
      <c r="R483" s="309"/>
      <c r="S483" s="309"/>
      <c r="T483" s="309"/>
    </row>
    <row r="484" spans="1:20" ht="15" customHeight="1" x14ac:dyDescent="0.25">
      <c r="A484" s="727"/>
      <c r="B484" s="309"/>
      <c r="C484" s="309"/>
      <c r="D484" s="309"/>
      <c r="E484" s="309"/>
      <c r="F484" s="309"/>
      <c r="G484" s="309"/>
      <c r="H484" s="309"/>
      <c r="I484" s="309"/>
      <c r="J484" s="309"/>
      <c r="K484" s="309"/>
      <c r="L484" s="309"/>
      <c r="M484" s="309"/>
      <c r="N484" s="309"/>
      <c r="O484" s="309"/>
      <c r="P484" s="309"/>
      <c r="Q484" s="309"/>
      <c r="R484" s="309"/>
      <c r="S484" s="309"/>
      <c r="T484" s="309"/>
    </row>
    <row r="485" spans="1:20" ht="15" customHeight="1" x14ac:dyDescent="0.25">
      <c r="A485" s="727"/>
      <c r="B485" s="309"/>
      <c r="C485" s="309"/>
      <c r="D485" s="309"/>
      <c r="E485" s="309"/>
      <c r="F485" s="309"/>
      <c r="G485" s="309"/>
      <c r="H485" s="309"/>
      <c r="I485" s="309"/>
      <c r="J485" s="309"/>
      <c r="K485" s="309"/>
      <c r="L485" s="309"/>
      <c r="M485" s="309"/>
      <c r="N485" s="309"/>
      <c r="O485" s="309"/>
      <c r="P485" s="309"/>
      <c r="Q485" s="309"/>
      <c r="R485" s="309"/>
      <c r="S485" s="309"/>
      <c r="T485" s="309"/>
    </row>
    <row r="486" spans="1:20" ht="15" customHeight="1" x14ac:dyDescent="0.25">
      <c r="A486" s="727"/>
      <c r="B486" s="309"/>
      <c r="C486" s="309"/>
      <c r="D486" s="309"/>
      <c r="E486" s="309"/>
      <c r="F486" s="309"/>
      <c r="G486" s="309"/>
      <c r="H486" s="309"/>
      <c r="I486" s="309"/>
      <c r="J486" s="309"/>
      <c r="K486" s="309"/>
      <c r="L486" s="309"/>
      <c r="M486" s="309"/>
      <c r="N486" s="309"/>
      <c r="O486" s="309"/>
      <c r="P486" s="309"/>
      <c r="Q486" s="309"/>
      <c r="R486" s="309"/>
      <c r="S486" s="309"/>
      <c r="T486" s="309"/>
    </row>
    <row r="487" spans="1:20" ht="15" customHeight="1" x14ac:dyDescent="0.25">
      <c r="A487" s="727"/>
      <c r="B487" s="309"/>
      <c r="C487" s="309"/>
      <c r="D487" s="309"/>
      <c r="E487" s="309"/>
      <c r="F487" s="309"/>
      <c r="G487" s="309"/>
      <c r="H487" s="309"/>
      <c r="I487" s="309"/>
      <c r="J487" s="309"/>
      <c r="K487" s="309"/>
      <c r="L487" s="309"/>
      <c r="M487" s="309"/>
      <c r="N487" s="309"/>
      <c r="O487" s="309"/>
      <c r="P487" s="309"/>
      <c r="Q487" s="309"/>
      <c r="R487" s="309"/>
      <c r="S487" s="309"/>
      <c r="T487" s="309"/>
    </row>
    <row r="488" spans="1:20" ht="15" customHeight="1" x14ac:dyDescent="0.25">
      <c r="A488" s="727"/>
      <c r="B488" s="309"/>
      <c r="C488" s="309"/>
      <c r="D488" s="309"/>
      <c r="E488" s="309"/>
      <c r="F488" s="309"/>
      <c r="G488" s="309"/>
      <c r="H488" s="309"/>
      <c r="I488" s="309"/>
      <c r="J488" s="309"/>
      <c r="K488" s="309"/>
      <c r="L488" s="309"/>
      <c r="M488" s="309"/>
      <c r="N488" s="309"/>
      <c r="O488" s="309"/>
      <c r="P488" s="309"/>
      <c r="Q488" s="309"/>
      <c r="R488" s="309"/>
      <c r="S488" s="309"/>
      <c r="T488" s="309"/>
    </row>
    <row r="489" spans="1:20" ht="15" customHeight="1" x14ac:dyDescent="0.25">
      <c r="A489" s="727"/>
      <c r="B489" s="309"/>
      <c r="C489" s="309"/>
      <c r="D489" s="309"/>
      <c r="E489" s="309"/>
      <c r="F489" s="309"/>
      <c r="G489" s="309"/>
      <c r="H489" s="309"/>
      <c r="I489" s="309"/>
      <c r="J489" s="309"/>
      <c r="K489" s="309"/>
      <c r="L489" s="309"/>
      <c r="M489" s="309"/>
      <c r="N489" s="309"/>
      <c r="O489" s="309"/>
      <c r="P489" s="309"/>
      <c r="Q489" s="309"/>
      <c r="R489" s="309"/>
      <c r="S489" s="309"/>
      <c r="T489" s="309"/>
    </row>
    <row r="490" spans="1:20" ht="15" customHeight="1" x14ac:dyDescent="0.25">
      <c r="A490" s="727"/>
      <c r="B490" s="309"/>
      <c r="C490" s="309"/>
      <c r="D490" s="309"/>
      <c r="E490" s="309"/>
      <c r="F490" s="309"/>
      <c r="G490" s="309"/>
      <c r="H490" s="309"/>
      <c r="I490" s="309"/>
      <c r="J490" s="309"/>
      <c r="K490" s="309"/>
      <c r="L490" s="309"/>
      <c r="M490" s="309"/>
      <c r="N490" s="309"/>
      <c r="O490" s="309"/>
      <c r="P490" s="309"/>
      <c r="Q490" s="309"/>
      <c r="R490" s="309"/>
      <c r="S490" s="309"/>
      <c r="T490" s="309"/>
    </row>
    <row r="491" spans="1:20" ht="15" customHeight="1" x14ac:dyDescent="0.25">
      <c r="A491" s="727"/>
      <c r="B491" s="309"/>
      <c r="C491" s="309"/>
      <c r="D491" s="309"/>
      <c r="E491" s="309"/>
      <c r="F491" s="309"/>
      <c r="G491" s="309"/>
      <c r="H491" s="309"/>
      <c r="I491" s="309"/>
      <c r="J491" s="309"/>
      <c r="K491" s="309"/>
      <c r="L491" s="309"/>
      <c r="M491" s="309"/>
      <c r="N491" s="309"/>
      <c r="O491" s="309"/>
      <c r="P491" s="309"/>
      <c r="Q491" s="309"/>
      <c r="R491" s="309"/>
      <c r="S491" s="309"/>
      <c r="T491" s="309"/>
    </row>
    <row r="492" spans="1:20" ht="15" customHeight="1" x14ac:dyDescent="0.25">
      <c r="A492" s="727"/>
      <c r="B492" s="309"/>
      <c r="C492" s="309"/>
      <c r="D492" s="309"/>
      <c r="E492" s="309"/>
      <c r="F492" s="309"/>
      <c r="G492" s="309"/>
      <c r="H492" s="309"/>
      <c r="I492" s="309"/>
      <c r="J492" s="309"/>
      <c r="K492" s="309"/>
      <c r="L492" s="309"/>
      <c r="M492" s="309"/>
      <c r="N492" s="309"/>
      <c r="O492" s="309"/>
      <c r="P492" s="309"/>
      <c r="Q492" s="309"/>
      <c r="R492" s="309"/>
      <c r="S492" s="309"/>
      <c r="T492" s="309"/>
    </row>
    <row r="493" spans="1:20" ht="15" customHeight="1" x14ac:dyDescent="0.25">
      <c r="A493" s="727"/>
      <c r="B493" s="309"/>
      <c r="C493" s="309"/>
      <c r="D493" s="309"/>
      <c r="E493" s="309"/>
      <c r="F493" s="309"/>
      <c r="G493" s="309"/>
      <c r="H493" s="309"/>
      <c r="I493" s="309"/>
      <c r="J493" s="309"/>
      <c r="K493" s="309"/>
      <c r="L493" s="309"/>
      <c r="M493" s="309"/>
      <c r="N493" s="309"/>
      <c r="O493" s="309"/>
      <c r="P493" s="309"/>
      <c r="Q493" s="309"/>
      <c r="R493" s="309"/>
      <c r="S493" s="309"/>
      <c r="T493" s="309"/>
    </row>
    <row r="494" spans="1:20" ht="15" customHeight="1" x14ac:dyDescent="0.25">
      <c r="A494" s="727"/>
      <c r="B494" s="309"/>
      <c r="C494" s="309"/>
      <c r="D494" s="309"/>
      <c r="E494" s="309"/>
      <c r="F494" s="309"/>
      <c r="G494" s="309"/>
      <c r="H494" s="309"/>
      <c r="I494" s="309"/>
      <c r="J494" s="309"/>
      <c r="K494" s="309"/>
      <c r="L494" s="309"/>
      <c r="M494" s="309"/>
      <c r="N494" s="309"/>
      <c r="O494" s="309"/>
      <c r="P494" s="309"/>
      <c r="Q494" s="309"/>
      <c r="R494" s="309"/>
      <c r="S494" s="309"/>
      <c r="T494" s="309"/>
    </row>
    <row r="495" spans="1:20" ht="15" customHeight="1" x14ac:dyDescent="0.25">
      <c r="A495" s="727"/>
      <c r="B495" s="309"/>
      <c r="C495" s="309"/>
      <c r="D495" s="309"/>
      <c r="E495" s="309"/>
      <c r="F495" s="309"/>
      <c r="G495" s="309"/>
      <c r="H495" s="309"/>
      <c r="I495" s="309"/>
      <c r="J495" s="309"/>
      <c r="K495" s="309"/>
      <c r="L495" s="309"/>
      <c r="M495" s="309"/>
      <c r="N495" s="309"/>
      <c r="O495" s="309"/>
      <c r="P495" s="309"/>
      <c r="Q495" s="309"/>
      <c r="R495" s="309"/>
      <c r="S495" s="309"/>
      <c r="T495" s="309"/>
    </row>
    <row r="496" spans="1:20" ht="15" customHeight="1" x14ac:dyDescent="0.25">
      <c r="A496" s="727"/>
      <c r="B496" s="309"/>
      <c r="C496" s="309"/>
      <c r="D496" s="309"/>
      <c r="E496" s="309"/>
      <c r="F496" s="309"/>
      <c r="G496" s="309"/>
      <c r="H496" s="309"/>
      <c r="I496" s="309"/>
      <c r="J496" s="309"/>
      <c r="K496" s="309"/>
      <c r="L496" s="309"/>
      <c r="M496" s="309"/>
      <c r="N496" s="309"/>
      <c r="O496" s="309"/>
      <c r="P496" s="309"/>
      <c r="Q496" s="309"/>
      <c r="R496" s="309"/>
      <c r="S496" s="309"/>
      <c r="T496" s="309"/>
    </row>
    <row r="497" spans="1:20" ht="15" customHeight="1" x14ac:dyDescent="0.25">
      <c r="A497" s="727"/>
      <c r="B497" s="309"/>
      <c r="C497" s="309"/>
      <c r="D497" s="309"/>
      <c r="E497" s="309"/>
      <c r="F497" s="309"/>
      <c r="G497" s="309"/>
      <c r="H497" s="309"/>
      <c r="I497" s="309"/>
      <c r="J497" s="309"/>
      <c r="K497" s="309"/>
      <c r="L497" s="309"/>
      <c r="M497" s="309"/>
      <c r="N497" s="309"/>
      <c r="O497" s="309"/>
      <c r="P497" s="309"/>
      <c r="Q497" s="309"/>
      <c r="R497" s="309"/>
      <c r="S497" s="309"/>
      <c r="T497" s="309"/>
    </row>
    <row r="498" spans="1:20" ht="15" customHeight="1" x14ac:dyDescent="0.25">
      <c r="A498" s="727"/>
      <c r="B498" s="309"/>
      <c r="C498" s="309"/>
      <c r="D498" s="309"/>
      <c r="E498" s="309"/>
      <c r="F498" s="309"/>
      <c r="G498" s="309"/>
      <c r="H498" s="309"/>
      <c r="I498" s="309"/>
      <c r="J498" s="309"/>
      <c r="K498" s="309"/>
      <c r="L498" s="309"/>
      <c r="M498" s="309"/>
      <c r="N498" s="309"/>
      <c r="O498" s="309"/>
      <c r="P498" s="309"/>
      <c r="Q498" s="309"/>
      <c r="R498" s="309"/>
      <c r="S498" s="309"/>
      <c r="T498" s="309"/>
    </row>
    <row r="499" spans="1:20" ht="15" customHeight="1" x14ac:dyDescent="0.25">
      <c r="A499" s="727"/>
      <c r="B499" s="309"/>
      <c r="C499" s="309"/>
      <c r="D499" s="309"/>
      <c r="E499" s="309"/>
      <c r="F499" s="309"/>
      <c r="G499" s="309"/>
      <c r="H499" s="309"/>
      <c r="I499" s="309"/>
      <c r="J499" s="309"/>
      <c r="K499" s="309"/>
      <c r="L499" s="309"/>
      <c r="M499" s="309"/>
      <c r="N499" s="309"/>
      <c r="O499" s="309"/>
      <c r="P499" s="309"/>
      <c r="Q499" s="309"/>
      <c r="R499" s="309"/>
      <c r="S499" s="309"/>
      <c r="T499" s="309"/>
    </row>
    <row r="500" spans="1:20" ht="15" customHeight="1" x14ac:dyDescent="0.25">
      <c r="A500" s="727"/>
      <c r="B500" s="309"/>
      <c r="C500" s="309"/>
      <c r="D500" s="309"/>
      <c r="E500" s="309"/>
      <c r="F500" s="309"/>
      <c r="G500" s="309"/>
      <c r="H500" s="309"/>
      <c r="I500" s="309"/>
      <c r="J500" s="309"/>
      <c r="K500" s="309"/>
      <c r="L500" s="309"/>
      <c r="M500" s="309"/>
      <c r="N500" s="309"/>
      <c r="O500" s="309"/>
      <c r="P500" s="309"/>
      <c r="Q500" s="309"/>
      <c r="R500" s="309"/>
      <c r="S500" s="309"/>
      <c r="T500" s="309"/>
    </row>
    <row r="501" spans="1:20" ht="15" customHeight="1" x14ac:dyDescent="0.25">
      <c r="A501" s="727"/>
      <c r="B501" s="309"/>
      <c r="C501" s="309"/>
      <c r="D501" s="309"/>
      <c r="E501" s="309"/>
      <c r="F501" s="309"/>
      <c r="G501" s="309"/>
      <c r="H501" s="309"/>
      <c r="I501" s="309"/>
      <c r="J501" s="309"/>
      <c r="K501" s="309"/>
      <c r="L501" s="309"/>
      <c r="M501" s="309"/>
      <c r="N501" s="309"/>
      <c r="O501" s="309"/>
      <c r="P501" s="309"/>
      <c r="Q501" s="309"/>
      <c r="R501" s="309"/>
      <c r="S501" s="309"/>
      <c r="T501" s="309"/>
    </row>
    <row r="502" spans="1:20" ht="15" customHeight="1" x14ac:dyDescent="0.25">
      <c r="A502" s="727"/>
      <c r="B502" s="309"/>
      <c r="C502" s="309"/>
      <c r="D502" s="309"/>
      <c r="E502" s="309"/>
      <c r="F502" s="309"/>
      <c r="G502" s="309"/>
      <c r="H502" s="309"/>
      <c r="I502" s="309"/>
      <c r="J502" s="309"/>
      <c r="K502" s="309"/>
      <c r="L502" s="309"/>
      <c r="M502" s="309"/>
      <c r="N502" s="309"/>
      <c r="O502" s="309"/>
      <c r="P502" s="309"/>
      <c r="Q502" s="309"/>
      <c r="R502" s="309"/>
      <c r="S502" s="309"/>
      <c r="T502" s="309"/>
    </row>
    <row r="503" spans="1:20" ht="15" customHeight="1" x14ac:dyDescent="0.25">
      <c r="A503" s="727"/>
      <c r="B503" s="309"/>
      <c r="C503" s="309"/>
      <c r="D503" s="309"/>
      <c r="E503" s="309"/>
      <c r="F503" s="309"/>
      <c r="G503" s="309"/>
      <c r="H503" s="309"/>
      <c r="I503" s="309"/>
      <c r="J503" s="309"/>
      <c r="K503" s="309"/>
      <c r="L503" s="309"/>
      <c r="M503" s="309"/>
      <c r="N503" s="309"/>
      <c r="O503" s="309"/>
      <c r="P503" s="309"/>
      <c r="Q503" s="309"/>
      <c r="R503" s="309"/>
      <c r="S503" s="309"/>
      <c r="T503" s="309"/>
    </row>
    <row r="504" spans="1:20" ht="15" customHeight="1" x14ac:dyDescent="0.25">
      <c r="A504" s="727"/>
      <c r="B504" s="309"/>
      <c r="C504" s="309"/>
      <c r="D504" s="309"/>
      <c r="E504" s="309"/>
      <c r="F504" s="309"/>
      <c r="G504" s="309"/>
      <c r="H504" s="309"/>
      <c r="I504" s="309"/>
      <c r="J504" s="309"/>
      <c r="K504" s="309"/>
      <c r="L504" s="309"/>
      <c r="M504" s="309"/>
      <c r="N504" s="309"/>
      <c r="O504" s="309"/>
      <c r="P504" s="309"/>
      <c r="Q504" s="309"/>
      <c r="R504" s="309"/>
      <c r="S504" s="309"/>
      <c r="T504" s="309"/>
    </row>
    <row r="505" spans="1:20" ht="15" customHeight="1" x14ac:dyDescent="0.25">
      <c r="A505" s="727"/>
      <c r="B505" s="309"/>
      <c r="C505" s="309"/>
      <c r="D505" s="309"/>
      <c r="E505" s="309"/>
      <c r="F505" s="309"/>
      <c r="G505" s="309"/>
      <c r="H505" s="309"/>
      <c r="I505" s="309"/>
      <c r="J505" s="309"/>
      <c r="K505" s="309"/>
      <c r="L505" s="309"/>
      <c r="M505" s="309"/>
      <c r="N505" s="309"/>
      <c r="O505" s="309"/>
      <c r="P505" s="309"/>
      <c r="Q505" s="309"/>
      <c r="R505" s="309"/>
      <c r="S505" s="309"/>
      <c r="T505" s="309"/>
    </row>
    <row r="506" spans="1:20" ht="15" customHeight="1" x14ac:dyDescent="0.25">
      <c r="A506" s="727"/>
      <c r="B506" s="309"/>
      <c r="C506" s="309"/>
      <c r="D506" s="309"/>
      <c r="E506" s="309"/>
      <c r="F506" s="309"/>
      <c r="G506" s="309"/>
      <c r="H506" s="309"/>
      <c r="I506" s="309"/>
      <c r="J506" s="309"/>
      <c r="K506" s="309"/>
      <c r="L506" s="309"/>
      <c r="M506" s="309"/>
      <c r="N506" s="309"/>
      <c r="O506" s="309"/>
      <c r="P506" s="309"/>
      <c r="Q506" s="309"/>
      <c r="R506" s="309"/>
      <c r="S506" s="309"/>
      <c r="T506" s="309"/>
    </row>
    <row r="507" spans="1:20" ht="15" customHeight="1" x14ac:dyDescent="0.25">
      <c r="A507" s="727"/>
      <c r="B507" s="309"/>
      <c r="C507" s="309"/>
      <c r="D507" s="309"/>
      <c r="E507" s="309"/>
      <c r="F507" s="309"/>
      <c r="G507" s="309"/>
      <c r="H507" s="309"/>
      <c r="I507" s="309"/>
      <c r="J507" s="309"/>
      <c r="K507" s="309"/>
      <c r="L507" s="309"/>
      <c r="M507" s="309"/>
      <c r="N507" s="309"/>
      <c r="O507" s="309"/>
      <c r="P507" s="309"/>
      <c r="Q507" s="309"/>
      <c r="R507" s="309"/>
      <c r="S507" s="309"/>
      <c r="T507" s="309"/>
    </row>
    <row r="508" spans="1:20" ht="15" customHeight="1" x14ac:dyDescent="0.25">
      <c r="A508" s="727"/>
      <c r="B508" s="309"/>
      <c r="C508" s="309"/>
      <c r="D508" s="309"/>
      <c r="E508" s="309"/>
      <c r="F508" s="309"/>
      <c r="G508" s="309"/>
      <c r="H508" s="309"/>
      <c r="I508" s="309"/>
      <c r="J508" s="309"/>
      <c r="K508" s="309"/>
      <c r="L508" s="309"/>
      <c r="M508" s="309"/>
      <c r="N508" s="309"/>
      <c r="O508" s="309"/>
      <c r="P508" s="309"/>
      <c r="Q508" s="309"/>
      <c r="R508" s="309"/>
      <c r="S508" s="309"/>
      <c r="T508" s="309"/>
    </row>
    <row r="509" spans="1:20" ht="15" customHeight="1" x14ac:dyDescent="0.25">
      <c r="A509" s="727"/>
      <c r="B509" s="309"/>
      <c r="C509" s="309"/>
      <c r="D509" s="309"/>
      <c r="E509" s="309"/>
      <c r="F509" s="309"/>
      <c r="G509" s="309"/>
      <c r="H509" s="309"/>
      <c r="I509" s="309"/>
      <c r="J509" s="309"/>
      <c r="K509" s="309"/>
      <c r="L509" s="309"/>
      <c r="M509" s="309"/>
      <c r="N509" s="309"/>
      <c r="O509" s="309"/>
      <c r="P509" s="309"/>
      <c r="Q509" s="309"/>
      <c r="R509" s="309"/>
      <c r="S509" s="309"/>
      <c r="T509" s="309"/>
    </row>
    <row r="510" spans="1:20" ht="15" customHeight="1" x14ac:dyDescent="0.25">
      <c r="A510" s="727"/>
      <c r="B510" s="309"/>
      <c r="C510" s="309"/>
      <c r="D510" s="309"/>
      <c r="E510" s="309"/>
      <c r="F510" s="309"/>
      <c r="G510" s="309"/>
      <c r="H510" s="309"/>
      <c r="I510" s="309"/>
      <c r="J510" s="309"/>
      <c r="K510" s="309"/>
      <c r="L510" s="309"/>
      <c r="M510" s="309"/>
      <c r="N510" s="309"/>
      <c r="O510" s="309"/>
      <c r="P510" s="309"/>
      <c r="Q510" s="309"/>
      <c r="R510" s="309"/>
      <c r="S510" s="309"/>
      <c r="T510" s="309"/>
    </row>
    <row r="511" spans="1:20" ht="15" customHeight="1" x14ac:dyDescent="0.25">
      <c r="A511" s="727"/>
      <c r="B511" s="309"/>
      <c r="C511" s="309"/>
      <c r="D511" s="309"/>
      <c r="E511" s="309"/>
      <c r="F511" s="309"/>
      <c r="G511" s="309"/>
      <c r="H511" s="309"/>
      <c r="I511" s="309"/>
      <c r="J511" s="309"/>
      <c r="K511" s="309"/>
      <c r="L511" s="309"/>
      <c r="M511" s="309"/>
      <c r="N511" s="309"/>
      <c r="O511" s="309"/>
      <c r="P511" s="309"/>
      <c r="Q511" s="309"/>
      <c r="R511" s="309"/>
      <c r="S511" s="309"/>
      <c r="T511" s="309"/>
    </row>
    <row r="512" spans="1:20" ht="15" customHeight="1" x14ac:dyDescent="0.25">
      <c r="A512" s="727"/>
      <c r="B512" s="309"/>
      <c r="C512" s="309"/>
      <c r="D512" s="309"/>
      <c r="E512" s="309"/>
      <c r="F512" s="309"/>
      <c r="G512" s="309"/>
      <c r="H512" s="309"/>
      <c r="I512" s="309"/>
      <c r="J512" s="309"/>
      <c r="K512" s="309"/>
      <c r="L512" s="309"/>
      <c r="M512" s="309"/>
      <c r="N512" s="309"/>
      <c r="O512" s="309"/>
      <c r="P512" s="309"/>
      <c r="Q512" s="309"/>
      <c r="R512" s="309"/>
      <c r="S512" s="309"/>
      <c r="T512" s="309"/>
    </row>
    <row r="513" spans="1:20" ht="15" customHeight="1" x14ac:dyDescent="0.25">
      <c r="A513" s="727"/>
      <c r="B513" s="309"/>
      <c r="C513" s="309"/>
      <c r="D513" s="309"/>
      <c r="E513" s="309"/>
      <c r="F513" s="309"/>
      <c r="G513" s="309"/>
      <c r="H513" s="309"/>
      <c r="I513" s="309"/>
      <c r="J513" s="309"/>
      <c r="K513" s="309"/>
      <c r="L513" s="309"/>
      <c r="M513" s="309"/>
      <c r="N513" s="309"/>
      <c r="O513" s="309"/>
      <c r="P513" s="309"/>
      <c r="Q513" s="309"/>
      <c r="R513" s="309"/>
      <c r="S513" s="309"/>
      <c r="T513" s="309"/>
    </row>
    <row r="514" spans="1:20" ht="15" customHeight="1" x14ac:dyDescent="0.25">
      <c r="A514" s="727"/>
      <c r="B514" s="309"/>
      <c r="C514" s="309"/>
      <c r="D514" s="309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309"/>
      <c r="P514" s="309"/>
      <c r="Q514" s="309"/>
      <c r="R514" s="309"/>
      <c r="S514" s="309"/>
      <c r="T514" s="309"/>
    </row>
    <row r="515" spans="1:20" ht="15" customHeight="1" x14ac:dyDescent="0.25">
      <c r="A515" s="727"/>
      <c r="B515" s="309"/>
      <c r="C515" s="309"/>
      <c r="D515" s="309"/>
      <c r="E515" s="309"/>
      <c r="F515" s="309"/>
      <c r="G515" s="309"/>
      <c r="H515" s="309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</row>
    <row r="516" spans="1:20" ht="15" customHeight="1" x14ac:dyDescent="0.25">
      <c r="A516" s="727"/>
      <c r="B516" s="309"/>
      <c r="C516" s="309"/>
      <c r="D516" s="309"/>
      <c r="E516" s="309"/>
      <c r="F516" s="309"/>
      <c r="G516" s="309"/>
      <c r="H516" s="309"/>
      <c r="I516" s="309"/>
      <c r="J516" s="309"/>
      <c r="K516" s="309"/>
      <c r="L516" s="309"/>
      <c r="M516" s="309"/>
      <c r="N516" s="309"/>
      <c r="O516" s="309"/>
      <c r="P516" s="309"/>
      <c r="Q516" s="309"/>
      <c r="R516" s="309"/>
      <c r="S516" s="309"/>
      <c r="T516" s="309"/>
    </row>
    <row r="517" spans="1:20" ht="15" customHeight="1" x14ac:dyDescent="0.25">
      <c r="A517" s="727"/>
      <c r="B517" s="309"/>
      <c r="C517" s="309"/>
      <c r="D517" s="309"/>
      <c r="E517" s="309"/>
      <c r="F517" s="309"/>
      <c r="G517" s="309"/>
      <c r="H517" s="309"/>
      <c r="I517" s="309"/>
      <c r="J517" s="309"/>
      <c r="K517" s="309"/>
      <c r="L517" s="309"/>
      <c r="M517" s="309"/>
      <c r="N517" s="309"/>
      <c r="O517" s="309"/>
      <c r="P517" s="309"/>
      <c r="Q517" s="309"/>
      <c r="R517" s="309"/>
      <c r="S517" s="309"/>
      <c r="T517" s="309"/>
    </row>
    <row r="518" spans="1:20" ht="15" customHeight="1" x14ac:dyDescent="0.25">
      <c r="A518" s="727"/>
      <c r="B518" s="309"/>
      <c r="C518" s="309"/>
      <c r="D518" s="309"/>
      <c r="E518" s="309"/>
      <c r="F518" s="309"/>
      <c r="G518" s="309"/>
      <c r="H518" s="309"/>
      <c r="I518" s="309"/>
      <c r="J518" s="309"/>
      <c r="K518" s="309"/>
      <c r="L518" s="309"/>
      <c r="M518" s="309"/>
      <c r="N518" s="309"/>
      <c r="O518" s="309"/>
      <c r="P518" s="309"/>
      <c r="Q518" s="309"/>
      <c r="R518" s="309"/>
      <c r="S518" s="309"/>
      <c r="T518" s="309"/>
    </row>
    <row r="519" spans="1:20" ht="15" customHeight="1" x14ac:dyDescent="0.25">
      <c r="A519" s="727"/>
      <c r="B519" s="309"/>
      <c r="C519" s="309"/>
      <c r="D519" s="309"/>
      <c r="E519" s="309"/>
      <c r="F519" s="309"/>
      <c r="G519" s="309"/>
      <c r="H519" s="309"/>
      <c r="I519" s="309"/>
      <c r="J519" s="309"/>
      <c r="K519" s="309"/>
      <c r="L519" s="309"/>
      <c r="M519" s="309"/>
      <c r="N519" s="309"/>
      <c r="O519" s="309"/>
      <c r="P519" s="309"/>
      <c r="Q519" s="309"/>
      <c r="R519" s="309"/>
      <c r="S519" s="309"/>
      <c r="T519" s="309"/>
    </row>
    <row r="520" spans="1:20" ht="15" customHeight="1" x14ac:dyDescent="0.25">
      <c r="A520" s="727"/>
      <c r="B520" s="309"/>
      <c r="C520" s="309"/>
      <c r="D520" s="309"/>
      <c r="E520" s="309"/>
      <c r="F520" s="309"/>
      <c r="G520" s="309"/>
      <c r="H520" s="309"/>
      <c r="I520" s="309"/>
      <c r="J520" s="309"/>
      <c r="K520" s="309"/>
      <c r="L520" s="309"/>
      <c r="M520" s="309"/>
      <c r="N520" s="309"/>
      <c r="O520" s="309"/>
      <c r="P520" s="309"/>
      <c r="Q520" s="309"/>
      <c r="R520" s="309"/>
      <c r="S520" s="309"/>
      <c r="T520" s="309"/>
    </row>
    <row r="521" spans="1:20" ht="15" customHeight="1" x14ac:dyDescent="0.25">
      <c r="A521" s="727"/>
      <c r="B521" s="309"/>
      <c r="C521" s="309"/>
      <c r="D521" s="309"/>
      <c r="E521" s="309"/>
      <c r="F521" s="309"/>
      <c r="G521" s="309"/>
      <c r="H521" s="309"/>
      <c r="I521" s="309"/>
      <c r="J521" s="309"/>
      <c r="K521" s="309"/>
      <c r="L521" s="309"/>
      <c r="M521" s="309"/>
      <c r="N521" s="309"/>
      <c r="O521" s="309"/>
      <c r="P521" s="309"/>
      <c r="Q521" s="309"/>
      <c r="R521" s="309"/>
      <c r="S521" s="309"/>
      <c r="T521" s="309"/>
    </row>
    <row r="522" spans="1:20" ht="15" customHeight="1" x14ac:dyDescent="0.25">
      <c r="A522" s="727"/>
      <c r="B522" s="309"/>
      <c r="C522" s="309"/>
      <c r="D522" s="309"/>
      <c r="E522" s="309"/>
      <c r="F522" s="309"/>
      <c r="G522" s="309"/>
      <c r="H522" s="309"/>
      <c r="I522" s="309"/>
      <c r="J522" s="309"/>
      <c r="K522" s="309"/>
      <c r="L522" s="309"/>
      <c r="M522" s="309"/>
      <c r="N522" s="309"/>
      <c r="O522" s="309"/>
      <c r="P522" s="309"/>
      <c r="Q522" s="309"/>
      <c r="R522" s="309"/>
      <c r="S522" s="309"/>
      <c r="T522" s="309"/>
    </row>
    <row r="523" spans="1:20" ht="15" customHeight="1" x14ac:dyDescent="0.25">
      <c r="A523" s="727"/>
      <c r="B523" s="309"/>
      <c r="C523" s="309"/>
      <c r="D523" s="309"/>
      <c r="E523" s="309"/>
      <c r="F523" s="309"/>
      <c r="G523" s="309"/>
      <c r="H523" s="309"/>
      <c r="I523" s="309"/>
      <c r="J523" s="309"/>
      <c r="K523" s="309"/>
      <c r="L523" s="309"/>
      <c r="M523" s="309"/>
      <c r="N523" s="309"/>
      <c r="O523" s="309"/>
      <c r="P523" s="309"/>
      <c r="Q523" s="309"/>
      <c r="R523" s="309"/>
      <c r="S523" s="309"/>
      <c r="T523" s="309"/>
    </row>
    <row r="524" spans="1:20" ht="15" customHeight="1" x14ac:dyDescent="0.25">
      <c r="A524" s="727"/>
      <c r="B524" s="309"/>
      <c r="C524" s="309"/>
      <c r="D524" s="309"/>
      <c r="E524" s="309"/>
      <c r="F524" s="652"/>
      <c r="G524" s="309"/>
      <c r="H524" s="309"/>
      <c r="I524" s="309"/>
      <c r="J524" s="309"/>
      <c r="K524" s="309"/>
      <c r="L524" s="309"/>
      <c r="M524" s="309"/>
      <c r="N524" s="309"/>
      <c r="O524" s="309"/>
      <c r="P524" s="309"/>
      <c r="Q524" s="309"/>
      <c r="R524" s="309"/>
      <c r="S524" s="309"/>
      <c r="T524" s="309"/>
    </row>
    <row r="525" spans="1:20" ht="15" customHeight="1" x14ac:dyDescent="0.25">
      <c r="A525" s="727"/>
      <c r="B525" s="309"/>
      <c r="C525" s="309"/>
      <c r="D525" s="309"/>
      <c r="E525" s="309"/>
      <c r="F525" s="309"/>
      <c r="G525" s="317"/>
      <c r="H525" s="309"/>
      <c r="I525" s="309"/>
      <c r="J525" s="309"/>
      <c r="K525" s="309"/>
      <c r="L525" s="309"/>
      <c r="M525" s="309"/>
      <c r="N525" s="309"/>
      <c r="O525" s="309"/>
      <c r="P525" s="309"/>
      <c r="Q525" s="309"/>
      <c r="R525" s="309"/>
      <c r="S525" s="309"/>
      <c r="T525" s="309"/>
    </row>
    <row r="526" spans="1:20" ht="15" customHeight="1" x14ac:dyDescent="0.25">
      <c r="A526" s="727"/>
      <c r="B526" s="309"/>
      <c r="C526" s="309"/>
      <c r="D526" s="309"/>
      <c r="E526" s="309"/>
      <c r="F526" s="309"/>
      <c r="G526" s="309"/>
      <c r="H526" s="309"/>
      <c r="I526" s="309"/>
      <c r="J526" s="309"/>
      <c r="K526" s="309"/>
      <c r="L526" s="309"/>
      <c r="M526" s="309"/>
      <c r="N526" s="309"/>
      <c r="O526" s="309"/>
      <c r="P526" s="309"/>
      <c r="Q526" s="309"/>
      <c r="R526" s="309"/>
      <c r="S526" s="309"/>
      <c r="T526" s="309"/>
    </row>
    <row r="527" spans="1:20" ht="15" customHeight="1" x14ac:dyDescent="0.25">
      <c r="A527" s="727"/>
      <c r="B527" s="309"/>
      <c r="C527" s="309"/>
      <c r="D527" s="309"/>
      <c r="E527" s="309"/>
      <c r="F527" s="309"/>
      <c r="G527" s="309"/>
      <c r="H527" s="309"/>
      <c r="I527" s="309"/>
      <c r="J527" s="309"/>
      <c r="K527" s="309"/>
      <c r="L527" s="309"/>
      <c r="M527" s="309"/>
      <c r="N527" s="309"/>
      <c r="O527" s="309"/>
      <c r="P527" s="309"/>
      <c r="Q527" s="309"/>
      <c r="R527" s="309"/>
      <c r="S527" s="309"/>
      <c r="T527" s="309"/>
    </row>
    <row r="528" spans="1:20" ht="15" customHeight="1" x14ac:dyDescent="0.25">
      <c r="A528" s="727"/>
      <c r="B528" s="309"/>
      <c r="C528" s="309"/>
      <c r="D528" s="309"/>
      <c r="E528" s="309"/>
      <c r="F528" s="309"/>
      <c r="G528" s="309"/>
      <c r="H528" s="309"/>
      <c r="I528" s="309"/>
      <c r="J528" s="309"/>
      <c r="K528" s="309"/>
      <c r="L528" s="309"/>
      <c r="M528" s="309"/>
      <c r="N528" s="309"/>
      <c r="O528" s="309"/>
      <c r="P528" s="309"/>
      <c r="Q528" s="309"/>
      <c r="R528" s="309"/>
      <c r="S528" s="309"/>
      <c r="T528" s="309"/>
    </row>
    <row r="529" spans="1:20" ht="15" customHeight="1" x14ac:dyDescent="0.25">
      <c r="A529" s="727"/>
      <c r="B529" s="309"/>
      <c r="C529" s="309"/>
      <c r="D529" s="309"/>
      <c r="E529" s="309"/>
      <c r="F529" s="309"/>
      <c r="G529" s="309"/>
      <c r="H529" s="309"/>
      <c r="I529" s="309"/>
      <c r="J529" s="309"/>
      <c r="K529" s="309"/>
      <c r="L529" s="309"/>
      <c r="M529" s="309"/>
      <c r="N529" s="309"/>
      <c r="O529" s="309"/>
      <c r="P529" s="309"/>
      <c r="Q529" s="309"/>
      <c r="R529" s="309"/>
      <c r="S529" s="309"/>
      <c r="T529" s="309"/>
    </row>
    <row r="530" spans="1:20" ht="15" customHeight="1" x14ac:dyDescent="0.25">
      <c r="A530" s="727"/>
      <c r="B530" s="309"/>
      <c r="C530" s="309"/>
      <c r="D530" s="309"/>
      <c r="E530" s="309"/>
      <c r="F530" s="309"/>
      <c r="G530" s="309"/>
      <c r="H530" s="309"/>
      <c r="I530" s="309"/>
      <c r="J530" s="309"/>
      <c r="K530" s="309"/>
      <c r="L530" s="309"/>
      <c r="M530" s="309"/>
      <c r="N530" s="309"/>
      <c r="O530" s="309"/>
      <c r="P530" s="309"/>
      <c r="Q530" s="309"/>
      <c r="R530" s="309"/>
      <c r="S530" s="309"/>
      <c r="T530" s="309"/>
    </row>
    <row r="531" spans="1:20" ht="15" customHeight="1" x14ac:dyDescent="0.25">
      <c r="A531" s="727"/>
      <c r="B531" s="309"/>
      <c r="C531" s="309"/>
      <c r="D531" s="309"/>
      <c r="E531" s="309"/>
      <c r="F531" s="309"/>
      <c r="G531" s="309"/>
      <c r="H531" s="309"/>
      <c r="I531" s="309"/>
      <c r="J531" s="309"/>
      <c r="K531" s="309"/>
      <c r="L531" s="309"/>
      <c r="M531" s="309"/>
      <c r="N531" s="309"/>
      <c r="O531" s="309"/>
      <c r="P531" s="309"/>
      <c r="Q531" s="309"/>
      <c r="R531" s="309"/>
      <c r="S531" s="309"/>
      <c r="T531" s="309"/>
    </row>
    <row r="532" spans="1:20" ht="15" customHeight="1" x14ac:dyDescent="0.25">
      <c r="A532" s="727"/>
      <c r="B532" s="309"/>
      <c r="C532" s="309"/>
      <c r="D532" s="309"/>
      <c r="E532" s="309"/>
      <c r="F532" s="309"/>
      <c r="G532" s="309"/>
      <c r="H532" s="309"/>
      <c r="I532" s="309"/>
      <c r="J532" s="309"/>
      <c r="K532" s="309"/>
      <c r="L532" s="309"/>
      <c r="M532" s="309"/>
      <c r="N532" s="309"/>
      <c r="O532" s="309"/>
      <c r="P532" s="309"/>
      <c r="Q532" s="309"/>
      <c r="R532" s="309"/>
      <c r="S532" s="309"/>
      <c r="T532" s="309"/>
    </row>
    <row r="533" spans="1:20" ht="15" customHeight="1" x14ac:dyDescent="0.25">
      <c r="A533" s="727"/>
      <c r="B533" s="309"/>
      <c r="C533" s="309"/>
      <c r="D533" s="309"/>
      <c r="E533" s="309"/>
      <c r="F533" s="309"/>
      <c r="G533" s="309"/>
      <c r="H533" s="309"/>
      <c r="I533" s="309"/>
      <c r="J533" s="309"/>
      <c r="K533" s="309"/>
      <c r="L533" s="309"/>
      <c r="M533" s="309"/>
      <c r="N533" s="309"/>
      <c r="O533" s="309"/>
      <c r="P533" s="309"/>
      <c r="Q533" s="309"/>
      <c r="R533" s="309"/>
      <c r="S533" s="309"/>
      <c r="T533" s="309"/>
    </row>
    <row r="534" spans="1:20" ht="15" customHeight="1" x14ac:dyDescent="0.25">
      <c r="A534" s="727"/>
      <c r="B534" s="309"/>
      <c r="C534" s="309"/>
      <c r="D534" s="309"/>
      <c r="E534" s="309"/>
      <c r="F534" s="309"/>
      <c r="G534" s="309"/>
      <c r="H534" s="309"/>
      <c r="I534" s="309"/>
      <c r="J534" s="309"/>
      <c r="K534" s="309"/>
      <c r="L534" s="309"/>
      <c r="M534" s="309"/>
      <c r="N534" s="309"/>
      <c r="O534" s="309"/>
      <c r="P534" s="309"/>
      <c r="Q534" s="309"/>
      <c r="R534" s="309"/>
      <c r="S534" s="309"/>
      <c r="T534" s="309"/>
    </row>
    <row r="535" spans="1:20" ht="15" customHeight="1" x14ac:dyDescent="0.25">
      <c r="A535" s="727"/>
      <c r="B535" s="309"/>
      <c r="C535" s="309"/>
      <c r="D535" s="309"/>
      <c r="E535" s="309"/>
      <c r="F535" s="309"/>
      <c r="G535" s="309"/>
      <c r="H535" s="309"/>
      <c r="I535" s="309"/>
      <c r="J535" s="309"/>
      <c r="K535" s="309"/>
      <c r="L535" s="309"/>
      <c r="M535" s="309"/>
      <c r="N535" s="309"/>
      <c r="O535" s="309"/>
      <c r="P535" s="309"/>
      <c r="Q535" s="309"/>
      <c r="R535" s="309"/>
      <c r="S535" s="309"/>
      <c r="T535" s="309"/>
    </row>
    <row r="536" spans="1:20" ht="15" customHeight="1" x14ac:dyDescent="0.25">
      <c r="A536" s="727"/>
      <c r="B536" s="309"/>
      <c r="C536" s="309"/>
      <c r="D536" s="309"/>
      <c r="E536" s="309"/>
      <c r="F536" s="309"/>
      <c r="G536" s="309"/>
      <c r="H536" s="309"/>
      <c r="I536" s="309"/>
      <c r="J536" s="309"/>
      <c r="K536" s="309"/>
      <c r="L536" s="309"/>
      <c r="M536" s="309"/>
      <c r="N536" s="309"/>
      <c r="O536" s="309"/>
      <c r="P536" s="309"/>
      <c r="Q536" s="309"/>
      <c r="R536" s="309"/>
      <c r="S536" s="309"/>
      <c r="T536" s="309"/>
    </row>
    <row r="537" spans="1:20" ht="15" customHeight="1" x14ac:dyDescent="0.25">
      <c r="A537" s="317"/>
      <c r="B537" s="309"/>
      <c r="C537" s="309"/>
      <c r="D537" s="309"/>
      <c r="E537" s="652"/>
      <c r="F537" s="309"/>
      <c r="G537" s="309"/>
      <c r="H537" s="309"/>
      <c r="I537" s="309"/>
      <c r="J537" s="309"/>
      <c r="K537" s="309"/>
      <c r="L537" s="309"/>
      <c r="M537" s="309"/>
      <c r="N537" s="309"/>
      <c r="O537" s="309"/>
      <c r="P537" s="309"/>
      <c r="Q537" s="309"/>
      <c r="R537" s="309"/>
      <c r="S537" s="309"/>
      <c r="T537" s="309"/>
    </row>
    <row r="538" spans="1:20" ht="15" customHeight="1" x14ac:dyDescent="0.25">
      <c r="A538" s="727"/>
      <c r="B538" s="309"/>
      <c r="C538" s="309"/>
      <c r="D538" s="309"/>
      <c r="E538" s="309"/>
      <c r="F538" s="309"/>
      <c r="G538" s="309"/>
      <c r="H538" s="309"/>
      <c r="I538" s="309"/>
      <c r="J538" s="309"/>
      <c r="K538" s="309"/>
      <c r="L538" s="309"/>
      <c r="M538" s="309"/>
      <c r="N538" s="309"/>
      <c r="O538" s="309"/>
      <c r="P538" s="309"/>
      <c r="Q538" s="309"/>
      <c r="R538" s="309"/>
      <c r="S538" s="309"/>
      <c r="T538" s="309"/>
    </row>
    <row r="539" spans="1:20" ht="15" customHeight="1" x14ac:dyDescent="0.25">
      <c r="A539" s="727"/>
      <c r="B539" s="309"/>
      <c r="C539" s="309"/>
      <c r="D539" s="309"/>
      <c r="E539" s="309"/>
      <c r="F539" s="309"/>
      <c r="G539" s="309"/>
      <c r="H539" s="309"/>
      <c r="I539" s="309"/>
      <c r="J539" s="309"/>
      <c r="K539" s="309"/>
      <c r="L539" s="309"/>
      <c r="M539" s="309"/>
      <c r="N539" s="309"/>
      <c r="O539" s="309"/>
      <c r="P539" s="309"/>
      <c r="Q539" s="309"/>
      <c r="R539" s="309"/>
      <c r="S539" s="309"/>
      <c r="T539" s="309"/>
    </row>
    <row r="540" spans="1:20" ht="15" customHeight="1" x14ac:dyDescent="0.25">
      <c r="A540" s="727"/>
      <c r="B540" s="309"/>
      <c r="C540" s="309"/>
      <c r="D540" s="309"/>
      <c r="E540" s="309"/>
      <c r="F540" s="309"/>
      <c r="G540" s="309"/>
      <c r="H540" s="309"/>
      <c r="I540" s="309"/>
      <c r="J540" s="309"/>
      <c r="K540" s="309"/>
      <c r="L540" s="309"/>
      <c r="M540" s="309"/>
      <c r="N540" s="309"/>
      <c r="O540" s="309"/>
      <c r="P540" s="309"/>
      <c r="Q540" s="309"/>
      <c r="R540" s="309"/>
      <c r="S540" s="309"/>
      <c r="T540" s="309"/>
    </row>
    <row r="541" spans="1:20" ht="15" customHeight="1" x14ac:dyDescent="0.25">
      <c r="A541" s="727"/>
      <c r="B541" s="309"/>
      <c r="C541" s="309"/>
      <c r="D541" s="309"/>
      <c r="E541" s="309"/>
      <c r="F541" s="309"/>
      <c r="G541" s="309"/>
      <c r="H541" s="309"/>
      <c r="I541" s="309"/>
      <c r="J541" s="309"/>
      <c r="K541" s="309"/>
      <c r="L541" s="309"/>
      <c r="M541" s="309"/>
      <c r="N541" s="309"/>
      <c r="O541" s="309"/>
      <c r="P541" s="309"/>
      <c r="Q541" s="309"/>
      <c r="R541" s="309"/>
      <c r="S541" s="309"/>
      <c r="T541" s="309"/>
    </row>
    <row r="542" spans="1:20" ht="15" customHeight="1" x14ac:dyDescent="0.25">
      <c r="A542" s="727"/>
      <c r="B542" s="309"/>
      <c r="C542" s="309"/>
      <c r="D542" s="309"/>
      <c r="E542" s="309"/>
      <c r="F542" s="309"/>
      <c r="G542" s="309"/>
      <c r="H542" s="309"/>
      <c r="I542" s="309"/>
      <c r="J542" s="309"/>
      <c r="K542" s="309"/>
      <c r="L542" s="309"/>
      <c r="M542" s="309"/>
      <c r="N542" s="309"/>
      <c r="O542" s="309"/>
      <c r="P542" s="309"/>
      <c r="Q542" s="309"/>
      <c r="R542" s="309"/>
      <c r="S542" s="309"/>
      <c r="T542" s="309"/>
    </row>
    <row r="543" spans="1:20" ht="15" customHeight="1" x14ac:dyDescent="0.25">
      <c r="A543" s="727"/>
      <c r="B543" s="309"/>
      <c r="C543" s="309"/>
      <c r="D543" s="309"/>
      <c r="E543" s="309"/>
      <c r="F543" s="309"/>
      <c r="G543" s="309"/>
      <c r="H543" s="309"/>
      <c r="I543" s="309"/>
      <c r="J543" s="309"/>
      <c r="K543" s="309"/>
      <c r="L543" s="309"/>
      <c r="M543" s="309"/>
      <c r="N543" s="309"/>
      <c r="O543" s="309"/>
      <c r="P543" s="309"/>
      <c r="Q543" s="309"/>
      <c r="R543" s="309"/>
      <c r="S543" s="309"/>
      <c r="T543" s="309"/>
    </row>
    <row r="544" spans="1:20" ht="15" customHeight="1" x14ac:dyDescent="0.25">
      <c r="A544" s="727"/>
      <c r="B544" s="309"/>
      <c r="C544" s="309"/>
      <c r="D544" s="309"/>
      <c r="E544" s="309"/>
      <c r="F544" s="309"/>
      <c r="G544" s="309"/>
      <c r="H544" s="309"/>
      <c r="I544" s="309"/>
      <c r="J544" s="309"/>
      <c r="K544" s="309"/>
      <c r="L544" s="309"/>
      <c r="M544" s="309"/>
      <c r="N544" s="309"/>
      <c r="O544" s="309"/>
      <c r="P544" s="309"/>
      <c r="Q544" s="309"/>
      <c r="R544" s="309"/>
      <c r="S544" s="309"/>
      <c r="T544" s="309"/>
    </row>
    <row r="545" spans="1:20" ht="15" customHeight="1" x14ac:dyDescent="0.25">
      <c r="A545" s="727"/>
      <c r="B545" s="309"/>
      <c r="C545" s="652"/>
      <c r="D545" s="317"/>
      <c r="E545" s="309"/>
      <c r="F545" s="309"/>
      <c r="G545" s="309"/>
      <c r="H545" s="309"/>
      <c r="I545" s="309"/>
      <c r="J545" s="309"/>
      <c r="K545" s="309"/>
      <c r="L545" s="309"/>
      <c r="M545" s="309"/>
      <c r="N545" s="309"/>
      <c r="O545" s="309"/>
      <c r="P545" s="309"/>
      <c r="Q545" s="309"/>
      <c r="R545" s="309"/>
      <c r="S545" s="309"/>
      <c r="T545" s="309"/>
    </row>
    <row r="546" spans="1:20" ht="15" customHeight="1" x14ac:dyDescent="0.25">
      <c r="A546" s="727"/>
      <c r="B546" s="309"/>
      <c r="C546" s="309"/>
      <c r="D546" s="309"/>
      <c r="E546" s="309"/>
      <c r="F546" s="309"/>
      <c r="G546" s="309"/>
      <c r="H546" s="309"/>
      <c r="I546" s="309"/>
      <c r="J546" s="309"/>
      <c r="K546" s="309"/>
      <c r="L546" s="309"/>
      <c r="M546" s="309"/>
      <c r="N546" s="309"/>
      <c r="O546" s="309"/>
      <c r="P546" s="309"/>
      <c r="Q546" s="309"/>
      <c r="R546" s="309"/>
      <c r="S546" s="309"/>
      <c r="T546" s="309"/>
    </row>
    <row r="547" spans="1:20" ht="15" customHeight="1" x14ac:dyDescent="0.25">
      <c r="A547" s="727"/>
      <c r="B547" s="309"/>
      <c r="C547" s="309"/>
      <c r="D547" s="309"/>
      <c r="E547" s="309"/>
      <c r="F547" s="309"/>
      <c r="G547" s="309"/>
      <c r="H547" s="309"/>
      <c r="I547" s="309"/>
      <c r="J547" s="309"/>
      <c r="K547" s="309"/>
      <c r="L547" s="309"/>
      <c r="M547" s="309"/>
      <c r="N547" s="309"/>
      <c r="O547" s="309"/>
      <c r="P547" s="309"/>
      <c r="Q547" s="309"/>
      <c r="R547" s="309"/>
      <c r="S547" s="309"/>
      <c r="T547" s="309"/>
    </row>
    <row r="548" spans="1:20" ht="15" customHeight="1" x14ac:dyDescent="0.25">
      <c r="A548" s="727"/>
      <c r="B548" s="309"/>
      <c r="C548" s="309"/>
      <c r="D548" s="309"/>
      <c r="E548" s="309"/>
      <c r="F548" s="309"/>
      <c r="G548" s="309"/>
      <c r="H548" s="309"/>
      <c r="I548" s="309"/>
      <c r="J548" s="309"/>
      <c r="K548" s="309"/>
      <c r="L548" s="309"/>
      <c r="M548" s="309"/>
      <c r="N548" s="309"/>
      <c r="O548" s="309"/>
      <c r="P548" s="309"/>
      <c r="Q548" s="309"/>
      <c r="R548" s="309"/>
      <c r="S548" s="309"/>
      <c r="T548" s="309"/>
    </row>
    <row r="549" spans="1:20" ht="15" customHeight="1" x14ac:dyDescent="0.25">
      <c r="A549" s="727"/>
      <c r="B549" s="309"/>
      <c r="C549" s="309"/>
      <c r="D549" s="309"/>
      <c r="E549" s="309"/>
      <c r="F549" s="309"/>
      <c r="G549" s="309"/>
      <c r="H549" s="309"/>
      <c r="I549" s="309"/>
      <c r="J549" s="309"/>
      <c r="K549" s="309"/>
      <c r="L549" s="309"/>
      <c r="M549" s="309"/>
      <c r="N549" s="309"/>
      <c r="O549" s="309"/>
      <c r="P549" s="309"/>
      <c r="Q549" s="309"/>
      <c r="R549" s="309"/>
      <c r="S549" s="309"/>
      <c r="T549" s="309"/>
    </row>
    <row r="550" spans="1:20" ht="15" customHeight="1" x14ac:dyDescent="0.25">
      <c r="A550" s="727"/>
      <c r="B550" s="309"/>
      <c r="C550" s="309"/>
      <c r="D550" s="309"/>
      <c r="E550" s="309"/>
      <c r="F550" s="309"/>
      <c r="G550" s="309"/>
      <c r="H550" s="309"/>
      <c r="I550" s="309"/>
      <c r="J550" s="309"/>
      <c r="K550" s="309"/>
      <c r="L550" s="309"/>
      <c r="M550" s="309"/>
      <c r="N550" s="309"/>
      <c r="O550" s="309"/>
      <c r="P550" s="309"/>
      <c r="Q550" s="309"/>
      <c r="R550" s="309"/>
      <c r="S550" s="309"/>
      <c r="T550" s="309"/>
    </row>
    <row r="551" spans="1:20" ht="15" customHeight="1" x14ac:dyDescent="0.25">
      <c r="A551" s="727"/>
      <c r="B551" s="309"/>
      <c r="C551" s="309"/>
      <c r="D551" s="309"/>
      <c r="E551" s="309"/>
      <c r="F551" s="309"/>
      <c r="G551" s="309"/>
      <c r="H551" s="309"/>
      <c r="I551" s="309"/>
      <c r="J551" s="309"/>
      <c r="K551" s="309"/>
      <c r="L551" s="309"/>
      <c r="M551" s="309"/>
      <c r="N551" s="309"/>
      <c r="O551" s="309"/>
      <c r="P551" s="309"/>
      <c r="Q551" s="309"/>
      <c r="R551" s="309"/>
      <c r="S551" s="309"/>
      <c r="T551" s="309"/>
    </row>
    <row r="552" spans="1:20" ht="15" customHeight="1" x14ac:dyDescent="0.25">
      <c r="A552" s="727"/>
      <c r="B552" s="309"/>
      <c r="C552" s="309"/>
      <c r="D552" s="309"/>
      <c r="E552" s="309"/>
      <c r="F552" s="309"/>
      <c r="G552" s="309"/>
      <c r="H552" s="309"/>
      <c r="I552" s="309"/>
      <c r="J552" s="309"/>
      <c r="K552" s="309"/>
      <c r="L552" s="309"/>
      <c r="M552" s="309"/>
      <c r="N552" s="309"/>
      <c r="O552" s="309"/>
      <c r="P552" s="309"/>
      <c r="Q552" s="309"/>
      <c r="R552" s="309"/>
      <c r="S552" s="309"/>
      <c r="T552" s="309"/>
    </row>
    <row r="553" spans="1:20" ht="15" customHeight="1" x14ac:dyDescent="0.25">
      <c r="A553" s="727"/>
      <c r="B553" s="309"/>
      <c r="C553" s="309"/>
      <c r="D553" s="309"/>
      <c r="E553" s="309"/>
      <c r="F553" s="309"/>
      <c r="G553" s="309"/>
      <c r="H553" s="309"/>
      <c r="I553" s="309"/>
      <c r="J553" s="309"/>
      <c r="K553" s="309"/>
      <c r="L553" s="309"/>
      <c r="M553" s="309"/>
      <c r="N553" s="309"/>
      <c r="O553" s="309"/>
      <c r="P553" s="309"/>
      <c r="Q553" s="309"/>
      <c r="R553" s="309"/>
      <c r="S553" s="309"/>
      <c r="T553" s="309"/>
    </row>
    <row r="554" spans="1:20" ht="15" customHeight="1" x14ac:dyDescent="0.25">
      <c r="A554" s="727"/>
      <c r="B554" s="309"/>
      <c r="C554" s="309"/>
      <c r="D554" s="309"/>
      <c r="E554" s="309"/>
      <c r="F554" s="309"/>
      <c r="G554" s="309"/>
      <c r="H554" s="309"/>
      <c r="I554" s="309"/>
      <c r="J554" s="309"/>
      <c r="K554" s="309"/>
      <c r="L554" s="309"/>
      <c r="M554" s="309"/>
      <c r="N554" s="309"/>
      <c r="O554" s="309"/>
      <c r="P554" s="309"/>
      <c r="Q554" s="309"/>
      <c r="R554" s="309"/>
      <c r="S554" s="309"/>
      <c r="T554" s="309"/>
    </row>
    <row r="555" spans="1:20" ht="15" customHeight="1" x14ac:dyDescent="0.25">
      <c r="A555" s="727"/>
      <c r="B555" s="309"/>
      <c r="C555" s="309"/>
      <c r="D555" s="309"/>
      <c r="E555" s="309"/>
      <c r="F555" s="309"/>
      <c r="G555" s="309"/>
      <c r="H555" s="309"/>
      <c r="I555" s="309"/>
      <c r="J555" s="309"/>
      <c r="K555" s="309"/>
      <c r="L555" s="309"/>
      <c r="M555" s="309"/>
      <c r="N555" s="309"/>
      <c r="O555" s="309"/>
      <c r="P555" s="309"/>
      <c r="Q555" s="309"/>
      <c r="R555" s="309"/>
      <c r="S555" s="309"/>
      <c r="T555" s="309"/>
    </row>
    <row r="556" spans="1:20" ht="15" customHeight="1" x14ac:dyDescent="0.25">
      <c r="A556" s="727"/>
      <c r="B556" s="309"/>
      <c r="C556" s="309"/>
      <c r="D556" s="309"/>
      <c r="E556" s="309"/>
      <c r="F556" s="309"/>
      <c r="G556" s="309"/>
      <c r="H556" s="309"/>
      <c r="I556" s="309"/>
      <c r="J556" s="309"/>
      <c r="K556" s="309"/>
      <c r="L556" s="309"/>
      <c r="M556" s="309"/>
      <c r="N556" s="309"/>
      <c r="O556" s="309"/>
      <c r="P556" s="309"/>
      <c r="Q556" s="309"/>
      <c r="R556" s="309"/>
      <c r="S556" s="309"/>
      <c r="T556" s="309"/>
    </row>
    <row r="557" spans="1:20" ht="15" customHeight="1" x14ac:dyDescent="0.25">
      <c r="A557" s="727"/>
      <c r="B557" s="309"/>
      <c r="C557" s="309"/>
      <c r="D557" s="309"/>
      <c r="E557" s="309"/>
      <c r="F557" s="309"/>
      <c r="G557" s="309"/>
      <c r="H557" s="309"/>
      <c r="I557" s="309"/>
      <c r="J557" s="309"/>
      <c r="K557" s="309"/>
      <c r="L557" s="309"/>
      <c r="M557" s="309"/>
      <c r="N557" s="309"/>
      <c r="O557" s="309"/>
      <c r="P557" s="309"/>
      <c r="Q557" s="309"/>
      <c r="R557" s="309"/>
      <c r="S557" s="309"/>
      <c r="T557" s="309"/>
    </row>
    <row r="558" spans="1:20" ht="15" customHeight="1" x14ac:dyDescent="0.25">
      <c r="A558" s="727"/>
      <c r="B558" s="309"/>
      <c r="C558" s="309"/>
      <c r="D558" s="309"/>
      <c r="E558" s="309"/>
      <c r="F558" s="309"/>
      <c r="G558" s="309"/>
      <c r="H558" s="309"/>
      <c r="I558" s="309"/>
      <c r="J558" s="309"/>
      <c r="K558" s="309"/>
      <c r="L558" s="309"/>
      <c r="M558" s="309"/>
      <c r="N558" s="309"/>
      <c r="O558" s="309"/>
      <c r="P558" s="309"/>
      <c r="Q558" s="309"/>
      <c r="R558" s="309"/>
      <c r="S558" s="309"/>
      <c r="T558" s="309"/>
    </row>
    <row r="559" spans="1:20" ht="15" customHeight="1" x14ac:dyDescent="0.25">
      <c r="A559" s="727"/>
      <c r="B559" s="309"/>
      <c r="C559" s="309"/>
      <c r="D559" s="309"/>
      <c r="E559" s="309"/>
      <c r="F559" s="309"/>
      <c r="G559" s="309"/>
      <c r="H559" s="309"/>
      <c r="I559" s="309"/>
      <c r="J559" s="309"/>
      <c r="K559" s="309"/>
      <c r="L559" s="309"/>
      <c r="M559" s="309"/>
      <c r="N559" s="309"/>
      <c r="O559" s="309"/>
      <c r="P559" s="309"/>
      <c r="Q559" s="309"/>
      <c r="R559" s="309"/>
      <c r="S559" s="309"/>
      <c r="T559" s="309"/>
    </row>
    <row r="560" spans="1:20" ht="15" customHeight="1" x14ac:dyDescent="0.25">
      <c r="A560" s="727"/>
      <c r="B560" s="652"/>
      <c r="C560" s="309"/>
      <c r="D560" s="309"/>
      <c r="E560" s="309"/>
      <c r="F560" s="309"/>
      <c r="G560" s="309"/>
      <c r="H560" s="309"/>
      <c r="I560" s="309"/>
      <c r="J560" s="309"/>
      <c r="K560" s="309"/>
      <c r="L560" s="309"/>
      <c r="M560" s="309"/>
      <c r="N560" s="309"/>
      <c r="O560" s="309"/>
      <c r="P560" s="309"/>
      <c r="Q560" s="309"/>
      <c r="R560" s="309"/>
      <c r="S560" s="309"/>
      <c r="T560" s="309"/>
    </row>
    <row r="561" spans="1:20" ht="15" customHeight="1" x14ac:dyDescent="0.25">
      <c r="A561" s="727"/>
      <c r="B561" s="309"/>
      <c r="C561" s="309"/>
      <c r="D561" s="309"/>
      <c r="E561" s="309"/>
      <c r="F561" s="309"/>
      <c r="G561" s="309"/>
      <c r="H561" s="309"/>
      <c r="I561" s="309"/>
      <c r="J561" s="309"/>
      <c r="K561" s="309"/>
      <c r="L561" s="309"/>
      <c r="M561" s="309"/>
      <c r="N561" s="309"/>
      <c r="O561" s="309"/>
      <c r="P561" s="309"/>
      <c r="Q561" s="309"/>
      <c r="R561" s="309"/>
      <c r="S561" s="309"/>
      <c r="T561" s="309"/>
    </row>
    <row r="562" spans="1:20" ht="15" customHeight="1" x14ac:dyDescent="0.25">
      <c r="A562" s="727"/>
      <c r="B562" s="309"/>
      <c r="C562" s="309"/>
      <c r="D562" s="309"/>
      <c r="E562" s="309"/>
      <c r="F562" s="309"/>
      <c r="G562" s="309"/>
      <c r="H562" s="309"/>
      <c r="I562" s="309"/>
      <c r="J562" s="309"/>
      <c r="K562" s="309"/>
      <c r="L562" s="309"/>
      <c r="M562" s="309"/>
      <c r="N562" s="309"/>
      <c r="O562" s="309"/>
      <c r="P562" s="309"/>
      <c r="Q562" s="309"/>
      <c r="R562" s="309"/>
      <c r="S562" s="309"/>
      <c r="T562" s="309"/>
    </row>
    <row r="563" spans="1:20" ht="15" customHeight="1" x14ac:dyDescent="0.25">
      <c r="A563" s="727"/>
      <c r="B563" s="309"/>
      <c r="C563" s="317"/>
      <c r="D563" s="309"/>
      <c r="E563" s="309"/>
      <c r="F563" s="309"/>
      <c r="G563" s="309"/>
      <c r="H563" s="309"/>
      <c r="I563" s="309"/>
      <c r="J563" s="309"/>
      <c r="K563" s="309"/>
      <c r="L563" s="309"/>
      <c r="M563" s="309"/>
      <c r="N563" s="309"/>
      <c r="O563" s="309"/>
      <c r="P563" s="309"/>
      <c r="Q563" s="309"/>
      <c r="R563" s="309"/>
      <c r="S563" s="309"/>
      <c r="T563" s="309"/>
    </row>
    <row r="564" spans="1:20" ht="15" customHeight="1" x14ac:dyDescent="0.25">
      <c r="A564" s="727"/>
      <c r="B564" s="309"/>
      <c r="C564" s="309"/>
      <c r="D564" s="309"/>
      <c r="E564" s="309"/>
      <c r="F564" s="309"/>
      <c r="G564" s="309"/>
      <c r="H564" s="309"/>
      <c r="I564" s="309"/>
      <c r="J564" s="309"/>
      <c r="K564" s="309"/>
      <c r="L564" s="309"/>
      <c r="M564" s="309"/>
      <c r="N564" s="309"/>
      <c r="O564" s="309"/>
      <c r="P564" s="309"/>
      <c r="Q564" s="309"/>
      <c r="R564" s="309"/>
      <c r="S564" s="309"/>
      <c r="T564" s="309"/>
    </row>
    <row r="565" spans="1:20" ht="15" customHeight="1" x14ac:dyDescent="0.25">
      <c r="A565" s="727"/>
      <c r="B565" s="309"/>
      <c r="C565" s="309"/>
      <c r="D565" s="309"/>
      <c r="E565" s="309"/>
      <c r="F565" s="309"/>
      <c r="G565" s="309"/>
      <c r="H565" s="309"/>
      <c r="I565" s="309"/>
      <c r="J565" s="309"/>
      <c r="K565" s="309"/>
      <c r="L565" s="309"/>
      <c r="M565" s="309"/>
      <c r="N565" s="309"/>
      <c r="O565" s="309"/>
      <c r="P565" s="309"/>
      <c r="Q565" s="309"/>
      <c r="R565" s="309"/>
      <c r="S565" s="309"/>
      <c r="T565" s="309"/>
    </row>
    <row r="566" spans="1:20" ht="15" customHeight="1" x14ac:dyDescent="0.25">
      <c r="A566" s="727"/>
      <c r="B566" s="309"/>
      <c r="C566" s="309"/>
      <c r="D566" s="309"/>
      <c r="E566" s="309"/>
      <c r="F566" s="309"/>
      <c r="G566" s="309"/>
      <c r="H566" s="309"/>
      <c r="I566" s="309"/>
      <c r="J566" s="309"/>
      <c r="K566" s="309"/>
      <c r="L566" s="309"/>
      <c r="M566" s="309"/>
      <c r="N566" s="309"/>
      <c r="O566" s="309"/>
      <c r="P566" s="309"/>
      <c r="Q566" s="309"/>
      <c r="R566" s="309"/>
      <c r="S566" s="309"/>
      <c r="T566" s="309"/>
    </row>
    <row r="567" spans="1:20" ht="15" customHeight="1" x14ac:dyDescent="0.25">
      <c r="A567" s="727"/>
      <c r="B567" s="309"/>
      <c r="C567" s="309"/>
      <c r="D567" s="309"/>
      <c r="E567" s="309"/>
      <c r="F567" s="309"/>
      <c r="G567" s="309"/>
      <c r="H567" s="309"/>
      <c r="I567" s="309"/>
      <c r="J567" s="309"/>
      <c r="K567" s="309"/>
      <c r="L567" s="309"/>
      <c r="M567" s="309"/>
      <c r="N567" s="309"/>
      <c r="O567" s="309"/>
      <c r="P567" s="309"/>
      <c r="Q567" s="309"/>
      <c r="R567" s="309"/>
      <c r="S567" s="309"/>
      <c r="T567" s="309"/>
    </row>
    <row r="568" spans="1:20" ht="15" customHeight="1" x14ac:dyDescent="0.25">
      <c r="A568" s="727"/>
      <c r="B568" s="309"/>
      <c r="C568" s="309"/>
      <c r="D568" s="309"/>
      <c r="E568" s="309"/>
      <c r="F568" s="309"/>
      <c r="G568" s="309"/>
      <c r="H568" s="309"/>
      <c r="I568" s="309"/>
      <c r="J568" s="309"/>
      <c r="K568" s="309"/>
      <c r="L568" s="309"/>
      <c r="M568" s="309"/>
      <c r="N568" s="309"/>
      <c r="O568" s="309"/>
      <c r="P568" s="309"/>
      <c r="Q568" s="309"/>
      <c r="R568" s="309"/>
      <c r="S568" s="309"/>
      <c r="T568" s="309"/>
    </row>
    <row r="569" spans="1:20" ht="15" customHeight="1" x14ac:dyDescent="0.25">
      <c r="A569" s="727"/>
      <c r="B569" s="309"/>
      <c r="C569" s="309"/>
      <c r="D569" s="309"/>
      <c r="E569" s="309"/>
      <c r="F569" s="309"/>
      <c r="G569" s="309"/>
      <c r="H569" s="309"/>
      <c r="I569" s="309"/>
      <c r="J569" s="309"/>
      <c r="K569" s="309"/>
      <c r="L569" s="309"/>
      <c r="M569" s="309"/>
      <c r="N569" s="309"/>
      <c r="O569" s="309"/>
      <c r="P569" s="309"/>
      <c r="Q569" s="309"/>
      <c r="R569" s="309"/>
      <c r="S569" s="309"/>
      <c r="T569" s="309"/>
    </row>
    <row r="570" spans="1:20" ht="15" customHeight="1" x14ac:dyDescent="0.25">
      <c r="A570" s="727"/>
      <c r="B570" s="309"/>
      <c r="C570" s="309"/>
      <c r="D570" s="309"/>
      <c r="E570" s="309"/>
      <c r="F570" s="309"/>
      <c r="G570" s="309"/>
      <c r="H570" s="309"/>
      <c r="I570" s="309"/>
      <c r="J570" s="309"/>
      <c r="K570" s="309"/>
      <c r="L570" s="309"/>
      <c r="M570" s="309"/>
      <c r="N570" s="309"/>
      <c r="O570" s="309"/>
      <c r="P570" s="309"/>
      <c r="Q570" s="309"/>
      <c r="R570" s="309"/>
      <c r="S570" s="309"/>
      <c r="T570" s="309"/>
    </row>
    <row r="571" spans="1:20" ht="15" customHeight="1" x14ac:dyDescent="0.25">
      <c r="A571" s="727"/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</row>
    <row r="572" spans="1:20" ht="15" customHeight="1" x14ac:dyDescent="0.25">
      <c r="A572" s="727"/>
      <c r="B572" s="309"/>
      <c r="C572" s="309"/>
      <c r="D572" s="309"/>
      <c r="E572" s="309"/>
      <c r="F572" s="309"/>
      <c r="G572" s="309"/>
      <c r="H572" s="309"/>
      <c r="I572" s="309"/>
      <c r="J572" s="309"/>
      <c r="K572" s="309"/>
      <c r="L572" s="309"/>
      <c r="M572" s="309"/>
      <c r="N572" s="309"/>
      <c r="O572" s="309"/>
      <c r="P572" s="309"/>
      <c r="Q572" s="309"/>
      <c r="R572" s="309"/>
      <c r="S572" s="309"/>
      <c r="T572" s="309"/>
    </row>
    <row r="573" spans="1:20" ht="15" customHeight="1" x14ac:dyDescent="0.25">
      <c r="A573" s="727"/>
      <c r="B573" s="309"/>
      <c r="C573" s="309"/>
      <c r="D573" s="309"/>
      <c r="E573" s="309"/>
      <c r="F573" s="309"/>
      <c r="G573" s="309"/>
      <c r="H573" s="309"/>
      <c r="I573" s="309"/>
      <c r="J573" s="309"/>
      <c r="K573" s="309"/>
      <c r="L573" s="309"/>
      <c r="M573" s="309"/>
      <c r="N573" s="309"/>
      <c r="O573" s="309"/>
      <c r="P573" s="309"/>
      <c r="Q573" s="309"/>
      <c r="R573" s="309"/>
      <c r="S573" s="309"/>
      <c r="T573" s="309"/>
    </row>
    <row r="574" spans="1:20" ht="15" customHeight="1" x14ac:dyDescent="0.25">
      <c r="A574" s="727"/>
      <c r="B574" s="309"/>
      <c r="C574" s="309"/>
      <c r="D574" s="309"/>
      <c r="E574" s="309"/>
      <c r="F574" s="309"/>
      <c r="G574" s="309"/>
      <c r="H574" s="309"/>
      <c r="I574" s="309"/>
      <c r="J574" s="309"/>
      <c r="K574" s="309"/>
      <c r="L574" s="309"/>
      <c r="M574" s="309"/>
      <c r="N574" s="309"/>
      <c r="O574" s="309"/>
      <c r="P574" s="309"/>
      <c r="Q574" s="309"/>
      <c r="R574" s="309"/>
      <c r="S574" s="309"/>
      <c r="T574" s="309"/>
    </row>
    <row r="575" spans="1:20" ht="15" customHeight="1" x14ac:dyDescent="0.25">
      <c r="A575" s="727"/>
      <c r="B575" s="309"/>
      <c r="C575" s="309"/>
      <c r="D575" s="309"/>
      <c r="E575" s="309"/>
      <c r="F575" s="309"/>
      <c r="G575" s="309"/>
      <c r="H575" s="309"/>
      <c r="I575" s="309"/>
      <c r="J575" s="309"/>
      <c r="K575" s="309"/>
      <c r="L575" s="309"/>
      <c r="M575" s="309"/>
      <c r="N575" s="309"/>
      <c r="O575" s="309"/>
      <c r="P575" s="309"/>
      <c r="Q575" s="309"/>
      <c r="R575" s="309"/>
      <c r="S575" s="309"/>
      <c r="T575" s="309"/>
    </row>
    <row r="576" spans="1:20" ht="15" customHeight="1" x14ac:dyDescent="0.25">
      <c r="A576" s="727"/>
      <c r="B576" s="309"/>
      <c r="C576" s="309"/>
      <c r="D576" s="309"/>
      <c r="E576" s="309"/>
      <c r="F576" s="309"/>
      <c r="G576" s="309"/>
      <c r="H576" s="309"/>
      <c r="I576" s="309"/>
      <c r="J576" s="309"/>
      <c r="K576" s="309"/>
      <c r="L576" s="309"/>
      <c r="M576" s="309"/>
      <c r="N576" s="309"/>
      <c r="O576" s="309"/>
      <c r="P576" s="309"/>
      <c r="Q576" s="309"/>
      <c r="R576" s="309"/>
      <c r="S576" s="309"/>
      <c r="T576" s="309"/>
    </row>
    <row r="577" spans="1:20" ht="15" customHeight="1" x14ac:dyDescent="0.25">
      <c r="A577" s="727"/>
      <c r="B577" s="309"/>
      <c r="C577" s="309"/>
      <c r="D577" s="309"/>
      <c r="E577" s="309"/>
      <c r="F577" s="309"/>
      <c r="G577" s="309"/>
      <c r="H577" s="309"/>
      <c r="I577" s="309"/>
      <c r="J577" s="309"/>
      <c r="K577" s="309"/>
      <c r="L577" s="309"/>
      <c r="M577" s="309"/>
      <c r="N577" s="309"/>
      <c r="O577" s="309"/>
      <c r="P577" s="309"/>
      <c r="Q577" s="309"/>
      <c r="R577" s="309"/>
      <c r="S577" s="309"/>
      <c r="T577" s="309"/>
    </row>
    <row r="578" spans="1:20" ht="15" customHeight="1" x14ac:dyDescent="0.25">
      <c r="A578" s="727"/>
      <c r="B578" s="309"/>
      <c r="C578" s="309"/>
      <c r="D578" s="309"/>
      <c r="E578" s="309"/>
      <c r="F578" s="309"/>
      <c r="G578" s="309"/>
      <c r="H578" s="309"/>
      <c r="I578" s="309"/>
      <c r="J578" s="309"/>
      <c r="K578" s="309"/>
      <c r="L578" s="309"/>
      <c r="M578" s="309"/>
      <c r="N578" s="309"/>
      <c r="O578" s="309"/>
      <c r="P578" s="309"/>
      <c r="Q578" s="309"/>
      <c r="R578" s="309"/>
      <c r="S578" s="309"/>
      <c r="T578" s="309"/>
    </row>
    <row r="579" spans="1:20" ht="15" customHeight="1" x14ac:dyDescent="0.25">
      <c r="A579" s="727"/>
      <c r="B579" s="309"/>
      <c r="C579" s="309"/>
      <c r="D579" s="309"/>
      <c r="E579" s="309"/>
      <c r="F579" s="309"/>
      <c r="G579" s="309"/>
      <c r="H579" s="309"/>
      <c r="I579" s="309"/>
      <c r="J579" s="309"/>
      <c r="K579" s="309"/>
      <c r="L579" s="309"/>
      <c r="M579" s="309"/>
      <c r="N579" s="309"/>
      <c r="O579" s="309"/>
      <c r="P579" s="309"/>
      <c r="Q579" s="309"/>
      <c r="R579" s="309"/>
      <c r="S579" s="309"/>
      <c r="T579" s="309"/>
    </row>
    <row r="580" spans="1:20" ht="15" customHeight="1" x14ac:dyDescent="0.25">
      <c r="A580" s="727"/>
      <c r="B580" s="309"/>
      <c r="C580" s="309"/>
      <c r="D580" s="309"/>
      <c r="E580" s="309"/>
      <c r="F580" s="309"/>
      <c r="G580" s="309"/>
      <c r="H580" s="309"/>
      <c r="I580" s="309"/>
      <c r="J580" s="309"/>
      <c r="K580" s="309"/>
      <c r="L580" s="309"/>
      <c r="M580" s="309"/>
      <c r="N580" s="309"/>
      <c r="O580" s="309"/>
      <c r="P580" s="309"/>
      <c r="Q580" s="309"/>
      <c r="R580" s="309"/>
      <c r="S580" s="309"/>
      <c r="T580" s="309"/>
    </row>
    <row r="581" spans="1:20" ht="15" customHeight="1" x14ac:dyDescent="0.25">
      <c r="A581" s="727"/>
      <c r="B581" s="309"/>
      <c r="C581" s="309"/>
      <c r="D581" s="309"/>
      <c r="E581" s="309"/>
      <c r="F581" s="309"/>
      <c r="G581" s="309"/>
      <c r="H581" s="309"/>
      <c r="I581" s="309"/>
      <c r="J581" s="309"/>
      <c r="K581" s="309"/>
      <c r="L581" s="309"/>
      <c r="M581" s="309"/>
      <c r="N581" s="309"/>
      <c r="O581" s="309"/>
      <c r="P581" s="309"/>
      <c r="Q581" s="309"/>
      <c r="R581" s="309"/>
      <c r="S581" s="309"/>
      <c r="T581" s="309"/>
    </row>
    <row r="582" spans="1:20" ht="15" customHeight="1" x14ac:dyDescent="0.25">
      <c r="A582" s="727"/>
      <c r="B582" s="309"/>
      <c r="C582" s="309"/>
      <c r="D582" s="309"/>
      <c r="E582" s="309"/>
      <c r="F582" s="309"/>
      <c r="G582" s="309"/>
      <c r="H582" s="309"/>
      <c r="I582" s="309"/>
      <c r="J582" s="309"/>
      <c r="K582" s="309"/>
      <c r="L582" s="309"/>
      <c r="M582" s="309"/>
      <c r="N582" s="309"/>
      <c r="O582" s="309"/>
      <c r="P582" s="309"/>
      <c r="Q582" s="309"/>
      <c r="R582" s="309"/>
      <c r="S582" s="309"/>
      <c r="T582" s="309"/>
    </row>
    <row r="583" spans="1:20" ht="15" customHeight="1" x14ac:dyDescent="0.25">
      <c r="A583" s="317"/>
      <c r="B583" s="309"/>
      <c r="C583" s="309"/>
      <c r="D583" s="652"/>
      <c r="E583" s="309"/>
      <c r="F583" s="652"/>
      <c r="G583" s="309"/>
      <c r="H583" s="309"/>
      <c r="I583" s="309"/>
      <c r="J583" s="309"/>
      <c r="K583" s="309"/>
      <c r="L583" s="309"/>
      <c r="M583" s="309"/>
      <c r="N583" s="309"/>
      <c r="O583" s="309"/>
      <c r="P583" s="309"/>
      <c r="Q583" s="309"/>
      <c r="R583" s="309"/>
      <c r="S583" s="309"/>
      <c r="T583" s="309"/>
    </row>
    <row r="584" spans="1:20" ht="15" customHeight="1" x14ac:dyDescent="0.25">
      <c r="A584" s="727"/>
      <c r="B584" s="309"/>
      <c r="C584" s="309"/>
      <c r="D584" s="309"/>
      <c r="E584" s="309"/>
      <c r="F584" s="309"/>
      <c r="G584" s="309"/>
      <c r="H584" s="309"/>
      <c r="I584" s="309"/>
      <c r="J584" s="309"/>
      <c r="K584" s="309"/>
      <c r="L584" s="309"/>
      <c r="M584" s="309"/>
      <c r="N584" s="309"/>
      <c r="O584" s="309"/>
      <c r="P584" s="309"/>
      <c r="Q584" s="309"/>
      <c r="R584" s="309"/>
      <c r="S584" s="309"/>
      <c r="T584" s="309"/>
    </row>
    <row r="585" spans="1:20" ht="15" customHeight="1" x14ac:dyDescent="0.25">
      <c r="A585" s="727"/>
      <c r="B585" s="309"/>
      <c r="C585" s="309"/>
      <c r="D585" s="309"/>
      <c r="E585" s="309"/>
      <c r="F585" s="309"/>
      <c r="G585" s="309"/>
      <c r="H585" s="309"/>
      <c r="I585" s="309"/>
      <c r="J585" s="309"/>
      <c r="K585" s="309"/>
      <c r="L585" s="309"/>
      <c r="M585" s="309"/>
      <c r="N585" s="309"/>
      <c r="O585" s="309"/>
      <c r="P585" s="309"/>
      <c r="Q585" s="309"/>
      <c r="R585" s="309"/>
      <c r="S585" s="309"/>
      <c r="T585" s="309"/>
    </row>
    <row r="586" spans="1:20" ht="15" customHeight="1" x14ac:dyDescent="0.25">
      <c r="A586" s="727"/>
      <c r="B586" s="309"/>
      <c r="C586" s="309"/>
      <c r="D586" s="309"/>
      <c r="E586" s="309"/>
      <c r="F586" s="309"/>
      <c r="G586" s="309"/>
      <c r="H586" s="309"/>
      <c r="I586" s="309"/>
      <c r="J586" s="309"/>
      <c r="K586" s="309"/>
      <c r="L586" s="309"/>
      <c r="M586" s="309"/>
      <c r="N586" s="309"/>
      <c r="O586" s="309"/>
      <c r="P586" s="309"/>
      <c r="Q586" s="309"/>
      <c r="R586" s="309"/>
      <c r="S586" s="309"/>
      <c r="T586" s="309"/>
    </row>
    <row r="587" spans="1:20" ht="15" customHeight="1" x14ac:dyDescent="0.25">
      <c r="A587" s="727"/>
      <c r="B587" s="309"/>
      <c r="C587" s="309"/>
      <c r="D587" s="309"/>
      <c r="E587" s="309"/>
      <c r="F587" s="309"/>
      <c r="G587" s="309"/>
      <c r="H587" s="309"/>
      <c r="I587" s="309"/>
      <c r="J587" s="309"/>
      <c r="K587" s="309"/>
      <c r="L587" s="309"/>
      <c r="M587" s="309"/>
      <c r="N587" s="309"/>
      <c r="O587" s="309"/>
      <c r="P587" s="309"/>
      <c r="Q587" s="309"/>
      <c r="R587" s="309"/>
      <c r="S587" s="309"/>
      <c r="T587" s="309"/>
    </row>
    <row r="588" spans="1:20" ht="15" customHeight="1" x14ac:dyDescent="0.25">
      <c r="A588" s="727"/>
      <c r="B588" s="309"/>
      <c r="C588" s="309"/>
      <c r="D588" s="309"/>
      <c r="E588" s="309"/>
      <c r="F588" s="309"/>
      <c r="G588" s="309"/>
      <c r="H588" s="309"/>
      <c r="I588" s="309"/>
      <c r="J588" s="309"/>
      <c r="K588" s="309"/>
      <c r="L588" s="309"/>
      <c r="M588" s="309"/>
      <c r="N588" s="309"/>
      <c r="O588" s="309"/>
      <c r="P588" s="309"/>
      <c r="Q588" s="309"/>
      <c r="R588" s="309"/>
      <c r="S588" s="309"/>
      <c r="T588" s="309"/>
    </row>
    <row r="589" spans="1:20" ht="15" customHeight="1" x14ac:dyDescent="0.25">
      <c r="A589" s="727"/>
      <c r="B589" s="309"/>
      <c r="C589" s="309"/>
      <c r="D589" s="309"/>
      <c r="E589" s="309"/>
      <c r="F589" s="309"/>
      <c r="G589" s="309"/>
      <c r="H589" s="309"/>
      <c r="I589" s="309"/>
      <c r="J589" s="309"/>
      <c r="K589" s="309"/>
      <c r="L589" s="309"/>
      <c r="M589" s="309"/>
      <c r="N589" s="309"/>
      <c r="O589" s="309"/>
      <c r="P589" s="309"/>
      <c r="Q589" s="309"/>
      <c r="R589" s="309"/>
      <c r="S589" s="309"/>
      <c r="T589" s="309"/>
    </row>
    <row r="590" spans="1:20" ht="15" customHeight="1" x14ac:dyDescent="0.25">
      <c r="A590" s="727"/>
      <c r="B590" s="309"/>
      <c r="C590" s="309"/>
      <c r="D590" s="309"/>
      <c r="E590" s="309"/>
      <c r="F590" s="309"/>
      <c r="G590" s="309"/>
      <c r="H590" s="309"/>
      <c r="I590" s="309"/>
      <c r="J590" s="309"/>
      <c r="K590" s="309"/>
      <c r="L590" s="309"/>
      <c r="M590" s="309"/>
      <c r="N590" s="309"/>
      <c r="O590" s="309"/>
      <c r="P590" s="309"/>
      <c r="Q590" s="309"/>
      <c r="R590" s="309"/>
      <c r="S590" s="309"/>
      <c r="T590" s="309"/>
    </row>
    <row r="591" spans="1:20" ht="15" customHeight="1" x14ac:dyDescent="0.25">
      <c r="A591" s="727"/>
      <c r="B591" s="309"/>
      <c r="C591" s="309"/>
      <c r="D591" s="309"/>
      <c r="E591" s="309"/>
      <c r="F591" s="309"/>
      <c r="G591" s="309"/>
      <c r="H591" s="309"/>
      <c r="I591" s="309"/>
      <c r="J591" s="309"/>
      <c r="K591" s="309"/>
      <c r="L591" s="309"/>
      <c r="M591" s="309"/>
      <c r="N591" s="309"/>
      <c r="O591" s="309"/>
      <c r="P591" s="309"/>
      <c r="Q591" s="309"/>
      <c r="R591" s="309"/>
      <c r="S591" s="309"/>
      <c r="T591" s="309"/>
    </row>
    <row r="592" spans="1:20" ht="15" customHeight="1" x14ac:dyDescent="0.25">
      <c r="A592" s="727"/>
      <c r="B592" s="309"/>
      <c r="C592" s="309"/>
      <c r="D592" s="309"/>
      <c r="E592" s="309"/>
      <c r="F592" s="309"/>
      <c r="G592" s="309"/>
      <c r="H592" s="309"/>
      <c r="I592" s="309"/>
      <c r="J592" s="309"/>
      <c r="K592" s="309"/>
      <c r="L592" s="309"/>
      <c r="M592" s="309"/>
      <c r="N592" s="309"/>
      <c r="O592" s="309"/>
      <c r="P592" s="309"/>
      <c r="Q592" s="309"/>
      <c r="R592" s="309"/>
      <c r="S592" s="309"/>
      <c r="T592" s="309"/>
    </row>
    <row r="593" spans="1:20" ht="15" customHeight="1" x14ac:dyDescent="0.25">
      <c r="A593" s="727"/>
      <c r="B593" s="309"/>
      <c r="C593" s="309"/>
      <c r="D593" s="309"/>
      <c r="E593" s="309"/>
      <c r="F593" s="309"/>
      <c r="G593" s="309"/>
      <c r="H593" s="309"/>
      <c r="I593" s="309"/>
      <c r="J593" s="309"/>
      <c r="K593" s="309"/>
      <c r="L593" s="309"/>
      <c r="M593" s="309"/>
      <c r="N593" s="309"/>
      <c r="O593" s="309"/>
      <c r="P593" s="309"/>
      <c r="Q593" s="309"/>
      <c r="R593" s="309"/>
      <c r="S593" s="309"/>
      <c r="T593" s="309"/>
    </row>
    <row r="594" spans="1:20" ht="15" customHeight="1" x14ac:dyDescent="0.25">
      <c r="A594" s="727"/>
      <c r="B594" s="309"/>
      <c r="C594" s="309"/>
      <c r="D594" s="309"/>
      <c r="E594" s="309"/>
      <c r="F594" s="309"/>
      <c r="G594" s="309"/>
      <c r="H594" s="309"/>
      <c r="I594" s="309"/>
      <c r="J594" s="309"/>
      <c r="K594" s="309"/>
      <c r="L594" s="309"/>
      <c r="M594" s="309"/>
      <c r="N594" s="309"/>
      <c r="O594" s="309"/>
      <c r="P594" s="309"/>
      <c r="Q594" s="309"/>
      <c r="R594" s="309"/>
      <c r="S594" s="309"/>
      <c r="T594" s="309"/>
    </row>
    <row r="595" spans="1:20" ht="15" customHeight="1" x14ac:dyDescent="0.25">
      <c r="A595" s="727"/>
      <c r="B595" s="309"/>
      <c r="C595" s="309"/>
      <c r="D595" s="309"/>
      <c r="E595" s="309"/>
      <c r="F595" s="309"/>
      <c r="G595" s="309"/>
      <c r="H595" s="309"/>
      <c r="I595" s="309"/>
      <c r="J595" s="309"/>
      <c r="K595" s="309"/>
      <c r="L595" s="309"/>
      <c r="M595" s="309"/>
      <c r="N595" s="309"/>
      <c r="O595" s="309"/>
      <c r="P595" s="309"/>
      <c r="Q595" s="309"/>
      <c r="R595" s="309"/>
      <c r="S595" s="309"/>
      <c r="T595" s="309"/>
    </row>
    <row r="596" spans="1:20" ht="15" customHeight="1" x14ac:dyDescent="0.25">
      <c r="A596" s="727"/>
      <c r="B596" s="309"/>
      <c r="C596" s="309"/>
      <c r="D596" s="309"/>
      <c r="E596" s="309"/>
      <c r="F596" s="309"/>
      <c r="G596" s="309"/>
      <c r="H596" s="309"/>
      <c r="I596" s="309"/>
      <c r="J596" s="309"/>
      <c r="K596" s="309"/>
      <c r="L596" s="309"/>
      <c r="M596" s="309"/>
      <c r="N596" s="309"/>
      <c r="O596" s="309"/>
      <c r="P596" s="309"/>
      <c r="Q596" s="309"/>
      <c r="R596" s="309"/>
      <c r="S596" s="309"/>
      <c r="T596" s="309"/>
    </row>
    <row r="597" spans="1:20" ht="15" customHeight="1" x14ac:dyDescent="0.25">
      <c r="A597" s="727"/>
      <c r="B597" s="309"/>
      <c r="C597" s="309"/>
      <c r="D597" s="309"/>
      <c r="E597" s="309"/>
      <c r="F597" s="309"/>
      <c r="G597" s="309"/>
      <c r="H597" s="309"/>
      <c r="I597" s="309"/>
      <c r="J597" s="309"/>
      <c r="K597" s="309"/>
      <c r="L597" s="309"/>
      <c r="M597" s="309"/>
      <c r="N597" s="309"/>
      <c r="O597" s="309"/>
      <c r="P597" s="309"/>
      <c r="Q597" s="309"/>
      <c r="R597" s="309"/>
      <c r="S597" s="309"/>
      <c r="T597" s="309"/>
    </row>
    <row r="598" spans="1:20" ht="15" customHeight="1" x14ac:dyDescent="0.25">
      <c r="A598" s="727"/>
      <c r="B598" s="309"/>
      <c r="C598" s="309"/>
      <c r="D598" s="309"/>
      <c r="E598" s="309"/>
      <c r="F598" s="309"/>
      <c r="G598" s="309"/>
      <c r="H598" s="309"/>
      <c r="I598" s="309"/>
      <c r="J598" s="309"/>
      <c r="K598" s="309"/>
      <c r="L598" s="309"/>
      <c r="M598" s="309"/>
      <c r="N598" s="309"/>
      <c r="O598" s="309"/>
      <c r="P598" s="309"/>
      <c r="Q598" s="309"/>
      <c r="R598" s="309"/>
      <c r="S598" s="309"/>
      <c r="T598" s="309"/>
    </row>
    <row r="599" spans="1:20" ht="15" customHeight="1" x14ac:dyDescent="0.25">
      <c r="A599" s="727"/>
      <c r="B599" s="309"/>
      <c r="C599" s="309"/>
      <c r="D599" s="309"/>
      <c r="E599" s="309"/>
      <c r="F599" s="309"/>
      <c r="G599" s="309"/>
      <c r="H599" s="309"/>
      <c r="I599" s="309"/>
      <c r="J599" s="309"/>
      <c r="K599" s="309"/>
      <c r="L599" s="309"/>
      <c r="M599" s="309"/>
      <c r="N599" s="309"/>
      <c r="O599" s="309"/>
      <c r="P599" s="309"/>
      <c r="Q599" s="309"/>
      <c r="R599" s="309"/>
      <c r="S599" s="309"/>
      <c r="T599" s="309"/>
    </row>
    <row r="600" spans="1:20" ht="15" customHeight="1" x14ac:dyDescent="0.25">
      <c r="A600" s="727"/>
      <c r="B600" s="309"/>
      <c r="C600" s="309"/>
      <c r="D600" s="309"/>
      <c r="E600" s="309"/>
      <c r="F600" s="309"/>
      <c r="G600" s="309"/>
      <c r="H600" s="309"/>
      <c r="I600" s="309"/>
      <c r="J600" s="309"/>
      <c r="K600" s="309"/>
      <c r="L600" s="309"/>
      <c r="M600" s="309"/>
      <c r="N600" s="309"/>
      <c r="O600" s="309"/>
      <c r="P600" s="309"/>
      <c r="Q600" s="309"/>
      <c r="R600" s="309"/>
      <c r="S600" s="309"/>
      <c r="T600" s="309"/>
    </row>
    <row r="601" spans="1:20" ht="15" customHeight="1" x14ac:dyDescent="0.25">
      <c r="A601" s="727"/>
      <c r="B601" s="309"/>
      <c r="C601" s="309"/>
      <c r="D601" s="309"/>
      <c r="E601" s="309"/>
      <c r="F601" s="309"/>
      <c r="G601" s="309"/>
      <c r="H601" s="309"/>
      <c r="I601" s="309"/>
      <c r="J601" s="309"/>
      <c r="K601" s="309"/>
      <c r="L601" s="309"/>
      <c r="M601" s="309"/>
      <c r="N601" s="309"/>
      <c r="O601" s="309"/>
      <c r="P601" s="309"/>
      <c r="Q601" s="309"/>
      <c r="R601" s="309"/>
      <c r="S601" s="309"/>
      <c r="T601" s="309"/>
    </row>
    <row r="602" spans="1:20" ht="15" customHeight="1" x14ac:dyDescent="0.25">
      <c r="A602" s="727"/>
      <c r="B602" s="309"/>
      <c r="C602" s="309"/>
      <c r="D602" s="309"/>
      <c r="E602" s="309"/>
      <c r="F602" s="309"/>
      <c r="G602" s="309"/>
      <c r="H602" s="309"/>
      <c r="I602" s="309"/>
      <c r="J602" s="309"/>
      <c r="K602" s="309"/>
      <c r="L602" s="309"/>
      <c r="M602" s="309"/>
      <c r="N602" s="309"/>
      <c r="O602" s="309"/>
      <c r="P602" s="309"/>
      <c r="Q602" s="309"/>
      <c r="R602" s="309"/>
      <c r="S602" s="309"/>
      <c r="T602" s="309"/>
    </row>
    <row r="603" spans="1:20" ht="15" customHeight="1" x14ac:dyDescent="0.25">
      <c r="A603" s="727"/>
      <c r="B603" s="309"/>
      <c r="C603" s="309"/>
      <c r="D603" s="309"/>
      <c r="E603" s="309"/>
      <c r="F603" s="309"/>
      <c r="G603" s="309"/>
      <c r="H603" s="309"/>
      <c r="I603" s="309"/>
      <c r="J603" s="309"/>
      <c r="K603" s="309"/>
      <c r="L603" s="309"/>
      <c r="M603" s="309"/>
      <c r="N603" s="309"/>
      <c r="O603" s="309"/>
      <c r="P603" s="309"/>
      <c r="Q603" s="309"/>
      <c r="R603" s="309"/>
      <c r="S603" s="309"/>
      <c r="T603" s="309"/>
    </row>
    <row r="604" spans="1:20" ht="15" customHeight="1" x14ac:dyDescent="0.25">
      <c r="A604" s="727"/>
      <c r="B604" s="309"/>
      <c r="C604" s="309"/>
      <c r="D604" s="309"/>
      <c r="E604" s="309"/>
      <c r="F604" s="309"/>
      <c r="G604" s="309"/>
      <c r="H604" s="309"/>
      <c r="I604" s="309"/>
      <c r="J604" s="309"/>
      <c r="K604" s="309"/>
      <c r="L604" s="309"/>
      <c r="M604" s="309"/>
      <c r="N604" s="309"/>
      <c r="O604" s="309"/>
      <c r="P604" s="309"/>
      <c r="Q604" s="309"/>
      <c r="R604" s="309"/>
      <c r="S604" s="309"/>
      <c r="T604" s="309"/>
    </row>
    <row r="605" spans="1:20" ht="15" customHeight="1" x14ac:dyDescent="0.25">
      <c r="A605" s="727"/>
      <c r="B605" s="309"/>
      <c r="C605" s="309"/>
      <c r="D605" s="309"/>
      <c r="E605" s="309"/>
      <c r="F605" s="309"/>
      <c r="G605" s="309"/>
      <c r="H605" s="309"/>
      <c r="I605" s="309"/>
      <c r="J605" s="309"/>
      <c r="K605" s="309"/>
      <c r="L605" s="309"/>
      <c r="M605" s="309"/>
      <c r="N605" s="309"/>
      <c r="O605" s="309"/>
      <c r="P605" s="309"/>
      <c r="Q605" s="309"/>
      <c r="R605" s="309"/>
      <c r="S605" s="309"/>
      <c r="T605" s="309"/>
    </row>
    <row r="606" spans="1:20" ht="15" customHeight="1" x14ac:dyDescent="0.25">
      <c r="A606" s="727"/>
      <c r="B606" s="309"/>
      <c r="C606" s="309"/>
      <c r="D606" s="309"/>
      <c r="E606" s="309"/>
      <c r="F606" s="309"/>
      <c r="G606" s="309"/>
      <c r="H606" s="309"/>
      <c r="I606" s="309"/>
      <c r="J606" s="309"/>
      <c r="K606" s="309"/>
      <c r="L606" s="309"/>
      <c r="M606" s="309"/>
      <c r="N606" s="309"/>
      <c r="O606" s="309"/>
      <c r="P606" s="309"/>
      <c r="Q606" s="309"/>
      <c r="R606" s="309"/>
      <c r="S606" s="309"/>
      <c r="T606" s="309"/>
    </row>
    <row r="607" spans="1:20" ht="15" customHeight="1" x14ac:dyDescent="0.25">
      <c r="A607" s="727"/>
      <c r="B607" s="309"/>
      <c r="C607" s="309"/>
      <c r="D607" s="309"/>
      <c r="E607" s="309"/>
      <c r="F607" s="309"/>
      <c r="G607" s="309"/>
      <c r="H607" s="309"/>
      <c r="I607" s="309"/>
      <c r="J607" s="309"/>
      <c r="K607" s="309"/>
      <c r="L607" s="309"/>
      <c r="M607" s="309"/>
      <c r="N607" s="309"/>
      <c r="O607" s="309"/>
      <c r="P607" s="309"/>
      <c r="Q607" s="309"/>
      <c r="R607" s="309"/>
      <c r="S607" s="309"/>
      <c r="T607" s="309"/>
    </row>
    <row r="608" spans="1:20" ht="15" customHeight="1" x14ac:dyDescent="0.25">
      <c r="A608" s="727"/>
      <c r="B608" s="309"/>
      <c r="C608" s="309"/>
      <c r="D608" s="309"/>
      <c r="E608" s="309"/>
      <c r="F608" s="309"/>
      <c r="G608" s="309"/>
      <c r="H608" s="309"/>
      <c r="I608" s="309"/>
      <c r="J608" s="309"/>
      <c r="K608" s="309"/>
      <c r="L608" s="309"/>
      <c r="M608" s="309"/>
      <c r="N608" s="309"/>
      <c r="O608" s="309"/>
      <c r="P608" s="309"/>
      <c r="Q608" s="309"/>
      <c r="R608" s="309"/>
      <c r="S608" s="309"/>
      <c r="T608" s="309"/>
    </row>
    <row r="609" spans="1:20" ht="15" customHeight="1" x14ac:dyDescent="0.25">
      <c r="A609" s="727"/>
      <c r="B609" s="309"/>
      <c r="C609" s="309"/>
      <c r="D609" s="309"/>
      <c r="E609" s="309"/>
      <c r="F609" s="309"/>
      <c r="G609" s="309"/>
      <c r="H609" s="309"/>
      <c r="I609" s="309"/>
      <c r="J609" s="309"/>
      <c r="K609" s="309"/>
      <c r="L609" s="309"/>
      <c r="M609" s="309"/>
      <c r="N609" s="309"/>
      <c r="O609" s="309"/>
      <c r="P609" s="309"/>
      <c r="Q609" s="309"/>
      <c r="R609" s="309"/>
      <c r="S609" s="309"/>
      <c r="T609" s="309"/>
    </row>
    <row r="610" spans="1:20" ht="15" customHeight="1" x14ac:dyDescent="0.25">
      <c r="A610" s="727"/>
      <c r="B610" s="309"/>
      <c r="C610" s="309"/>
      <c r="D610" s="309"/>
      <c r="E610" s="309"/>
      <c r="F610" s="309"/>
      <c r="G610" s="309"/>
      <c r="H610" s="309"/>
      <c r="I610" s="309"/>
      <c r="J610" s="309"/>
      <c r="K610" s="309"/>
      <c r="L610" s="309"/>
      <c r="M610" s="309"/>
      <c r="N610" s="309"/>
      <c r="O610" s="309"/>
      <c r="P610" s="309"/>
      <c r="Q610" s="309"/>
      <c r="R610" s="309"/>
      <c r="S610" s="309"/>
      <c r="T610" s="309"/>
    </row>
    <row r="611" spans="1:20" ht="15" customHeight="1" x14ac:dyDescent="0.25">
      <c r="A611" s="727"/>
      <c r="B611" s="309"/>
      <c r="C611" s="309"/>
      <c r="D611" s="309"/>
      <c r="E611" s="309"/>
      <c r="F611" s="309"/>
      <c r="G611" s="309"/>
      <c r="H611" s="309"/>
      <c r="I611" s="309"/>
      <c r="J611" s="309"/>
      <c r="K611" s="309"/>
      <c r="L611" s="309"/>
      <c r="M611" s="309"/>
      <c r="N611" s="309"/>
      <c r="O611" s="309"/>
      <c r="P611" s="309"/>
      <c r="Q611" s="309"/>
      <c r="R611" s="309"/>
      <c r="S611" s="309"/>
      <c r="T611" s="309"/>
    </row>
    <row r="612" spans="1:20" ht="15" customHeight="1" x14ac:dyDescent="0.25">
      <c r="A612" s="727"/>
      <c r="B612" s="309"/>
      <c r="C612" s="309"/>
      <c r="D612" s="309"/>
      <c r="E612" s="309"/>
      <c r="F612" s="309"/>
      <c r="G612" s="309"/>
      <c r="H612" s="309"/>
      <c r="I612" s="309"/>
      <c r="J612" s="309"/>
      <c r="K612" s="309"/>
      <c r="L612" s="309"/>
      <c r="M612" s="309"/>
      <c r="N612" s="309"/>
      <c r="O612" s="309"/>
      <c r="P612" s="309"/>
      <c r="Q612" s="309"/>
      <c r="R612" s="309"/>
      <c r="S612" s="309"/>
      <c r="T612" s="309"/>
    </row>
    <row r="613" spans="1:20" ht="15" customHeight="1" x14ac:dyDescent="0.25">
      <c r="A613" s="727"/>
      <c r="B613" s="309"/>
      <c r="C613" s="309"/>
      <c r="D613" s="309"/>
      <c r="E613" s="309"/>
      <c r="F613" s="309"/>
      <c r="G613" s="309"/>
      <c r="H613" s="309"/>
      <c r="I613" s="309"/>
      <c r="J613" s="309"/>
      <c r="K613" s="309"/>
      <c r="L613" s="309"/>
      <c r="M613" s="309"/>
      <c r="N613" s="309"/>
      <c r="O613" s="309"/>
      <c r="P613" s="309"/>
      <c r="Q613" s="309"/>
      <c r="R613" s="309"/>
      <c r="S613" s="309"/>
      <c r="T613" s="309"/>
    </row>
    <row r="614" spans="1:20" ht="15" customHeight="1" x14ac:dyDescent="0.25">
      <c r="A614" s="727"/>
      <c r="B614" s="309"/>
      <c r="C614" s="309"/>
      <c r="D614" s="309"/>
      <c r="E614" s="309"/>
      <c r="F614" s="309"/>
      <c r="G614" s="309"/>
      <c r="H614" s="309"/>
      <c r="I614" s="309"/>
      <c r="J614" s="309"/>
      <c r="K614" s="309"/>
      <c r="L614" s="309"/>
      <c r="M614" s="309"/>
      <c r="N614" s="309"/>
      <c r="O614" s="309"/>
      <c r="P614" s="309"/>
      <c r="Q614" s="309"/>
      <c r="R614" s="309"/>
      <c r="S614" s="309"/>
      <c r="T614" s="309"/>
    </row>
    <row r="615" spans="1:20" ht="15" customHeight="1" x14ac:dyDescent="0.25">
      <c r="A615" s="727"/>
      <c r="B615" s="309"/>
      <c r="C615" s="309"/>
      <c r="D615" s="309"/>
      <c r="E615" s="309"/>
      <c r="F615" s="309"/>
      <c r="G615" s="309"/>
      <c r="H615" s="309"/>
      <c r="I615" s="309"/>
      <c r="J615" s="309"/>
      <c r="K615" s="309"/>
      <c r="L615" s="309"/>
      <c r="M615" s="309"/>
      <c r="N615" s="309"/>
      <c r="O615" s="309"/>
      <c r="P615" s="309"/>
      <c r="Q615" s="309"/>
      <c r="R615" s="309"/>
      <c r="S615" s="309"/>
      <c r="T615" s="309"/>
    </row>
    <row r="616" spans="1:20" ht="15" customHeight="1" x14ac:dyDescent="0.25">
      <c r="A616" s="727"/>
      <c r="B616" s="309"/>
      <c r="C616" s="309"/>
      <c r="D616" s="309"/>
      <c r="E616" s="309"/>
      <c r="F616" s="309"/>
      <c r="G616" s="309"/>
      <c r="H616" s="309"/>
      <c r="I616" s="309"/>
      <c r="J616" s="309"/>
      <c r="K616" s="309"/>
      <c r="L616" s="309"/>
      <c r="M616" s="309"/>
      <c r="N616" s="309"/>
      <c r="O616" s="309"/>
      <c r="P616" s="309"/>
      <c r="Q616" s="309"/>
      <c r="R616" s="309"/>
      <c r="S616" s="309"/>
      <c r="T616" s="309"/>
    </row>
    <row r="617" spans="1:20" ht="15" customHeight="1" x14ac:dyDescent="0.25">
      <c r="A617" s="727"/>
      <c r="B617" s="309"/>
      <c r="C617" s="309"/>
      <c r="D617" s="309"/>
      <c r="E617" s="309"/>
      <c r="F617" s="309"/>
      <c r="G617" s="309"/>
      <c r="H617" s="309"/>
      <c r="I617" s="309"/>
      <c r="J617" s="309"/>
      <c r="K617" s="309"/>
      <c r="L617" s="309"/>
      <c r="M617" s="309"/>
      <c r="N617" s="309"/>
      <c r="O617" s="309"/>
      <c r="P617" s="309"/>
      <c r="Q617" s="309"/>
      <c r="R617" s="309"/>
      <c r="S617" s="309"/>
      <c r="T617" s="309"/>
    </row>
    <row r="618" spans="1:20" ht="15" customHeight="1" x14ac:dyDescent="0.25">
      <c r="A618" s="727"/>
      <c r="B618" s="309"/>
      <c r="C618" s="309"/>
      <c r="D618" s="309"/>
      <c r="E618" s="309"/>
      <c r="F618" s="309"/>
      <c r="G618" s="309"/>
      <c r="H618" s="309"/>
      <c r="I618" s="309"/>
      <c r="J618" s="309"/>
      <c r="K618" s="309"/>
      <c r="L618" s="309"/>
      <c r="M618" s="309"/>
      <c r="N618" s="309"/>
      <c r="O618" s="309"/>
      <c r="P618" s="309"/>
      <c r="Q618" s="309"/>
      <c r="R618" s="309"/>
      <c r="S618" s="309"/>
      <c r="T618" s="309"/>
    </row>
    <row r="619" spans="1:20" ht="15" customHeight="1" x14ac:dyDescent="0.25">
      <c r="A619" s="727"/>
      <c r="B619" s="309"/>
      <c r="C619" s="309"/>
      <c r="D619" s="309"/>
      <c r="E619" s="309"/>
      <c r="F619" s="309"/>
      <c r="G619" s="309"/>
      <c r="H619" s="309"/>
      <c r="I619" s="309"/>
      <c r="J619" s="309"/>
      <c r="K619" s="309"/>
      <c r="L619" s="309"/>
      <c r="M619" s="309"/>
      <c r="N619" s="309"/>
      <c r="O619" s="309"/>
      <c r="P619" s="309"/>
      <c r="Q619" s="309"/>
      <c r="R619" s="309"/>
      <c r="S619" s="309"/>
      <c r="T619" s="309"/>
    </row>
    <row r="620" spans="1:20" ht="15" customHeight="1" x14ac:dyDescent="0.25">
      <c r="A620" s="727"/>
      <c r="B620" s="309"/>
      <c r="C620" s="309"/>
      <c r="D620" s="309"/>
      <c r="E620" s="309"/>
      <c r="F620" s="309"/>
      <c r="G620" s="309"/>
      <c r="H620" s="309"/>
      <c r="I620" s="309"/>
      <c r="J620" s="309"/>
      <c r="K620" s="309"/>
      <c r="L620" s="309"/>
      <c r="M620" s="309"/>
      <c r="N620" s="309"/>
      <c r="O620" s="309"/>
      <c r="P620" s="309"/>
      <c r="Q620" s="309"/>
      <c r="R620" s="309"/>
      <c r="S620" s="309"/>
      <c r="T620" s="309"/>
    </row>
    <row r="621" spans="1:20" ht="15" customHeight="1" x14ac:dyDescent="0.25">
      <c r="A621" s="727"/>
      <c r="B621" s="309"/>
      <c r="C621" s="309"/>
      <c r="D621" s="309"/>
      <c r="E621" s="309"/>
      <c r="F621" s="309"/>
      <c r="G621" s="309"/>
      <c r="H621" s="309"/>
      <c r="I621" s="309"/>
      <c r="J621" s="309"/>
      <c r="K621" s="309"/>
      <c r="L621" s="309"/>
      <c r="M621" s="309"/>
      <c r="N621" s="309"/>
      <c r="O621" s="309"/>
      <c r="P621" s="309"/>
      <c r="Q621" s="309"/>
      <c r="R621" s="309"/>
      <c r="S621" s="309"/>
      <c r="T621" s="309"/>
    </row>
    <row r="622" spans="1:20" ht="15" customHeight="1" x14ac:dyDescent="0.25">
      <c r="A622" s="727"/>
      <c r="B622" s="309"/>
      <c r="C622" s="309"/>
      <c r="D622" s="309"/>
      <c r="E622" s="309"/>
      <c r="F622" s="309"/>
      <c r="G622" s="309"/>
      <c r="H622" s="309"/>
      <c r="I622" s="309"/>
      <c r="J622" s="309"/>
      <c r="K622" s="309"/>
      <c r="L622" s="309"/>
      <c r="M622" s="309"/>
      <c r="N622" s="309"/>
      <c r="O622" s="309"/>
      <c r="P622" s="309"/>
      <c r="Q622" s="309"/>
      <c r="R622" s="309"/>
      <c r="S622" s="309"/>
      <c r="T622" s="309"/>
    </row>
    <row r="623" spans="1:20" ht="15" customHeight="1" x14ac:dyDescent="0.25">
      <c r="A623" s="727"/>
      <c r="B623" s="309"/>
      <c r="C623" s="309"/>
      <c r="D623" s="309"/>
      <c r="E623" s="309"/>
      <c r="F623" s="309"/>
      <c r="G623" s="309"/>
      <c r="H623" s="309"/>
      <c r="I623" s="309"/>
      <c r="J623" s="309"/>
      <c r="K623" s="309"/>
      <c r="L623" s="309"/>
      <c r="M623" s="309"/>
      <c r="N623" s="309"/>
      <c r="O623" s="309"/>
      <c r="P623" s="309"/>
      <c r="Q623" s="309"/>
      <c r="R623" s="309"/>
      <c r="S623" s="309"/>
      <c r="T623" s="309"/>
    </row>
    <row r="624" spans="1:20" ht="15" customHeight="1" x14ac:dyDescent="0.25">
      <c r="A624" s="727"/>
      <c r="B624" s="309"/>
      <c r="C624" s="309"/>
      <c r="D624" s="309"/>
      <c r="E624" s="309"/>
      <c r="F624" s="309"/>
      <c r="G624" s="309"/>
      <c r="H624" s="309"/>
      <c r="I624" s="309"/>
      <c r="J624" s="309"/>
      <c r="K624" s="309"/>
      <c r="L624" s="309"/>
      <c r="M624" s="309"/>
      <c r="N624" s="309"/>
      <c r="O624" s="309"/>
      <c r="P624" s="309"/>
      <c r="Q624" s="309"/>
      <c r="R624" s="309"/>
      <c r="S624" s="309"/>
      <c r="T624" s="309"/>
    </row>
    <row r="625" spans="1:20" ht="15" customHeight="1" x14ac:dyDescent="0.25">
      <c r="A625" s="727"/>
      <c r="B625" s="309"/>
      <c r="C625" s="309"/>
      <c r="D625" s="309"/>
      <c r="E625" s="309"/>
      <c r="F625" s="309"/>
      <c r="G625" s="309"/>
      <c r="H625" s="309"/>
      <c r="I625" s="309"/>
      <c r="J625" s="309"/>
      <c r="K625" s="309"/>
      <c r="L625" s="309"/>
      <c r="M625" s="309"/>
      <c r="N625" s="309"/>
      <c r="O625" s="309"/>
      <c r="P625" s="309"/>
      <c r="Q625" s="309"/>
      <c r="R625" s="309"/>
      <c r="S625" s="309"/>
      <c r="T625" s="309"/>
    </row>
    <row r="626" spans="1:20" ht="15" customHeight="1" x14ac:dyDescent="0.25">
      <c r="A626" s="727"/>
      <c r="B626" s="309"/>
      <c r="C626" s="309"/>
      <c r="D626" s="309"/>
      <c r="E626" s="309"/>
      <c r="F626" s="309"/>
      <c r="G626" s="309"/>
      <c r="H626" s="309"/>
      <c r="I626" s="309"/>
      <c r="J626" s="309"/>
      <c r="K626" s="309"/>
      <c r="L626" s="309"/>
      <c r="M626" s="309"/>
      <c r="N626" s="309"/>
      <c r="O626" s="309"/>
      <c r="P626" s="309"/>
      <c r="Q626" s="309"/>
      <c r="R626" s="309"/>
      <c r="S626" s="309"/>
      <c r="T626" s="309"/>
    </row>
    <row r="627" spans="1:20" ht="15" customHeight="1" x14ac:dyDescent="0.25">
      <c r="A627" s="727"/>
      <c r="B627" s="309"/>
      <c r="C627" s="309"/>
      <c r="D627" s="309"/>
      <c r="E627" s="309"/>
      <c r="F627" s="309"/>
      <c r="G627" s="309"/>
      <c r="H627" s="309"/>
      <c r="I627" s="309"/>
      <c r="J627" s="309"/>
      <c r="K627" s="309"/>
      <c r="L627" s="309"/>
      <c r="M627" s="309"/>
      <c r="N627" s="309"/>
      <c r="O627" s="309"/>
      <c r="P627" s="309"/>
      <c r="Q627" s="309"/>
      <c r="R627" s="309"/>
      <c r="S627" s="309"/>
      <c r="T627" s="309"/>
    </row>
    <row r="628" spans="1:20" ht="15" customHeight="1" x14ac:dyDescent="0.25">
      <c r="A628" s="727"/>
      <c r="B628" s="309"/>
      <c r="C628" s="309"/>
      <c r="D628" s="309"/>
      <c r="E628" s="309"/>
      <c r="F628" s="309"/>
      <c r="G628" s="309"/>
      <c r="H628" s="309"/>
      <c r="I628" s="309"/>
      <c r="J628" s="309"/>
      <c r="K628" s="309"/>
      <c r="L628" s="309"/>
      <c r="M628" s="309"/>
      <c r="N628" s="309"/>
      <c r="O628" s="309"/>
      <c r="P628" s="309"/>
      <c r="Q628" s="309"/>
      <c r="R628" s="309"/>
      <c r="S628" s="309"/>
      <c r="T628" s="309"/>
    </row>
    <row r="629" spans="1:20" ht="15" customHeight="1" x14ac:dyDescent="0.25">
      <c r="A629" s="727"/>
      <c r="B629" s="309"/>
      <c r="C629" s="309"/>
      <c r="D629" s="309"/>
      <c r="E629" s="309"/>
      <c r="F629" s="309"/>
      <c r="G629" s="309"/>
      <c r="H629" s="309"/>
      <c r="I629" s="309"/>
      <c r="J629" s="309"/>
      <c r="K629" s="309"/>
      <c r="L629" s="309"/>
      <c r="M629" s="309"/>
      <c r="N629" s="309"/>
      <c r="O629" s="309"/>
      <c r="P629" s="309"/>
      <c r="Q629" s="309"/>
      <c r="R629" s="309"/>
      <c r="S629" s="309"/>
      <c r="T629" s="309"/>
    </row>
    <row r="630" spans="1:20" ht="15" customHeight="1" x14ac:dyDescent="0.25">
      <c r="A630" s="727"/>
      <c r="B630" s="309"/>
      <c r="C630" s="309"/>
      <c r="D630" s="309"/>
      <c r="E630" s="309"/>
      <c r="F630" s="309"/>
      <c r="G630" s="309"/>
      <c r="H630" s="309"/>
      <c r="I630" s="309"/>
      <c r="J630" s="309"/>
      <c r="K630" s="309"/>
      <c r="L630" s="309"/>
      <c r="M630" s="309"/>
      <c r="N630" s="309"/>
      <c r="O630" s="309"/>
      <c r="P630" s="309"/>
      <c r="Q630" s="309"/>
      <c r="R630" s="309"/>
      <c r="S630" s="309"/>
      <c r="T630" s="309"/>
    </row>
    <row r="631" spans="1:20" ht="15" customHeight="1" x14ac:dyDescent="0.25">
      <c r="A631" s="727"/>
      <c r="B631" s="309"/>
      <c r="C631" s="309"/>
      <c r="D631" s="309"/>
      <c r="E631" s="309"/>
      <c r="F631" s="309"/>
      <c r="G631" s="309"/>
      <c r="H631" s="309"/>
      <c r="I631" s="309"/>
      <c r="J631" s="309"/>
      <c r="K631" s="309"/>
      <c r="L631" s="309"/>
      <c r="M631" s="309"/>
      <c r="N631" s="309"/>
      <c r="O631" s="309"/>
      <c r="P631" s="309"/>
      <c r="Q631" s="309"/>
      <c r="R631" s="309"/>
      <c r="S631" s="309"/>
      <c r="T631" s="309"/>
    </row>
    <row r="632" spans="1:20" ht="15" customHeight="1" x14ac:dyDescent="0.25">
      <c r="A632" s="727"/>
      <c r="B632" s="309"/>
      <c r="C632" s="309"/>
      <c r="D632" s="309"/>
      <c r="E632" s="309"/>
      <c r="F632" s="309"/>
      <c r="G632" s="309"/>
      <c r="H632" s="309"/>
      <c r="I632" s="309"/>
      <c r="J632" s="309"/>
      <c r="K632" s="309"/>
      <c r="L632" s="309"/>
      <c r="M632" s="309"/>
      <c r="N632" s="309"/>
      <c r="O632" s="309"/>
      <c r="P632" s="309"/>
      <c r="Q632" s="309"/>
      <c r="R632" s="309"/>
      <c r="S632" s="309"/>
      <c r="T632" s="309"/>
    </row>
    <row r="633" spans="1:20" ht="15" customHeight="1" x14ac:dyDescent="0.25">
      <c r="A633" s="727"/>
      <c r="B633" s="309"/>
      <c r="C633" s="309"/>
      <c r="D633" s="309"/>
      <c r="E633" s="309"/>
      <c r="F633" s="309"/>
      <c r="G633" s="309"/>
      <c r="H633" s="309"/>
      <c r="I633" s="309"/>
      <c r="J633" s="309"/>
      <c r="K633" s="309"/>
      <c r="L633" s="309"/>
      <c r="M633" s="309"/>
      <c r="N633" s="309"/>
      <c r="O633" s="309"/>
      <c r="P633" s="309"/>
      <c r="Q633" s="309"/>
      <c r="R633" s="309"/>
      <c r="S633" s="309"/>
      <c r="T633" s="309"/>
    </row>
    <row r="634" spans="1:20" ht="15" customHeight="1" x14ac:dyDescent="0.25">
      <c r="A634" s="727"/>
      <c r="B634" s="309"/>
      <c r="C634" s="309"/>
      <c r="D634" s="309"/>
      <c r="E634" s="309"/>
      <c r="F634" s="309"/>
      <c r="G634" s="309"/>
      <c r="H634" s="309"/>
      <c r="I634" s="309"/>
      <c r="J634" s="309"/>
      <c r="K634" s="309"/>
      <c r="L634" s="309"/>
      <c r="M634" s="309"/>
      <c r="N634" s="309"/>
      <c r="O634" s="309"/>
      <c r="P634" s="309"/>
      <c r="Q634" s="309"/>
      <c r="R634" s="309"/>
      <c r="S634" s="309"/>
      <c r="T634" s="309"/>
    </row>
    <row r="635" spans="1:20" ht="15" customHeight="1" x14ac:dyDescent="0.25">
      <c r="A635" s="727"/>
      <c r="B635" s="309"/>
      <c r="C635" s="309"/>
      <c r="D635" s="309"/>
      <c r="E635" s="309"/>
      <c r="F635" s="309"/>
      <c r="G635" s="309"/>
      <c r="H635" s="309"/>
      <c r="I635" s="309"/>
      <c r="J635" s="309"/>
      <c r="K635" s="309"/>
      <c r="L635" s="309"/>
      <c r="M635" s="309"/>
      <c r="N635" s="309"/>
      <c r="O635" s="309"/>
      <c r="P635" s="309"/>
      <c r="Q635" s="309"/>
      <c r="R635" s="309"/>
      <c r="S635" s="309"/>
      <c r="T635" s="309"/>
    </row>
    <row r="636" spans="1:20" ht="15" customHeight="1" x14ac:dyDescent="0.25">
      <c r="A636" s="727"/>
      <c r="B636" s="309"/>
      <c r="C636" s="309"/>
      <c r="D636" s="309"/>
      <c r="E636" s="309"/>
      <c r="F636" s="309"/>
      <c r="G636" s="309"/>
      <c r="H636" s="309"/>
      <c r="I636" s="309"/>
      <c r="J636" s="309"/>
      <c r="K636" s="309"/>
      <c r="L636" s="309"/>
      <c r="M636" s="309"/>
      <c r="N636" s="309"/>
      <c r="O636" s="309"/>
      <c r="P636" s="309"/>
      <c r="Q636" s="309"/>
      <c r="R636" s="309"/>
      <c r="S636" s="309"/>
      <c r="T636" s="309"/>
    </row>
    <row r="637" spans="1:20" ht="15" customHeight="1" x14ac:dyDescent="0.25">
      <c r="A637" s="727"/>
      <c r="B637" s="309"/>
      <c r="C637" s="309"/>
      <c r="D637" s="309"/>
      <c r="E637" s="309"/>
      <c r="F637" s="309"/>
      <c r="G637" s="309"/>
      <c r="H637" s="309"/>
      <c r="I637" s="309"/>
      <c r="J637" s="309"/>
      <c r="K637" s="309"/>
      <c r="L637" s="309"/>
      <c r="M637" s="309"/>
      <c r="N637" s="309"/>
      <c r="O637" s="309"/>
      <c r="P637" s="309"/>
      <c r="Q637" s="309"/>
      <c r="R637" s="309"/>
      <c r="S637" s="309"/>
      <c r="T637" s="309"/>
    </row>
    <row r="638" spans="1:20" ht="15" customHeight="1" x14ac:dyDescent="0.25">
      <c r="A638" s="727"/>
      <c r="B638" s="309"/>
      <c r="C638" s="309"/>
      <c r="D638" s="309"/>
      <c r="E638" s="309"/>
      <c r="F638" s="309"/>
      <c r="G638" s="309"/>
      <c r="H638" s="309"/>
      <c r="I638" s="309"/>
      <c r="J638" s="309"/>
      <c r="K638" s="309"/>
      <c r="L638" s="309"/>
      <c r="M638" s="309"/>
      <c r="N638" s="309"/>
      <c r="O638" s="309"/>
      <c r="P638" s="309"/>
      <c r="Q638" s="309"/>
      <c r="R638" s="309"/>
      <c r="S638" s="309"/>
      <c r="T638" s="309"/>
    </row>
    <row r="639" spans="1:20" ht="15" customHeight="1" x14ac:dyDescent="0.25">
      <c r="A639" s="727"/>
      <c r="B639" s="309"/>
      <c r="C639" s="309"/>
      <c r="D639" s="309"/>
      <c r="E639" s="309"/>
      <c r="F639" s="309"/>
      <c r="G639" s="309"/>
      <c r="H639" s="309"/>
      <c r="I639" s="309"/>
      <c r="J639" s="309"/>
      <c r="K639" s="309"/>
      <c r="L639" s="309"/>
      <c r="M639" s="309"/>
      <c r="N639" s="309"/>
      <c r="O639" s="309"/>
      <c r="P639" s="309"/>
      <c r="Q639" s="309"/>
      <c r="R639" s="309"/>
      <c r="S639" s="309"/>
      <c r="T639" s="309"/>
    </row>
    <row r="640" spans="1:20" ht="15" customHeight="1" x14ac:dyDescent="0.25">
      <c r="A640" s="727"/>
      <c r="B640" s="309"/>
      <c r="C640" s="309"/>
      <c r="D640" s="309"/>
      <c r="E640" s="309"/>
      <c r="F640" s="309"/>
      <c r="G640" s="309"/>
      <c r="H640" s="309"/>
      <c r="I640" s="309"/>
      <c r="J640" s="309"/>
      <c r="K640" s="309"/>
      <c r="L640" s="309"/>
      <c r="M640" s="309"/>
      <c r="N640" s="309"/>
      <c r="O640" s="309"/>
      <c r="P640" s="309"/>
      <c r="Q640" s="309"/>
      <c r="R640" s="309"/>
      <c r="S640" s="309"/>
      <c r="T640" s="309"/>
    </row>
    <row r="641" spans="1:20" ht="15" customHeight="1" x14ac:dyDescent="0.25">
      <c r="A641" s="727"/>
      <c r="B641" s="309"/>
      <c r="C641" s="309"/>
      <c r="D641" s="309"/>
      <c r="E641" s="309"/>
      <c r="F641" s="309"/>
      <c r="G641" s="309"/>
      <c r="H641" s="309"/>
      <c r="I641" s="309"/>
      <c r="J641" s="309"/>
      <c r="K641" s="309"/>
      <c r="L641" s="309"/>
      <c r="M641" s="309"/>
      <c r="N641" s="309"/>
      <c r="O641" s="309"/>
      <c r="P641" s="309"/>
      <c r="Q641" s="309"/>
      <c r="R641" s="309"/>
      <c r="S641" s="309"/>
      <c r="T641" s="309"/>
    </row>
    <row r="642" spans="1:20" ht="15" customHeight="1" x14ac:dyDescent="0.25">
      <c r="A642" s="727"/>
      <c r="B642" s="309"/>
      <c r="C642" s="309"/>
      <c r="D642" s="309"/>
      <c r="E642" s="309"/>
      <c r="F642" s="309"/>
      <c r="G642" s="309"/>
      <c r="H642" s="309"/>
      <c r="I642" s="309"/>
      <c r="J642" s="309"/>
      <c r="K642" s="309"/>
      <c r="L642" s="309"/>
      <c r="M642" s="309"/>
      <c r="N642" s="309"/>
      <c r="O642" s="309"/>
      <c r="P642" s="309"/>
      <c r="Q642" s="309"/>
      <c r="R642" s="309"/>
      <c r="S642" s="309"/>
      <c r="T642" s="309"/>
    </row>
    <row r="643" spans="1:20" ht="15" customHeight="1" x14ac:dyDescent="0.25">
      <c r="A643" s="727"/>
      <c r="B643" s="309"/>
      <c r="C643" s="309"/>
      <c r="D643" s="309"/>
      <c r="E643" s="309"/>
      <c r="F643" s="309"/>
      <c r="G643" s="309"/>
      <c r="H643" s="309"/>
      <c r="I643" s="309"/>
      <c r="J643" s="309"/>
      <c r="K643" s="309"/>
      <c r="L643" s="309"/>
      <c r="M643" s="309"/>
      <c r="N643" s="309"/>
      <c r="O643" s="309"/>
      <c r="P643" s="309"/>
      <c r="Q643" s="309"/>
      <c r="R643" s="309"/>
      <c r="S643" s="309"/>
      <c r="T643" s="309"/>
    </row>
    <row r="644" spans="1:20" ht="15" customHeight="1" x14ac:dyDescent="0.25">
      <c r="A644" s="727"/>
      <c r="B644" s="309"/>
      <c r="C644" s="309"/>
      <c r="D644" s="309"/>
      <c r="E644" s="309"/>
      <c r="F644" s="309"/>
      <c r="G644" s="309"/>
      <c r="H644" s="309"/>
      <c r="I644" s="309"/>
      <c r="J644" s="309"/>
      <c r="K644" s="309"/>
      <c r="L644" s="309"/>
      <c r="M644" s="309"/>
      <c r="N644" s="309"/>
      <c r="O644" s="309"/>
      <c r="P644" s="309"/>
      <c r="Q644" s="309"/>
      <c r="R644" s="309"/>
      <c r="S644" s="309"/>
      <c r="T644" s="309"/>
    </row>
    <row r="645" spans="1:20" ht="15" customHeight="1" x14ac:dyDescent="0.25">
      <c r="A645" s="727"/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</row>
    <row r="646" spans="1:20" ht="15" customHeight="1" x14ac:dyDescent="0.25">
      <c r="A646" s="727"/>
      <c r="B646" s="309"/>
      <c r="C646" s="309"/>
      <c r="D646" s="309"/>
      <c r="E646" s="309"/>
      <c r="F646" s="309"/>
      <c r="G646" s="309"/>
      <c r="H646" s="309"/>
      <c r="I646" s="309"/>
      <c r="J646" s="309"/>
      <c r="K646" s="309"/>
      <c r="L646" s="309"/>
      <c r="M646" s="309"/>
      <c r="N646" s="309"/>
      <c r="O646" s="309"/>
      <c r="P646" s="309"/>
      <c r="Q646" s="309"/>
      <c r="R646" s="309"/>
      <c r="S646" s="309"/>
      <c r="T646" s="309"/>
    </row>
    <row r="647" spans="1:20" ht="15" customHeight="1" x14ac:dyDescent="0.25">
      <c r="A647" s="727"/>
      <c r="B647" s="309"/>
      <c r="C647" s="309"/>
      <c r="D647" s="309"/>
      <c r="E647" s="309"/>
      <c r="F647" s="309"/>
      <c r="G647" s="309"/>
      <c r="H647" s="309"/>
      <c r="I647" s="309"/>
      <c r="J647" s="309"/>
      <c r="K647" s="309"/>
      <c r="L647" s="309"/>
      <c r="M647" s="309"/>
      <c r="N647" s="309"/>
      <c r="O647" s="309"/>
      <c r="P647" s="309"/>
      <c r="Q647" s="309"/>
      <c r="R647" s="309"/>
      <c r="S647" s="309"/>
      <c r="T647" s="309"/>
    </row>
    <row r="648" spans="1:20" ht="15" customHeight="1" x14ac:dyDescent="0.25">
      <c r="A648" s="727"/>
      <c r="B648" s="309"/>
      <c r="C648" s="309"/>
      <c r="D648" s="309"/>
      <c r="E648" s="309"/>
      <c r="F648" s="309"/>
      <c r="G648" s="309"/>
      <c r="H648" s="309"/>
      <c r="I648" s="309"/>
      <c r="J648" s="309"/>
      <c r="K648" s="309"/>
      <c r="L648" s="309"/>
      <c r="M648" s="309"/>
      <c r="N648" s="309"/>
      <c r="O648" s="309"/>
      <c r="P648" s="309"/>
      <c r="Q648" s="309"/>
      <c r="R648" s="309"/>
      <c r="S648" s="309"/>
      <c r="T648" s="309"/>
    </row>
    <row r="649" spans="1:20" ht="15" customHeight="1" x14ac:dyDescent="0.25">
      <c r="A649" s="727"/>
      <c r="B649" s="309"/>
      <c r="C649" s="309"/>
      <c r="D649" s="309"/>
      <c r="E649" s="309"/>
      <c r="F649" s="309"/>
      <c r="G649" s="309"/>
      <c r="H649" s="309"/>
      <c r="I649" s="309"/>
      <c r="J649" s="309"/>
      <c r="K649" s="309"/>
      <c r="L649" s="309"/>
      <c r="M649" s="309"/>
      <c r="N649" s="309"/>
      <c r="O649" s="309"/>
      <c r="P649" s="309"/>
      <c r="Q649" s="309"/>
      <c r="R649" s="309"/>
      <c r="S649" s="309"/>
      <c r="T649" s="309"/>
    </row>
    <row r="650" spans="1:20" ht="15" customHeight="1" x14ac:dyDescent="0.25">
      <c r="A650" s="727"/>
      <c r="B650" s="309"/>
      <c r="C650" s="309"/>
      <c r="D650" s="309"/>
      <c r="E650" s="309"/>
      <c r="F650" s="309"/>
      <c r="G650" s="309"/>
      <c r="H650" s="309"/>
      <c r="I650" s="309"/>
      <c r="J650" s="309"/>
      <c r="K650" s="309"/>
      <c r="L650" s="309"/>
      <c r="M650" s="309"/>
      <c r="N650" s="309"/>
      <c r="O650" s="309"/>
      <c r="P650" s="309"/>
      <c r="Q650" s="309"/>
      <c r="R650" s="309"/>
      <c r="S650" s="309"/>
      <c r="T650" s="309"/>
    </row>
    <row r="651" spans="1:20" ht="15" customHeight="1" x14ac:dyDescent="0.25">
      <c r="A651" s="727"/>
      <c r="B651" s="309"/>
      <c r="C651" s="309"/>
      <c r="D651" s="309"/>
      <c r="E651" s="309"/>
      <c r="F651" s="309"/>
      <c r="G651" s="309"/>
      <c r="H651" s="309"/>
      <c r="I651" s="309"/>
      <c r="J651" s="309"/>
      <c r="K651" s="309"/>
      <c r="L651" s="309"/>
      <c r="M651" s="309"/>
      <c r="N651" s="309"/>
      <c r="O651" s="309"/>
      <c r="P651" s="309"/>
      <c r="Q651" s="309"/>
      <c r="R651" s="309"/>
      <c r="S651" s="309"/>
      <c r="T651" s="309"/>
    </row>
    <row r="652" spans="1:20" ht="15" customHeight="1" x14ac:dyDescent="0.25">
      <c r="A652" s="727"/>
      <c r="B652" s="309"/>
      <c r="C652" s="309"/>
      <c r="D652" s="309"/>
      <c r="E652" s="309"/>
      <c r="F652" s="309"/>
      <c r="G652" s="309"/>
      <c r="H652" s="309"/>
      <c r="I652" s="309"/>
      <c r="J652" s="309"/>
      <c r="K652" s="309"/>
      <c r="L652" s="309"/>
      <c r="M652" s="309"/>
      <c r="N652" s="309"/>
      <c r="O652" s="309"/>
      <c r="P652" s="309"/>
      <c r="Q652" s="309"/>
      <c r="R652" s="309"/>
      <c r="S652" s="309"/>
      <c r="T652" s="309"/>
    </row>
    <row r="653" spans="1:20" ht="15" customHeight="1" x14ac:dyDescent="0.25">
      <c r="A653" s="727"/>
      <c r="B653" s="309"/>
      <c r="C653" s="309"/>
      <c r="D653" s="309"/>
      <c r="E653" s="309"/>
      <c r="F653" s="309"/>
      <c r="G653" s="309"/>
      <c r="H653" s="309"/>
      <c r="I653" s="309"/>
      <c r="J653" s="309"/>
      <c r="K653" s="309"/>
      <c r="L653" s="309"/>
      <c r="M653" s="309"/>
      <c r="N653" s="309"/>
      <c r="O653" s="309"/>
      <c r="P653" s="309"/>
      <c r="Q653" s="309"/>
      <c r="R653" s="309"/>
      <c r="S653" s="309"/>
      <c r="T653" s="309"/>
    </row>
    <row r="654" spans="1:20" ht="15" customHeight="1" x14ac:dyDescent="0.25">
      <c r="A654" s="727"/>
      <c r="B654" s="309"/>
      <c r="C654" s="309"/>
      <c r="D654" s="309"/>
      <c r="E654" s="309"/>
      <c r="F654" s="309"/>
      <c r="G654" s="309"/>
      <c r="H654" s="309"/>
      <c r="I654" s="309"/>
      <c r="J654" s="309"/>
      <c r="K654" s="309"/>
      <c r="L654" s="309"/>
      <c r="M654" s="309"/>
      <c r="N654" s="309"/>
      <c r="O654" s="309"/>
      <c r="P654" s="309"/>
      <c r="Q654" s="309"/>
      <c r="R654" s="309"/>
      <c r="S654" s="309"/>
      <c r="T654" s="309"/>
    </row>
    <row r="655" spans="1:20" ht="15" customHeight="1" x14ac:dyDescent="0.25">
      <c r="A655" s="727"/>
      <c r="B655" s="309"/>
      <c r="C655" s="309"/>
      <c r="D655" s="309"/>
      <c r="E655" s="309"/>
      <c r="F655" s="309"/>
      <c r="G655" s="309"/>
      <c r="H655" s="309"/>
      <c r="I655" s="309"/>
      <c r="J655" s="309"/>
      <c r="K655" s="309"/>
      <c r="L655" s="309"/>
      <c r="M655" s="309"/>
      <c r="N655" s="309"/>
      <c r="O655" s="309"/>
      <c r="P655" s="309"/>
      <c r="Q655" s="309"/>
      <c r="R655" s="309"/>
      <c r="S655" s="309"/>
      <c r="T655" s="309"/>
    </row>
    <row r="656" spans="1:20" ht="15" customHeight="1" x14ac:dyDescent="0.25">
      <c r="A656" s="727"/>
      <c r="B656" s="309"/>
      <c r="C656" s="309"/>
      <c r="D656" s="309"/>
      <c r="E656" s="309"/>
      <c r="F656" s="309"/>
      <c r="G656" s="309"/>
      <c r="H656" s="309"/>
      <c r="I656" s="309"/>
      <c r="J656" s="309"/>
      <c r="K656" s="309"/>
      <c r="L656" s="309"/>
      <c r="M656" s="309"/>
      <c r="N656" s="309"/>
      <c r="O656" s="309"/>
      <c r="P656" s="309"/>
      <c r="Q656" s="309"/>
      <c r="R656" s="309"/>
      <c r="S656" s="309"/>
      <c r="T656" s="309"/>
    </row>
    <row r="657" spans="1:20" ht="15" customHeight="1" x14ac:dyDescent="0.25">
      <c r="A657" s="727"/>
      <c r="B657" s="309"/>
      <c r="C657" s="309"/>
      <c r="D657" s="309"/>
      <c r="E657" s="309"/>
      <c r="F657" s="309"/>
      <c r="G657" s="309"/>
      <c r="H657" s="309"/>
      <c r="I657" s="309"/>
      <c r="J657" s="309"/>
      <c r="K657" s="309"/>
      <c r="L657" s="309"/>
      <c r="M657" s="309"/>
      <c r="N657" s="309"/>
      <c r="O657" s="309"/>
      <c r="P657" s="309"/>
      <c r="Q657" s="309"/>
      <c r="R657" s="309"/>
      <c r="S657" s="309"/>
      <c r="T657" s="309"/>
    </row>
    <row r="658" spans="1:20" ht="15" customHeight="1" x14ac:dyDescent="0.25">
      <c r="A658" s="727"/>
      <c r="B658" s="309"/>
      <c r="C658" s="309"/>
      <c r="D658" s="309"/>
      <c r="E658" s="309"/>
      <c r="F658" s="309"/>
      <c r="G658" s="309"/>
      <c r="H658" s="309"/>
      <c r="I658" s="309"/>
      <c r="J658" s="309"/>
      <c r="K658" s="309"/>
      <c r="L658" s="309"/>
      <c r="M658" s="309"/>
      <c r="N658" s="309"/>
      <c r="O658" s="309"/>
      <c r="P658" s="309"/>
      <c r="Q658" s="309"/>
      <c r="R658" s="309"/>
      <c r="S658" s="309"/>
      <c r="T658" s="309"/>
    </row>
    <row r="659" spans="1:20" ht="15" customHeight="1" x14ac:dyDescent="0.25">
      <c r="A659" s="727"/>
      <c r="B659" s="309"/>
      <c r="C659" s="309"/>
      <c r="D659" s="309"/>
      <c r="E659" s="309"/>
      <c r="F659" s="309"/>
      <c r="G659" s="309"/>
      <c r="H659" s="309"/>
      <c r="I659" s="309"/>
      <c r="J659" s="309"/>
      <c r="K659" s="309"/>
      <c r="L659" s="309"/>
      <c r="M659" s="309"/>
      <c r="N659" s="309"/>
      <c r="O659" s="309"/>
      <c r="P659" s="309"/>
      <c r="Q659" s="309"/>
      <c r="R659" s="309"/>
      <c r="S659" s="309"/>
      <c r="T659" s="309"/>
    </row>
    <row r="660" spans="1:20" ht="15" customHeight="1" x14ac:dyDescent="0.25">
      <c r="A660" s="727"/>
      <c r="B660" s="309"/>
      <c r="C660" s="309"/>
      <c r="D660" s="309"/>
      <c r="E660" s="309"/>
      <c r="F660" s="309"/>
      <c r="G660" s="309"/>
      <c r="H660" s="309"/>
      <c r="I660" s="309"/>
      <c r="J660" s="309"/>
      <c r="K660" s="309"/>
      <c r="L660" s="309"/>
      <c r="M660" s="309"/>
      <c r="N660" s="309"/>
      <c r="O660" s="309"/>
      <c r="P660" s="309"/>
      <c r="Q660" s="309"/>
      <c r="R660" s="309"/>
      <c r="S660" s="309"/>
      <c r="T660" s="309"/>
    </row>
    <row r="661" spans="1:20" ht="15" customHeight="1" x14ac:dyDescent="0.25">
      <c r="A661" s="727"/>
      <c r="B661" s="309"/>
      <c r="C661" s="309"/>
      <c r="D661" s="309"/>
      <c r="E661" s="309"/>
      <c r="F661" s="309"/>
      <c r="G661" s="309"/>
      <c r="H661" s="309"/>
      <c r="I661" s="309"/>
      <c r="J661" s="309"/>
      <c r="K661" s="309"/>
      <c r="L661" s="309"/>
      <c r="M661" s="309"/>
      <c r="N661" s="309"/>
      <c r="O661" s="309"/>
      <c r="P661" s="309"/>
      <c r="Q661" s="309"/>
      <c r="R661" s="309"/>
      <c r="S661" s="309"/>
      <c r="T661" s="309"/>
    </row>
    <row r="662" spans="1:20" ht="15" customHeight="1" x14ac:dyDescent="0.25">
      <c r="A662" s="727"/>
      <c r="B662" s="309"/>
      <c r="C662" s="309"/>
      <c r="D662" s="309"/>
      <c r="E662" s="309"/>
      <c r="F662" s="309"/>
      <c r="G662" s="309"/>
      <c r="H662" s="309"/>
      <c r="I662" s="309"/>
      <c r="J662" s="309"/>
      <c r="K662" s="309"/>
      <c r="L662" s="309"/>
      <c r="M662" s="309"/>
      <c r="N662" s="309"/>
      <c r="O662" s="309"/>
      <c r="P662" s="309"/>
      <c r="Q662" s="309"/>
      <c r="R662" s="309"/>
      <c r="S662" s="309"/>
      <c r="T662" s="309"/>
    </row>
    <row r="663" spans="1:20" ht="15" customHeight="1" x14ac:dyDescent="0.25">
      <c r="A663" s="727"/>
      <c r="B663" s="309"/>
      <c r="C663" s="309"/>
      <c r="D663" s="309"/>
      <c r="E663" s="309"/>
      <c r="F663" s="309"/>
      <c r="G663" s="309"/>
      <c r="H663" s="309"/>
      <c r="I663" s="309"/>
      <c r="J663" s="309"/>
      <c r="K663" s="309"/>
      <c r="L663" s="309"/>
      <c r="M663" s="309"/>
      <c r="N663" s="309"/>
      <c r="O663" s="309"/>
      <c r="P663" s="309"/>
      <c r="Q663" s="309"/>
      <c r="R663" s="309"/>
      <c r="S663" s="309"/>
      <c r="T663" s="309"/>
    </row>
    <row r="664" spans="1:20" ht="15" customHeight="1" x14ac:dyDescent="0.25">
      <c r="A664" s="727"/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</row>
    <row r="665" spans="1:20" ht="15" customHeight="1" x14ac:dyDescent="0.25">
      <c r="A665" s="727"/>
      <c r="B665" s="309"/>
      <c r="C665" s="309"/>
      <c r="D665" s="309"/>
      <c r="E665" s="309"/>
      <c r="F665" s="309"/>
      <c r="G665" s="309"/>
      <c r="H665" s="309"/>
      <c r="I665" s="309"/>
      <c r="J665" s="309"/>
      <c r="K665" s="309"/>
      <c r="L665" s="309"/>
      <c r="M665" s="309"/>
      <c r="N665" s="309"/>
      <c r="O665" s="309"/>
      <c r="P665" s="309"/>
      <c r="Q665" s="309"/>
      <c r="R665" s="309"/>
      <c r="S665" s="309"/>
      <c r="T665" s="309"/>
    </row>
    <row r="666" spans="1:20" ht="15" customHeight="1" x14ac:dyDescent="0.25">
      <c r="A666" s="727"/>
      <c r="B666" s="309"/>
      <c r="C666" s="309"/>
      <c r="D666" s="309"/>
      <c r="E666" s="309"/>
      <c r="F666" s="309"/>
      <c r="G666" s="309"/>
      <c r="H666" s="309"/>
      <c r="I666" s="309"/>
      <c r="J666" s="309"/>
      <c r="K666" s="309"/>
      <c r="L666" s="309"/>
      <c r="M666" s="309"/>
      <c r="N666" s="309"/>
      <c r="O666" s="309"/>
      <c r="P666" s="309"/>
      <c r="Q666" s="309"/>
      <c r="R666" s="309"/>
      <c r="S666" s="309"/>
      <c r="T666" s="309"/>
    </row>
    <row r="667" spans="1:20" ht="15" customHeight="1" x14ac:dyDescent="0.25">
      <c r="A667" s="727"/>
      <c r="B667" s="309"/>
      <c r="C667" s="309"/>
      <c r="D667" s="309"/>
      <c r="E667" s="309"/>
      <c r="F667" s="309"/>
      <c r="G667" s="309"/>
      <c r="H667" s="309"/>
      <c r="I667" s="309"/>
      <c r="J667" s="309"/>
      <c r="K667" s="309"/>
      <c r="L667" s="309"/>
      <c r="M667" s="309"/>
      <c r="N667" s="309"/>
      <c r="O667" s="309"/>
      <c r="P667" s="309"/>
      <c r="Q667" s="309"/>
      <c r="R667" s="309"/>
      <c r="S667" s="309"/>
      <c r="T667" s="309"/>
    </row>
    <row r="668" spans="1:20" ht="15" customHeight="1" x14ac:dyDescent="0.25">
      <c r="A668" s="727"/>
      <c r="B668" s="309"/>
      <c r="C668" s="309"/>
      <c r="D668" s="309"/>
      <c r="E668" s="309"/>
      <c r="F668" s="309"/>
      <c r="G668" s="309"/>
      <c r="H668" s="309"/>
      <c r="I668" s="309"/>
      <c r="J668" s="309"/>
      <c r="K668" s="309"/>
      <c r="L668" s="309"/>
      <c r="M668" s="309"/>
      <c r="N668" s="309"/>
      <c r="O668" s="309"/>
      <c r="P668" s="309"/>
      <c r="Q668" s="309"/>
      <c r="R668" s="309"/>
      <c r="S668" s="309"/>
      <c r="T668" s="309"/>
    </row>
    <row r="669" spans="1:20" ht="15" customHeight="1" x14ac:dyDescent="0.25">
      <c r="A669" s="727"/>
      <c r="B669" s="309"/>
      <c r="C669" s="309"/>
      <c r="D669" s="309"/>
      <c r="E669" s="309"/>
      <c r="F669" s="309"/>
      <c r="G669" s="309"/>
      <c r="H669" s="309"/>
      <c r="I669" s="309"/>
      <c r="J669" s="309"/>
      <c r="K669" s="309"/>
      <c r="L669" s="309"/>
      <c r="M669" s="309"/>
      <c r="N669" s="309"/>
      <c r="O669" s="309"/>
      <c r="P669" s="309"/>
      <c r="Q669" s="309"/>
      <c r="R669" s="309"/>
      <c r="S669" s="309"/>
      <c r="T669" s="309"/>
    </row>
    <row r="670" spans="1:20" ht="15" customHeight="1" x14ac:dyDescent="0.25">
      <c r="A670" s="727"/>
      <c r="B670" s="309"/>
      <c r="C670" s="309"/>
      <c r="D670" s="309"/>
      <c r="E670" s="309"/>
      <c r="F670" s="309"/>
      <c r="G670" s="309"/>
      <c r="H670" s="309"/>
      <c r="I670" s="309"/>
      <c r="J670" s="309"/>
      <c r="K670" s="309"/>
      <c r="L670" s="309"/>
      <c r="M670" s="309"/>
      <c r="N670" s="309"/>
      <c r="O670" s="309"/>
      <c r="P670" s="309"/>
      <c r="Q670" s="309"/>
      <c r="R670" s="309"/>
      <c r="S670" s="309"/>
      <c r="T670" s="309"/>
    </row>
    <row r="671" spans="1:20" ht="15" customHeight="1" x14ac:dyDescent="0.25">
      <c r="A671" s="727"/>
      <c r="B671" s="309"/>
      <c r="C671" s="309"/>
      <c r="D671" s="309"/>
      <c r="E671" s="309"/>
      <c r="F671" s="309"/>
      <c r="G671" s="309"/>
      <c r="H671" s="309"/>
      <c r="I671" s="309"/>
      <c r="J671" s="309"/>
      <c r="K671" s="309"/>
      <c r="L671" s="309"/>
      <c r="M671" s="309"/>
      <c r="N671" s="309"/>
      <c r="O671" s="309"/>
      <c r="P671" s="309"/>
      <c r="Q671" s="309"/>
      <c r="R671" s="309"/>
      <c r="S671" s="309"/>
      <c r="T671" s="309"/>
    </row>
    <row r="672" spans="1:20" ht="15" customHeight="1" x14ac:dyDescent="0.25">
      <c r="A672" s="727"/>
      <c r="B672" s="309"/>
      <c r="C672" s="309"/>
      <c r="D672" s="309"/>
      <c r="E672" s="309"/>
      <c r="F672" s="309"/>
      <c r="G672" s="309"/>
      <c r="H672" s="309"/>
      <c r="I672" s="309"/>
      <c r="J672" s="309"/>
      <c r="K672" s="309"/>
      <c r="L672" s="309"/>
      <c r="M672" s="309"/>
      <c r="N672" s="309"/>
      <c r="O672" s="309"/>
      <c r="P672" s="309"/>
      <c r="Q672" s="309"/>
      <c r="R672" s="309"/>
      <c r="S672" s="309"/>
      <c r="T672" s="309"/>
    </row>
    <row r="673" spans="1:20" ht="15" customHeight="1" x14ac:dyDescent="0.25">
      <c r="A673" s="727"/>
      <c r="B673" s="309"/>
      <c r="C673" s="309"/>
      <c r="D673" s="309"/>
      <c r="E673" s="309"/>
      <c r="F673" s="309"/>
      <c r="G673" s="309"/>
      <c r="H673" s="309"/>
      <c r="I673" s="309"/>
      <c r="J673" s="309"/>
      <c r="K673" s="309"/>
      <c r="L673" s="309"/>
      <c r="M673" s="309"/>
      <c r="N673" s="309"/>
      <c r="O673" s="309"/>
      <c r="P673" s="309"/>
      <c r="Q673" s="309"/>
      <c r="R673" s="309"/>
      <c r="S673" s="309"/>
      <c r="T673" s="309"/>
    </row>
    <row r="674" spans="1:20" ht="15" customHeight="1" x14ac:dyDescent="0.25">
      <c r="A674" s="727"/>
      <c r="B674" s="309"/>
      <c r="C674" s="309"/>
      <c r="D674" s="309"/>
      <c r="E674" s="309"/>
      <c r="F674" s="309"/>
      <c r="G674" s="309"/>
      <c r="H674" s="309"/>
      <c r="I674" s="309"/>
      <c r="J674" s="309"/>
      <c r="K674" s="309"/>
      <c r="L674" s="309"/>
      <c r="M674" s="309"/>
      <c r="N674" s="309"/>
      <c r="O674" s="309"/>
      <c r="P674" s="309"/>
      <c r="Q674" s="309"/>
      <c r="R674" s="309"/>
      <c r="S674" s="309"/>
      <c r="T674" s="309"/>
    </row>
    <row r="675" spans="1:20" ht="15" customHeight="1" x14ac:dyDescent="0.25">
      <c r="A675" s="727"/>
      <c r="B675" s="309"/>
      <c r="C675" s="309"/>
      <c r="D675" s="309"/>
      <c r="E675" s="309"/>
      <c r="F675" s="309"/>
      <c r="G675" s="309"/>
      <c r="H675" s="309"/>
      <c r="I675" s="309"/>
      <c r="J675" s="309"/>
      <c r="K675" s="309"/>
      <c r="L675" s="309"/>
      <c r="M675" s="309"/>
      <c r="N675" s="309"/>
      <c r="O675" s="309"/>
      <c r="P675" s="309"/>
      <c r="Q675" s="309"/>
      <c r="R675" s="309"/>
      <c r="S675" s="309"/>
      <c r="T675" s="309"/>
    </row>
    <row r="676" spans="1:20" ht="15" customHeight="1" x14ac:dyDescent="0.25">
      <c r="A676" s="727"/>
      <c r="B676" s="309"/>
      <c r="C676" s="309"/>
      <c r="D676" s="309"/>
      <c r="E676" s="309"/>
      <c r="F676" s="652"/>
      <c r="G676" s="309"/>
      <c r="H676" s="309"/>
      <c r="I676" s="309"/>
      <c r="J676" s="309"/>
      <c r="K676" s="309"/>
      <c r="L676" s="309"/>
      <c r="M676" s="309"/>
      <c r="N676" s="309"/>
      <c r="O676" s="309"/>
      <c r="P676" s="309"/>
      <c r="Q676" s="309"/>
      <c r="R676" s="309"/>
      <c r="S676" s="309"/>
      <c r="T676" s="309"/>
    </row>
    <row r="677" spans="1:20" ht="15" customHeight="1" x14ac:dyDescent="0.25">
      <c r="A677" s="727"/>
      <c r="B677" s="309"/>
      <c r="C677" s="309"/>
      <c r="D677" s="309"/>
      <c r="E677" s="309"/>
      <c r="F677" s="309"/>
      <c r="G677" s="309"/>
      <c r="H677" s="309"/>
      <c r="I677" s="309"/>
      <c r="J677" s="309"/>
      <c r="K677" s="309"/>
      <c r="L677" s="309"/>
      <c r="M677" s="309"/>
      <c r="N677" s="309"/>
      <c r="O677" s="309"/>
      <c r="P677" s="309"/>
      <c r="Q677" s="309"/>
      <c r="R677" s="309"/>
      <c r="S677" s="309"/>
      <c r="T677" s="309"/>
    </row>
    <row r="678" spans="1:20" ht="15" customHeight="1" x14ac:dyDescent="0.25">
      <c r="A678" s="727"/>
      <c r="B678" s="309"/>
      <c r="C678" s="309"/>
      <c r="D678" s="309"/>
      <c r="E678" s="309"/>
      <c r="F678" s="309"/>
      <c r="G678" s="309"/>
      <c r="H678" s="309"/>
      <c r="I678" s="309"/>
      <c r="J678" s="309"/>
      <c r="K678" s="309"/>
      <c r="L678" s="309"/>
      <c r="M678" s="309"/>
      <c r="N678" s="309"/>
      <c r="O678" s="309"/>
      <c r="P678" s="309"/>
      <c r="Q678" s="309"/>
      <c r="R678" s="309"/>
      <c r="S678" s="309"/>
      <c r="T678" s="309"/>
    </row>
    <row r="679" spans="1:20" ht="15" customHeight="1" x14ac:dyDescent="0.25">
      <c r="A679" s="727"/>
      <c r="B679" s="309"/>
      <c r="C679" s="309"/>
      <c r="D679" s="309"/>
      <c r="E679" s="309"/>
      <c r="F679" s="317"/>
      <c r="G679" s="309"/>
      <c r="H679" s="309"/>
      <c r="I679" s="309"/>
      <c r="J679" s="309"/>
      <c r="K679" s="309"/>
      <c r="L679" s="309"/>
      <c r="M679" s="309"/>
      <c r="N679" s="309"/>
      <c r="O679" s="309"/>
      <c r="P679" s="309"/>
      <c r="Q679" s="309"/>
      <c r="R679" s="309"/>
      <c r="S679" s="309"/>
      <c r="T679" s="309"/>
    </row>
    <row r="680" spans="1:20" ht="15" customHeight="1" x14ac:dyDescent="0.25">
      <c r="A680" s="727"/>
      <c r="B680" s="309"/>
      <c r="C680" s="309"/>
      <c r="D680" s="309"/>
      <c r="E680" s="309"/>
      <c r="F680" s="309"/>
      <c r="G680" s="309"/>
      <c r="H680" s="309"/>
      <c r="I680" s="309"/>
      <c r="J680" s="309"/>
      <c r="K680" s="309"/>
      <c r="L680" s="309"/>
      <c r="M680" s="309"/>
      <c r="N680" s="309"/>
      <c r="O680" s="309"/>
      <c r="P680" s="309"/>
      <c r="Q680" s="309"/>
      <c r="R680" s="309"/>
      <c r="S680" s="309"/>
      <c r="T680" s="309"/>
    </row>
    <row r="681" spans="1:20" ht="15" customHeight="1" x14ac:dyDescent="0.25">
      <c r="A681" s="727"/>
      <c r="B681" s="309"/>
      <c r="C681" s="309"/>
      <c r="D681" s="309"/>
      <c r="E681" s="309"/>
      <c r="F681" s="309"/>
      <c r="G681" s="309"/>
      <c r="H681" s="309"/>
      <c r="I681" s="309"/>
      <c r="J681" s="309"/>
      <c r="K681" s="309"/>
      <c r="L681" s="309"/>
      <c r="M681" s="309"/>
      <c r="N681" s="309"/>
      <c r="O681" s="309"/>
      <c r="P681" s="309"/>
      <c r="Q681" s="309"/>
      <c r="R681" s="309"/>
      <c r="S681" s="309"/>
      <c r="T681" s="309"/>
    </row>
    <row r="682" spans="1:20" ht="15" customHeight="1" x14ac:dyDescent="0.25">
      <c r="A682" s="727"/>
      <c r="B682" s="309"/>
      <c r="C682" s="309"/>
      <c r="D682" s="309"/>
      <c r="E682" s="309"/>
      <c r="F682" s="309"/>
      <c r="G682" s="309"/>
      <c r="H682" s="309"/>
      <c r="I682" s="309"/>
      <c r="J682" s="309"/>
      <c r="K682" s="309"/>
      <c r="L682" s="309"/>
      <c r="M682" s="309"/>
      <c r="N682" s="309"/>
      <c r="O682" s="309"/>
      <c r="P682" s="309"/>
      <c r="Q682" s="309"/>
      <c r="R682" s="309"/>
      <c r="S682" s="309"/>
      <c r="T682" s="309"/>
    </row>
    <row r="683" spans="1:20" ht="15" customHeight="1" x14ac:dyDescent="0.25">
      <c r="A683" s="727"/>
      <c r="B683" s="309"/>
      <c r="C683" s="309"/>
      <c r="D683" s="309"/>
      <c r="E683" s="309"/>
      <c r="F683" s="309"/>
      <c r="G683" s="309"/>
      <c r="H683" s="309"/>
      <c r="I683" s="309"/>
      <c r="J683" s="309"/>
      <c r="K683" s="309"/>
      <c r="L683" s="309"/>
      <c r="M683" s="309"/>
      <c r="N683" s="309"/>
      <c r="O683" s="309"/>
      <c r="P683" s="309"/>
      <c r="Q683" s="309"/>
      <c r="R683" s="309"/>
      <c r="S683" s="309"/>
      <c r="T683" s="309"/>
    </row>
    <row r="684" spans="1:20" ht="15" customHeight="1" x14ac:dyDescent="0.25">
      <c r="A684" s="727"/>
      <c r="B684" s="309"/>
      <c r="C684" s="309"/>
      <c r="D684" s="309"/>
      <c r="E684" s="309"/>
      <c r="F684" s="309"/>
      <c r="G684" s="309"/>
      <c r="H684" s="309"/>
      <c r="I684" s="309"/>
      <c r="J684" s="309"/>
      <c r="K684" s="309"/>
      <c r="L684" s="309"/>
      <c r="M684" s="309"/>
      <c r="N684" s="309"/>
      <c r="O684" s="309"/>
      <c r="P684" s="309"/>
      <c r="Q684" s="309"/>
      <c r="R684" s="309"/>
      <c r="S684" s="309"/>
      <c r="T684" s="309"/>
    </row>
    <row r="685" spans="1:20" ht="15" customHeight="1" x14ac:dyDescent="0.25">
      <c r="A685" s="727"/>
      <c r="B685" s="309"/>
      <c r="C685" s="309"/>
      <c r="D685" s="309"/>
      <c r="E685" s="309"/>
      <c r="F685" s="309"/>
      <c r="G685" s="309"/>
      <c r="H685" s="309"/>
      <c r="I685" s="309"/>
      <c r="J685" s="309"/>
      <c r="K685" s="309"/>
      <c r="L685" s="309"/>
      <c r="M685" s="309"/>
      <c r="N685" s="309"/>
      <c r="O685" s="309"/>
      <c r="P685" s="309"/>
      <c r="Q685" s="309"/>
      <c r="R685" s="309"/>
      <c r="S685" s="309"/>
      <c r="T685" s="309"/>
    </row>
    <row r="686" spans="1:20" ht="15" customHeight="1" x14ac:dyDescent="0.25">
      <c r="A686" s="727"/>
      <c r="B686" s="309"/>
      <c r="C686" s="309"/>
      <c r="D686" s="309"/>
      <c r="E686" s="652"/>
      <c r="F686" s="317"/>
      <c r="G686" s="309"/>
      <c r="H686" s="309"/>
      <c r="I686" s="309"/>
      <c r="J686" s="309"/>
      <c r="K686" s="309"/>
      <c r="L686" s="309"/>
      <c r="M686" s="309"/>
      <c r="N686" s="309"/>
      <c r="O686" s="309"/>
      <c r="P686" s="309"/>
      <c r="Q686" s="309"/>
      <c r="R686" s="309"/>
      <c r="S686" s="309"/>
      <c r="T686" s="309"/>
    </row>
    <row r="687" spans="1:20" ht="15" customHeight="1" x14ac:dyDescent="0.25">
      <c r="A687" s="727"/>
      <c r="B687" s="309"/>
      <c r="C687" s="309"/>
      <c r="D687" s="309"/>
      <c r="E687" s="309"/>
      <c r="F687" s="309"/>
      <c r="G687" s="309"/>
      <c r="H687" s="309"/>
      <c r="I687" s="309"/>
      <c r="J687" s="309"/>
      <c r="K687" s="309"/>
      <c r="L687" s="309"/>
      <c r="M687" s="309"/>
      <c r="N687" s="309"/>
      <c r="O687" s="309"/>
      <c r="P687" s="309"/>
      <c r="Q687" s="309"/>
      <c r="R687" s="309"/>
      <c r="S687" s="309"/>
      <c r="T687" s="309"/>
    </row>
    <row r="688" spans="1:20" ht="15" customHeight="1" x14ac:dyDescent="0.25">
      <c r="A688" s="727"/>
      <c r="B688" s="309"/>
      <c r="C688" s="309"/>
      <c r="D688" s="309"/>
      <c r="E688" s="309"/>
      <c r="F688" s="309"/>
      <c r="G688" s="309"/>
      <c r="H688" s="309"/>
      <c r="I688" s="309"/>
      <c r="J688" s="309"/>
      <c r="K688" s="309"/>
      <c r="L688" s="309"/>
      <c r="M688" s="309"/>
      <c r="N688" s="309"/>
      <c r="O688" s="309"/>
      <c r="P688" s="309"/>
      <c r="Q688" s="309"/>
      <c r="R688" s="309"/>
      <c r="S688" s="309"/>
      <c r="T688" s="309"/>
    </row>
    <row r="689" spans="1:20" ht="15" customHeight="1" x14ac:dyDescent="0.25">
      <c r="A689" s="727"/>
      <c r="B689" s="309"/>
      <c r="C689" s="309"/>
      <c r="D689" s="309"/>
      <c r="E689" s="309"/>
      <c r="F689" s="309"/>
      <c r="G689" s="309"/>
      <c r="H689" s="309"/>
      <c r="I689" s="309"/>
      <c r="J689" s="309"/>
      <c r="K689" s="309"/>
      <c r="L689" s="309"/>
      <c r="M689" s="309"/>
      <c r="N689" s="309"/>
      <c r="O689" s="309"/>
      <c r="P689" s="309"/>
      <c r="Q689" s="309"/>
      <c r="R689" s="309"/>
      <c r="S689" s="309"/>
      <c r="T689" s="309"/>
    </row>
    <row r="690" spans="1:20" ht="15" customHeight="1" x14ac:dyDescent="0.25">
      <c r="A690" s="727"/>
      <c r="B690" s="309"/>
      <c r="C690" s="309"/>
      <c r="D690" s="309"/>
      <c r="E690" s="309"/>
      <c r="F690" s="309"/>
      <c r="G690" s="309"/>
      <c r="H690" s="309"/>
      <c r="I690" s="309"/>
      <c r="J690" s="309"/>
      <c r="K690" s="309"/>
      <c r="L690" s="309"/>
      <c r="M690" s="309"/>
      <c r="N690" s="309"/>
      <c r="O690" s="309"/>
      <c r="P690" s="309"/>
      <c r="Q690" s="309"/>
      <c r="R690" s="309"/>
      <c r="S690" s="309"/>
      <c r="T690" s="309"/>
    </row>
    <row r="691" spans="1:20" ht="15" customHeight="1" x14ac:dyDescent="0.25">
      <c r="A691" s="727"/>
      <c r="B691" s="309"/>
      <c r="C691" s="309"/>
      <c r="D691" s="309"/>
      <c r="E691" s="309"/>
      <c r="F691" s="309"/>
      <c r="G691" s="309"/>
      <c r="H691" s="309"/>
      <c r="I691" s="309"/>
      <c r="J691" s="309"/>
      <c r="K691" s="309"/>
      <c r="L691" s="309"/>
      <c r="M691" s="309"/>
      <c r="N691" s="309"/>
      <c r="O691" s="309"/>
      <c r="P691" s="309"/>
      <c r="Q691" s="309"/>
      <c r="R691" s="309"/>
      <c r="S691" s="309"/>
      <c r="T691" s="309"/>
    </row>
    <row r="692" spans="1:20" ht="15" customHeight="1" x14ac:dyDescent="0.25">
      <c r="A692" s="727"/>
      <c r="B692" s="309"/>
      <c r="C692" s="309"/>
      <c r="D692" s="309"/>
      <c r="E692" s="309"/>
      <c r="F692" s="309"/>
      <c r="G692" s="309"/>
      <c r="H692" s="309"/>
      <c r="I692" s="309"/>
      <c r="J692" s="309"/>
      <c r="K692" s="309"/>
      <c r="L692" s="309"/>
      <c r="M692" s="309"/>
      <c r="N692" s="309"/>
      <c r="O692" s="309"/>
      <c r="P692" s="309"/>
      <c r="Q692" s="309"/>
      <c r="R692" s="309"/>
      <c r="S692" s="309"/>
      <c r="T692" s="309"/>
    </row>
    <row r="693" spans="1:20" ht="15" customHeight="1" x14ac:dyDescent="0.25">
      <c r="A693" s="727"/>
      <c r="B693" s="309"/>
      <c r="C693" s="309"/>
      <c r="D693" s="309"/>
      <c r="E693" s="309"/>
      <c r="F693" s="309"/>
      <c r="G693" s="309"/>
      <c r="H693" s="309"/>
      <c r="I693" s="309"/>
      <c r="J693" s="309"/>
      <c r="K693" s="309"/>
      <c r="L693" s="309"/>
      <c r="M693" s="309"/>
      <c r="N693" s="309"/>
      <c r="O693" s="309"/>
      <c r="P693" s="309"/>
      <c r="Q693" s="309"/>
      <c r="R693" s="309"/>
      <c r="S693" s="309"/>
      <c r="T693" s="309"/>
    </row>
    <row r="694" spans="1:20" ht="15" customHeight="1" x14ac:dyDescent="0.25">
      <c r="A694" s="727"/>
      <c r="B694" s="309"/>
      <c r="C694" s="309"/>
      <c r="D694" s="309"/>
      <c r="E694" s="309"/>
      <c r="F694" s="309"/>
      <c r="G694" s="309"/>
      <c r="H694" s="309"/>
      <c r="I694" s="309"/>
      <c r="J694" s="309"/>
      <c r="K694" s="309"/>
      <c r="L694" s="309"/>
      <c r="M694" s="309"/>
      <c r="N694" s="309"/>
      <c r="O694" s="309"/>
      <c r="P694" s="309"/>
      <c r="Q694" s="309"/>
      <c r="R694" s="309"/>
      <c r="S694" s="309"/>
      <c r="T694" s="309"/>
    </row>
    <row r="695" spans="1:20" ht="15" customHeight="1" x14ac:dyDescent="0.25">
      <c r="A695" s="727"/>
      <c r="B695" s="309"/>
      <c r="C695" s="309"/>
      <c r="D695" s="309"/>
      <c r="E695" s="309"/>
      <c r="F695" s="309"/>
      <c r="G695" s="309"/>
      <c r="H695" s="309"/>
      <c r="I695" s="309"/>
      <c r="J695" s="309"/>
      <c r="K695" s="309"/>
      <c r="L695" s="309"/>
      <c r="M695" s="309"/>
      <c r="N695" s="309"/>
      <c r="O695" s="309"/>
      <c r="P695" s="309"/>
      <c r="Q695" s="309"/>
      <c r="R695" s="309"/>
      <c r="S695" s="309"/>
      <c r="T695" s="309"/>
    </row>
    <row r="696" spans="1:20" ht="15" customHeight="1" x14ac:dyDescent="0.25">
      <c r="A696" s="727"/>
      <c r="B696" s="309"/>
      <c r="C696" s="309"/>
      <c r="D696" s="309"/>
      <c r="E696" s="309"/>
      <c r="F696" s="309"/>
      <c r="G696" s="309"/>
      <c r="H696" s="309"/>
      <c r="I696" s="309"/>
      <c r="J696" s="309"/>
      <c r="K696" s="309"/>
      <c r="L696" s="309"/>
      <c r="M696" s="309"/>
      <c r="N696" s="309"/>
      <c r="O696" s="309"/>
      <c r="P696" s="309"/>
      <c r="Q696" s="309"/>
      <c r="R696" s="309"/>
      <c r="S696" s="309"/>
      <c r="T696" s="309"/>
    </row>
    <row r="697" spans="1:20" ht="15" customHeight="1" x14ac:dyDescent="0.25">
      <c r="A697" s="727"/>
      <c r="B697" s="309"/>
      <c r="C697" s="309"/>
      <c r="D697" s="309"/>
      <c r="E697" s="309"/>
      <c r="F697" s="309"/>
      <c r="G697" s="309"/>
      <c r="H697" s="309"/>
      <c r="I697" s="309"/>
      <c r="J697" s="309"/>
      <c r="K697" s="309"/>
      <c r="L697" s="309"/>
      <c r="M697" s="309"/>
      <c r="N697" s="309"/>
      <c r="O697" s="309"/>
      <c r="P697" s="309"/>
      <c r="Q697" s="309"/>
      <c r="R697" s="309"/>
      <c r="S697" s="309"/>
      <c r="T697" s="309"/>
    </row>
    <row r="698" spans="1:20" ht="15" customHeight="1" x14ac:dyDescent="0.25">
      <c r="A698" s="727"/>
      <c r="B698" s="309"/>
      <c r="C698" s="309"/>
      <c r="D698" s="309"/>
      <c r="E698" s="309"/>
      <c r="F698" s="309"/>
      <c r="G698" s="309"/>
      <c r="H698" s="309"/>
      <c r="I698" s="309"/>
      <c r="J698" s="309"/>
      <c r="K698" s="309"/>
      <c r="L698" s="309"/>
      <c r="M698" s="309"/>
      <c r="N698" s="309"/>
      <c r="O698" s="309"/>
      <c r="P698" s="309"/>
      <c r="Q698" s="309"/>
      <c r="R698" s="309"/>
      <c r="S698" s="309"/>
      <c r="T698" s="309"/>
    </row>
    <row r="699" spans="1:20" ht="15" customHeight="1" x14ac:dyDescent="0.25">
      <c r="A699" s="727"/>
      <c r="B699" s="309"/>
      <c r="C699" s="309"/>
      <c r="D699" s="309"/>
      <c r="E699" s="309"/>
      <c r="F699" s="309"/>
      <c r="G699" s="309"/>
      <c r="H699" s="309"/>
      <c r="I699" s="309"/>
      <c r="J699" s="309"/>
      <c r="K699" s="309"/>
      <c r="L699" s="309"/>
      <c r="M699" s="309"/>
      <c r="N699" s="309"/>
      <c r="O699" s="309"/>
      <c r="P699" s="309"/>
      <c r="Q699" s="309"/>
      <c r="R699" s="309"/>
      <c r="S699" s="309"/>
      <c r="T699" s="309"/>
    </row>
    <row r="700" spans="1:20" ht="15" customHeight="1" x14ac:dyDescent="0.25">
      <c r="A700" s="727"/>
      <c r="B700" s="309"/>
      <c r="C700" s="309"/>
      <c r="D700" s="309"/>
      <c r="E700" s="309"/>
      <c r="F700" s="309"/>
      <c r="G700" s="309"/>
      <c r="H700" s="309"/>
      <c r="I700" s="309"/>
      <c r="J700" s="309"/>
      <c r="K700" s="309"/>
      <c r="L700" s="309"/>
      <c r="M700" s="309"/>
      <c r="N700" s="309"/>
      <c r="O700" s="309"/>
      <c r="P700" s="309"/>
      <c r="Q700" s="309"/>
      <c r="R700" s="309"/>
      <c r="S700" s="309"/>
      <c r="T700" s="309"/>
    </row>
    <row r="701" spans="1:20" ht="15" customHeight="1" x14ac:dyDescent="0.25">
      <c r="A701" s="727"/>
      <c r="B701" s="309"/>
      <c r="C701" s="309"/>
      <c r="D701" s="309"/>
      <c r="E701" s="309"/>
      <c r="F701" s="309"/>
      <c r="G701" s="309"/>
      <c r="H701" s="309"/>
      <c r="I701" s="309"/>
      <c r="J701" s="309"/>
      <c r="K701" s="309"/>
      <c r="L701" s="309"/>
      <c r="M701" s="309"/>
      <c r="N701" s="309"/>
      <c r="O701" s="309"/>
      <c r="P701" s="309"/>
      <c r="Q701" s="309"/>
      <c r="R701" s="309"/>
      <c r="S701" s="309"/>
      <c r="T701" s="309"/>
    </row>
    <row r="702" spans="1:20" ht="15" customHeight="1" x14ac:dyDescent="0.25">
      <c r="A702" s="727"/>
      <c r="B702" s="309"/>
      <c r="C702" s="309"/>
      <c r="D702" s="309"/>
      <c r="E702" s="309"/>
      <c r="F702" s="309"/>
      <c r="G702" s="309"/>
      <c r="H702" s="309"/>
      <c r="I702" s="309"/>
      <c r="J702" s="309"/>
      <c r="K702" s="309"/>
      <c r="L702" s="309"/>
      <c r="M702" s="309"/>
      <c r="N702" s="309"/>
      <c r="O702" s="309"/>
      <c r="P702" s="309"/>
      <c r="Q702" s="309"/>
      <c r="R702" s="309"/>
      <c r="S702" s="309"/>
      <c r="T702" s="309"/>
    </row>
    <row r="703" spans="1:20" ht="15" customHeight="1" x14ac:dyDescent="0.25">
      <c r="A703" s="727"/>
      <c r="B703" s="309"/>
      <c r="C703" s="309"/>
      <c r="D703" s="309"/>
      <c r="E703" s="309"/>
      <c r="F703" s="309"/>
      <c r="G703" s="309"/>
      <c r="H703" s="309"/>
      <c r="I703" s="309"/>
      <c r="J703" s="309"/>
      <c r="K703" s="309"/>
      <c r="L703" s="309"/>
      <c r="M703" s="309"/>
      <c r="N703" s="309"/>
      <c r="O703" s="309"/>
      <c r="P703" s="309"/>
      <c r="Q703" s="309"/>
      <c r="R703" s="309"/>
      <c r="S703" s="309"/>
      <c r="T703" s="309"/>
    </row>
    <row r="704" spans="1:20" ht="15" customHeight="1" x14ac:dyDescent="0.25">
      <c r="A704" s="727"/>
      <c r="B704" s="309"/>
      <c r="C704" s="309"/>
      <c r="D704" s="309"/>
      <c r="E704" s="309"/>
      <c r="F704" s="309"/>
      <c r="G704" s="309"/>
      <c r="H704" s="309"/>
      <c r="I704" s="309"/>
      <c r="J704" s="309"/>
      <c r="K704" s="309"/>
      <c r="L704" s="309"/>
      <c r="M704" s="309"/>
      <c r="N704" s="309"/>
      <c r="O704" s="309"/>
      <c r="P704" s="309"/>
      <c r="Q704" s="309"/>
      <c r="R704" s="309"/>
      <c r="S704" s="309"/>
      <c r="T704" s="309"/>
    </row>
    <row r="705" spans="1:20" ht="15" customHeight="1" x14ac:dyDescent="0.25">
      <c r="A705" s="727"/>
      <c r="B705" s="309"/>
      <c r="C705" s="309"/>
      <c r="D705" s="652"/>
      <c r="E705" s="309"/>
      <c r="F705" s="317"/>
      <c r="G705" s="309"/>
      <c r="H705" s="309"/>
      <c r="I705" s="309"/>
      <c r="J705" s="309"/>
      <c r="K705" s="309"/>
      <c r="L705" s="309"/>
      <c r="M705" s="309"/>
      <c r="N705" s="309"/>
      <c r="O705" s="309"/>
      <c r="P705" s="309"/>
      <c r="Q705" s="309"/>
      <c r="R705" s="309"/>
      <c r="S705" s="309"/>
      <c r="T705" s="309"/>
    </row>
    <row r="706" spans="1:20" ht="15" customHeight="1" x14ac:dyDescent="0.25">
      <c r="A706" s="727"/>
      <c r="B706" s="309"/>
      <c r="C706" s="309"/>
      <c r="D706" s="309"/>
      <c r="E706" s="309"/>
      <c r="F706" s="309"/>
      <c r="G706" s="309"/>
      <c r="H706" s="309"/>
      <c r="I706" s="309"/>
      <c r="J706" s="309"/>
      <c r="K706" s="309"/>
      <c r="L706" s="309"/>
      <c r="M706" s="309"/>
      <c r="N706" s="309"/>
      <c r="O706" s="309"/>
      <c r="P706" s="309"/>
      <c r="Q706" s="309"/>
      <c r="R706" s="309"/>
      <c r="S706" s="309"/>
      <c r="T706" s="309"/>
    </row>
    <row r="707" spans="1:20" ht="15" customHeight="1" x14ac:dyDescent="0.25">
      <c r="A707" s="727"/>
      <c r="B707" s="309"/>
      <c r="C707" s="309"/>
      <c r="D707" s="309"/>
      <c r="E707" s="309"/>
      <c r="F707" s="309"/>
      <c r="G707" s="309"/>
      <c r="H707" s="309"/>
      <c r="I707" s="309"/>
      <c r="J707" s="309"/>
      <c r="K707" s="309"/>
      <c r="L707" s="309"/>
      <c r="M707" s="309"/>
      <c r="N707" s="309"/>
      <c r="O707" s="309"/>
      <c r="P707" s="309"/>
      <c r="Q707" s="309"/>
      <c r="R707" s="309"/>
      <c r="S707" s="309"/>
      <c r="T707" s="309"/>
    </row>
    <row r="708" spans="1:20" ht="15" customHeight="1" x14ac:dyDescent="0.25">
      <c r="A708" s="727"/>
      <c r="B708" s="309"/>
      <c r="C708" s="309"/>
      <c r="D708" s="309"/>
      <c r="E708" s="309"/>
      <c r="F708" s="309"/>
      <c r="G708" s="309"/>
      <c r="H708" s="309"/>
      <c r="I708" s="309"/>
      <c r="J708" s="309"/>
      <c r="K708" s="309"/>
      <c r="L708" s="309"/>
      <c r="M708" s="309"/>
      <c r="N708" s="309"/>
      <c r="O708" s="309"/>
      <c r="P708" s="309"/>
      <c r="Q708" s="309"/>
      <c r="R708" s="309"/>
      <c r="S708" s="309"/>
      <c r="T708" s="309"/>
    </row>
    <row r="709" spans="1:20" ht="15" customHeight="1" x14ac:dyDescent="0.25">
      <c r="A709" s="727"/>
      <c r="B709" s="309"/>
      <c r="C709" s="309"/>
      <c r="D709" s="309"/>
      <c r="E709" s="309"/>
      <c r="F709" s="309"/>
      <c r="G709" s="309"/>
      <c r="H709" s="309"/>
      <c r="I709" s="309"/>
      <c r="J709" s="309"/>
      <c r="K709" s="309"/>
      <c r="L709" s="309"/>
      <c r="M709" s="309"/>
      <c r="N709" s="309"/>
      <c r="O709" s="309"/>
      <c r="P709" s="309"/>
      <c r="Q709" s="309"/>
      <c r="R709" s="309"/>
      <c r="S709" s="309"/>
      <c r="T709" s="309"/>
    </row>
    <row r="710" spans="1:20" ht="15" customHeight="1" x14ac:dyDescent="0.25">
      <c r="A710" s="727"/>
      <c r="B710" s="309"/>
      <c r="C710" s="309"/>
      <c r="D710" s="309"/>
      <c r="E710" s="309"/>
      <c r="F710" s="309"/>
      <c r="G710" s="309"/>
      <c r="H710" s="309"/>
      <c r="I710" s="309"/>
      <c r="J710" s="309"/>
      <c r="K710" s="309"/>
      <c r="L710" s="309"/>
      <c r="M710" s="309"/>
      <c r="N710" s="309"/>
      <c r="O710" s="309"/>
      <c r="P710" s="309"/>
      <c r="Q710" s="309"/>
      <c r="R710" s="309"/>
      <c r="S710" s="309"/>
      <c r="T710" s="309"/>
    </row>
    <row r="711" spans="1:20" ht="15" customHeight="1" x14ac:dyDescent="0.25">
      <c r="A711" s="727"/>
      <c r="B711" s="309"/>
      <c r="C711" s="309"/>
      <c r="D711" s="309"/>
      <c r="E711" s="309"/>
      <c r="F711" s="309"/>
      <c r="G711" s="309"/>
      <c r="H711" s="309"/>
      <c r="I711" s="309"/>
      <c r="J711" s="309"/>
      <c r="K711" s="309"/>
      <c r="L711" s="309"/>
      <c r="M711" s="309"/>
      <c r="N711" s="309"/>
      <c r="O711" s="309"/>
      <c r="P711" s="309"/>
      <c r="Q711" s="309"/>
      <c r="R711" s="309"/>
      <c r="S711" s="309"/>
      <c r="T711" s="309"/>
    </row>
    <row r="712" spans="1:20" ht="15" customHeight="1" x14ac:dyDescent="0.25">
      <c r="A712" s="727"/>
      <c r="B712" s="309"/>
      <c r="C712" s="309"/>
      <c r="D712" s="309"/>
      <c r="E712" s="309"/>
      <c r="F712" s="309"/>
      <c r="G712" s="309"/>
      <c r="H712" s="309"/>
      <c r="I712" s="309"/>
      <c r="J712" s="309"/>
      <c r="K712" s="309"/>
      <c r="L712" s="309"/>
      <c r="M712" s="309"/>
      <c r="N712" s="309"/>
      <c r="O712" s="309"/>
      <c r="P712" s="309"/>
      <c r="Q712" s="309"/>
      <c r="R712" s="309"/>
      <c r="S712" s="309"/>
      <c r="T712" s="309"/>
    </row>
    <row r="713" spans="1:20" ht="15" customHeight="1" x14ac:dyDescent="0.25">
      <c r="A713" s="727"/>
      <c r="B713" s="309"/>
      <c r="C713" s="309"/>
      <c r="D713" s="309"/>
      <c r="E713" s="309"/>
      <c r="F713" s="309"/>
      <c r="G713" s="309"/>
      <c r="H713" s="309"/>
      <c r="I713" s="309"/>
      <c r="J713" s="309"/>
      <c r="K713" s="309"/>
      <c r="L713" s="309"/>
      <c r="M713" s="309"/>
      <c r="N713" s="309"/>
      <c r="O713" s="309"/>
      <c r="P713" s="309"/>
      <c r="Q713" s="309"/>
      <c r="R713" s="309"/>
      <c r="S713" s="309"/>
      <c r="T713" s="309"/>
    </row>
    <row r="714" spans="1:20" ht="15" customHeight="1" x14ac:dyDescent="0.25">
      <c r="A714" s="727"/>
      <c r="B714" s="309"/>
      <c r="C714" s="309"/>
      <c r="D714" s="309"/>
      <c r="E714" s="309"/>
      <c r="F714" s="309"/>
      <c r="G714" s="309"/>
      <c r="H714" s="309"/>
      <c r="I714" s="309"/>
      <c r="J714" s="309"/>
      <c r="K714" s="309"/>
      <c r="L714" s="309"/>
      <c r="M714" s="309"/>
      <c r="N714" s="309"/>
      <c r="O714" s="309"/>
      <c r="P714" s="309"/>
      <c r="Q714" s="309"/>
      <c r="R714" s="309"/>
      <c r="S714" s="309"/>
      <c r="T714" s="309"/>
    </row>
    <row r="715" spans="1:20" ht="15" customHeight="1" x14ac:dyDescent="0.25">
      <c r="A715" s="727"/>
      <c r="B715" s="309"/>
      <c r="C715" s="309"/>
      <c r="D715" s="309"/>
      <c r="E715" s="309"/>
      <c r="F715" s="309"/>
      <c r="G715" s="309"/>
      <c r="H715" s="309"/>
      <c r="I715" s="309"/>
      <c r="J715" s="309"/>
      <c r="K715" s="309"/>
      <c r="L715" s="309"/>
      <c r="M715" s="309"/>
      <c r="N715" s="309"/>
      <c r="O715" s="309"/>
      <c r="P715" s="309"/>
      <c r="Q715" s="309"/>
      <c r="R715" s="309"/>
      <c r="S715" s="309"/>
      <c r="T715" s="309"/>
    </row>
    <row r="716" spans="1:20" ht="15" customHeight="1" x14ac:dyDescent="0.25">
      <c r="A716" s="727"/>
      <c r="B716" s="309"/>
      <c r="C716" s="652"/>
      <c r="D716" s="317"/>
      <c r="E716" s="309"/>
      <c r="F716" s="309"/>
      <c r="G716" s="309"/>
      <c r="H716" s="309"/>
      <c r="I716" s="309"/>
      <c r="J716" s="309"/>
      <c r="K716" s="309"/>
      <c r="L716" s="309"/>
      <c r="M716" s="309"/>
      <c r="N716" s="309"/>
      <c r="O716" s="309"/>
      <c r="P716" s="309"/>
      <c r="Q716" s="309"/>
      <c r="R716" s="309"/>
      <c r="S716" s="309"/>
      <c r="T716" s="309"/>
    </row>
    <row r="717" spans="1:20" ht="15" customHeight="1" x14ac:dyDescent="0.25">
      <c r="A717" s="727"/>
      <c r="B717" s="309"/>
      <c r="C717" s="309"/>
      <c r="D717" s="309"/>
      <c r="E717" s="309"/>
      <c r="F717" s="309"/>
      <c r="G717" s="309"/>
      <c r="H717" s="309"/>
      <c r="I717" s="309"/>
      <c r="J717" s="309"/>
      <c r="K717" s="309"/>
      <c r="L717" s="309"/>
      <c r="M717" s="309"/>
      <c r="N717" s="309"/>
      <c r="O717" s="309"/>
      <c r="P717" s="309"/>
      <c r="Q717" s="309"/>
      <c r="R717" s="309"/>
      <c r="S717" s="309"/>
      <c r="T717" s="309"/>
    </row>
    <row r="718" spans="1:20" ht="15" customHeight="1" x14ac:dyDescent="0.25">
      <c r="A718" s="727"/>
      <c r="B718" s="309"/>
      <c r="C718" s="309"/>
      <c r="D718" s="309"/>
      <c r="E718" s="309"/>
      <c r="F718" s="309"/>
      <c r="G718" s="309"/>
      <c r="H718" s="309"/>
      <c r="I718" s="309"/>
      <c r="J718" s="309"/>
      <c r="K718" s="309"/>
      <c r="L718" s="309"/>
      <c r="M718" s="309"/>
      <c r="N718" s="309"/>
      <c r="O718" s="309"/>
      <c r="P718" s="309"/>
      <c r="Q718" s="309"/>
      <c r="R718" s="309"/>
      <c r="S718" s="309"/>
      <c r="T718" s="309"/>
    </row>
    <row r="719" spans="1:20" ht="15" customHeight="1" x14ac:dyDescent="0.25">
      <c r="A719" s="727"/>
      <c r="B719" s="309"/>
      <c r="C719" s="309"/>
      <c r="D719" s="309"/>
      <c r="E719" s="309"/>
      <c r="F719" s="309"/>
      <c r="G719" s="309"/>
      <c r="H719" s="309"/>
      <c r="I719" s="309"/>
      <c r="J719" s="309"/>
      <c r="K719" s="309"/>
      <c r="L719" s="309"/>
      <c r="M719" s="309"/>
      <c r="N719" s="309"/>
      <c r="O719" s="309"/>
      <c r="P719" s="309"/>
      <c r="Q719" s="309"/>
      <c r="R719" s="309"/>
      <c r="S719" s="309"/>
      <c r="T719" s="309"/>
    </row>
    <row r="720" spans="1:20" ht="15" customHeight="1" x14ac:dyDescent="0.25">
      <c r="A720" s="727"/>
      <c r="B720" s="309"/>
      <c r="C720" s="309"/>
      <c r="D720" s="309"/>
      <c r="E720" s="309"/>
      <c r="F720" s="309"/>
      <c r="G720" s="309"/>
      <c r="H720" s="309"/>
      <c r="I720" s="309"/>
      <c r="J720" s="309"/>
      <c r="K720" s="309"/>
      <c r="L720" s="309"/>
      <c r="M720" s="309"/>
      <c r="N720" s="309"/>
      <c r="O720" s="309"/>
      <c r="P720" s="309"/>
      <c r="Q720" s="309"/>
      <c r="R720" s="309"/>
      <c r="S720" s="309"/>
      <c r="T720" s="309"/>
    </row>
    <row r="721" spans="1:21" ht="15" customHeight="1" x14ac:dyDescent="0.25">
      <c r="A721" s="727"/>
      <c r="B721" s="309"/>
      <c r="C721" s="309"/>
      <c r="D721" s="309"/>
      <c r="E721" s="309"/>
      <c r="F721" s="309"/>
      <c r="G721" s="309"/>
      <c r="H721" s="309"/>
      <c r="I721" s="309"/>
      <c r="J721" s="309"/>
      <c r="K721" s="309"/>
      <c r="L721" s="309"/>
      <c r="M721" s="309"/>
      <c r="N721" s="309"/>
      <c r="O721" s="309"/>
      <c r="P721" s="309"/>
      <c r="Q721" s="309"/>
      <c r="R721" s="309"/>
      <c r="S721" s="309"/>
      <c r="T721" s="309"/>
    </row>
    <row r="722" spans="1:21" ht="15" customHeight="1" x14ac:dyDescent="0.25">
      <c r="A722" s="727"/>
      <c r="B722" s="309"/>
      <c r="C722" s="309"/>
      <c r="D722" s="309"/>
      <c r="E722" s="309"/>
      <c r="F722" s="309"/>
      <c r="G722" s="309"/>
      <c r="H722" s="309"/>
      <c r="I722" s="309"/>
      <c r="J722" s="309"/>
      <c r="K722" s="309"/>
      <c r="L722" s="309"/>
      <c r="M722" s="309"/>
      <c r="N722" s="309"/>
      <c r="O722" s="309"/>
      <c r="P722" s="309"/>
      <c r="Q722" s="309"/>
      <c r="R722" s="309"/>
      <c r="S722" s="309"/>
      <c r="T722" s="309"/>
    </row>
    <row r="723" spans="1:21" ht="15" customHeight="1" x14ac:dyDescent="0.25">
      <c r="A723" s="727"/>
      <c r="B723" s="309"/>
      <c r="C723" s="309"/>
      <c r="D723" s="309"/>
      <c r="E723" s="309"/>
      <c r="F723" s="309"/>
      <c r="G723" s="309"/>
      <c r="H723" s="309"/>
      <c r="I723" s="309"/>
      <c r="J723" s="309"/>
      <c r="K723" s="309"/>
      <c r="L723" s="309"/>
      <c r="M723" s="309"/>
      <c r="N723" s="309"/>
      <c r="O723" s="309"/>
      <c r="P723" s="309"/>
      <c r="Q723" s="309"/>
      <c r="R723" s="309"/>
      <c r="S723" s="309"/>
      <c r="T723" s="309"/>
      <c r="U723" s="873"/>
    </row>
    <row r="724" spans="1:21" ht="15" customHeight="1" x14ac:dyDescent="0.25">
      <c r="A724" s="727"/>
      <c r="B724" s="309"/>
      <c r="C724" s="309"/>
      <c r="D724" s="309"/>
      <c r="E724" s="309"/>
      <c r="F724" s="309"/>
      <c r="G724" s="309"/>
      <c r="H724" s="309"/>
      <c r="I724" s="309"/>
      <c r="J724" s="309"/>
      <c r="K724" s="309"/>
      <c r="L724" s="309"/>
      <c r="M724" s="309"/>
      <c r="N724" s="309"/>
      <c r="O724" s="309"/>
      <c r="P724" s="309"/>
      <c r="Q724" s="309"/>
      <c r="R724" s="309"/>
      <c r="S724" s="309"/>
      <c r="T724" s="309"/>
      <c r="U724" s="873"/>
    </row>
    <row r="725" spans="1:21" ht="15" customHeight="1" x14ac:dyDescent="0.25">
      <c r="A725" s="727"/>
      <c r="B725" s="309"/>
      <c r="C725" s="309"/>
      <c r="D725" s="309"/>
      <c r="E725" s="309"/>
      <c r="F725" s="309"/>
      <c r="G725" s="309"/>
      <c r="H725" s="309"/>
      <c r="I725" s="309"/>
      <c r="J725" s="309"/>
      <c r="K725" s="309"/>
      <c r="L725" s="309"/>
      <c r="M725" s="309"/>
      <c r="N725" s="309"/>
      <c r="O725" s="309"/>
      <c r="P725" s="309"/>
      <c r="Q725" s="309"/>
      <c r="R725" s="309"/>
      <c r="S725" s="309"/>
      <c r="T725" s="309"/>
      <c r="U725" s="873"/>
    </row>
    <row r="726" spans="1:21" ht="15" customHeight="1" x14ac:dyDescent="0.25">
      <c r="A726" s="727"/>
      <c r="B726" s="652"/>
      <c r="C726" s="317"/>
      <c r="D726" s="309"/>
      <c r="E726" s="309"/>
      <c r="F726" s="309"/>
      <c r="G726" s="309"/>
      <c r="H726" s="309"/>
      <c r="I726" s="309"/>
      <c r="J726" s="309"/>
      <c r="K726" s="309"/>
      <c r="L726" s="309"/>
      <c r="M726" s="309"/>
      <c r="N726" s="309"/>
      <c r="O726" s="309"/>
      <c r="P726" s="309"/>
      <c r="Q726" s="309"/>
      <c r="R726" s="309"/>
      <c r="S726" s="309"/>
      <c r="T726" s="309"/>
    </row>
    <row r="727" spans="1:21" ht="15" customHeight="1" x14ac:dyDescent="0.25">
      <c r="A727" s="727"/>
      <c r="B727" s="309"/>
      <c r="C727" s="309"/>
      <c r="D727" s="309"/>
      <c r="E727" s="309"/>
      <c r="F727" s="309"/>
      <c r="G727" s="309"/>
      <c r="H727" s="309"/>
      <c r="I727" s="309"/>
      <c r="J727" s="309"/>
      <c r="K727" s="309"/>
      <c r="L727" s="309"/>
      <c r="M727" s="309"/>
      <c r="N727" s="309"/>
      <c r="O727" s="309"/>
      <c r="P727" s="309"/>
      <c r="Q727" s="309"/>
      <c r="R727" s="309"/>
      <c r="S727" s="309"/>
      <c r="T727" s="309"/>
    </row>
    <row r="728" spans="1:21" ht="15" customHeight="1" x14ac:dyDescent="0.25">
      <c r="A728" s="727"/>
      <c r="B728" s="309"/>
      <c r="C728" s="309"/>
      <c r="D728" s="309"/>
      <c r="E728" s="309"/>
      <c r="F728" s="309"/>
      <c r="G728" s="309"/>
      <c r="H728" s="309"/>
      <c r="I728" s="309"/>
      <c r="J728" s="309"/>
      <c r="K728" s="309"/>
      <c r="L728" s="309"/>
      <c r="M728" s="309"/>
      <c r="N728" s="309"/>
      <c r="O728" s="309"/>
      <c r="P728" s="309"/>
      <c r="Q728" s="309"/>
      <c r="R728" s="309"/>
      <c r="S728" s="309"/>
      <c r="T728" s="309"/>
    </row>
    <row r="729" spans="1:21" ht="15" customHeight="1" x14ac:dyDescent="0.25">
      <c r="A729" s="727"/>
      <c r="B729" s="309"/>
      <c r="C729" s="309"/>
      <c r="D729" s="309"/>
      <c r="E729" s="309"/>
      <c r="F729" s="309"/>
      <c r="G729" s="309"/>
      <c r="H729" s="309"/>
      <c r="I729" s="309"/>
      <c r="J729" s="309"/>
      <c r="K729" s="309"/>
      <c r="L729" s="309"/>
      <c r="M729" s="309"/>
      <c r="N729" s="309"/>
      <c r="O729" s="309"/>
      <c r="P729" s="309"/>
      <c r="Q729" s="309"/>
      <c r="R729" s="309"/>
      <c r="S729" s="309"/>
      <c r="T729" s="309"/>
    </row>
    <row r="730" spans="1:21" ht="15" customHeight="1" x14ac:dyDescent="0.25">
      <c r="A730" s="727"/>
      <c r="B730" s="309"/>
      <c r="C730" s="309"/>
      <c r="D730" s="309"/>
      <c r="E730" s="309"/>
      <c r="F730" s="309"/>
      <c r="G730" s="309"/>
      <c r="H730" s="309"/>
      <c r="I730" s="309"/>
      <c r="J730" s="309"/>
      <c r="K730" s="309"/>
      <c r="L730" s="309"/>
      <c r="M730" s="309"/>
      <c r="N730" s="309"/>
      <c r="O730" s="309"/>
      <c r="P730" s="309"/>
      <c r="Q730" s="309"/>
      <c r="R730" s="309"/>
      <c r="S730" s="309"/>
      <c r="T730" s="309"/>
    </row>
    <row r="731" spans="1:21" ht="15" customHeight="1" x14ac:dyDescent="0.25">
      <c r="A731" s="727"/>
      <c r="B731" s="309"/>
      <c r="C731" s="309"/>
      <c r="D731" s="309"/>
      <c r="E731" s="309"/>
      <c r="F731" s="309"/>
      <c r="G731" s="309"/>
      <c r="H731" s="309"/>
      <c r="I731" s="309"/>
      <c r="J731" s="309"/>
      <c r="K731" s="309"/>
      <c r="L731" s="309"/>
      <c r="M731" s="309"/>
      <c r="N731" s="309"/>
      <c r="O731" s="309"/>
      <c r="P731" s="309"/>
      <c r="Q731" s="309"/>
      <c r="R731" s="309"/>
      <c r="S731" s="309"/>
      <c r="T731" s="309"/>
    </row>
    <row r="732" spans="1:21" ht="15" customHeight="1" x14ac:dyDescent="0.25">
      <c r="A732" s="727"/>
      <c r="B732" s="309"/>
      <c r="C732" s="309"/>
      <c r="D732" s="309"/>
      <c r="E732" s="309"/>
      <c r="F732" s="309"/>
      <c r="G732" s="309"/>
      <c r="H732" s="309"/>
      <c r="I732" s="309"/>
      <c r="J732" s="309"/>
      <c r="K732" s="309"/>
      <c r="L732" s="309"/>
      <c r="M732" s="309"/>
      <c r="N732" s="309"/>
      <c r="O732" s="309"/>
      <c r="P732" s="309"/>
      <c r="Q732" s="309"/>
      <c r="R732" s="309"/>
      <c r="S732" s="309"/>
      <c r="T732" s="309"/>
    </row>
    <row r="733" spans="1:21" ht="15" customHeight="1" x14ac:dyDescent="0.25">
      <c r="A733" s="727"/>
      <c r="B733" s="309"/>
      <c r="C733" s="309"/>
      <c r="D733" s="309"/>
      <c r="E733" s="309"/>
      <c r="F733" s="309"/>
      <c r="G733" s="309"/>
      <c r="H733" s="309"/>
      <c r="I733" s="309"/>
      <c r="J733" s="309"/>
      <c r="K733" s="309"/>
      <c r="L733" s="309"/>
      <c r="M733" s="309"/>
      <c r="N733" s="309"/>
      <c r="O733" s="309"/>
      <c r="P733" s="309"/>
      <c r="Q733" s="309"/>
      <c r="R733" s="309"/>
      <c r="S733" s="309"/>
      <c r="T733" s="309"/>
    </row>
    <row r="734" spans="1:21" ht="15" customHeight="1" x14ac:dyDescent="0.25">
      <c r="A734" s="727"/>
      <c r="B734" s="309"/>
      <c r="C734" s="309"/>
      <c r="D734" s="309"/>
      <c r="E734" s="309"/>
      <c r="F734" s="309"/>
      <c r="G734" s="309"/>
      <c r="H734" s="309"/>
      <c r="I734" s="309"/>
      <c r="J734" s="309"/>
      <c r="K734" s="309"/>
      <c r="L734" s="309"/>
      <c r="M734" s="309"/>
      <c r="N734" s="309"/>
      <c r="O734" s="309"/>
      <c r="P734" s="309"/>
      <c r="Q734" s="309"/>
      <c r="R734" s="309"/>
      <c r="S734" s="309"/>
      <c r="T734" s="309"/>
    </row>
    <row r="735" spans="1:21" ht="15" customHeight="1" x14ac:dyDescent="0.25">
      <c r="A735" s="727"/>
      <c r="B735" s="309"/>
      <c r="C735" s="309"/>
      <c r="D735" s="309"/>
      <c r="E735" s="309"/>
      <c r="F735" s="309"/>
      <c r="G735" s="309"/>
      <c r="H735" s="309"/>
      <c r="I735" s="309"/>
      <c r="J735" s="309"/>
      <c r="K735" s="309"/>
      <c r="L735" s="309"/>
      <c r="M735" s="309"/>
      <c r="N735" s="309"/>
      <c r="O735" s="309"/>
      <c r="P735" s="309"/>
      <c r="Q735" s="309"/>
      <c r="R735" s="309"/>
      <c r="S735" s="309"/>
      <c r="T735" s="309"/>
    </row>
    <row r="736" spans="1:21" ht="15" customHeight="1" x14ac:dyDescent="0.25">
      <c r="A736" s="727"/>
      <c r="B736" s="309"/>
      <c r="C736" s="309"/>
      <c r="D736" s="309"/>
      <c r="E736" s="309"/>
      <c r="F736" s="309"/>
      <c r="G736" s="309"/>
      <c r="H736" s="309"/>
      <c r="I736" s="309"/>
      <c r="J736" s="309"/>
      <c r="K736" s="309"/>
      <c r="L736" s="309"/>
      <c r="M736" s="309"/>
      <c r="N736" s="309"/>
      <c r="O736" s="309"/>
      <c r="P736" s="309"/>
      <c r="Q736" s="309"/>
      <c r="R736" s="309"/>
      <c r="S736" s="309"/>
      <c r="T736" s="309"/>
    </row>
    <row r="737" spans="1:20" ht="15" customHeight="1" x14ac:dyDescent="0.25">
      <c r="A737" s="727"/>
      <c r="B737" s="309"/>
      <c r="C737" s="309"/>
      <c r="D737" s="309"/>
      <c r="E737" s="309"/>
      <c r="F737" s="309"/>
      <c r="G737" s="309"/>
      <c r="H737" s="309"/>
      <c r="I737" s="309"/>
      <c r="J737" s="309"/>
      <c r="K737" s="309"/>
      <c r="L737" s="309"/>
      <c r="M737" s="309"/>
      <c r="N737" s="309"/>
      <c r="O737" s="309"/>
      <c r="P737" s="309"/>
      <c r="Q737" s="309"/>
      <c r="R737" s="309"/>
      <c r="S737" s="309"/>
      <c r="T737" s="309"/>
    </row>
    <row r="738" spans="1:20" ht="15" customHeight="1" x14ac:dyDescent="0.25">
      <c r="A738" s="727"/>
      <c r="B738" s="309"/>
      <c r="C738" s="309"/>
      <c r="D738" s="309"/>
      <c r="E738" s="309"/>
      <c r="F738" s="309"/>
      <c r="G738" s="309"/>
      <c r="H738" s="309"/>
      <c r="I738" s="309"/>
      <c r="J738" s="309"/>
      <c r="K738" s="309"/>
      <c r="L738" s="309"/>
      <c r="M738" s="309"/>
      <c r="N738" s="309"/>
      <c r="O738" s="309"/>
      <c r="P738" s="309"/>
      <c r="Q738" s="309"/>
      <c r="R738" s="309"/>
      <c r="S738" s="309"/>
      <c r="T738" s="309"/>
    </row>
    <row r="739" spans="1:20" ht="15" customHeight="1" x14ac:dyDescent="0.25">
      <c r="A739" s="727"/>
      <c r="B739" s="309"/>
      <c r="C739" s="309"/>
      <c r="D739" s="309"/>
      <c r="E739" s="309"/>
      <c r="F739" s="309"/>
      <c r="G739" s="309"/>
      <c r="H739" s="309"/>
      <c r="I739" s="309"/>
      <c r="J739" s="309"/>
      <c r="K739" s="309"/>
      <c r="L739" s="309"/>
      <c r="M739" s="309"/>
      <c r="N739" s="309"/>
      <c r="O739" s="309"/>
      <c r="P739" s="309"/>
      <c r="Q739" s="309"/>
      <c r="R739" s="309"/>
      <c r="S739" s="309"/>
      <c r="T739" s="309"/>
    </row>
    <row r="740" spans="1:20" ht="15" customHeight="1" x14ac:dyDescent="0.25">
      <c r="A740" s="727"/>
      <c r="B740" s="309"/>
      <c r="C740" s="309"/>
      <c r="D740" s="309"/>
      <c r="E740" s="309"/>
      <c r="F740" s="309"/>
      <c r="G740" s="309"/>
      <c r="H740" s="309"/>
      <c r="I740" s="309"/>
      <c r="J740" s="309"/>
      <c r="K740" s="309"/>
      <c r="L740" s="309"/>
      <c r="M740" s="309"/>
      <c r="N740" s="309"/>
      <c r="O740" s="309"/>
      <c r="P740" s="309"/>
      <c r="Q740" s="309"/>
      <c r="R740" s="309"/>
      <c r="S740" s="309"/>
      <c r="T740" s="309"/>
    </row>
    <row r="741" spans="1:20" ht="15" customHeight="1" x14ac:dyDescent="0.25">
      <c r="A741" s="727"/>
      <c r="B741" s="309"/>
      <c r="C741" s="309"/>
      <c r="D741" s="309"/>
      <c r="E741" s="309"/>
      <c r="F741" s="309"/>
      <c r="G741" s="309"/>
      <c r="H741" s="309"/>
      <c r="I741" s="309"/>
      <c r="J741" s="309"/>
      <c r="K741" s="309"/>
      <c r="L741" s="309"/>
      <c r="M741" s="309"/>
      <c r="N741" s="309"/>
      <c r="O741" s="309"/>
      <c r="P741" s="309"/>
      <c r="Q741" s="309"/>
      <c r="R741" s="309"/>
      <c r="S741" s="309"/>
      <c r="T741" s="309"/>
    </row>
    <row r="742" spans="1:20" ht="15" customHeight="1" x14ac:dyDescent="0.25">
      <c r="A742" s="727"/>
      <c r="B742" s="309"/>
      <c r="C742" s="309"/>
      <c r="D742" s="309"/>
      <c r="E742" s="309"/>
      <c r="F742" s="309"/>
      <c r="G742" s="309"/>
      <c r="H742" s="309"/>
      <c r="I742" s="309"/>
      <c r="J742" s="309"/>
      <c r="K742" s="309"/>
      <c r="L742" s="309"/>
      <c r="M742" s="309"/>
      <c r="N742" s="309"/>
      <c r="O742" s="309"/>
      <c r="P742" s="309"/>
      <c r="Q742" s="309"/>
      <c r="R742" s="309"/>
      <c r="S742" s="309"/>
      <c r="T742" s="309"/>
    </row>
    <row r="743" spans="1:20" ht="15" customHeight="1" x14ac:dyDescent="0.25">
      <c r="A743" s="727"/>
      <c r="B743" s="309"/>
      <c r="C743" s="309"/>
      <c r="D743" s="309"/>
      <c r="E743" s="309"/>
      <c r="F743" s="309"/>
      <c r="G743" s="309"/>
      <c r="H743" s="309"/>
      <c r="I743" s="309"/>
      <c r="J743" s="309"/>
      <c r="K743" s="309"/>
      <c r="L743" s="309"/>
      <c r="M743" s="309"/>
      <c r="N743" s="309"/>
      <c r="O743" s="309"/>
      <c r="P743" s="309"/>
      <c r="Q743" s="309"/>
      <c r="R743" s="309"/>
      <c r="S743" s="309"/>
      <c r="T743" s="309"/>
    </row>
    <row r="744" spans="1:20" ht="15" customHeight="1" x14ac:dyDescent="0.25">
      <c r="A744" s="727"/>
      <c r="B744" s="309"/>
      <c r="C744" s="309"/>
      <c r="D744" s="309"/>
      <c r="E744" s="309"/>
      <c r="F744" s="309"/>
      <c r="G744" s="309"/>
      <c r="H744" s="309"/>
      <c r="I744" s="309"/>
      <c r="J744" s="309"/>
      <c r="K744" s="309"/>
      <c r="L744" s="309"/>
      <c r="M744" s="309"/>
      <c r="N744" s="309"/>
      <c r="O744" s="309"/>
      <c r="P744" s="309"/>
      <c r="Q744" s="309"/>
      <c r="R744" s="309"/>
      <c r="S744" s="309"/>
      <c r="T744" s="309"/>
    </row>
    <row r="745" spans="1:20" ht="15" customHeight="1" x14ac:dyDescent="0.25">
      <c r="A745" s="727"/>
      <c r="B745" s="309"/>
      <c r="C745" s="309"/>
      <c r="D745" s="309"/>
      <c r="E745" s="309"/>
      <c r="F745" s="309"/>
      <c r="G745" s="309"/>
      <c r="H745" s="309"/>
      <c r="I745" s="309"/>
      <c r="J745" s="309"/>
      <c r="K745" s="309"/>
      <c r="L745" s="309"/>
      <c r="M745" s="309"/>
      <c r="N745" s="309"/>
      <c r="O745" s="309"/>
      <c r="P745" s="309"/>
      <c r="Q745" s="309"/>
      <c r="R745" s="309"/>
      <c r="S745" s="309"/>
      <c r="T745" s="309"/>
    </row>
    <row r="746" spans="1:20" ht="15" customHeight="1" x14ac:dyDescent="0.25">
      <c r="A746" s="727"/>
      <c r="B746" s="309"/>
      <c r="C746" s="309"/>
      <c r="D746" s="309"/>
      <c r="E746" s="309"/>
      <c r="F746" s="309"/>
      <c r="G746" s="309"/>
      <c r="H746" s="309"/>
      <c r="I746" s="309"/>
      <c r="J746" s="309"/>
      <c r="K746" s="309"/>
      <c r="L746" s="309"/>
      <c r="M746" s="309"/>
      <c r="N746" s="309"/>
      <c r="O746" s="309"/>
      <c r="P746" s="309"/>
      <c r="Q746" s="309"/>
      <c r="R746" s="309"/>
      <c r="S746" s="309"/>
      <c r="T746" s="309"/>
    </row>
    <row r="747" spans="1:20" ht="15" customHeight="1" x14ac:dyDescent="0.25">
      <c r="A747" s="727"/>
      <c r="B747" s="309"/>
      <c r="C747" s="309"/>
      <c r="D747" s="309"/>
      <c r="E747" s="309"/>
      <c r="F747" s="309"/>
      <c r="G747" s="309"/>
      <c r="H747" s="309"/>
      <c r="I747" s="309"/>
      <c r="J747" s="309"/>
      <c r="K747" s="309"/>
      <c r="L747" s="309"/>
      <c r="M747" s="309"/>
      <c r="N747" s="309"/>
      <c r="O747" s="309"/>
      <c r="P747" s="309"/>
      <c r="Q747" s="309"/>
      <c r="R747" s="309"/>
      <c r="S747" s="309"/>
      <c r="T747" s="309"/>
    </row>
    <row r="748" spans="1:20" ht="15" customHeight="1" x14ac:dyDescent="0.25">
      <c r="A748" s="727"/>
      <c r="B748" s="309"/>
      <c r="C748" s="309"/>
      <c r="D748" s="309"/>
      <c r="E748" s="309"/>
      <c r="F748" s="309"/>
      <c r="G748" s="309"/>
      <c r="H748" s="309"/>
      <c r="I748" s="309"/>
      <c r="J748" s="309"/>
      <c r="K748" s="309"/>
      <c r="L748" s="309"/>
      <c r="M748" s="309"/>
      <c r="N748" s="309"/>
      <c r="O748" s="309"/>
      <c r="P748" s="309"/>
      <c r="Q748" s="309"/>
      <c r="R748" s="309"/>
      <c r="S748" s="309"/>
      <c r="T748" s="309"/>
    </row>
    <row r="749" spans="1:20" ht="15" customHeight="1" x14ac:dyDescent="0.25">
      <c r="A749" s="727"/>
      <c r="B749" s="309"/>
      <c r="C749" s="309"/>
      <c r="D749" s="309"/>
      <c r="E749" s="309"/>
      <c r="F749" s="309"/>
      <c r="G749" s="309"/>
      <c r="H749" s="309"/>
      <c r="I749" s="309"/>
      <c r="J749" s="309"/>
      <c r="K749" s="309"/>
      <c r="L749" s="309"/>
      <c r="M749" s="309"/>
      <c r="N749" s="309"/>
      <c r="O749" s="309"/>
      <c r="P749" s="309"/>
      <c r="Q749" s="309"/>
      <c r="R749" s="309"/>
      <c r="S749" s="309"/>
      <c r="T749" s="309"/>
    </row>
    <row r="750" spans="1:20" ht="15" customHeight="1" x14ac:dyDescent="0.25">
      <c r="A750" s="727"/>
      <c r="B750" s="309"/>
      <c r="C750" s="309"/>
      <c r="D750" s="309"/>
      <c r="E750" s="309"/>
      <c r="F750" s="309"/>
      <c r="G750" s="309"/>
      <c r="H750" s="309"/>
      <c r="I750" s="309"/>
      <c r="J750" s="309"/>
      <c r="K750" s="309"/>
      <c r="L750" s="309"/>
      <c r="M750" s="309"/>
      <c r="N750" s="309"/>
      <c r="O750" s="309"/>
      <c r="P750" s="309"/>
      <c r="Q750" s="309"/>
      <c r="R750" s="309"/>
      <c r="S750" s="309"/>
      <c r="T750" s="309"/>
    </row>
    <row r="751" spans="1:20" ht="15" customHeight="1" x14ac:dyDescent="0.25">
      <c r="A751" s="727"/>
      <c r="B751" s="309"/>
      <c r="C751" s="309"/>
      <c r="D751" s="309"/>
      <c r="E751" s="309"/>
      <c r="F751" s="309"/>
      <c r="G751" s="309"/>
      <c r="H751" s="309"/>
      <c r="I751" s="309"/>
      <c r="J751" s="309"/>
      <c r="K751" s="309"/>
      <c r="L751" s="309"/>
      <c r="M751" s="309"/>
      <c r="N751" s="309"/>
      <c r="O751" s="309"/>
      <c r="P751" s="309"/>
      <c r="Q751" s="309"/>
      <c r="R751" s="309"/>
      <c r="S751" s="309"/>
      <c r="T751" s="309"/>
    </row>
    <row r="752" spans="1:20" ht="15" customHeight="1" x14ac:dyDescent="0.25">
      <c r="A752" s="727"/>
      <c r="B752" s="309"/>
      <c r="C752" s="309"/>
      <c r="D752" s="309"/>
      <c r="E752" s="309"/>
      <c r="F752" s="309"/>
      <c r="G752" s="309"/>
      <c r="H752" s="309"/>
      <c r="I752" s="309"/>
      <c r="J752" s="309"/>
      <c r="K752" s="309"/>
      <c r="L752" s="309"/>
      <c r="M752" s="309"/>
      <c r="N752" s="309"/>
      <c r="O752" s="309"/>
      <c r="P752" s="309"/>
      <c r="Q752" s="309"/>
      <c r="R752" s="309"/>
      <c r="S752" s="309"/>
      <c r="T752" s="309"/>
    </row>
    <row r="753" spans="1:20" ht="15" customHeight="1" x14ac:dyDescent="0.25">
      <c r="A753" s="727"/>
      <c r="B753" s="309"/>
      <c r="C753" s="309"/>
      <c r="D753" s="309"/>
      <c r="E753" s="309"/>
      <c r="F753" s="309"/>
      <c r="G753" s="309"/>
      <c r="H753" s="309"/>
      <c r="I753" s="309"/>
      <c r="J753" s="309"/>
      <c r="K753" s="309"/>
      <c r="L753" s="309"/>
      <c r="M753" s="309"/>
      <c r="N753" s="309"/>
      <c r="O753" s="309"/>
      <c r="P753" s="309"/>
      <c r="Q753" s="309"/>
      <c r="R753" s="309"/>
      <c r="S753" s="309"/>
      <c r="T753" s="309"/>
    </row>
    <row r="754" spans="1:20" ht="15" customHeight="1" x14ac:dyDescent="0.25">
      <c r="A754" s="727"/>
      <c r="B754" s="309"/>
      <c r="C754" s="309"/>
      <c r="D754" s="309"/>
      <c r="E754" s="309"/>
      <c r="F754" s="309"/>
      <c r="G754" s="309"/>
      <c r="H754" s="309"/>
      <c r="I754" s="309"/>
      <c r="J754" s="309"/>
      <c r="K754" s="309"/>
      <c r="L754" s="309"/>
      <c r="M754" s="309"/>
      <c r="N754" s="309"/>
      <c r="O754" s="309"/>
      <c r="P754" s="309"/>
      <c r="Q754" s="309"/>
      <c r="R754" s="309"/>
      <c r="S754" s="309"/>
      <c r="T754" s="309"/>
    </row>
    <row r="755" spans="1:20" ht="15" customHeight="1" x14ac:dyDescent="0.25">
      <c r="A755" s="727"/>
      <c r="B755" s="309"/>
      <c r="C755" s="309"/>
      <c r="D755" s="309"/>
      <c r="E755" s="309"/>
      <c r="F755" s="309"/>
      <c r="G755" s="309"/>
      <c r="H755" s="309"/>
      <c r="I755" s="309"/>
      <c r="J755" s="309"/>
      <c r="K755" s="309"/>
      <c r="L755" s="309"/>
      <c r="M755" s="309"/>
      <c r="N755" s="309"/>
      <c r="O755" s="309"/>
      <c r="P755" s="309"/>
      <c r="Q755" s="309"/>
      <c r="R755" s="309"/>
      <c r="S755" s="309"/>
      <c r="T755" s="309"/>
    </row>
    <row r="756" spans="1:20" ht="15" customHeight="1" x14ac:dyDescent="0.25">
      <c r="A756" s="727"/>
      <c r="B756" s="309"/>
      <c r="C756" s="309"/>
      <c r="D756" s="309"/>
      <c r="E756" s="309"/>
      <c r="F756" s="309"/>
      <c r="G756" s="309"/>
      <c r="H756" s="309"/>
      <c r="I756" s="309"/>
      <c r="J756" s="309"/>
      <c r="K756" s="309"/>
      <c r="L756" s="309"/>
      <c r="M756" s="309"/>
      <c r="N756" s="309"/>
      <c r="O756" s="309"/>
      <c r="P756" s="309"/>
      <c r="Q756" s="309"/>
      <c r="R756" s="309"/>
      <c r="S756" s="309"/>
      <c r="T756" s="309"/>
    </row>
    <row r="757" spans="1:20" ht="15" customHeight="1" x14ac:dyDescent="0.25">
      <c r="A757" s="309"/>
      <c r="B757" s="309"/>
      <c r="C757" s="309"/>
      <c r="D757" s="309"/>
      <c r="E757" s="309"/>
      <c r="F757" s="309"/>
      <c r="G757" s="309"/>
      <c r="H757" s="309"/>
      <c r="I757" s="309"/>
      <c r="J757" s="309"/>
      <c r="K757" s="309"/>
      <c r="L757" s="309"/>
      <c r="M757" s="309"/>
      <c r="N757" s="309"/>
      <c r="O757" s="309"/>
      <c r="P757" s="309"/>
      <c r="Q757" s="309"/>
      <c r="R757" s="309"/>
      <c r="S757" s="309"/>
      <c r="T757" s="309"/>
    </row>
    <row r="758" spans="1:20" ht="15" customHeight="1" x14ac:dyDescent="0.25">
      <c r="A758" s="309"/>
      <c r="B758" s="309"/>
      <c r="C758" s="309"/>
      <c r="D758" s="309"/>
      <c r="E758" s="309"/>
      <c r="F758" s="309"/>
      <c r="G758" s="309"/>
      <c r="H758" s="309"/>
      <c r="I758" s="309"/>
      <c r="J758" s="309"/>
      <c r="K758" s="309"/>
      <c r="L758" s="309"/>
      <c r="M758" s="309"/>
      <c r="N758" s="309"/>
      <c r="O758" s="309"/>
      <c r="P758" s="309"/>
      <c r="Q758" s="309"/>
      <c r="R758" s="309"/>
      <c r="S758" s="309"/>
      <c r="T758" s="309"/>
    </row>
    <row r="759" spans="1:20" ht="15" customHeight="1" x14ac:dyDescent="0.25">
      <c r="A759" s="309"/>
      <c r="B759" s="309"/>
      <c r="C759" s="309"/>
      <c r="D759" s="309"/>
      <c r="E759" s="309"/>
      <c r="F759" s="309"/>
      <c r="G759" s="309"/>
      <c r="H759" s="309"/>
      <c r="I759" s="309"/>
      <c r="J759" s="309"/>
      <c r="K759" s="309"/>
      <c r="L759" s="309"/>
      <c r="M759" s="309"/>
      <c r="N759" s="309"/>
      <c r="O759" s="309"/>
      <c r="P759" s="309"/>
      <c r="Q759" s="309"/>
      <c r="R759" s="309"/>
      <c r="S759" s="309"/>
      <c r="T759" s="309"/>
    </row>
    <row r="760" spans="1:20" ht="15" customHeight="1" x14ac:dyDescent="0.25">
      <c r="A760" s="309"/>
      <c r="B760" s="309"/>
      <c r="C760" s="309"/>
      <c r="D760" s="309"/>
      <c r="E760" s="309"/>
      <c r="F760" s="309"/>
      <c r="G760" s="309"/>
      <c r="H760" s="309"/>
      <c r="I760" s="309"/>
      <c r="J760" s="309"/>
      <c r="K760" s="309"/>
      <c r="L760" s="309"/>
      <c r="M760" s="309"/>
      <c r="N760" s="309"/>
      <c r="O760" s="309"/>
      <c r="P760" s="309"/>
      <c r="Q760" s="309"/>
      <c r="R760" s="309"/>
      <c r="S760" s="309"/>
      <c r="T760" s="309"/>
    </row>
    <row r="761" spans="1:20" ht="15" customHeight="1" x14ac:dyDescent="0.25">
      <c r="A761" s="309"/>
      <c r="B761" s="309"/>
      <c r="C761" s="309"/>
      <c r="D761" s="309"/>
      <c r="E761" s="309"/>
      <c r="F761" s="309"/>
      <c r="G761" s="309"/>
      <c r="H761" s="309"/>
      <c r="I761" s="309"/>
      <c r="J761" s="309"/>
      <c r="K761" s="309"/>
      <c r="L761" s="309"/>
      <c r="M761" s="309"/>
      <c r="N761" s="309"/>
      <c r="O761" s="309"/>
      <c r="P761" s="309"/>
      <c r="Q761" s="309"/>
      <c r="R761" s="309"/>
      <c r="S761" s="309"/>
      <c r="T761" s="309"/>
    </row>
    <row r="762" spans="1:20" ht="15" customHeight="1" x14ac:dyDescent="0.25">
      <c r="A762" s="309"/>
      <c r="B762" s="309"/>
      <c r="C762" s="309"/>
      <c r="D762" s="309"/>
      <c r="E762" s="309"/>
      <c r="F762" s="309"/>
      <c r="G762" s="309"/>
      <c r="H762" s="309"/>
      <c r="I762" s="309"/>
      <c r="J762" s="309"/>
      <c r="K762" s="309"/>
      <c r="L762" s="309"/>
      <c r="M762" s="309"/>
      <c r="N762" s="309"/>
      <c r="O762" s="309"/>
      <c r="P762" s="309"/>
      <c r="Q762" s="309"/>
      <c r="R762" s="309"/>
      <c r="S762" s="309"/>
      <c r="T762" s="309"/>
    </row>
  </sheetData>
  <sheetProtection sheet="1" objects="1" scenarios="1"/>
  <mergeCells count="7">
    <mergeCell ref="AA35:AI35"/>
    <mergeCell ref="C4:P4"/>
    <mergeCell ref="C16:P16"/>
    <mergeCell ref="L29:L30"/>
    <mergeCell ref="M29:M30"/>
    <mergeCell ref="N29:N30"/>
    <mergeCell ref="R35:Z35"/>
  </mergeCells>
  <pageMargins left="0.7" right="0.7" top="0.75" bottom="0.75" header="0.3" footer="0.3"/>
  <pageSetup paperSize="9" orientation="portrait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10241" r:id="rId4">
          <objectPr defaultSize="0" autoPict="0" r:id="rId5">
            <anchor moveWithCells="1">
              <from>
                <xdr:col>17</xdr:col>
                <xdr:colOff>381000</xdr:colOff>
                <xdr:row>3</xdr:row>
                <xdr:rowOff>9525</xdr:rowOff>
              </from>
              <to>
                <xdr:col>27</xdr:col>
                <xdr:colOff>38100</xdr:colOff>
                <xdr:row>8</xdr:row>
                <xdr:rowOff>76200</xdr:rowOff>
              </to>
            </anchor>
          </objectPr>
        </oleObject>
      </mc:Choice>
      <mc:Fallback>
        <oleObject progId="Equation.3" shapeId="10241" r:id="rId4"/>
      </mc:Fallback>
    </mc:AlternateContent>
    <mc:AlternateContent xmlns:mc="http://schemas.openxmlformats.org/markup-compatibility/2006">
      <mc:Choice Requires="x14">
        <oleObject progId="Equation.3" shapeId="10242" r:id="rId6">
          <objectPr defaultSize="0" autoPict="0" r:id="rId7">
            <anchor moveWithCells="1">
              <from>
                <xdr:col>17</xdr:col>
                <xdr:colOff>390525</xdr:colOff>
                <xdr:row>10</xdr:row>
                <xdr:rowOff>19050</xdr:rowOff>
              </from>
              <to>
                <xdr:col>27</xdr:col>
                <xdr:colOff>400050</xdr:colOff>
                <xdr:row>15</xdr:row>
                <xdr:rowOff>161925</xdr:rowOff>
              </to>
            </anchor>
          </objectPr>
        </oleObject>
      </mc:Choice>
      <mc:Fallback>
        <oleObject progId="Equation.3" shapeId="10242" r:id="rId6"/>
      </mc:Fallback>
    </mc:AlternateContent>
    <mc:AlternateContent xmlns:mc="http://schemas.openxmlformats.org/markup-compatibility/2006">
      <mc:Choice Requires="x14">
        <oleObject progId="Equation.3" shapeId="10243" r:id="rId8">
          <objectPr defaultSize="0" autoPict="0" r:id="rId9">
            <anchor moveWithCells="1">
              <from>
                <xdr:col>52</xdr:col>
                <xdr:colOff>295275</xdr:colOff>
                <xdr:row>16</xdr:row>
                <xdr:rowOff>161925</xdr:rowOff>
              </from>
              <to>
                <xdr:col>62</xdr:col>
                <xdr:colOff>161925</xdr:colOff>
                <xdr:row>22</xdr:row>
                <xdr:rowOff>0</xdr:rowOff>
              </to>
            </anchor>
          </objectPr>
        </oleObject>
      </mc:Choice>
      <mc:Fallback>
        <oleObject progId="Equation.3" shapeId="10243" r:id="rId8"/>
      </mc:Fallback>
    </mc:AlternateContent>
    <mc:AlternateContent xmlns:mc="http://schemas.openxmlformats.org/markup-compatibility/2006">
      <mc:Choice Requires="x14">
        <oleObject progId="Equation.3" shapeId="10244" r:id="rId10">
          <objectPr defaultSize="0" autoPict="0" r:id="rId11">
            <anchor moveWithCells="1">
              <from>
                <xdr:col>13</xdr:col>
                <xdr:colOff>247650</xdr:colOff>
                <xdr:row>30</xdr:row>
                <xdr:rowOff>171450</xdr:rowOff>
              </from>
              <to>
                <xdr:col>14</xdr:col>
                <xdr:colOff>438150</xdr:colOff>
                <xdr:row>32</xdr:row>
                <xdr:rowOff>19050</xdr:rowOff>
              </to>
            </anchor>
          </objectPr>
        </oleObject>
      </mc:Choice>
      <mc:Fallback>
        <oleObject progId="Equation.3" shapeId="10244" r:id="rId10"/>
      </mc:Fallback>
    </mc:AlternateContent>
    <mc:AlternateContent xmlns:mc="http://schemas.openxmlformats.org/markup-compatibility/2006">
      <mc:Choice Requires="x14">
        <oleObject progId="Equation.3" shapeId="10245" r:id="rId12">
          <objectPr defaultSize="0" autoPict="0" r:id="rId13">
            <anchor moveWithCells="1">
              <from>
                <xdr:col>16</xdr:col>
                <xdr:colOff>276225</xdr:colOff>
                <xdr:row>30</xdr:row>
                <xdr:rowOff>171450</xdr:rowOff>
              </from>
              <to>
                <xdr:col>18</xdr:col>
                <xdr:colOff>438150</xdr:colOff>
                <xdr:row>32</xdr:row>
                <xdr:rowOff>19050</xdr:rowOff>
              </to>
            </anchor>
          </objectPr>
        </oleObject>
      </mc:Choice>
      <mc:Fallback>
        <oleObject progId="Equation.3" shapeId="10245" r:id="rId12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D758"/>
  <sheetViews>
    <sheetView zoomScale="75" zoomScaleNormal="75" workbookViewId="0">
      <selection activeCell="R2" sqref="R2"/>
    </sheetView>
  </sheetViews>
  <sheetFormatPr baseColWidth="10" defaultColWidth="6.7109375" defaultRowHeight="15" customHeight="1" x14ac:dyDescent="0.25"/>
  <cols>
    <col min="3" max="39" width="6.7109375" customWidth="1"/>
    <col min="44" max="44" width="6.7109375" customWidth="1"/>
  </cols>
  <sheetData>
    <row r="1" spans="1:33" ht="15" customHeight="1" x14ac:dyDescent="0.25">
      <c r="A1" s="549"/>
      <c r="B1" s="549"/>
      <c r="C1" s="549"/>
      <c r="D1" s="550"/>
      <c r="E1" s="551" t="s">
        <v>226</v>
      </c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332"/>
      <c r="T1" s="332"/>
      <c r="U1" s="332"/>
      <c r="V1" s="332"/>
      <c r="W1" s="332"/>
      <c r="X1" s="332"/>
      <c r="Y1" s="332"/>
      <c r="Z1" s="332"/>
      <c r="AA1" s="332"/>
      <c r="AB1" s="332"/>
    </row>
    <row r="2" spans="1:33" ht="15" customHeight="1" x14ac:dyDescent="0.25">
      <c r="A2" s="549"/>
      <c r="B2" s="549"/>
      <c r="C2" s="564"/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7"/>
      <c r="O2" s="567"/>
      <c r="P2" s="567"/>
      <c r="Q2" s="567"/>
      <c r="R2" s="567"/>
      <c r="S2" s="332"/>
      <c r="T2" s="332"/>
      <c r="U2" s="332"/>
      <c r="V2" s="332"/>
      <c r="W2" s="332"/>
      <c r="X2" s="332"/>
      <c r="Y2" s="332"/>
      <c r="Z2" s="332"/>
      <c r="AA2" s="332"/>
      <c r="AB2" s="332"/>
    </row>
    <row r="3" spans="1:33" ht="15" customHeight="1" x14ac:dyDescent="0.25">
      <c r="A3" s="549"/>
      <c r="B3" s="574" t="s">
        <v>233</v>
      </c>
      <c r="C3" s="575">
        <v>100</v>
      </c>
      <c r="D3" s="576">
        <v>72</v>
      </c>
      <c r="E3" s="576">
        <v>48</v>
      </c>
      <c r="F3" s="576">
        <v>36</v>
      </c>
      <c r="G3" s="576">
        <v>24</v>
      </c>
      <c r="H3" s="576">
        <v>20</v>
      </c>
      <c r="I3" s="576">
        <v>12</v>
      </c>
      <c r="J3" s="576">
        <v>10</v>
      </c>
      <c r="K3" s="576">
        <v>8</v>
      </c>
      <c r="L3" s="576">
        <v>7</v>
      </c>
      <c r="M3" s="576">
        <v>6</v>
      </c>
      <c r="N3" s="576">
        <v>4</v>
      </c>
      <c r="O3" s="576">
        <v>3</v>
      </c>
      <c r="P3" s="576">
        <v>2</v>
      </c>
      <c r="Q3" s="577">
        <v>1</v>
      </c>
      <c r="R3" s="934"/>
      <c r="S3" s="332"/>
      <c r="T3" s="332"/>
      <c r="U3" s="332"/>
      <c r="V3" s="332"/>
      <c r="W3" s="332"/>
      <c r="X3" s="332"/>
      <c r="Y3" s="332"/>
      <c r="Z3" s="332"/>
      <c r="AA3" s="332"/>
      <c r="AB3" s="332"/>
    </row>
    <row r="4" spans="1:33" ht="15" customHeight="1" x14ac:dyDescent="0.25">
      <c r="A4" s="549"/>
      <c r="B4" s="600" t="s">
        <v>235</v>
      </c>
      <c r="C4" s="1246" t="s">
        <v>326</v>
      </c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7"/>
      <c r="R4" s="871"/>
      <c r="S4" s="332"/>
      <c r="T4" s="332"/>
      <c r="U4" s="332"/>
      <c r="V4" s="332"/>
      <c r="W4" s="332"/>
      <c r="X4" s="332"/>
      <c r="Y4" s="332"/>
      <c r="Z4" s="332"/>
      <c r="AA4" s="332"/>
      <c r="AB4" s="332"/>
    </row>
    <row r="5" spans="1:33" ht="15" customHeight="1" x14ac:dyDescent="0.25">
      <c r="A5" s="549"/>
      <c r="B5" s="604">
        <v>1.75</v>
      </c>
      <c r="C5" s="539">
        <v>133</v>
      </c>
      <c r="D5" s="605">
        <v>129</v>
      </c>
      <c r="E5" s="605">
        <v>124</v>
      </c>
      <c r="F5" s="605">
        <v>121.5</v>
      </c>
      <c r="G5" s="605">
        <v>116.5</v>
      </c>
      <c r="H5" s="605">
        <v>114.5</v>
      </c>
      <c r="I5" s="606">
        <v>109</v>
      </c>
      <c r="J5" s="605">
        <v>105</v>
      </c>
      <c r="K5" s="607">
        <v>100</v>
      </c>
      <c r="L5" s="605">
        <v>97</v>
      </c>
      <c r="M5" s="605">
        <v>94</v>
      </c>
      <c r="N5" s="605">
        <v>85</v>
      </c>
      <c r="O5" s="444">
        <v>78.5</v>
      </c>
      <c r="P5" s="605">
        <v>71</v>
      </c>
      <c r="Q5" s="606">
        <v>52</v>
      </c>
      <c r="R5" s="640"/>
      <c r="S5" s="332"/>
      <c r="T5" s="332"/>
      <c r="U5" s="332"/>
      <c r="V5" s="332"/>
      <c r="W5" s="332"/>
      <c r="X5" s="332"/>
      <c r="Y5" s="332"/>
      <c r="Z5" s="332"/>
      <c r="AA5" s="332"/>
      <c r="AB5" s="332"/>
    </row>
    <row r="6" spans="1:33" ht="15" customHeight="1" x14ac:dyDescent="0.25">
      <c r="A6" s="549"/>
      <c r="B6" s="639">
        <v>1.8</v>
      </c>
      <c r="C6" s="540">
        <v>131.5</v>
      </c>
      <c r="D6" s="640">
        <v>127.5</v>
      </c>
      <c r="E6" s="640">
        <v>122.5</v>
      </c>
      <c r="F6" s="640">
        <v>118.5</v>
      </c>
      <c r="G6" s="640">
        <v>114.5</v>
      </c>
      <c r="H6" s="640">
        <v>112.5</v>
      </c>
      <c r="I6" s="641">
        <v>107.5</v>
      </c>
      <c r="J6" s="450">
        <v>103.9</v>
      </c>
      <c r="K6" s="640">
        <v>98.5</v>
      </c>
      <c r="L6" s="640">
        <v>96</v>
      </c>
      <c r="M6" s="640">
        <v>92.1</v>
      </c>
      <c r="N6" s="640">
        <v>83</v>
      </c>
      <c r="O6" s="640">
        <v>76.5</v>
      </c>
      <c r="P6" s="640">
        <v>68</v>
      </c>
      <c r="Q6" s="641">
        <v>50.1</v>
      </c>
      <c r="R6" s="640"/>
      <c r="S6" s="332"/>
      <c r="T6" s="332"/>
      <c r="U6" s="332"/>
      <c r="V6" s="332"/>
      <c r="W6" s="332"/>
      <c r="X6" s="332"/>
      <c r="Y6" s="332"/>
      <c r="Z6" s="332"/>
      <c r="AA6" s="332"/>
      <c r="AB6" s="332"/>
    </row>
    <row r="7" spans="1:33" ht="15" customHeight="1" x14ac:dyDescent="0.25">
      <c r="A7" s="549"/>
      <c r="B7" s="639">
        <v>1.81</v>
      </c>
      <c r="C7" s="540">
        <v>131</v>
      </c>
      <c r="D7" s="640">
        <v>127</v>
      </c>
      <c r="E7" s="640">
        <v>121.5</v>
      </c>
      <c r="F7" s="640">
        <v>118</v>
      </c>
      <c r="G7" s="640">
        <v>114.4</v>
      </c>
      <c r="H7" s="640">
        <v>112</v>
      </c>
      <c r="I7" s="656">
        <v>107</v>
      </c>
      <c r="J7" s="640">
        <v>103</v>
      </c>
      <c r="K7" s="640">
        <v>98</v>
      </c>
      <c r="L7" s="640">
        <v>95.1</v>
      </c>
      <c r="M7" s="640">
        <v>91.9</v>
      </c>
      <c r="N7" s="640">
        <v>82.5</v>
      </c>
      <c r="O7" s="640">
        <v>76</v>
      </c>
      <c r="P7" s="640">
        <v>67.5</v>
      </c>
      <c r="Q7" s="641">
        <v>49.9</v>
      </c>
      <c r="R7" s="640"/>
      <c r="AB7" s="712"/>
    </row>
    <row r="8" spans="1:33" ht="15" customHeight="1" x14ac:dyDescent="0.25">
      <c r="A8" s="549"/>
      <c r="B8" s="639">
        <v>1.83</v>
      </c>
      <c r="C8" s="540">
        <v>129</v>
      </c>
      <c r="D8" s="640">
        <v>125</v>
      </c>
      <c r="E8" s="640">
        <v>120.5</v>
      </c>
      <c r="F8" s="640">
        <v>117.5</v>
      </c>
      <c r="G8" s="640">
        <v>113</v>
      </c>
      <c r="H8" s="450">
        <v>111</v>
      </c>
      <c r="I8" s="641">
        <v>106</v>
      </c>
      <c r="J8" s="640">
        <v>102.5</v>
      </c>
      <c r="K8" s="727">
        <v>97</v>
      </c>
      <c r="L8" s="640">
        <v>94</v>
      </c>
      <c r="M8" s="640">
        <v>90</v>
      </c>
      <c r="N8" s="640">
        <v>80.5</v>
      </c>
      <c r="O8" s="640">
        <v>74</v>
      </c>
      <c r="P8" s="640">
        <v>65</v>
      </c>
      <c r="Q8" s="641">
        <v>48</v>
      </c>
      <c r="R8" s="640"/>
      <c r="S8" s="677" t="s">
        <v>173</v>
      </c>
      <c r="T8" s="550">
        <v>100</v>
      </c>
      <c r="U8" s="679" t="s">
        <v>264</v>
      </c>
      <c r="V8" s="549"/>
      <c r="W8" s="677" t="s">
        <v>265</v>
      </c>
      <c r="X8" s="680">
        <v>2.08</v>
      </c>
      <c r="Y8" s="679" t="s">
        <v>266</v>
      </c>
      <c r="AA8" s="712"/>
      <c r="AB8" s="712"/>
    </row>
    <row r="9" spans="1:33" ht="15" customHeight="1" x14ac:dyDescent="0.25">
      <c r="A9" s="549"/>
      <c r="B9" s="604">
        <v>1.84</v>
      </c>
      <c r="C9" s="540">
        <v>128</v>
      </c>
      <c r="D9" s="640">
        <v>124</v>
      </c>
      <c r="E9" s="640">
        <v>119.5</v>
      </c>
      <c r="F9" s="640">
        <v>116.5</v>
      </c>
      <c r="G9" s="450">
        <v>112</v>
      </c>
      <c r="H9" s="640">
        <v>110.5</v>
      </c>
      <c r="I9" s="641">
        <v>105.5</v>
      </c>
      <c r="J9" s="640">
        <v>102</v>
      </c>
      <c r="K9" s="727">
        <v>96</v>
      </c>
      <c r="L9" s="640">
        <v>93.1</v>
      </c>
      <c r="M9" s="640">
        <v>89</v>
      </c>
      <c r="N9" s="640">
        <v>79.5</v>
      </c>
      <c r="O9" s="640">
        <v>73</v>
      </c>
      <c r="P9" s="640">
        <v>64</v>
      </c>
      <c r="Q9" s="641">
        <v>47</v>
      </c>
      <c r="R9" s="640"/>
      <c r="S9" s="677" t="s">
        <v>174</v>
      </c>
      <c r="T9" s="550">
        <v>8</v>
      </c>
      <c r="U9" s="679" t="s">
        <v>267</v>
      </c>
      <c r="V9" s="549"/>
      <c r="W9" s="677" t="s">
        <v>275</v>
      </c>
      <c r="X9" s="680">
        <v>3</v>
      </c>
      <c r="Y9" s="687" t="s">
        <v>276</v>
      </c>
      <c r="Z9" s="694">
        <f>X9/1000</f>
        <v>3.0000000000000001E-3</v>
      </c>
      <c r="AA9" s="935" t="s">
        <v>327</v>
      </c>
      <c r="AB9" s="309"/>
      <c r="AC9" s="712"/>
      <c r="AD9" s="712"/>
      <c r="AE9" s="712"/>
    </row>
    <row r="10" spans="1:33" ht="15" customHeight="1" x14ac:dyDescent="0.25">
      <c r="A10" s="549"/>
      <c r="B10" s="639">
        <v>1.86</v>
      </c>
      <c r="C10" s="540">
        <v>125</v>
      </c>
      <c r="D10" s="640">
        <v>121</v>
      </c>
      <c r="E10" s="640">
        <v>116.5</v>
      </c>
      <c r="F10" s="450">
        <v>113.5</v>
      </c>
      <c r="G10" s="640">
        <v>109.5</v>
      </c>
      <c r="H10" s="640">
        <v>108</v>
      </c>
      <c r="I10" s="658">
        <v>103.5</v>
      </c>
      <c r="J10" s="640">
        <v>99</v>
      </c>
      <c r="K10" s="640">
        <v>94</v>
      </c>
      <c r="L10" s="640">
        <v>90</v>
      </c>
      <c r="M10" s="640">
        <v>88</v>
      </c>
      <c r="N10" s="640">
        <v>77</v>
      </c>
      <c r="O10" s="640">
        <v>70</v>
      </c>
      <c r="P10" s="640">
        <v>61</v>
      </c>
      <c r="Q10" s="641">
        <v>44.5</v>
      </c>
      <c r="R10" s="640"/>
      <c r="S10" s="677" t="s">
        <v>274</v>
      </c>
      <c r="T10" s="875">
        <v>2.25</v>
      </c>
      <c r="U10" s="679" t="s">
        <v>266</v>
      </c>
      <c r="V10" s="550"/>
      <c r="W10" s="677" t="s">
        <v>279</v>
      </c>
      <c r="X10" s="680">
        <v>0.1</v>
      </c>
      <c r="Y10" s="687" t="s">
        <v>276</v>
      </c>
      <c r="Z10" s="694">
        <f>X10/1000</f>
        <v>1E-4</v>
      </c>
      <c r="AA10" s="935" t="s">
        <v>327</v>
      </c>
      <c r="AB10" s="309"/>
      <c r="AC10" s="712"/>
      <c r="AD10" s="712"/>
      <c r="AE10" s="712"/>
    </row>
    <row r="11" spans="1:33" ht="15" customHeight="1" x14ac:dyDescent="0.25">
      <c r="A11" s="549"/>
      <c r="B11" s="639">
        <v>1.88</v>
      </c>
      <c r="C11" s="540">
        <v>121.5</v>
      </c>
      <c r="D11" s="640">
        <v>118</v>
      </c>
      <c r="E11" s="450">
        <v>113.5</v>
      </c>
      <c r="F11" s="640">
        <v>110.5</v>
      </c>
      <c r="G11" s="640">
        <v>106</v>
      </c>
      <c r="H11" s="640">
        <v>104.5</v>
      </c>
      <c r="I11" s="641">
        <v>99.5</v>
      </c>
      <c r="J11" s="640">
        <v>95</v>
      </c>
      <c r="K11" s="640">
        <v>90</v>
      </c>
      <c r="L11" s="640">
        <v>96.4</v>
      </c>
      <c r="M11" s="640">
        <v>82.4</v>
      </c>
      <c r="N11" s="640">
        <v>73</v>
      </c>
      <c r="O11" s="640">
        <v>66</v>
      </c>
      <c r="P11" s="640">
        <v>57</v>
      </c>
      <c r="Q11" s="641">
        <v>41</v>
      </c>
      <c r="R11" s="640"/>
      <c r="S11" s="677" t="s">
        <v>278</v>
      </c>
      <c r="T11" s="875">
        <v>2</v>
      </c>
      <c r="U11" s="679" t="s">
        <v>266</v>
      </c>
      <c r="V11" s="550"/>
      <c r="W11" s="677" t="s">
        <v>268</v>
      </c>
      <c r="X11" s="681">
        <v>145</v>
      </c>
      <c r="Y11" s="679" t="s">
        <v>264</v>
      </c>
      <c r="AA11" s="309"/>
      <c r="AB11" s="309"/>
      <c r="AC11" s="309"/>
    </row>
    <row r="12" spans="1:33" ht="15" customHeight="1" x14ac:dyDescent="0.25">
      <c r="A12" s="549"/>
      <c r="B12" s="639">
        <v>1.9</v>
      </c>
      <c r="C12" s="540">
        <v>117</v>
      </c>
      <c r="D12" s="450">
        <v>113.5</v>
      </c>
      <c r="E12" s="640">
        <v>109</v>
      </c>
      <c r="F12" s="640">
        <v>106</v>
      </c>
      <c r="G12" s="640">
        <v>102</v>
      </c>
      <c r="H12" s="640">
        <v>100</v>
      </c>
      <c r="I12" s="641">
        <v>95</v>
      </c>
      <c r="J12" s="640">
        <v>91</v>
      </c>
      <c r="K12" s="727">
        <v>85</v>
      </c>
      <c r="L12" s="640">
        <v>82</v>
      </c>
      <c r="M12" s="640">
        <v>78.5</v>
      </c>
      <c r="N12" s="640">
        <v>69</v>
      </c>
      <c r="O12" s="640">
        <v>62.5</v>
      </c>
      <c r="P12" s="640">
        <v>54</v>
      </c>
      <c r="Q12" s="641">
        <v>38</v>
      </c>
      <c r="R12" s="640"/>
      <c r="S12" s="677" t="s">
        <v>281</v>
      </c>
      <c r="T12" s="875">
        <v>1.75</v>
      </c>
      <c r="U12" s="679" t="s">
        <v>266</v>
      </c>
      <c r="W12" s="677" t="s">
        <v>272</v>
      </c>
      <c r="X12" s="681">
        <v>32</v>
      </c>
      <c r="Y12" s="679" t="s">
        <v>264</v>
      </c>
      <c r="AA12" s="309"/>
    </row>
    <row r="13" spans="1:33" ht="15" customHeight="1" x14ac:dyDescent="0.25">
      <c r="A13" s="549"/>
      <c r="B13" s="870">
        <v>1.92</v>
      </c>
      <c r="C13" s="454">
        <v>112</v>
      </c>
      <c r="D13" s="664">
        <v>107.5</v>
      </c>
      <c r="E13" s="664">
        <v>103.5</v>
      </c>
      <c r="F13" s="664">
        <v>100.5</v>
      </c>
      <c r="G13" s="664">
        <v>97</v>
      </c>
      <c r="H13" s="664">
        <v>95</v>
      </c>
      <c r="I13" s="665">
        <v>90.5</v>
      </c>
      <c r="J13" s="664">
        <v>85</v>
      </c>
      <c r="K13" s="664">
        <v>80</v>
      </c>
      <c r="L13" s="664">
        <v>77</v>
      </c>
      <c r="M13" s="664">
        <v>73</v>
      </c>
      <c r="N13" s="664">
        <v>64</v>
      </c>
      <c r="O13" s="664">
        <v>58</v>
      </c>
      <c r="P13" s="664">
        <v>49</v>
      </c>
      <c r="Q13" s="665">
        <v>34.5</v>
      </c>
      <c r="R13" s="640"/>
      <c r="AB13" s="309"/>
    </row>
    <row r="14" spans="1:33" ht="15" customHeight="1" x14ac:dyDescent="0.25">
      <c r="A14" s="549"/>
      <c r="B14" s="599"/>
      <c r="C14" s="640"/>
      <c r="D14" s="640"/>
      <c r="E14" s="640"/>
      <c r="F14" s="640"/>
      <c r="G14" s="640"/>
      <c r="H14" s="640"/>
      <c r="I14" s="640"/>
      <c r="J14" s="640"/>
      <c r="K14" s="640"/>
      <c r="L14" s="640"/>
      <c r="M14" s="640"/>
      <c r="N14" s="640"/>
      <c r="O14" s="640"/>
      <c r="P14" s="640"/>
      <c r="Q14" s="640"/>
      <c r="R14" s="640"/>
      <c r="V14" s="677" t="s">
        <v>270</v>
      </c>
      <c r="W14" s="874">
        <f>T8/T9</f>
        <v>12.5</v>
      </c>
      <c r="X14" s="679" t="s">
        <v>271</v>
      </c>
      <c r="Y14" s="549"/>
      <c r="AG14" s="309"/>
    </row>
    <row r="15" spans="1:33" ht="15" customHeight="1" x14ac:dyDescent="0.25">
      <c r="A15" s="549"/>
      <c r="B15" s="574" t="s">
        <v>233</v>
      </c>
      <c r="C15" s="626">
        <f>$C$3</f>
        <v>100</v>
      </c>
      <c r="D15" s="667">
        <f>$D$3</f>
        <v>72</v>
      </c>
      <c r="E15" s="667">
        <f>$E$3</f>
        <v>48</v>
      </c>
      <c r="F15" s="667">
        <f>$F$3</f>
        <v>36</v>
      </c>
      <c r="G15" s="667">
        <f>$G$3</f>
        <v>24</v>
      </c>
      <c r="H15" s="667">
        <f>$H$3</f>
        <v>20</v>
      </c>
      <c r="I15" s="667">
        <f>$I$3</f>
        <v>12</v>
      </c>
      <c r="J15" s="667">
        <f>$J$3</f>
        <v>10</v>
      </c>
      <c r="K15" s="667">
        <f>$K$3</f>
        <v>8</v>
      </c>
      <c r="L15" s="667">
        <f>$L$3</f>
        <v>7</v>
      </c>
      <c r="M15" s="667">
        <f>$M$3</f>
        <v>6</v>
      </c>
      <c r="N15" s="667">
        <f>$N$3</f>
        <v>4</v>
      </c>
      <c r="O15" s="667">
        <f>$O$3</f>
        <v>3</v>
      </c>
      <c r="P15" s="667">
        <f>$P$3</f>
        <v>2</v>
      </c>
      <c r="Q15" s="668">
        <f>$Q$3</f>
        <v>1</v>
      </c>
      <c r="R15" s="860"/>
      <c r="V15" s="677" t="s">
        <v>284</v>
      </c>
      <c r="W15" s="876">
        <f>T8/X11</f>
        <v>0.68965517241379315</v>
      </c>
      <c r="Y15" s="1264" t="s">
        <v>321</v>
      </c>
      <c r="Z15" s="1266"/>
      <c r="AA15" s="1268" t="s">
        <v>322</v>
      </c>
      <c r="AG15" s="309"/>
    </row>
    <row r="16" spans="1:33" ht="15" customHeight="1" x14ac:dyDescent="0.25">
      <c r="A16" s="549"/>
      <c r="B16" s="600" t="s">
        <v>328</v>
      </c>
      <c r="C16" s="1245" t="s">
        <v>326</v>
      </c>
      <c r="D16" s="1246"/>
      <c r="E16" s="1246"/>
      <c r="F16" s="1246"/>
      <c r="G16" s="1246"/>
      <c r="H16" s="1246"/>
      <c r="I16" s="1246"/>
      <c r="J16" s="1246"/>
      <c r="K16" s="1246"/>
      <c r="L16" s="1246"/>
      <c r="M16" s="1246"/>
      <c r="N16" s="1246"/>
      <c r="O16" s="1246"/>
      <c r="P16" s="1246"/>
      <c r="Q16" s="1247"/>
      <c r="R16" s="871"/>
      <c r="T16" s="679" t="s">
        <v>266</v>
      </c>
      <c r="V16" s="677" t="s">
        <v>287</v>
      </c>
      <c r="W16" s="876">
        <f>X12/X11</f>
        <v>0.22068965517241379</v>
      </c>
      <c r="Y16" s="1265"/>
      <c r="Z16" s="1267"/>
      <c r="AA16" s="1269"/>
      <c r="AE16" s="885"/>
      <c r="AG16" s="884"/>
    </row>
    <row r="17" spans="1:56" ht="15" customHeight="1" x14ac:dyDescent="0.25">
      <c r="A17" s="549"/>
      <c r="B17" s="669">
        <f>$B$5</f>
        <v>1.75</v>
      </c>
      <c r="C17" s="670">
        <f>$C$5</f>
        <v>133</v>
      </c>
      <c r="D17" s="631">
        <f>$D$5</f>
        <v>129</v>
      </c>
      <c r="E17" s="631">
        <f>$E$5</f>
        <v>124</v>
      </c>
      <c r="F17" s="631">
        <f>$F$5</f>
        <v>121.5</v>
      </c>
      <c r="G17" s="631">
        <f>$G$5</f>
        <v>116.5</v>
      </c>
      <c r="H17" s="631">
        <f>$H$5</f>
        <v>114.5</v>
      </c>
      <c r="I17" s="671">
        <f>$I$5</f>
        <v>109</v>
      </c>
      <c r="J17" s="631">
        <f>$J$5</f>
        <v>105</v>
      </c>
      <c r="K17" s="631">
        <f>$K$5</f>
        <v>100</v>
      </c>
      <c r="L17" s="631">
        <f>$L$5</f>
        <v>97</v>
      </c>
      <c r="M17" s="631">
        <f>$M$5</f>
        <v>94</v>
      </c>
      <c r="N17" s="631">
        <f>$N$5</f>
        <v>85</v>
      </c>
      <c r="O17" s="631">
        <f>$O$5</f>
        <v>78.5</v>
      </c>
      <c r="P17" s="631">
        <f>$P$5</f>
        <v>71</v>
      </c>
      <c r="Q17" s="671">
        <f>$Q$5</f>
        <v>52</v>
      </c>
      <c r="R17" s="652"/>
      <c r="U17" s="549"/>
      <c r="V17" s="696" t="s">
        <v>285</v>
      </c>
      <c r="W17" s="697">
        <f>T10-X8</f>
        <v>0.16999999999999993</v>
      </c>
    </row>
    <row r="18" spans="1:56" ht="15" customHeight="1" x14ac:dyDescent="0.25">
      <c r="A18" s="549"/>
      <c r="B18" s="674">
        <f>$B$6</f>
        <v>1.8</v>
      </c>
      <c r="C18" s="675">
        <f>$C$6</f>
        <v>131.5</v>
      </c>
      <c r="D18" s="652">
        <f>$D$6</f>
        <v>127.5</v>
      </c>
      <c r="E18" s="652">
        <f>$E$6</f>
        <v>122.5</v>
      </c>
      <c r="F18" s="652">
        <f>$F$6</f>
        <v>118.5</v>
      </c>
      <c r="G18" s="652">
        <f>$G$6</f>
        <v>114.5</v>
      </c>
      <c r="H18" s="652">
        <f>$H$6</f>
        <v>112.5</v>
      </c>
      <c r="I18" s="676">
        <f>$I$6</f>
        <v>107.5</v>
      </c>
      <c r="J18" s="652">
        <f>$J$6</f>
        <v>103.9</v>
      </c>
      <c r="K18" s="652">
        <f>$K$6</f>
        <v>98.5</v>
      </c>
      <c r="L18" s="652">
        <f>$L$6</f>
        <v>96</v>
      </c>
      <c r="M18" s="652">
        <f>$M$6</f>
        <v>92.1</v>
      </c>
      <c r="N18" s="652">
        <f>$N$6</f>
        <v>83</v>
      </c>
      <c r="O18" s="652">
        <f>$O$6</f>
        <v>76.5</v>
      </c>
      <c r="P18" s="652">
        <f>$P$6</f>
        <v>68</v>
      </c>
      <c r="Q18" s="676">
        <f>$Q$6</f>
        <v>50.1</v>
      </c>
      <c r="R18" s="652"/>
      <c r="T18" s="550"/>
      <c r="V18" s="677" t="s">
        <v>283</v>
      </c>
      <c r="W18" s="875">
        <f>X9+X10</f>
        <v>3.1</v>
      </c>
      <c r="X18" s="687" t="s">
        <v>276</v>
      </c>
      <c r="Y18" s="694">
        <f>W18/1000</f>
        <v>3.0999999999999999E-3</v>
      </c>
      <c r="Z18" s="935" t="s">
        <v>327</v>
      </c>
    </row>
    <row r="19" spans="1:56" ht="15" customHeight="1" x14ac:dyDescent="0.25">
      <c r="A19" s="549"/>
      <c r="B19" s="674">
        <f>$B$7</f>
        <v>1.81</v>
      </c>
      <c r="C19" s="675">
        <f>$C$7</f>
        <v>131</v>
      </c>
      <c r="D19" s="652">
        <f>$D$7</f>
        <v>127</v>
      </c>
      <c r="E19" s="652">
        <f>$E$7</f>
        <v>121.5</v>
      </c>
      <c r="F19" s="652">
        <f>$F$7</f>
        <v>118</v>
      </c>
      <c r="G19" s="652">
        <f>$G$7</f>
        <v>114.4</v>
      </c>
      <c r="H19" s="652">
        <f>$H$7</f>
        <v>112</v>
      </c>
      <c r="I19" s="676">
        <f>$I$7</f>
        <v>107</v>
      </c>
      <c r="J19" s="652">
        <f>$J$7</f>
        <v>103</v>
      </c>
      <c r="K19" s="652">
        <f>$K$7</f>
        <v>98</v>
      </c>
      <c r="L19" s="652">
        <f>$L$7</f>
        <v>95.1</v>
      </c>
      <c r="M19" s="652">
        <f>$M$7</f>
        <v>91.9</v>
      </c>
      <c r="N19" s="652">
        <f>$N$7</f>
        <v>82.5</v>
      </c>
      <c r="O19" s="652">
        <f>$O$7</f>
        <v>76</v>
      </c>
      <c r="P19" s="652">
        <f>$P$7</f>
        <v>67.5</v>
      </c>
      <c r="Q19" s="676">
        <f>$Q$7</f>
        <v>49.9</v>
      </c>
      <c r="R19" s="652"/>
    </row>
    <row r="20" spans="1:56" ht="15" customHeight="1" x14ac:dyDescent="0.25">
      <c r="A20" s="549"/>
      <c r="B20" s="674">
        <f>$B$8</f>
        <v>1.83</v>
      </c>
      <c r="C20" s="675">
        <f>$C$8</f>
        <v>129</v>
      </c>
      <c r="D20" s="652">
        <f>$D$8</f>
        <v>125</v>
      </c>
      <c r="E20" s="652">
        <f>$E$8</f>
        <v>120.5</v>
      </c>
      <c r="F20" s="652">
        <f>$F$8</f>
        <v>117.5</v>
      </c>
      <c r="G20" s="652">
        <f>$G$8</f>
        <v>113</v>
      </c>
      <c r="H20" s="652">
        <f>$H$8</f>
        <v>111</v>
      </c>
      <c r="I20" s="676">
        <f>$I$8</f>
        <v>106</v>
      </c>
      <c r="J20" s="652">
        <f>$J$8</f>
        <v>102.5</v>
      </c>
      <c r="K20" s="652">
        <f>$K$8</f>
        <v>97</v>
      </c>
      <c r="L20" s="652">
        <f>$L$8</f>
        <v>94</v>
      </c>
      <c r="M20" s="652">
        <f>$M$8</f>
        <v>90</v>
      </c>
      <c r="N20" s="652">
        <f>$N$8</f>
        <v>80.5</v>
      </c>
      <c r="O20" s="652">
        <f>$O$8</f>
        <v>74</v>
      </c>
      <c r="P20" s="652">
        <f>$P$8</f>
        <v>65</v>
      </c>
      <c r="Q20" s="676">
        <f>$Q$8</f>
        <v>48</v>
      </c>
      <c r="R20" s="652"/>
      <c r="AH20" s="309"/>
    </row>
    <row r="21" spans="1:56" ht="15" customHeight="1" x14ac:dyDescent="0.25">
      <c r="A21" s="549"/>
      <c r="B21" s="674">
        <f>$B$9</f>
        <v>1.84</v>
      </c>
      <c r="C21" s="675">
        <f>$C$9</f>
        <v>128</v>
      </c>
      <c r="D21" s="652">
        <f>$D$9</f>
        <v>124</v>
      </c>
      <c r="E21" s="652">
        <f>$E$9</f>
        <v>119.5</v>
      </c>
      <c r="F21" s="652">
        <f>$F$9</f>
        <v>116.5</v>
      </c>
      <c r="G21" s="652">
        <f>$G$9</f>
        <v>112</v>
      </c>
      <c r="H21" s="652">
        <f>$H$9</f>
        <v>110.5</v>
      </c>
      <c r="I21" s="676">
        <f>$I$9</f>
        <v>105.5</v>
      </c>
      <c r="J21" s="652">
        <f>$J$9</f>
        <v>102</v>
      </c>
      <c r="K21" s="652">
        <f>$K$9</f>
        <v>96</v>
      </c>
      <c r="L21" s="652">
        <f>$L$9</f>
        <v>93.1</v>
      </c>
      <c r="M21" s="652">
        <f>$M$9</f>
        <v>89</v>
      </c>
      <c r="N21" s="652">
        <f>$N$9</f>
        <v>79.5</v>
      </c>
      <c r="O21" s="652">
        <f>$O$9</f>
        <v>73</v>
      </c>
      <c r="P21" s="652">
        <f>$P$9</f>
        <v>64</v>
      </c>
      <c r="Q21" s="676">
        <f>$Q$9</f>
        <v>47</v>
      </c>
      <c r="R21" s="652"/>
      <c r="AH21" s="309"/>
    </row>
    <row r="22" spans="1:56" ht="15" customHeight="1" x14ac:dyDescent="0.25">
      <c r="A22" s="549"/>
      <c r="B22" s="674">
        <f>$B$10</f>
        <v>1.86</v>
      </c>
      <c r="C22" s="675">
        <f>$C$10</f>
        <v>125</v>
      </c>
      <c r="D22" s="652">
        <f>$D$10</f>
        <v>121</v>
      </c>
      <c r="E22" s="652">
        <f>$E$10</f>
        <v>116.5</v>
      </c>
      <c r="F22" s="652">
        <f>$F$10</f>
        <v>113.5</v>
      </c>
      <c r="G22" s="652">
        <f>$G$10</f>
        <v>109.5</v>
      </c>
      <c r="H22" s="652">
        <f>$H$10</f>
        <v>108</v>
      </c>
      <c r="I22" s="676">
        <f>$I$10</f>
        <v>103.5</v>
      </c>
      <c r="J22" s="652">
        <f>$J$10</f>
        <v>99</v>
      </c>
      <c r="K22" s="652">
        <f>$K$10</f>
        <v>94</v>
      </c>
      <c r="L22" s="652">
        <f>$L$10</f>
        <v>90</v>
      </c>
      <c r="M22" s="652">
        <f>$M$10</f>
        <v>88</v>
      </c>
      <c r="N22" s="652">
        <f>$N$10</f>
        <v>77</v>
      </c>
      <c r="O22" s="652">
        <f>$O$10</f>
        <v>70</v>
      </c>
      <c r="P22" s="652">
        <f>$P$10</f>
        <v>61</v>
      </c>
      <c r="Q22" s="676">
        <f>$Q$10</f>
        <v>44.5</v>
      </c>
      <c r="R22" s="652"/>
      <c r="AH22" s="712"/>
    </row>
    <row r="23" spans="1:56" ht="15" customHeight="1" x14ac:dyDescent="0.25">
      <c r="A23" s="549"/>
      <c r="B23" s="674">
        <f>$B$11</f>
        <v>1.88</v>
      </c>
      <c r="C23" s="675">
        <f>$C$11</f>
        <v>121.5</v>
      </c>
      <c r="D23" s="652">
        <f>$D$11</f>
        <v>118</v>
      </c>
      <c r="E23" s="652">
        <f>$E$11</f>
        <v>113.5</v>
      </c>
      <c r="F23" s="652">
        <f>$F$11</f>
        <v>110.5</v>
      </c>
      <c r="G23" s="652">
        <f>$G$11</f>
        <v>106</v>
      </c>
      <c r="H23" s="652">
        <f>$H$11</f>
        <v>104.5</v>
      </c>
      <c r="I23" s="676">
        <f>$I$11</f>
        <v>99.5</v>
      </c>
      <c r="J23" s="652">
        <f>$J$11</f>
        <v>95</v>
      </c>
      <c r="K23" s="652">
        <f>$K$11</f>
        <v>90</v>
      </c>
      <c r="L23" s="652">
        <f>$L$11</f>
        <v>96.4</v>
      </c>
      <c r="M23" s="652">
        <f>$M$11</f>
        <v>82.4</v>
      </c>
      <c r="N23" s="652">
        <f>$N$11</f>
        <v>73</v>
      </c>
      <c r="O23" s="652">
        <f>$O$11</f>
        <v>66</v>
      </c>
      <c r="P23" s="652">
        <f>$P$11</f>
        <v>57</v>
      </c>
      <c r="Q23" s="676">
        <f>$Q$11</f>
        <v>41</v>
      </c>
      <c r="R23" s="652"/>
    </row>
    <row r="24" spans="1:56" ht="15" customHeight="1" x14ac:dyDescent="0.25">
      <c r="A24" s="549"/>
      <c r="B24" s="674">
        <f>$B$12</f>
        <v>1.9</v>
      </c>
      <c r="C24" s="675">
        <f>$C$12</f>
        <v>117</v>
      </c>
      <c r="D24" s="652">
        <f>$D$12</f>
        <v>113.5</v>
      </c>
      <c r="E24" s="652">
        <f>$E$12</f>
        <v>109</v>
      </c>
      <c r="F24" s="652">
        <f>$F$12</f>
        <v>106</v>
      </c>
      <c r="G24" s="652">
        <f>$G$12</f>
        <v>102</v>
      </c>
      <c r="H24" s="652">
        <f>$H$12</f>
        <v>100</v>
      </c>
      <c r="I24" s="676">
        <f>$I$12</f>
        <v>95</v>
      </c>
      <c r="J24" s="652">
        <f>$J$12</f>
        <v>91</v>
      </c>
      <c r="K24" s="652">
        <f>$K$12</f>
        <v>85</v>
      </c>
      <c r="L24" s="652">
        <f>$L$12</f>
        <v>82</v>
      </c>
      <c r="M24" s="652">
        <f>$M$12</f>
        <v>78.5</v>
      </c>
      <c r="N24" s="652">
        <f>$N$12</f>
        <v>69</v>
      </c>
      <c r="O24" s="652">
        <f>$O$12</f>
        <v>62.5</v>
      </c>
      <c r="P24" s="652">
        <f>$P$12</f>
        <v>54</v>
      </c>
      <c r="Q24" s="676">
        <f>$Q$12</f>
        <v>38</v>
      </c>
      <c r="R24" s="652"/>
    </row>
    <row r="25" spans="1:56" ht="15" customHeight="1" x14ac:dyDescent="0.25">
      <c r="A25" s="549"/>
      <c r="B25" s="702">
        <f>$B$13</f>
        <v>1.92</v>
      </c>
      <c r="C25" s="703">
        <f>$C$13</f>
        <v>112</v>
      </c>
      <c r="D25" s="704">
        <f>$D$13</f>
        <v>107.5</v>
      </c>
      <c r="E25" s="704">
        <f>$E$13</f>
        <v>103.5</v>
      </c>
      <c r="F25" s="704">
        <f>$F$13</f>
        <v>100.5</v>
      </c>
      <c r="G25" s="704">
        <f>$G$13</f>
        <v>97</v>
      </c>
      <c r="H25" s="704">
        <f>$H$13</f>
        <v>95</v>
      </c>
      <c r="I25" s="705">
        <f>$I$13</f>
        <v>90.5</v>
      </c>
      <c r="J25" s="704">
        <f>$J$13</f>
        <v>85</v>
      </c>
      <c r="K25" s="704">
        <f>$K$13</f>
        <v>80</v>
      </c>
      <c r="L25" s="704">
        <f>$L$13</f>
        <v>77</v>
      </c>
      <c r="M25" s="704">
        <f>$M$13</f>
        <v>73</v>
      </c>
      <c r="N25" s="704">
        <f>$N$13</f>
        <v>64</v>
      </c>
      <c r="O25" s="704">
        <f>$O$13</f>
        <v>58</v>
      </c>
      <c r="P25" s="704">
        <f>$P$13</f>
        <v>49</v>
      </c>
      <c r="Q25" s="705">
        <f>$Q$13</f>
        <v>34.5</v>
      </c>
      <c r="R25" s="652"/>
    </row>
    <row r="26" spans="1:56" ht="15" customHeight="1" x14ac:dyDescent="0.25">
      <c r="A26" s="309"/>
      <c r="X26" s="309"/>
      <c r="Y26" s="309"/>
    </row>
    <row r="27" spans="1:56" ht="15" customHeight="1" x14ac:dyDescent="0.25">
      <c r="A27" s="309"/>
      <c r="X27" s="309"/>
      <c r="Y27" s="309"/>
    </row>
    <row r="28" spans="1:56" ht="15" customHeight="1" x14ac:dyDescent="0.25">
      <c r="A28" s="309"/>
      <c r="S28" s="587"/>
      <c r="T28" s="309"/>
      <c r="U28" s="309"/>
      <c r="V28" s="309"/>
      <c r="W28" s="309"/>
      <c r="X28" s="309"/>
      <c r="Y28" s="309"/>
      <c r="Z28" s="916"/>
      <c r="AA28" s="916"/>
      <c r="AB28" s="916"/>
      <c r="AC28" s="916"/>
      <c r="AD28" s="916"/>
      <c r="AE28" s="916"/>
      <c r="AF28" s="916"/>
      <c r="AG28" s="916"/>
      <c r="AH28" s="916"/>
      <c r="AI28" s="309"/>
      <c r="AJ28" s="936"/>
      <c r="AK28" s="936"/>
      <c r="AL28" s="309"/>
      <c r="AM28" s="309"/>
      <c r="AN28" s="309"/>
      <c r="AO28" s="309"/>
      <c r="AP28" s="309"/>
      <c r="AQ28" s="309"/>
      <c r="AR28" s="916"/>
      <c r="AS28" s="309"/>
      <c r="AT28" s="916"/>
      <c r="AU28" s="916"/>
      <c r="AV28" s="916"/>
      <c r="AW28" s="916"/>
      <c r="AX28" s="916"/>
      <c r="AY28" s="916"/>
      <c r="AZ28" s="916"/>
      <c r="BA28" s="916"/>
      <c r="BB28" s="916"/>
      <c r="BC28" s="309"/>
    </row>
    <row r="29" spans="1:56" ht="15" customHeight="1" x14ac:dyDescent="0.25">
      <c r="A29" s="882"/>
      <c r="S29" s="309"/>
      <c r="T29" s="883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</row>
    <row r="30" spans="1:56" ht="15" customHeight="1" x14ac:dyDescent="0.25">
      <c r="A30" s="882"/>
      <c r="S30" s="712"/>
      <c r="T30" s="712"/>
      <c r="U30" s="712"/>
      <c r="V30" s="712"/>
      <c r="W30" s="712"/>
      <c r="X30" s="712"/>
      <c r="Y30" s="712"/>
      <c r="Z30" s="884"/>
      <c r="AA30" s="712"/>
      <c r="AB30" s="712"/>
      <c r="AC30" s="712"/>
      <c r="AD30" s="712"/>
      <c r="AE30" s="712"/>
      <c r="AF30" s="712"/>
      <c r="AG30" s="712"/>
      <c r="AH30" s="712"/>
      <c r="AI30" s="884"/>
      <c r="AJ30" s="884"/>
      <c r="AK30" s="884"/>
      <c r="AL30" s="712"/>
      <c r="AM30" s="712"/>
      <c r="AN30" s="712"/>
      <c r="AO30" s="712"/>
      <c r="AP30" s="712"/>
      <c r="AQ30" s="712"/>
      <c r="AR30" s="712"/>
      <c r="AS30" s="712"/>
      <c r="AT30" s="884"/>
      <c r="AU30" s="712"/>
      <c r="AV30" s="712"/>
      <c r="AW30" s="712"/>
      <c r="AX30" s="712"/>
      <c r="AY30" s="712"/>
      <c r="AZ30" s="712"/>
      <c r="BA30" s="712"/>
      <c r="BB30" s="712"/>
      <c r="BC30" s="309"/>
    </row>
    <row r="31" spans="1:56" ht="15" customHeight="1" x14ac:dyDescent="0.25">
      <c r="A31" s="860"/>
      <c r="B31" s="884"/>
      <c r="C31" s="884"/>
      <c r="D31" s="712"/>
      <c r="E31" s="712"/>
      <c r="F31" s="712"/>
      <c r="G31" s="712"/>
      <c r="H31" s="712"/>
      <c r="I31" s="712"/>
      <c r="J31" s="712"/>
      <c r="K31" s="309"/>
      <c r="L31" s="309"/>
      <c r="M31" s="309"/>
      <c r="N31" s="883"/>
      <c r="O31" s="309"/>
      <c r="P31" s="937"/>
      <c r="Q31" s="937"/>
      <c r="R31" s="937"/>
      <c r="S31" s="937"/>
      <c r="T31" s="937"/>
      <c r="U31" s="937"/>
      <c r="V31" s="937"/>
      <c r="W31" s="937"/>
      <c r="X31" s="937"/>
      <c r="Y31" s="937"/>
      <c r="Z31" s="937"/>
      <c r="AA31" s="937"/>
      <c r="AB31" s="937"/>
      <c r="AC31" s="937"/>
      <c r="AD31" s="937"/>
      <c r="AE31" s="937"/>
      <c r="AF31" s="937"/>
      <c r="AG31" s="937"/>
      <c r="AH31" s="937"/>
      <c r="AI31" s="30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09"/>
      <c r="AX31" s="309"/>
      <c r="AY31" s="309"/>
      <c r="AZ31" s="309"/>
      <c r="BA31" s="309"/>
      <c r="BB31" s="309"/>
      <c r="BC31" s="309"/>
      <c r="BD31" s="309"/>
    </row>
    <row r="32" spans="1:56" ht="15" customHeight="1" x14ac:dyDescent="0.25">
      <c r="A32" s="860"/>
      <c r="B32" s="884"/>
      <c r="C32" s="884"/>
      <c r="D32" s="712"/>
      <c r="E32" s="712"/>
      <c r="F32" s="712"/>
      <c r="G32" s="712"/>
      <c r="H32" s="712"/>
      <c r="I32" s="712"/>
      <c r="J32" s="712"/>
      <c r="K32" s="922"/>
      <c r="L32" s="938"/>
      <c r="M32" s="922"/>
      <c r="N32" s="902"/>
      <c r="O32" s="922"/>
      <c r="P32" s="916"/>
      <c r="Q32" s="916"/>
      <c r="R32" s="916"/>
      <c r="S32" s="916"/>
      <c r="T32" s="916"/>
      <c r="U32" s="916"/>
      <c r="V32" s="916"/>
      <c r="W32" s="916"/>
      <c r="X32" s="916"/>
      <c r="Y32" s="916"/>
      <c r="Z32" s="902"/>
      <c r="AA32" s="902"/>
      <c r="AB32" s="902"/>
      <c r="AC32" s="902"/>
      <c r="AD32" s="902"/>
      <c r="AE32" s="902"/>
      <c r="AF32" s="902"/>
      <c r="AG32" s="902"/>
      <c r="AH32" s="902"/>
      <c r="AI32" s="902"/>
      <c r="AJ32" s="939"/>
      <c r="AK32" s="902"/>
      <c r="AL32" s="902"/>
      <c r="AM32" s="902"/>
      <c r="AN32" s="902"/>
      <c r="AO32" s="902"/>
      <c r="AP32" s="902"/>
      <c r="AQ32" s="902"/>
      <c r="AR32" s="902"/>
      <c r="AS32" s="902"/>
      <c r="AT32" s="916"/>
      <c r="AU32" s="916"/>
      <c r="AV32" s="916"/>
      <c r="AW32" s="916"/>
      <c r="AX32" s="916"/>
      <c r="AY32" s="916"/>
      <c r="AZ32" s="916"/>
      <c r="BA32" s="916"/>
      <c r="BB32" s="916"/>
      <c r="BC32" s="309"/>
      <c r="BD32" s="309"/>
    </row>
    <row r="33" spans="1:56" ht="15" customHeight="1" x14ac:dyDescent="0.25">
      <c r="A33" s="860"/>
      <c r="B33" s="884"/>
      <c r="C33" s="911"/>
      <c r="D33" s="911"/>
      <c r="E33" s="911"/>
      <c r="F33" s="911"/>
      <c r="G33" s="911"/>
      <c r="H33" s="911"/>
      <c r="I33" s="911"/>
      <c r="J33" s="911"/>
      <c r="K33" s="922"/>
      <c r="L33" s="938"/>
      <c r="M33" s="922"/>
      <c r="N33" s="902"/>
      <c r="O33" s="922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39"/>
      <c r="AK33" s="902"/>
      <c r="AL33" s="902"/>
      <c r="AM33" s="902"/>
      <c r="AN33" s="902"/>
      <c r="AO33" s="902"/>
      <c r="AP33" s="902"/>
      <c r="AQ33" s="902"/>
      <c r="AR33" s="902"/>
      <c r="AS33" s="902"/>
      <c r="AT33" s="916"/>
      <c r="AU33" s="916"/>
      <c r="AV33" s="916"/>
      <c r="AW33" s="916"/>
      <c r="AX33" s="916"/>
      <c r="AY33" s="916"/>
      <c r="AZ33" s="916"/>
      <c r="BA33" s="916"/>
      <c r="BB33" s="916"/>
      <c r="BC33" s="309"/>
      <c r="BD33" s="309"/>
    </row>
    <row r="34" spans="1:56" ht="15" customHeight="1" x14ac:dyDescent="0.25">
      <c r="A34" s="860"/>
      <c r="B34" s="712"/>
      <c r="C34" s="911"/>
      <c r="D34" s="911"/>
      <c r="E34" s="911"/>
      <c r="F34" s="911"/>
      <c r="G34" s="911"/>
      <c r="H34" s="911"/>
      <c r="I34" s="911"/>
      <c r="J34" s="911"/>
      <c r="K34" s="922"/>
      <c r="L34" s="938"/>
      <c r="M34" s="922"/>
      <c r="N34" s="902"/>
      <c r="O34" s="922"/>
      <c r="P34" s="916"/>
      <c r="Q34" s="916"/>
      <c r="R34" s="916"/>
      <c r="S34" s="916"/>
      <c r="T34" s="916"/>
      <c r="U34" s="916"/>
      <c r="V34" s="916"/>
      <c r="W34" s="916"/>
      <c r="X34" s="916"/>
      <c r="Y34" s="916"/>
      <c r="Z34" s="317"/>
      <c r="AA34" s="902"/>
      <c r="AB34" s="902"/>
      <c r="AC34" s="902"/>
      <c r="AD34" s="902"/>
      <c r="AE34" s="902"/>
      <c r="AF34" s="902"/>
      <c r="AG34" s="902"/>
      <c r="AH34" s="902"/>
      <c r="AI34" s="902"/>
      <c r="AJ34" s="939"/>
      <c r="AK34" s="902"/>
      <c r="AL34" s="902"/>
      <c r="AM34" s="902"/>
      <c r="AN34" s="902"/>
      <c r="AO34" s="902"/>
      <c r="AP34" s="902"/>
      <c r="AQ34" s="902"/>
      <c r="AR34" s="902"/>
      <c r="AS34" s="902"/>
      <c r="AT34" s="916"/>
      <c r="AU34" s="916"/>
      <c r="AV34" s="916"/>
      <c r="AW34" s="916"/>
      <c r="AX34" s="916"/>
      <c r="AY34" s="916"/>
      <c r="AZ34" s="916"/>
      <c r="BA34" s="916"/>
      <c r="BB34" s="916"/>
      <c r="BC34" s="309"/>
      <c r="BD34" s="309"/>
    </row>
    <row r="35" spans="1:56" ht="15" customHeight="1" x14ac:dyDescent="0.25">
      <c r="A35" s="860"/>
      <c r="B35" s="712"/>
      <c r="C35" s="911"/>
      <c r="D35" s="911"/>
      <c r="E35" s="911"/>
      <c r="F35" s="911"/>
      <c r="G35" s="911"/>
      <c r="H35" s="911"/>
      <c r="I35" s="911"/>
      <c r="J35" s="860"/>
      <c r="K35" s="922"/>
      <c r="L35" s="938"/>
      <c r="M35" s="922"/>
      <c r="N35" s="902"/>
      <c r="O35" s="922"/>
      <c r="P35" s="916"/>
      <c r="Q35" s="916"/>
      <c r="R35" s="916"/>
      <c r="S35" s="916"/>
      <c r="T35" s="916"/>
      <c r="U35" s="916"/>
      <c r="V35" s="916"/>
      <c r="W35" s="916"/>
      <c r="X35" s="916"/>
      <c r="Y35" s="916"/>
      <c r="Z35" s="902"/>
      <c r="AA35" s="916"/>
      <c r="AB35" s="902"/>
      <c r="AC35" s="902"/>
      <c r="AD35" s="902"/>
      <c r="AE35" s="902"/>
      <c r="AF35" s="902"/>
      <c r="AG35" s="902"/>
      <c r="AH35" s="902"/>
      <c r="AI35" s="902"/>
      <c r="AJ35" s="939"/>
      <c r="AK35" s="902"/>
      <c r="AL35" s="902"/>
      <c r="AM35" s="902"/>
      <c r="AN35" s="902"/>
      <c r="AO35" s="902"/>
      <c r="AP35" s="902"/>
      <c r="AQ35" s="902"/>
      <c r="AR35" s="902"/>
      <c r="AS35" s="902"/>
      <c r="AT35" s="916"/>
      <c r="AU35" s="916"/>
      <c r="AV35" s="916"/>
      <c r="AW35" s="916"/>
      <c r="AX35" s="916"/>
      <c r="AY35" s="916"/>
      <c r="AZ35" s="916"/>
      <c r="BA35" s="916"/>
      <c r="BB35" s="916"/>
      <c r="BC35" s="309"/>
      <c r="BD35" s="309"/>
    </row>
    <row r="36" spans="1:56" ht="15" customHeight="1" x14ac:dyDescent="0.25">
      <c r="A36" s="860"/>
      <c r="B36" s="712"/>
      <c r="C36" s="911"/>
      <c r="D36" s="911"/>
      <c r="E36" s="911"/>
      <c r="F36" s="911"/>
      <c r="G36" s="911"/>
      <c r="H36" s="911"/>
      <c r="I36" s="860"/>
      <c r="J36" s="911"/>
      <c r="K36" s="922"/>
      <c r="L36" s="938"/>
      <c r="M36" s="922"/>
      <c r="N36" s="902"/>
      <c r="O36" s="922"/>
      <c r="P36" s="916"/>
      <c r="Q36" s="916"/>
      <c r="R36" s="916"/>
      <c r="S36" s="916"/>
      <c r="T36" s="916"/>
      <c r="U36" s="916"/>
      <c r="V36" s="916"/>
      <c r="W36" s="916"/>
      <c r="X36" s="916"/>
      <c r="Y36" s="916"/>
      <c r="Z36" s="902"/>
      <c r="AA36" s="902"/>
      <c r="AB36" s="916"/>
      <c r="AC36" s="902"/>
      <c r="AD36" s="902"/>
      <c r="AE36" s="902"/>
      <c r="AF36" s="902"/>
      <c r="AG36" s="902"/>
      <c r="AH36" s="902"/>
      <c r="AI36" s="902"/>
      <c r="AJ36" s="939"/>
      <c r="AK36" s="902"/>
      <c r="AL36" s="902"/>
      <c r="AM36" s="902"/>
      <c r="AN36" s="902"/>
      <c r="AO36" s="902"/>
      <c r="AP36" s="902"/>
      <c r="AQ36" s="902"/>
      <c r="AR36" s="902"/>
      <c r="AS36" s="902"/>
      <c r="AT36" s="916"/>
      <c r="AU36" s="916"/>
      <c r="AV36" s="916"/>
      <c r="AW36" s="916"/>
      <c r="AX36" s="916"/>
      <c r="AY36" s="916"/>
      <c r="AZ36" s="916"/>
      <c r="BA36" s="916"/>
      <c r="BB36" s="916"/>
      <c r="BC36" s="309"/>
      <c r="BD36" s="309"/>
    </row>
    <row r="37" spans="1:56" ht="15" customHeight="1" x14ac:dyDescent="0.25">
      <c r="A37" s="860"/>
      <c r="B37" s="712"/>
      <c r="C37" s="911"/>
      <c r="D37" s="911"/>
      <c r="E37" s="911"/>
      <c r="F37" s="911"/>
      <c r="G37" s="911"/>
      <c r="H37" s="860"/>
      <c r="I37" s="911"/>
      <c r="J37" s="911"/>
      <c r="K37" s="922"/>
      <c r="L37" s="938"/>
      <c r="M37" s="922"/>
      <c r="N37" s="902"/>
      <c r="O37" s="922"/>
      <c r="P37" s="916"/>
      <c r="Q37" s="916"/>
      <c r="R37" s="916"/>
      <c r="S37" s="916"/>
      <c r="T37" s="916"/>
      <c r="U37" s="916"/>
      <c r="V37" s="916"/>
      <c r="W37" s="916"/>
      <c r="X37" s="916"/>
      <c r="Y37" s="916"/>
      <c r="Z37" s="902"/>
      <c r="AA37" s="902"/>
      <c r="AB37" s="902"/>
      <c r="AC37" s="902"/>
      <c r="AD37" s="902"/>
      <c r="AE37" s="902"/>
      <c r="AF37" s="902"/>
      <c r="AG37" s="902"/>
      <c r="AH37" s="902"/>
      <c r="AI37" s="902"/>
      <c r="AJ37" s="939"/>
      <c r="AK37" s="902"/>
      <c r="AL37" s="902"/>
      <c r="AM37" s="902"/>
      <c r="AN37" s="902"/>
      <c r="AO37" s="902"/>
      <c r="AP37" s="902"/>
      <c r="AQ37" s="902"/>
      <c r="AR37" s="902"/>
      <c r="AS37" s="902"/>
      <c r="AT37" s="916"/>
      <c r="AU37" s="916"/>
      <c r="AV37" s="916"/>
      <c r="AW37" s="916"/>
      <c r="AX37" s="916"/>
      <c r="AY37" s="916"/>
      <c r="AZ37" s="916"/>
      <c r="BA37" s="916"/>
      <c r="BB37" s="916"/>
      <c r="BC37" s="309"/>
      <c r="BD37" s="309"/>
    </row>
    <row r="38" spans="1:56" ht="15" customHeight="1" x14ac:dyDescent="0.25">
      <c r="A38" s="860"/>
      <c r="B38" s="712"/>
      <c r="C38" s="911"/>
      <c r="D38" s="911"/>
      <c r="E38" s="911"/>
      <c r="F38" s="911"/>
      <c r="G38" s="860"/>
      <c r="H38" s="911"/>
      <c r="I38" s="911"/>
      <c r="J38" s="911"/>
      <c r="K38" s="922"/>
      <c r="L38" s="938"/>
      <c r="M38" s="922"/>
      <c r="N38" s="902"/>
      <c r="O38" s="922"/>
      <c r="P38" s="916"/>
      <c r="Q38" s="916"/>
      <c r="R38" s="916"/>
      <c r="S38" s="916"/>
      <c r="T38" s="916"/>
      <c r="U38" s="916"/>
      <c r="V38" s="916"/>
      <c r="W38" s="916"/>
      <c r="X38" s="916"/>
      <c r="Y38" s="916"/>
      <c r="Z38" s="317"/>
      <c r="AA38" s="902"/>
      <c r="AB38" s="902"/>
      <c r="AC38" s="916"/>
      <c r="AD38" s="902"/>
      <c r="AE38" s="902"/>
      <c r="AF38" s="902"/>
      <c r="AG38" s="902"/>
      <c r="AH38" s="902"/>
      <c r="AI38" s="902"/>
      <c r="AJ38" s="939"/>
      <c r="AK38" s="902"/>
      <c r="AL38" s="902"/>
      <c r="AM38" s="902"/>
      <c r="AN38" s="902"/>
      <c r="AO38" s="902"/>
      <c r="AP38" s="902"/>
      <c r="AQ38" s="902"/>
      <c r="AR38" s="902"/>
      <c r="AS38" s="902"/>
      <c r="AT38" s="916"/>
      <c r="AU38" s="916"/>
      <c r="AV38" s="916"/>
      <c r="AW38" s="916"/>
      <c r="AX38" s="916"/>
      <c r="AY38" s="916"/>
      <c r="AZ38" s="916"/>
      <c r="BA38" s="916"/>
      <c r="BB38" s="916"/>
      <c r="BC38" s="309"/>
      <c r="BD38" s="309"/>
    </row>
    <row r="39" spans="1:56" ht="15" customHeight="1" x14ac:dyDescent="0.25">
      <c r="A39" s="309"/>
      <c r="B39" s="712"/>
      <c r="C39" s="911"/>
      <c r="D39" s="911"/>
      <c r="E39" s="911"/>
      <c r="F39" s="860"/>
      <c r="G39" s="911"/>
      <c r="H39" s="911"/>
      <c r="I39" s="911"/>
      <c r="J39" s="911"/>
      <c r="K39" s="922"/>
      <c r="L39" s="938"/>
      <c r="M39" s="922"/>
      <c r="N39" s="902"/>
      <c r="O39" s="922"/>
      <c r="P39" s="916"/>
      <c r="Q39" s="916"/>
      <c r="R39" s="916"/>
      <c r="S39" s="916"/>
      <c r="T39" s="916"/>
      <c r="U39" s="916"/>
      <c r="V39" s="916"/>
      <c r="W39" s="916"/>
      <c r="X39" s="916"/>
      <c r="Y39" s="916"/>
      <c r="Z39" s="902"/>
      <c r="AA39" s="916"/>
      <c r="AB39" s="902"/>
      <c r="AC39" s="902"/>
      <c r="AD39" s="916"/>
      <c r="AE39" s="902"/>
      <c r="AF39" s="902"/>
      <c r="AG39" s="902"/>
      <c r="AH39" s="902"/>
      <c r="AI39" s="902"/>
      <c r="AJ39" s="939"/>
      <c r="AK39" s="902"/>
      <c r="AL39" s="902"/>
      <c r="AM39" s="902"/>
      <c r="AN39" s="902"/>
      <c r="AO39" s="902"/>
      <c r="AP39" s="902"/>
      <c r="AQ39" s="902"/>
      <c r="AR39" s="902"/>
      <c r="AS39" s="902"/>
      <c r="AT39" s="916"/>
      <c r="AU39" s="916"/>
      <c r="AV39" s="916"/>
      <c r="AW39" s="916"/>
      <c r="AX39" s="916"/>
      <c r="AY39" s="916"/>
      <c r="AZ39" s="916"/>
      <c r="BA39" s="916"/>
      <c r="BB39" s="916"/>
      <c r="BC39" s="309"/>
      <c r="BD39" s="309"/>
    </row>
    <row r="40" spans="1:56" ht="15" customHeight="1" x14ac:dyDescent="0.25">
      <c r="A40" s="309"/>
      <c r="B40" s="712"/>
      <c r="C40" s="911"/>
      <c r="D40" s="911"/>
      <c r="E40" s="860"/>
      <c r="F40" s="911"/>
      <c r="G40" s="911"/>
      <c r="H40" s="911"/>
      <c r="I40" s="911"/>
      <c r="J40" s="911"/>
      <c r="K40" s="922"/>
      <c r="L40" s="938"/>
      <c r="M40" s="922"/>
      <c r="N40" s="902"/>
      <c r="O40" s="922"/>
      <c r="P40" s="916"/>
      <c r="Q40" s="916"/>
      <c r="R40" s="916"/>
      <c r="S40" s="916"/>
      <c r="T40" s="916"/>
      <c r="U40" s="916"/>
      <c r="V40" s="916"/>
      <c r="W40" s="916"/>
      <c r="X40" s="916"/>
      <c r="Y40" s="916"/>
      <c r="Z40" s="902"/>
      <c r="AA40" s="902"/>
      <c r="AB40" s="916"/>
      <c r="AC40" s="902"/>
      <c r="AD40" s="902"/>
      <c r="AE40" s="902"/>
      <c r="AF40" s="902"/>
      <c r="AG40" s="902"/>
      <c r="AH40" s="902"/>
      <c r="AI40" s="902"/>
      <c r="AJ40" s="939"/>
      <c r="AK40" s="902"/>
      <c r="AL40" s="902"/>
      <c r="AM40" s="902"/>
      <c r="AN40" s="902"/>
      <c r="AO40" s="902"/>
      <c r="AP40" s="902"/>
      <c r="AQ40" s="902"/>
      <c r="AR40" s="902"/>
      <c r="AS40" s="902"/>
      <c r="AT40" s="916"/>
      <c r="AU40" s="916"/>
      <c r="AV40" s="916"/>
      <c r="AW40" s="916"/>
      <c r="AX40" s="916"/>
      <c r="AY40" s="916"/>
      <c r="AZ40" s="916"/>
      <c r="BA40" s="916"/>
      <c r="BB40" s="916"/>
      <c r="BC40" s="309"/>
      <c r="BD40" s="309"/>
    </row>
    <row r="41" spans="1:56" ht="15" customHeight="1" x14ac:dyDescent="0.25">
      <c r="A41" s="309"/>
      <c r="B41" s="712"/>
      <c r="C41" s="911"/>
      <c r="D41" s="860"/>
      <c r="E41" s="911"/>
      <c r="F41" s="911"/>
      <c r="G41" s="911"/>
      <c r="H41" s="911"/>
      <c r="I41" s="911"/>
      <c r="J41" s="911"/>
      <c r="K41" s="922"/>
      <c r="L41" s="938"/>
      <c r="M41" s="922"/>
      <c r="N41" s="902"/>
      <c r="O41" s="922"/>
      <c r="P41" s="916"/>
      <c r="Q41" s="916"/>
      <c r="R41" s="916"/>
      <c r="S41" s="916"/>
      <c r="T41" s="916"/>
      <c r="U41" s="916"/>
      <c r="V41" s="916"/>
      <c r="W41" s="916"/>
      <c r="X41" s="916"/>
      <c r="Y41" s="916"/>
      <c r="Z41" s="902"/>
      <c r="AA41" s="902"/>
      <c r="AB41" s="902"/>
      <c r="AC41" s="902"/>
      <c r="AD41" s="902"/>
      <c r="AE41" s="902"/>
      <c r="AF41" s="902"/>
      <c r="AG41" s="902"/>
      <c r="AH41" s="902"/>
      <c r="AI41" s="902"/>
      <c r="AJ41" s="939"/>
      <c r="AK41" s="902"/>
      <c r="AL41" s="902"/>
      <c r="AM41" s="902"/>
      <c r="AN41" s="902"/>
      <c r="AO41" s="902"/>
      <c r="AP41" s="902"/>
      <c r="AQ41" s="902"/>
      <c r="AR41" s="902"/>
      <c r="AS41" s="902"/>
      <c r="AT41" s="916"/>
      <c r="AU41" s="916"/>
      <c r="AV41" s="916"/>
      <c r="AW41" s="916"/>
      <c r="AX41" s="916"/>
      <c r="AY41" s="916"/>
      <c r="AZ41" s="916"/>
      <c r="BA41" s="916"/>
      <c r="BB41" s="916"/>
      <c r="BC41" s="309"/>
      <c r="BD41" s="309"/>
    </row>
    <row r="42" spans="1:56" ht="15" customHeight="1" x14ac:dyDescent="0.25">
      <c r="A42" s="309"/>
      <c r="B42" s="884"/>
      <c r="C42" s="860"/>
      <c r="D42" s="911"/>
      <c r="E42" s="911"/>
      <c r="F42" s="911"/>
      <c r="G42" s="911"/>
      <c r="H42" s="911"/>
      <c r="I42" s="911"/>
      <c r="J42" s="911"/>
      <c r="K42" s="922"/>
      <c r="L42" s="938"/>
      <c r="M42" s="922"/>
      <c r="N42" s="902"/>
      <c r="O42" s="922"/>
      <c r="P42" s="916"/>
      <c r="Q42" s="916"/>
      <c r="R42" s="916"/>
      <c r="S42" s="916"/>
      <c r="T42" s="916"/>
      <c r="U42" s="916"/>
      <c r="V42" s="916"/>
      <c r="W42" s="916"/>
      <c r="X42" s="916"/>
      <c r="Y42" s="916"/>
      <c r="Z42" s="902"/>
      <c r="AA42" s="902"/>
      <c r="AB42" s="902"/>
      <c r="AC42" s="916"/>
      <c r="AD42" s="902"/>
      <c r="AE42" s="916"/>
      <c r="AF42" s="902"/>
      <c r="AG42" s="902"/>
      <c r="AH42" s="902"/>
      <c r="AI42" s="902"/>
      <c r="AJ42" s="939"/>
      <c r="AK42" s="902"/>
      <c r="AL42" s="902"/>
      <c r="AM42" s="902"/>
      <c r="AN42" s="902"/>
      <c r="AO42" s="902"/>
      <c r="AP42" s="902"/>
      <c r="AQ42" s="902"/>
      <c r="AR42" s="902"/>
      <c r="AS42" s="902"/>
      <c r="AT42" s="916"/>
      <c r="AU42" s="916"/>
      <c r="AV42" s="916"/>
      <c r="AW42" s="916"/>
      <c r="AX42" s="916"/>
      <c r="AY42" s="916"/>
      <c r="AZ42" s="916"/>
      <c r="BA42" s="916"/>
      <c r="BB42" s="916"/>
      <c r="BC42" s="309"/>
      <c r="BD42" s="309"/>
    </row>
    <row r="43" spans="1:56" ht="15" customHeight="1" x14ac:dyDescent="0.25">
      <c r="A43" s="309"/>
      <c r="B43" s="712"/>
      <c r="C43" s="911"/>
      <c r="D43" s="911"/>
      <c r="E43" s="911"/>
      <c r="F43" s="911"/>
      <c r="G43" s="911"/>
      <c r="H43" s="911"/>
      <c r="I43" s="911"/>
      <c r="J43" s="911"/>
      <c r="K43" s="922"/>
      <c r="L43" s="938"/>
      <c r="M43" s="922"/>
      <c r="N43" s="902"/>
      <c r="O43" s="922"/>
      <c r="P43" s="916"/>
      <c r="Q43" s="916"/>
      <c r="R43" s="916"/>
      <c r="S43" s="916"/>
      <c r="T43" s="916"/>
      <c r="U43" s="916"/>
      <c r="V43" s="916"/>
      <c r="W43" s="916"/>
      <c r="X43" s="916"/>
      <c r="Y43" s="916"/>
      <c r="Z43" s="317"/>
      <c r="AA43" s="902"/>
      <c r="AB43" s="902"/>
      <c r="AC43" s="902"/>
      <c r="AD43" s="916"/>
      <c r="AE43" s="902"/>
      <c r="AF43" s="902"/>
      <c r="AG43" s="902"/>
      <c r="AH43" s="902"/>
      <c r="AI43" s="902"/>
      <c r="AJ43" s="939"/>
      <c r="AK43" s="902"/>
      <c r="AL43" s="902"/>
      <c r="AM43" s="902"/>
      <c r="AN43" s="902"/>
      <c r="AO43" s="902"/>
      <c r="AP43" s="902"/>
      <c r="AQ43" s="902"/>
      <c r="AR43" s="902"/>
      <c r="AS43" s="902"/>
      <c r="AT43" s="916"/>
      <c r="AU43" s="916"/>
      <c r="AV43" s="916"/>
      <c r="AW43" s="916"/>
      <c r="AX43" s="916"/>
      <c r="AY43" s="916"/>
      <c r="AZ43" s="916"/>
      <c r="BA43" s="916"/>
      <c r="BB43" s="916"/>
      <c r="BC43" s="309"/>
      <c r="BD43" s="309"/>
    </row>
    <row r="44" spans="1:56" ht="15" customHeight="1" x14ac:dyDescent="0.25">
      <c r="A44" s="309"/>
      <c r="B44" s="712"/>
      <c r="C44" s="911"/>
      <c r="D44" s="911"/>
      <c r="E44" s="911"/>
      <c r="F44" s="911"/>
      <c r="G44" s="911"/>
      <c r="H44" s="860"/>
      <c r="I44" s="860"/>
      <c r="J44" s="860"/>
      <c r="K44" s="922"/>
      <c r="L44" s="938"/>
      <c r="M44" s="922"/>
      <c r="N44" s="902"/>
      <c r="O44" s="922"/>
      <c r="P44" s="916"/>
      <c r="Q44" s="916"/>
      <c r="R44" s="916"/>
      <c r="S44" s="916"/>
      <c r="T44" s="916"/>
      <c r="U44" s="916"/>
      <c r="V44" s="916"/>
      <c r="W44" s="916"/>
      <c r="X44" s="916"/>
      <c r="Y44" s="916"/>
      <c r="Z44" s="902"/>
      <c r="AA44" s="916"/>
      <c r="AB44" s="902"/>
      <c r="AC44" s="902"/>
      <c r="AD44" s="902"/>
      <c r="AE44" s="902"/>
      <c r="AF44" s="902"/>
      <c r="AG44" s="902"/>
      <c r="AH44" s="902"/>
      <c r="AI44" s="902"/>
      <c r="AJ44" s="939"/>
      <c r="AK44" s="902"/>
      <c r="AL44" s="902"/>
      <c r="AM44" s="902"/>
      <c r="AN44" s="902"/>
      <c r="AO44" s="902"/>
      <c r="AP44" s="902"/>
      <c r="AQ44" s="902"/>
      <c r="AR44" s="902"/>
      <c r="AS44" s="902"/>
      <c r="AT44" s="916"/>
      <c r="AU44" s="916"/>
      <c r="AV44" s="916"/>
      <c r="AW44" s="916"/>
      <c r="AX44" s="916"/>
      <c r="AY44" s="916"/>
      <c r="AZ44" s="916"/>
      <c r="BA44" s="916"/>
      <c r="BB44" s="916"/>
      <c r="BC44" s="309"/>
      <c r="BD44" s="309"/>
    </row>
    <row r="45" spans="1:56" ht="15" customHeight="1" x14ac:dyDescent="0.25">
      <c r="A45" s="309"/>
      <c r="B45" s="712"/>
      <c r="C45" s="911"/>
      <c r="D45" s="911"/>
      <c r="E45" s="911"/>
      <c r="F45" s="911"/>
      <c r="G45" s="911"/>
      <c r="H45" s="911"/>
      <c r="I45" s="860"/>
      <c r="J45" s="911"/>
      <c r="K45" s="922"/>
      <c r="L45" s="938"/>
      <c r="M45" s="922"/>
      <c r="N45" s="902"/>
      <c r="O45" s="922"/>
      <c r="P45" s="916"/>
      <c r="Q45" s="916"/>
      <c r="R45" s="916"/>
      <c r="S45" s="916"/>
      <c r="T45" s="916"/>
      <c r="U45" s="916"/>
      <c r="V45" s="916"/>
      <c r="W45" s="916"/>
      <c r="X45" s="916"/>
      <c r="Y45" s="916"/>
      <c r="Z45" s="317"/>
      <c r="AA45" s="902"/>
      <c r="AB45" s="916"/>
      <c r="AC45" s="902"/>
      <c r="AD45" s="902"/>
      <c r="AE45" s="902"/>
      <c r="AF45" s="916"/>
      <c r="AG45" s="902"/>
      <c r="AH45" s="902"/>
      <c r="AI45" s="902"/>
      <c r="AJ45" s="939"/>
      <c r="AK45" s="902"/>
      <c r="AL45" s="902"/>
      <c r="AM45" s="902"/>
      <c r="AN45" s="902"/>
      <c r="AO45" s="902"/>
      <c r="AP45" s="902"/>
      <c r="AQ45" s="902"/>
      <c r="AR45" s="902"/>
      <c r="AS45" s="902"/>
      <c r="AT45" s="916"/>
      <c r="AU45" s="916"/>
      <c r="AV45" s="916"/>
      <c r="AW45" s="916"/>
      <c r="AX45" s="916"/>
      <c r="AY45" s="916"/>
      <c r="AZ45" s="916"/>
      <c r="BA45" s="916"/>
      <c r="BB45" s="916"/>
      <c r="BC45" s="309"/>
      <c r="BD45" s="309"/>
    </row>
    <row r="46" spans="1:56" ht="15" customHeight="1" x14ac:dyDescent="0.25">
      <c r="A46" s="309"/>
      <c r="B46" s="712"/>
      <c r="C46" s="911"/>
      <c r="D46" s="911"/>
      <c r="E46" s="911"/>
      <c r="F46" s="911"/>
      <c r="G46" s="911"/>
      <c r="H46" s="860"/>
      <c r="I46" s="911"/>
      <c r="J46" s="911"/>
      <c r="K46" s="922"/>
      <c r="L46" s="938"/>
      <c r="M46" s="922"/>
      <c r="N46" s="902"/>
      <c r="O46" s="922"/>
      <c r="P46" s="916"/>
      <c r="Q46" s="916"/>
      <c r="R46" s="916"/>
      <c r="S46" s="916"/>
      <c r="T46" s="916"/>
      <c r="U46" s="916"/>
      <c r="V46" s="916"/>
      <c r="W46" s="916"/>
      <c r="X46" s="916"/>
      <c r="Y46" s="916"/>
      <c r="Z46" s="902"/>
      <c r="AA46" s="902"/>
      <c r="AB46" s="902"/>
      <c r="AC46" s="916"/>
      <c r="AD46" s="902"/>
      <c r="AE46" s="916"/>
      <c r="AF46" s="902"/>
      <c r="AG46" s="902"/>
      <c r="AH46" s="902"/>
      <c r="AI46" s="902"/>
      <c r="AJ46" s="939"/>
      <c r="AK46" s="902"/>
      <c r="AL46" s="902"/>
      <c r="AM46" s="902"/>
      <c r="AN46" s="902"/>
      <c r="AO46" s="902"/>
      <c r="AP46" s="902"/>
      <c r="AQ46" s="902"/>
      <c r="AR46" s="902"/>
      <c r="AS46" s="902"/>
      <c r="AT46" s="916"/>
      <c r="AU46" s="916"/>
      <c r="AV46" s="916"/>
      <c r="AW46" s="916"/>
      <c r="AX46" s="916"/>
      <c r="AY46" s="916"/>
      <c r="AZ46" s="916"/>
      <c r="BA46" s="916"/>
      <c r="BB46" s="916"/>
      <c r="BC46" s="309"/>
      <c r="BD46" s="309"/>
    </row>
    <row r="47" spans="1:56" ht="15" customHeight="1" x14ac:dyDescent="0.25">
      <c r="A47" s="309"/>
      <c r="B47" s="712"/>
      <c r="C47" s="911"/>
      <c r="D47" s="911"/>
      <c r="E47" s="911"/>
      <c r="F47" s="911"/>
      <c r="G47" s="860"/>
      <c r="H47" s="911"/>
      <c r="I47" s="911"/>
      <c r="J47" s="911"/>
      <c r="K47" s="922"/>
      <c r="L47" s="938"/>
      <c r="M47" s="922"/>
      <c r="N47" s="902"/>
      <c r="O47" s="922"/>
      <c r="P47" s="916"/>
      <c r="Q47" s="916"/>
      <c r="R47" s="916"/>
      <c r="S47" s="916"/>
      <c r="T47" s="916"/>
      <c r="U47" s="916"/>
      <c r="V47" s="916"/>
      <c r="W47" s="916"/>
      <c r="X47" s="916"/>
      <c r="Y47" s="916"/>
      <c r="Z47" s="902"/>
      <c r="AA47" s="902"/>
      <c r="AB47" s="902"/>
      <c r="AC47" s="902"/>
      <c r="AD47" s="916"/>
      <c r="AE47" s="902"/>
      <c r="AF47" s="902"/>
      <c r="AG47" s="902"/>
      <c r="AH47" s="902"/>
      <c r="AI47" s="902"/>
      <c r="AJ47" s="939"/>
      <c r="AK47" s="902"/>
      <c r="AL47" s="902"/>
      <c r="AM47" s="902"/>
      <c r="AN47" s="902"/>
      <c r="AO47" s="902"/>
      <c r="AP47" s="902"/>
      <c r="AQ47" s="902"/>
      <c r="AR47" s="902"/>
      <c r="AS47" s="902"/>
      <c r="AT47" s="916"/>
      <c r="AU47" s="916"/>
      <c r="AV47" s="916"/>
      <c r="AW47" s="916"/>
      <c r="AX47" s="916"/>
      <c r="AY47" s="916"/>
      <c r="AZ47" s="916"/>
      <c r="BA47" s="916"/>
      <c r="BB47" s="916"/>
      <c r="BC47" s="309"/>
      <c r="BD47" s="309"/>
    </row>
    <row r="48" spans="1:56" ht="15" customHeight="1" x14ac:dyDescent="0.25">
      <c r="A48" s="309"/>
      <c r="B48" s="712"/>
      <c r="C48" s="911"/>
      <c r="D48" s="911"/>
      <c r="E48" s="911"/>
      <c r="F48" s="860"/>
      <c r="G48" s="911"/>
      <c r="H48" s="911"/>
      <c r="I48" s="911"/>
      <c r="J48" s="911"/>
      <c r="K48" s="922"/>
      <c r="L48" s="938"/>
      <c r="M48" s="922"/>
      <c r="N48" s="902"/>
      <c r="O48" s="922"/>
      <c r="P48" s="916"/>
      <c r="Q48" s="916"/>
      <c r="R48" s="916"/>
      <c r="S48" s="916"/>
      <c r="T48" s="916"/>
      <c r="U48" s="916"/>
      <c r="V48" s="916"/>
      <c r="W48" s="916"/>
      <c r="X48" s="916"/>
      <c r="Y48" s="916"/>
      <c r="Z48" s="902"/>
      <c r="AA48" s="916"/>
      <c r="AB48" s="902"/>
      <c r="AC48" s="902"/>
      <c r="AD48" s="902"/>
      <c r="AE48" s="902"/>
      <c r="AF48" s="902"/>
      <c r="AG48" s="902"/>
      <c r="AH48" s="902"/>
      <c r="AI48" s="902"/>
      <c r="AJ48" s="939"/>
      <c r="AK48" s="902"/>
      <c r="AL48" s="902"/>
      <c r="AM48" s="902"/>
      <c r="AN48" s="902"/>
      <c r="AO48" s="902"/>
      <c r="AP48" s="902"/>
      <c r="AQ48" s="902"/>
      <c r="AR48" s="902"/>
      <c r="AS48" s="902"/>
      <c r="AT48" s="916"/>
      <c r="AU48" s="916"/>
      <c r="AV48" s="916"/>
      <c r="AW48" s="916"/>
      <c r="AX48" s="916"/>
      <c r="AY48" s="916"/>
      <c r="AZ48" s="916"/>
      <c r="BA48" s="916"/>
      <c r="BB48" s="916"/>
      <c r="BC48" s="309"/>
      <c r="BD48" s="309"/>
    </row>
    <row r="49" spans="1:56" ht="15" customHeight="1" x14ac:dyDescent="0.25">
      <c r="A49" s="309"/>
      <c r="B49" s="712"/>
      <c r="C49" s="911"/>
      <c r="D49" s="911"/>
      <c r="E49" s="860"/>
      <c r="F49" s="911"/>
      <c r="G49" s="911"/>
      <c r="H49" s="911"/>
      <c r="I49" s="911"/>
      <c r="J49" s="911"/>
      <c r="K49" s="922"/>
      <c r="L49" s="938"/>
      <c r="M49" s="922"/>
      <c r="N49" s="902"/>
      <c r="O49" s="922"/>
      <c r="P49" s="916"/>
      <c r="Q49" s="916"/>
      <c r="R49" s="916"/>
      <c r="S49" s="916"/>
      <c r="T49" s="916"/>
      <c r="U49" s="916"/>
      <c r="V49" s="916"/>
      <c r="W49" s="916"/>
      <c r="X49" s="916"/>
      <c r="Y49" s="916"/>
      <c r="Z49" s="902"/>
      <c r="AA49" s="902"/>
      <c r="AB49" s="916"/>
      <c r="AC49" s="916"/>
      <c r="AD49" s="902"/>
      <c r="AE49" s="902"/>
      <c r="AF49" s="916"/>
      <c r="AG49" s="902"/>
      <c r="AH49" s="902"/>
      <c r="AI49" s="902"/>
      <c r="AJ49" s="939"/>
      <c r="AK49" s="902"/>
      <c r="AL49" s="902"/>
      <c r="AM49" s="902"/>
      <c r="AN49" s="902"/>
      <c r="AO49" s="902"/>
      <c r="AP49" s="902"/>
      <c r="AQ49" s="902"/>
      <c r="AR49" s="902"/>
      <c r="AS49" s="902"/>
      <c r="AT49" s="916"/>
      <c r="AU49" s="916"/>
      <c r="AV49" s="916"/>
      <c r="AW49" s="916"/>
      <c r="AX49" s="916"/>
      <c r="AY49" s="916"/>
      <c r="AZ49" s="916"/>
      <c r="BA49" s="916"/>
      <c r="BB49" s="916"/>
      <c r="BC49" s="309"/>
      <c r="BD49" s="309"/>
    </row>
    <row r="50" spans="1:56" ht="15" customHeight="1" x14ac:dyDescent="0.25">
      <c r="A50" s="309"/>
      <c r="B50" s="712"/>
      <c r="C50" s="911"/>
      <c r="D50" s="860"/>
      <c r="E50" s="911"/>
      <c r="F50" s="911"/>
      <c r="G50" s="911"/>
      <c r="H50" s="860"/>
      <c r="I50" s="860"/>
      <c r="J50" s="860"/>
      <c r="K50" s="922"/>
      <c r="L50" s="938"/>
      <c r="M50" s="922"/>
      <c r="N50" s="902"/>
      <c r="O50" s="922"/>
      <c r="P50" s="916"/>
      <c r="Q50" s="916"/>
      <c r="R50" s="916"/>
      <c r="S50" s="916"/>
      <c r="T50" s="916"/>
      <c r="U50" s="916"/>
      <c r="V50" s="916"/>
      <c r="W50" s="916"/>
      <c r="X50" s="916"/>
      <c r="Y50" s="916"/>
      <c r="Z50" s="317"/>
      <c r="AA50" s="902"/>
      <c r="AB50" s="902"/>
      <c r="AC50" s="902"/>
      <c r="AD50" s="916"/>
      <c r="AE50" s="916"/>
      <c r="AF50" s="902"/>
      <c r="AG50" s="916"/>
      <c r="AH50" s="902"/>
      <c r="AI50" s="902"/>
      <c r="AJ50" s="939"/>
      <c r="AK50" s="902"/>
      <c r="AL50" s="902"/>
      <c r="AM50" s="902"/>
      <c r="AN50" s="902"/>
      <c r="AO50" s="902"/>
      <c r="AP50" s="902"/>
      <c r="AQ50" s="902"/>
      <c r="AR50" s="902"/>
      <c r="AS50" s="902"/>
      <c r="AT50" s="916"/>
      <c r="AU50" s="916"/>
      <c r="AV50" s="916"/>
      <c r="AW50" s="916"/>
      <c r="AX50" s="916"/>
      <c r="AY50" s="916"/>
      <c r="AZ50" s="916"/>
      <c r="BA50" s="916"/>
      <c r="BB50" s="916"/>
      <c r="BC50" s="309"/>
      <c r="BD50" s="309"/>
    </row>
    <row r="51" spans="1:56" ht="15" customHeight="1" x14ac:dyDescent="0.25">
      <c r="A51" s="309"/>
      <c r="B51" s="884"/>
      <c r="C51" s="860"/>
      <c r="D51" s="911"/>
      <c r="E51" s="911"/>
      <c r="F51" s="911"/>
      <c r="G51" s="911"/>
      <c r="H51" s="911"/>
      <c r="I51" s="911"/>
      <c r="J51" s="911"/>
      <c r="K51" s="922"/>
      <c r="L51" s="938"/>
      <c r="M51" s="922"/>
      <c r="N51" s="902"/>
      <c r="O51" s="922"/>
      <c r="P51" s="916"/>
      <c r="Q51" s="916"/>
      <c r="R51" s="916"/>
      <c r="S51" s="916"/>
      <c r="T51" s="916"/>
      <c r="U51" s="916"/>
      <c r="V51" s="916"/>
      <c r="W51" s="916"/>
      <c r="X51" s="916"/>
      <c r="Y51" s="916"/>
      <c r="Z51" s="902"/>
      <c r="AA51" s="902"/>
      <c r="AB51" s="902"/>
      <c r="AC51" s="902"/>
      <c r="AD51" s="902"/>
      <c r="AE51" s="902"/>
      <c r="AF51" s="902"/>
      <c r="AG51" s="902"/>
      <c r="AH51" s="902"/>
      <c r="AI51" s="902"/>
      <c r="AJ51" s="939"/>
      <c r="AK51" s="902"/>
      <c r="AL51" s="902"/>
      <c r="AM51" s="902"/>
      <c r="AN51" s="902"/>
      <c r="AO51" s="902"/>
      <c r="AP51" s="902"/>
      <c r="AQ51" s="902"/>
      <c r="AR51" s="902"/>
      <c r="AS51" s="902"/>
      <c r="AT51" s="916"/>
      <c r="AU51" s="916"/>
      <c r="AV51" s="916"/>
      <c r="AW51" s="916"/>
      <c r="AX51" s="916"/>
      <c r="AY51" s="916"/>
      <c r="AZ51" s="916"/>
      <c r="BA51" s="916"/>
      <c r="BB51" s="916"/>
      <c r="BC51" s="309"/>
      <c r="BD51" s="309"/>
    </row>
    <row r="52" spans="1:56" ht="15" customHeight="1" x14ac:dyDescent="0.25">
      <c r="A52" s="309"/>
      <c r="B52" s="884"/>
      <c r="C52" s="911"/>
      <c r="D52" s="911"/>
      <c r="E52" s="911"/>
      <c r="F52" s="911"/>
      <c r="G52" s="911"/>
      <c r="H52" s="911"/>
      <c r="I52" s="911"/>
      <c r="J52" s="911"/>
      <c r="K52" s="922"/>
      <c r="L52" s="938"/>
      <c r="M52" s="922"/>
      <c r="N52" s="902"/>
      <c r="O52" s="922"/>
      <c r="P52" s="916"/>
      <c r="Q52" s="916"/>
      <c r="R52" s="916"/>
      <c r="S52" s="916"/>
      <c r="T52" s="916"/>
      <c r="U52" s="916"/>
      <c r="V52" s="916"/>
      <c r="W52" s="916"/>
      <c r="X52" s="916"/>
      <c r="Y52" s="916"/>
      <c r="Z52" s="317"/>
      <c r="AA52" s="712"/>
      <c r="AB52" s="712"/>
      <c r="AC52" s="712"/>
      <c r="AD52" s="712"/>
      <c r="AE52" s="712"/>
      <c r="AF52" s="902"/>
      <c r="AG52" s="902"/>
      <c r="AH52" s="902"/>
      <c r="AI52" s="902"/>
      <c r="AJ52" s="939"/>
      <c r="AK52" s="902"/>
      <c r="AL52" s="902"/>
      <c r="AM52" s="902"/>
      <c r="AN52" s="902"/>
      <c r="AO52" s="902"/>
      <c r="AP52" s="902"/>
      <c r="AQ52" s="902"/>
      <c r="AR52" s="902"/>
      <c r="AS52" s="902"/>
      <c r="AT52" s="916"/>
      <c r="AU52" s="916"/>
      <c r="AV52" s="916"/>
      <c r="AW52" s="916"/>
      <c r="AX52" s="916"/>
      <c r="AY52" s="916"/>
      <c r="AZ52" s="916"/>
      <c r="BA52" s="916"/>
      <c r="BB52" s="916"/>
      <c r="BC52" s="309"/>
      <c r="BD52" s="309"/>
    </row>
    <row r="53" spans="1:56" ht="15" customHeight="1" x14ac:dyDescent="0.25">
      <c r="A53" s="309"/>
      <c r="B53" s="712"/>
      <c r="C53" s="911"/>
      <c r="D53" s="911"/>
      <c r="E53" s="911"/>
      <c r="F53" s="911"/>
      <c r="G53" s="911"/>
      <c r="H53" s="911"/>
      <c r="I53" s="911"/>
      <c r="J53" s="911"/>
      <c r="K53" s="922"/>
      <c r="L53" s="938"/>
      <c r="M53" s="922"/>
      <c r="N53" s="902"/>
      <c r="O53" s="922"/>
      <c r="P53" s="916"/>
      <c r="Q53" s="916"/>
      <c r="R53" s="916"/>
      <c r="S53" s="916"/>
      <c r="T53" s="916"/>
      <c r="U53" s="916"/>
      <c r="V53" s="916"/>
      <c r="W53" s="916"/>
      <c r="X53" s="916"/>
      <c r="Y53" s="916"/>
      <c r="Z53" s="902"/>
      <c r="AA53" s="902"/>
      <c r="AB53" s="916"/>
      <c r="AC53" s="902"/>
      <c r="AD53" s="902"/>
      <c r="AE53" s="916"/>
      <c r="AF53" s="916"/>
      <c r="AG53" s="916"/>
      <c r="AH53" s="902"/>
      <c r="AI53" s="902"/>
      <c r="AJ53" s="939"/>
      <c r="AK53" s="902"/>
      <c r="AL53" s="902"/>
      <c r="AM53" s="902"/>
      <c r="AN53" s="902"/>
      <c r="AO53" s="902"/>
      <c r="AP53" s="902"/>
      <c r="AQ53" s="902"/>
      <c r="AR53" s="902"/>
      <c r="AS53" s="902"/>
      <c r="AT53" s="916"/>
      <c r="AU53" s="916"/>
      <c r="AV53" s="916"/>
      <c r="AW53" s="916"/>
      <c r="AX53" s="916"/>
      <c r="AY53" s="916"/>
      <c r="AZ53" s="916"/>
      <c r="BA53" s="916"/>
      <c r="BB53" s="916"/>
      <c r="BC53" s="309"/>
      <c r="BD53" s="309"/>
    </row>
    <row r="54" spans="1:56" ht="15" customHeight="1" x14ac:dyDescent="0.25">
      <c r="A54" s="309"/>
      <c r="B54" s="712"/>
      <c r="C54" s="911"/>
      <c r="D54" s="911"/>
      <c r="E54" s="911"/>
      <c r="F54" s="911"/>
      <c r="G54" s="911"/>
      <c r="H54" s="911"/>
      <c r="I54" s="911"/>
      <c r="J54" s="860"/>
      <c r="K54" s="922"/>
      <c r="L54" s="938"/>
      <c r="M54" s="922"/>
      <c r="N54" s="902"/>
      <c r="O54" s="922"/>
      <c r="P54" s="916"/>
      <c r="Q54" s="916"/>
      <c r="R54" s="916"/>
      <c r="S54" s="916"/>
      <c r="T54" s="916"/>
      <c r="U54" s="916"/>
      <c r="V54" s="916"/>
      <c r="W54" s="916"/>
      <c r="X54" s="916"/>
      <c r="Y54" s="916"/>
      <c r="Z54" s="902"/>
      <c r="AA54" s="916"/>
      <c r="AB54" s="902"/>
      <c r="AC54" s="916"/>
      <c r="AD54" s="902"/>
      <c r="AE54" s="902"/>
      <c r="AF54" s="902"/>
      <c r="AG54" s="902"/>
      <c r="AH54" s="902"/>
      <c r="AI54" s="902"/>
      <c r="AJ54" s="939"/>
      <c r="AK54" s="902"/>
      <c r="AL54" s="902"/>
      <c r="AM54" s="902"/>
      <c r="AN54" s="902"/>
      <c r="AO54" s="902"/>
      <c r="AP54" s="902"/>
      <c r="AQ54" s="902"/>
      <c r="AR54" s="902"/>
      <c r="AS54" s="902"/>
      <c r="AT54" s="916"/>
      <c r="AU54" s="916"/>
      <c r="AV54" s="916"/>
      <c r="AW54" s="916"/>
      <c r="AX54" s="916"/>
      <c r="AY54" s="916"/>
      <c r="AZ54" s="916"/>
      <c r="BA54" s="916"/>
      <c r="BB54" s="916"/>
      <c r="BC54" s="309"/>
      <c r="BD54" s="309"/>
    </row>
    <row r="55" spans="1:56" ht="15" customHeight="1" x14ac:dyDescent="0.25">
      <c r="A55" s="309"/>
      <c r="B55" s="712"/>
      <c r="C55" s="911"/>
      <c r="D55" s="911"/>
      <c r="E55" s="911"/>
      <c r="F55" s="911"/>
      <c r="G55" s="911"/>
      <c r="H55" s="911"/>
      <c r="I55" s="911"/>
      <c r="J55" s="860"/>
      <c r="K55" s="922"/>
      <c r="L55" s="938"/>
      <c r="M55" s="922"/>
      <c r="N55" s="902"/>
      <c r="O55" s="922"/>
      <c r="P55" s="916"/>
      <c r="Q55" s="916"/>
      <c r="R55" s="916"/>
      <c r="S55" s="916"/>
      <c r="T55" s="916"/>
      <c r="U55" s="916"/>
      <c r="V55" s="916"/>
      <c r="W55" s="916"/>
      <c r="X55" s="916"/>
      <c r="Y55" s="916"/>
      <c r="Z55" s="902"/>
      <c r="AA55" s="902"/>
      <c r="AB55" s="916"/>
      <c r="AC55" s="902"/>
      <c r="AD55" s="916"/>
      <c r="AE55" s="902"/>
      <c r="AF55" s="902"/>
      <c r="AG55" s="902"/>
      <c r="AH55" s="916"/>
      <c r="AI55" s="902"/>
      <c r="AJ55" s="939"/>
      <c r="AK55" s="902"/>
      <c r="AL55" s="902"/>
      <c r="AM55" s="902"/>
      <c r="AN55" s="902"/>
      <c r="AO55" s="902"/>
      <c r="AP55" s="902"/>
      <c r="AQ55" s="902"/>
      <c r="AR55" s="902"/>
      <c r="AS55" s="902"/>
      <c r="AT55" s="916"/>
      <c r="AU55" s="916"/>
      <c r="AV55" s="916"/>
      <c r="AW55" s="916"/>
      <c r="AX55" s="916"/>
      <c r="AY55" s="916"/>
      <c r="AZ55" s="916"/>
      <c r="BA55" s="916"/>
      <c r="BB55" s="916"/>
      <c r="BC55" s="309"/>
      <c r="BD55" s="309"/>
    </row>
    <row r="56" spans="1:56" ht="15" customHeight="1" x14ac:dyDescent="0.25">
      <c r="A56" s="309"/>
      <c r="B56" s="712"/>
      <c r="C56" s="911"/>
      <c r="D56" s="911"/>
      <c r="E56" s="911"/>
      <c r="F56" s="911"/>
      <c r="G56" s="911"/>
      <c r="H56" s="911"/>
      <c r="I56" s="860"/>
      <c r="J56" s="911"/>
      <c r="K56" s="922"/>
      <c r="L56" s="938"/>
      <c r="M56" s="922"/>
      <c r="N56" s="902"/>
      <c r="O56" s="922"/>
      <c r="P56" s="916"/>
      <c r="Q56" s="916"/>
      <c r="R56" s="916"/>
      <c r="S56" s="916"/>
      <c r="T56" s="916"/>
      <c r="U56" s="916"/>
      <c r="V56" s="916"/>
      <c r="W56" s="916"/>
      <c r="X56" s="916"/>
      <c r="Y56" s="916"/>
      <c r="Z56" s="902"/>
      <c r="AA56" s="902"/>
      <c r="AB56" s="902"/>
      <c r="AC56" s="916"/>
      <c r="AD56" s="916"/>
      <c r="AE56" s="902"/>
      <c r="AF56" s="916"/>
      <c r="AG56" s="902"/>
      <c r="AH56" s="902"/>
      <c r="AI56" s="902"/>
      <c r="AJ56" s="939"/>
      <c r="AK56" s="902"/>
      <c r="AL56" s="902"/>
      <c r="AM56" s="902"/>
      <c r="AN56" s="902"/>
      <c r="AO56" s="902"/>
      <c r="AP56" s="902"/>
      <c r="AQ56" s="902"/>
      <c r="AR56" s="902"/>
      <c r="AS56" s="902"/>
      <c r="AT56" s="916"/>
      <c r="AU56" s="916"/>
      <c r="AV56" s="916"/>
      <c r="AW56" s="916"/>
      <c r="AX56" s="916"/>
      <c r="AY56" s="916"/>
      <c r="AZ56" s="916"/>
      <c r="BA56" s="916"/>
      <c r="BB56" s="916"/>
      <c r="BC56" s="309"/>
      <c r="BD56" s="309"/>
    </row>
    <row r="57" spans="1:56" ht="15" customHeight="1" x14ac:dyDescent="0.25">
      <c r="A57" s="309"/>
      <c r="B57" s="712"/>
      <c r="C57" s="911"/>
      <c r="D57" s="911"/>
      <c r="E57" s="911"/>
      <c r="F57" s="911"/>
      <c r="G57" s="911"/>
      <c r="H57" s="860"/>
      <c r="I57" s="911"/>
      <c r="J57" s="911"/>
      <c r="K57" s="922"/>
      <c r="L57" s="938"/>
      <c r="M57" s="922"/>
      <c r="N57" s="902"/>
      <c r="O57" s="922"/>
      <c r="P57" s="916"/>
      <c r="Q57" s="916"/>
      <c r="R57" s="916"/>
      <c r="S57" s="916"/>
      <c r="T57" s="916"/>
      <c r="U57" s="916"/>
      <c r="V57" s="916"/>
      <c r="W57" s="916"/>
      <c r="X57" s="916"/>
      <c r="Y57" s="916"/>
      <c r="Z57" s="902"/>
      <c r="AA57" s="902"/>
      <c r="AB57" s="902"/>
      <c r="AC57" s="902"/>
      <c r="AD57" s="902"/>
      <c r="AE57" s="916"/>
      <c r="AF57" s="902"/>
      <c r="AG57" s="902"/>
      <c r="AH57" s="902"/>
      <c r="AI57" s="902"/>
      <c r="AJ57" s="939"/>
      <c r="AK57" s="902"/>
      <c r="AL57" s="902"/>
      <c r="AM57" s="902"/>
      <c r="AN57" s="902"/>
      <c r="AO57" s="902"/>
      <c r="AP57" s="902"/>
      <c r="AQ57" s="902"/>
      <c r="AR57" s="902"/>
      <c r="AS57" s="902"/>
      <c r="AT57" s="916"/>
      <c r="AU57" s="916"/>
      <c r="AV57" s="916"/>
      <c r="AW57" s="916"/>
      <c r="AX57" s="916"/>
      <c r="AY57" s="916"/>
      <c r="AZ57" s="916"/>
      <c r="BA57" s="916"/>
      <c r="BB57" s="916"/>
      <c r="BC57" s="309"/>
      <c r="BD57" s="309"/>
    </row>
    <row r="58" spans="1:56" ht="15" customHeight="1" x14ac:dyDescent="0.25">
      <c r="A58" s="309"/>
      <c r="B58" s="712"/>
      <c r="C58" s="911"/>
      <c r="D58" s="911"/>
      <c r="E58" s="911"/>
      <c r="F58" s="911"/>
      <c r="G58" s="860"/>
      <c r="H58" s="911"/>
      <c r="I58" s="911"/>
      <c r="J58" s="911"/>
      <c r="K58" s="922"/>
      <c r="L58" s="938"/>
      <c r="M58" s="922"/>
      <c r="N58" s="902"/>
      <c r="O58" s="922"/>
      <c r="P58" s="916"/>
      <c r="Q58" s="916"/>
      <c r="R58" s="916"/>
      <c r="S58" s="916"/>
      <c r="T58" s="916"/>
      <c r="U58" s="916"/>
      <c r="V58" s="916"/>
      <c r="W58" s="916"/>
      <c r="X58" s="916"/>
      <c r="Y58" s="916"/>
      <c r="Z58" s="317"/>
      <c r="AA58" s="902"/>
      <c r="AB58" s="902"/>
      <c r="AC58" s="902"/>
      <c r="AD58" s="902"/>
      <c r="AE58" s="902"/>
      <c r="AF58" s="902"/>
      <c r="AG58" s="916"/>
      <c r="AH58" s="902"/>
      <c r="AI58" s="902"/>
      <c r="AJ58" s="939"/>
      <c r="AK58" s="902"/>
      <c r="AL58" s="902"/>
      <c r="AM58" s="902"/>
      <c r="AN58" s="902"/>
      <c r="AO58" s="902"/>
      <c r="AP58" s="902"/>
      <c r="AQ58" s="902"/>
      <c r="AR58" s="902"/>
      <c r="AS58" s="902"/>
      <c r="AT58" s="916"/>
      <c r="AU58" s="916"/>
      <c r="AV58" s="916"/>
      <c r="AW58" s="916"/>
      <c r="AX58" s="916"/>
      <c r="AY58" s="916"/>
      <c r="AZ58" s="916"/>
      <c r="BA58" s="916"/>
      <c r="BB58" s="916"/>
      <c r="BC58" s="309"/>
      <c r="BD58" s="309"/>
    </row>
    <row r="59" spans="1:56" ht="15" customHeight="1" x14ac:dyDescent="0.25">
      <c r="A59" s="309"/>
      <c r="B59" s="712"/>
      <c r="C59" s="911"/>
      <c r="D59" s="911"/>
      <c r="E59" s="911"/>
      <c r="F59" s="860"/>
      <c r="G59" s="911"/>
      <c r="H59" s="911"/>
      <c r="I59" s="911"/>
      <c r="J59" s="911"/>
      <c r="K59" s="922"/>
      <c r="L59" s="938"/>
      <c r="M59" s="922"/>
      <c r="N59" s="902"/>
      <c r="O59" s="922"/>
      <c r="P59" s="916"/>
      <c r="Q59" s="916"/>
      <c r="R59" s="916"/>
      <c r="S59" s="916"/>
      <c r="T59" s="916"/>
      <c r="U59" s="916"/>
      <c r="V59" s="916"/>
      <c r="W59" s="916"/>
      <c r="X59" s="916"/>
      <c r="Y59" s="916"/>
      <c r="Z59" s="902"/>
      <c r="AA59" s="916"/>
      <c r="AB59" s="902"/>
      <c r="AC59" s="902"/>
      <c r="AD59" s="902"/>
      <c r="AE59" s="916"/>
      <c r="AF59" s="902"/>
      <c r="AG59" s="902"/>
      <c r="AH59" s="916"/>
      <c r="AI59" s="902"/>
      <c r="AJ59" s="939"/>
      <c r="AK59" s="902"/>
      <c r="AL59" s="902"/>
      <c r="AM59" s="902"/>
      <c r="AN59" s="902"/>
      <c r="AO59" s="902"/>
      <c r="AP59" s="902"/>
      <c r="AQ59" s="902"/>
      <c r="AR59" s="902"/>
      <c r="AS59" s="902"/>
      <c r="AT59" s="916"/>
      <c r="AU59" s="916"/>
      <c r="AV59" s="916"/>
      <c r="AW59" s="916"/>
      <c r="AX59" s="916"/>
      <c r="AY59" s="916"/>
      <c r="AZ59" s="916"/>
      <c r="BA59" s="916"/>
      <c r="BB59" s="916"/>
      <c r="BC59" s="309"/>
      <c r="BD59" s="309"/>
    </row>
    <row r="60" spans="1:56" ht="15" customHeight="1" x14ac:dyDescent="0.25">
      <c r="A60" s="309"/>
      <c r="B60" s="712"/>
      <c r="C60" s="911"/>
      <c r="D60" s="911"/>
      <c r="E60" s="860"/>
      <c r="F60" s="911"/>
      <c r="G60" s="911"/>
      <c r="H60" s="911"/>
      <c r="I60" s="911"/>
      <c r="J60" s="911"/>
      <c r="K60" s="922"/>
      <c r="L60" s="938"/>
      <c r="M60" s="922"/>
      <c r="N60" s="902"/>
      <c r="O60" s="922"/>
      <c r="P60" s="916"/>
      <c r="Q60" s="916"/>
      <c r="R60" s="916"/>
      <c r="S60" s="916"/>
      <c r="T60" s="916"/>
      <c r="U60" s="916"/>
      <c r="V60" s="916"/>
      <c r="W60" s="916"/>
      <c r="X60" s="916"/>
      <c r="Y60" s="916"/>
      <c r="Z60" s="902"/>
      <c r="AA60" s="902"/>
      <c r="AB60" s="916"/>
      <c r="AC60" s="902"/>
      <c r="AD60" s="902"/>
      <c r="AE60" s="902"/>
      <c r="AF60" s="902"/>
      <c r="AG60" s="902"/>
      <c r="AH60" s="902"/>
      <c r="AI60" s="902"/>
      <c r="AJ60" s="939"/>
      <c r="AK60" s="902"/>
      <c r="AL60" s="902"/>
      <c r="AM60" s="902"/>
      <c r="AN60" s="902"/>
      <c r="AO60" s="902"/>
      <c r="AP60" s="902"/>
      <c r="AQ60" s="902"/>
      <c r="AR60" s="902"/>
      <c r="AS60" s="902"/>
      <c r="AT60" s="916"/>
      <c r="AU60" s="916"/>
      <c r="AV60" s="916"/>
      <c r="AW60" s="916"/>
      <c r="AX60" s="916"/>
      <c r="AY60" s="916"/>
      <c r="AZ60" s="916"/>
      <c r="BA60" s="916"/>
      <c r="BB60" s="916"/>
      <c r="BC60" s="309"/>
      <c r="BD60" s="309"/>
    </row>
    <row r="61" spans="1:56" ht="15" customHeight="1" x14ac:dyDescent="0.25">
      <c r="A61" s="309"/>
      <c r="B61" s="712"/>
      <c r="C61" s="911"/>
      <c r="D61" s="860"/>
      <c r="E61" s="911"/>
      <c r="F61" s="911"/>
      <c r="G61" s="911"/>
      <c r="H61" s="911"/>
      <c r="I61" s="911"/>
      <c r="J61" s="911"/>
      <c r="K61" s="922"/>
      <c r="L61" s="938"/>
      <c r="M61" s="922"/>
      <c r="N61" s="902"/>
      <c r="O61" s="922"/>
      <c r="P61" s="916"/>
      <c r="Q61" s="916"/>
      <c r="R61" s="916"/>
      <c r="S61" s="916"/>
      <c r="T61" s="916"/>
      <c r="U61" s="916"/>
      <c r="V61" s="916"/>
      <c r="W61" s="916"/>
      <c r="X61" s="916"/>
      <c r="Y61" s="916"/>
      <c r="Z61" s="902"/>
      <c r="AA61" s="902"/>
      <c r="AB61" s="902"/>
      <c r="AC61" s="916"/>
      <c r="AD61" s="916"/>
      <c r="AE61" s="902"/>
      <c r="AF61" s="916"/>
      <c r="AG61" s="916"/>
      <c r="AH61" s="902"/>
      <c r="AI61" s="902"/>
      <c r="AJ61" s="939"/>
      <c r="AK61" s="902"/>
      <c r="AL61" s="902"/>
      <c r="AM61" s="902"/>
      <c r="AN61" s="902"/>
      <c r="AO61" s="902"/>
      <c r="AP61" s="902"/>
      <c r="AQ61" s="902"/>
      <c r="AR61" s="902"/>
      <c r="AS61" s="902"/>
      <c r="AT61" s="916"/>
      <c r="AU61" s="916"/>
      <c r="AV61" s="916"/>
      <c r="AW61" s="916"/>
      <c r="AX61" s="916"/>
      <c r="AY61" s="916"/>
      <c r="AZ61" s="916"/>
      <c r="BA61" s="916"/>
      <c r="BB61" s="916"/>
      <c r="BC61" s="309"/>
      <c r="BD61" s="309"/>
    </row>
    <row r="62" spans="1:56" ht="15" customHeight="1" x14ac:dyDescent="0.25">
      <c r="A62" s="309"/>
      <c r="B62" s="884"/>
      <c r="C62" s="860"/>
      <c r="D62" s="911"/>
      <c r="E62" s="911"/>
      <c r="F62" s="911"/>
      <c r="G62" s="911"/>
      <c r="H62" s="911"/>
      <c r="I62" s="911"/>
      <c r="J62" s="911"/>
      <c r="K62" s="922"/>
      <c r="L62" s="938"/>
      <c r="M62" s="922"/>
      <c r="N62" s="902"/>
      <c r="O62" s="922"/>
      <c r="P62" s="916"/>
      <c r="Q62" s="916"/>
      <c r="R62" s="916"/>
      <c r="S62" s="916"/>
      <c r="T62" s="916"/>
      <c r="U62" s="916"/>
      <c r="V62" s="916"/>
      <c r="W62" s="916"/>
      <c r="X62" s="916"/>
      <c r="Y62" s="916"/>
      <c r="Z62" s="317"/>
      <c r="AA62" s="902"/>
      <c r="AB62" s="902"/>
      <c r="AC62" s="902"/>
      <c r="AD62" s="902"/>
      <c r="AE62" s="902"/>
      <c r="AF62" s="916"/>
      <c r="AG62" s="902"/>
      <c r="AH62" s="902"/>
      <c r="AI62" s="902"/>
      <c r="AJ62" s="939"/>
      <c r="AK62" s="902"/>
      <c r="AL62" s="902"/>
      <c r="AM62" s="902"/>
      <c r="AN62" s="902"/>
      <c r="AO62" s="902"/>
      <c r="AP62" s="902"/>
      <c r="AQ62" s="902"/>
      <c r="AR62" s="902"/>
      <c r="AS62" s="902"/>
      <c r="AT62" s="916"/>
      <c r="AU62" s="916"/>
      <c r="AV62" s="916"/>
      <c r="AW62" s="916"/>
      <c r="AX62" s="916"/>
      <c r="AY62" s="916"/>
      <c r="AZ62" s="916"/>
      <c r="BA62" s="916"/>
      <c r="BB62" s="916"/>
      <c r="BC62" s="309"/>
      <c r="BD62" s="309"/>
    </row>
    <row r="63" spans="1:56" ht="15" customHeight="1" x14ac:dyDescent="0.25">
      <c r="A63" s="309"/>
      <c r="B63" s="712"/>
      <c r="C63" s="911"/>
      <c r="D63" s="911"/>
      <c r="E63" s="911"/>
      <c r="F63" s="911"/>
      <c r="G63" s="911"/>
      <c r="H63" s="911"/>
      <c r="I63" s="911"/>
      <c r="J63" s="860"/>
      <c r="K63" s="922"/>
      <c r="L63" s="938"/>
      <c r="M63" s="922"/>
      <c r="N63" s="902"/>
      <c r="O63" s="922"/>
      <c r="P63" s="916"/>
      <c r="Q63" s="916"/>
      <c r="R63" s="916"/>
      <c r="S63" s="916"/>
      <c r="T63" s="916"/>
      <c r="U63" s="916"/>
      <c r="V63" s="916"/>
      <c r="W63" s="916"/>
      <c r="X63" s="916"/>
      <c r="Y63" s="916"/>
      <c r="Z63" s="902"/>
      <c r="AA63" s="916"/>
      <c r="AB63" s="902"/>
      <c r="AC63" s="902"/>
      <c r="AD63" s="902"/>
      <c r="AE63" s="916"/>
      <c r="AF63" s="902"/>
      <c r="AG63" s="902"/>
      <c r="AH63" s="916"/>
      <c r="AI63" s="902"/>
      <c r="AJ63" s="939"/>
      <c r="AK63" s="902"/>
      <c r="AL63" s="902"/>
      <c r="AM63" s="902"/>
      <c r="AN63" s="902"/>
      <c r="AO63" s="902"/>
      <c r="AP63" s="902"/>
      <c r="AQ63" s="902"/>
      <c r="AR63" s="902"/>
      <c r="AS63" s="902"/>
      <c r="AT63" s="916"/>
      <c r="AU63" s="916"/>
      <c r="AV63" s="916"/>
      <c r="AW63" s="916"/>
      <c r="AX63" s="916"/>
      <c r="AY63" s="916"/>
      <c r="AZ63" s="916"/>
      <c r="BA63" s="916"/>
      <c r="BB63" s="916"/>
      <c r="BC63" s="309"/>
      <c r="BD63" s="309"/>
    </row>
    <row r="64" spans="1:56" ht="15" customHeight="1" x14ac:dyDescent="0.25">
      <c r="A64" s="309"/>
      <c r="B64" s="884"/>
      <c r="C64" s="911"/>
      <c r="D64" s="911"/>
      <c r="E64" s="911"/>
      <c r="F64" s="911"/>
      <c r="G64" s="911"/>
      <c r="H64" s="911"/>
      <c r="I64" s="911"/>
      <c r="J64" s="911"/>
      <c r="K64" s="922"/>
      <c r="L64" s="938"/>
      <c r="M64" s="922"/>
      <c r="N64" s="902"/>
      <c r="O64" s="922"/>
      <c r="P64" s="916"/>
      <c r="Q64" s="916"/>
      <c r="R64" s="916"/>
      <c r="S64" s="916"/>
      <c r="T64" s="916"/>
      <c r="U64" s="916"/>
      <c r="V64" s="916"/>
      <c r="W64" s="916"/>
      <c r="X64" s="916"/>
      <c r="Y64" s="916"/>
      <c r="Z64" s="902"/>
      <c r="AA64" s="902"/>
      <c r="AB64" s="916"/>
      <c r="AC64" s="916"/>
      <c r="AD64" s="902"/>
      <c r="AE64" s="902"/>
      <c r="AF64" s="902"/>
      <c r="AG64" s="902"/>
      <c r="AH64" s="902"/>
      <c r="AI64" s="902"/>
      <c r="AJ64" s="939"/>
      <c r="AK64" s="902"/>
      <c r="AL64" s="902"/>
      <c r="AM64" s="902"/>
      <c r="AN64" s="902"/>
      <c r="AO64" s="902"/>
      <c r="AP64" s="902"/>
      <c r="AQ64" s="902"/>
      <c r="AR64" s="902"/>
      <c r="AS64" s="902"/>
      <c r="AT64" s="916"/>
      <c r="AU64" s="916"/>
      <c r="AV64" s="916"/>
      <c r="AW64" s="916"/>
      <c r="AX64" s="916"/>
      <c r="AY64" s="916"/>
      <c r="AZ64" s="916"/>
      <c r="BA64" s="916"/>
      <c r="BB64" s="916"/>
      <c r="BC64" s="309"/>
      <c r="BD64" s="309"/>
    </row>
    <row r="65" spans="1:56" ht="15" customHeight="1" x14ac:dyDescent="0.25">
      <c r="A65" s="309"/>
      <c r="B65" s="712"/>
      <c r="C65" s="911"/>
      <c r="D65" s="911"/>
      <c r="E65" s="911"/>
      <c r="F65" s="911"/>
      <c r="G65" s="911"/>
      <c r="H65" s="911"/>
      <c r="I65" s="860"/>
      <c r="J65" s="911"/>
      <c r="K65" s="922"/>
      <c r="L65" s="938"/>
      <c r="M65" s="922"/>
      <c r="N65" s="902"/>
      <c r="O65" s="922"/>
      <c r="P65" s="916"/>
      <c r="Q65" s="916"/>
      <c r="R65" s="916"/>
      <c r="S65" s="916"/>
      <c r="T65" s="916"/>
      <c r="U65" s="916"/>
      <c r="V65" s="916"/>
      <c r="W65" s="916"/>
      <c r="X65" s="916"/>
      <c r="Y65" s="916"/>
      <c r="Z65" s="902"/>
      <c r="AA65" s="902"/>
      <c r="AB65" s="902"/>
      <c r="AC65" s="902"/>
      <c r="AD65" s="916"/>
      <c r="AE65" s="902"/>
      <c r="AF65" s="902"/>
      <c r="AG65" s="916"/>
      <c r="AH65" s="902"/>
      <c r="AI65" s="902"/>
      <c r="AJ65" s="939"/>
      <c r="AK65" s="902"/>
      <c r="AL65" s="902"/>
      <c r="AM65" s="902"/>
      <c r="AN65" s="902"/>
      <c r="AO65" s="902"/>
      <c r="AP65" s="902"/>
      <c r="AQ65" s="902"/>
      <c r="AR65" s="902"/>
      <c r="AS65" s="902"/>
      <c r="AT65" s="916"/>
      <c r="AU65" s="916"/>
      <c r="AV65" s="916"/>
      <c r="AW65" s="916"/>
      <c r="AX65" s="916"/>
      <c r="AY65" s="916"/>
      <c r="AZ65" s="916"/>
      <c r="BA65" s="916"/>
      <c r="BB65" s="916"/>
      <c r="BC65" s="309"/>
      <c r="BD65" s="309"/>
    </row>
    <row r="66" spans="1:56" ht="15" customHeight="1" x14ac:dyDescent="0.25">
      <c r="A66" s="309"/>
      <c r="B66" s="712"/>
      <c r="C66" s="911"/>
      <c r="D66" s="911"/>
      <c r="E66" s="911"/>
      <c r="F66" s="911"/>
      <c r="G66" s="911"/>
      <c r="H66" s="860"/>
      <c r="I66" s="911"/>
      <c r="J66" s="911"/>
      <c r="K66" s="922"/>
      <c r="L66" s="938"/>
      <c r="M66" s="922"/>
      <c r="N66" s="902"/>
      <c r="O66" s="922"/>
      <c r="P66" s="916"/>
      <c r="Q66" s="916"/>
      <c r="R66" s="916"/>
      <c r="S66" s="916"/>
      <c r="T66" s="916"/>
      <c r="U66" s="916"/>
      <c r="V66" s="916"/>
      <c r="W66" s="916"/>
      <c r="X66" s="916"/>
      <c r="Y66" s="916"/>
      <c r="Z66" s="902"/>
      <c r="AA66" s="902"/>
      <c r="AB66" s="902"/>
      <c r="AC66" s="902"/>
      <c r="AD66" s="902"/>
      <c r="AE66" s="902"/>
      <c r="AF66" s="902"/>
      <c r="AG66" s="902"/>
      <c r="AH66" s="916"/>
      <c r="AI66" s="902"/>
      <c r="AJ66" s="939"/>
      <c r="AK66" s="902"/>
      <c r="AL66" s="902"/>
      <c r="AM66" s="902"/>
      <c r="AN66" s="902"/>
      <c r="AO66" s="902"/>
      <c r="AP66" s="902"/>
      <c r="AQ66" s="902"/>
      <c r="AR66" s="902"/>
      <c r="AS66" s="902"/>
      <c r="AT66" s="916"/>
      <c r="AU66" s="916"/>
      <c r="AV66" s="916"/>
      <c r="AW66" s="916"/>
      <c r="AX66" s="916"/>
      <c r="AY66" s="916"/>
      <c r="AZ66" s="916"/>
      <c r="BA66" s="916"/>
      <c r="BB66" s="916"/>
      <c r="BC66" s="309"/>
      <c r="BD66" s="309"/>
    </row>
    <row r="67" spans="1:56" ht="15" customHeight="1" x14ac:dyDescent="0.25">
      <c r="A67" s="309"/>
      <c r="B67" s="712"/>
      <c r="C67" s="911"/>
      <c r="D67" s="911"/>
      <c r="E67" s="911"/>
      <c r="F67" s="911"/>
      <c r="G67" s="860"/>
      <c r="H67" s="911"/>
      <c r="I67" s="911"/>
      <c r="J67" s="911"/>
      <c r="K67" s="922"/>
      <c r="L67" s="938"/>
      <c r="M67" s="922"/>
      <c r="N67" s="902"/>
      <c r="O67" s="922"/>
      <c r="P67" s="916"/>
      <c r="Q67" s="916"/>
      <c r="R67" s="916"/>
      <c r="S67" s="916"/>
      <c r="T67" s="916"/>
      <c r="U67" s="916"/>
      <c r="V67" s="916"/>
      <c r="W67" s="916"/>
      <c r="X67" s="916"/>
      <c r="Y67" s="916"/>
      <c r="Z67" s="317"/>
      <c r="AA67" s="902"/>
      <c r="AB67" s="902"/>
      <c r="AC67" s="902"/>
      <c r="AD67" s="902"/>
      <c r="AE67" s="902"/>
      <c r="AF67" s="916"/>
      <c r="AG67" s="317"/>
      <c r="AH67" s="902"/>
      <c r="AI67" s="902"/>
      <c r="AJ67" s="939"/>
      <c r="AK67" s="902"/>
      <c r="AL67" s="902"/>
      <c r="AM67" s="902"/>
      <c r="AN67" s="902"/>
      <c r="AO67" s="902"/>
      <c r="AP67" s="902"/>
      <c r="AQ67" s="902"/>
      <c r="AR67" s="902"/>
      <c r="AS67" s="902"/>
      <c r="AT67" s="916"/>
      <c r="AU67" s="916"/>
      <c r="AV67" s="916"/>
      <c r="AW67" s="916"/>
      <c r="AX67" s="916"/>
      <c r="AY67" s="916"/>
      <c r="AZ67" s="916"/>
      <c r="BA67" s="916"/>
      <c r="BB67" s="916"/>
      <c r="BC67" s="309"/>
      <c r="BD67" s="309"/>
    </row>
    <row r="68" spans="1:56" ht="15" customHeight="1" x14ac:dyDescent="0.25">
      <c r="A68" s="309"/>
      <c r="B68" s="712"/>
      <c r="C68" s="911"/>
      <c r="D68" s="911"/>
      <c r="E68" s="911"/>
      <c r="F68" s="860"/>
      <c r="G68" s="911"/>
      <c r="H68" s="911"/>
      <c r="I68" s="911"/>
      <c r="J68" s="911"/>
      <c r="K68" s="922"/>
      <c r="L68" s="938"/>
      <c r="M68" s="922"/>
      <c r="N68" s="902"/>
      <c r="O68" s="922"/>
      <c r="P68" s="916"/>
      <c r="Q68" s="916"/>
      <c r="R68" s="916"/>
      <c r="S68" s="916"/>
      <c r="T68" s="916"/>
      <c r="U68" s="916"/>
      <c r="V68" s="916"/>
      <c r="W68" s="916"/>
      <c r="X68" s="916"/>
      <c r="Y68" s="916"/>
      <c r="Z68" s="902"/>
      <c r="AA68" s="916"/>
      <c r="AB68" s="902"/>
      <c r="AC68" s="902"/>
      <c r="AD68" s="902"/>
      <c r="AE68" s="916"/>
      <c r="AF68" s="902"/>
      <c r="AG68" s="902"/>
      <c r="AH68" s="902"/>
      <c r="AI68" s="902"/>
      <c r="AJ68" s="939"/>
      <c r="AK68" s="902"/>
      <c r="AL68" s="902"/>
      <c r="AM68" s="902"/>
      <c r="AN68" s="902"/>
      <c r="AO68" s="902"/>
      <c r="AP68" s="902"/>
      <c r="AQ68" s="902"/>
      <c r="AR68" s="902"/>
      <c r="AS68" s="902"/>
      <c r="AT68" s="916"/>
      <c r="AU68" s="916"/>
      <c r="AV68" s="916"/>
      <c r="AW68" s="916"/>
      <c r="AX68" s="916"/>
      <c r="AY68" s="916"/>
      <c r="AZ68" s="916"/>
      <c r="BA68" s="916"/>
      <c r="BB68" s="916"/>
      <c r="BC68" s="309"/>
      <c r="BD68" s="309"/>
    </row>
    <row r="69" spans="1:56" ht="15" customHeight="1" x14ac:dyDescent="0.25">
      <c r="A69" s="309"/>
      <c r="B69" s="712"/>
      <c r="C69" s="911"/>
      <c r="D69" s="911"/>
      <c r="E69" s="860"/>
      <c r="F69" s="911"/>
      <c r="G69" s="911"/>
      <c r="H69" s="911"/>
      <c r="I69" s="911"/>
      <c r="J69" s="911"/>
      <c r="K69" s="922"/>
      <c r="L69" s="938"/>
      <c r="M69" s="922"/>
      <c r="N69" s="902"/>
      <c r="O69" s="922"/>
      <c r="P69" s="916"/>
      <c r="Q69" s="916"/>
      <c r="R69" s="916"/>
      <c r="S69" s="916"/>
      <c r="T69" s="916"/>
      <c r="U69" s="916"/>
      <c r="V69" s="916"/>
      <c r="W69" s="916"/>
      <c r="X69" s="916"/>
      <c r="Y69" s="916"/>
      <c r="Z69" s="902"/>
      <c r="AA69" s="902"/>
      <c r="AB69" s="916"/>
      <c r="AC69" s="902"/>
      <c r="AD69" s="902"/>
      <c r="AE69" s="902"/>
      <c r="AF69" s="902"/>
      <c r="AG69" s="902"/>
      <c r="AH69" s="902"/>
      <c r="AI69" s="902"/>
      <c r="AJ69" s="939"/>
      <c r="AK69" s="902"/>
      <c r="AL69" s="902"/>
      <c r="AM69" s="902"/>
      <c r="AN69" s="902"/>
      <c r="AO69" s="902"/>
      <c r="AP69" s="902"/>
      <c r="AQ69" s="902"/>
      <c r="AR69" s="902"/>
      <c r="AS69" s="902"/>
      <c r="AT69" s="916"/>
      <c r="AU69" s="916"/>
      <c r="AV69" s="916"/>
      <c r="AW69" s="916"/>
      <c r="AX69" s="916"/>
      <c r="AY69" s="916"/>
      <c r="AZ69" s="916"/>
      <c r="BA69" s="916"/>
      <c r="BB69" s="916"/>
      <c r="BC69" s="309"/>
      <c r="BD69" s="309"/>
    </row>
    <row r="70" spans="1:56" ht="15" customHeight="1" x14ac:dyDescent="0.25">
      <c r="A70" s="309"/>
      <c r="B70" s="712"/>
      <c r="C70" s="911"/>
      <c r="D70" s="860"/>
      <c r="E70" s="911"/>
      <c r="F70" s="911"/>
      <c r="G70" s="911"/>
      <c r="H70" s="911"/>
      <c r="I70" s="911"/>
      <c r="J70" s="911"/>
      <c r="K70" s="922"/>
      <c r="L70" s="938"/>
      <c r="M70" s="922"/>
      <c r="N70" s="902"/>
      <c r="O70" s="922"/>
      <c r="P70" s="916"/>
      <c r="Q70" s="916"/>
      <c r="R70" s="916"/>
      <c r="S70" s="916"/>
      <c r="T70" s="916"/>
      <c r="U70" s="916"/>
      <c r="V70" s="916"/>
      <c r="W70" s="916"/>
      <c r="X70" s="916"/>
      <c r="Y70" s="916"/>
      <c r="Z70" s="902"/>
      <c r="AA70" s="902"/>
      <c r="AB70" s="902"/>
      <c r="AC70" s="916"/>
      <c r="AD70" s="902"/>
      <c r="AE70" s="902"/>
      <c r="AF70" s="902"/>
      <c r="AG70" s="902"/>
      <c r="AH70" s="916"/>
      <c r="AI70" s="902"/>
      <c r="AJ70" s="939"/>
      <c r="AK70" s="902"/>
      <c r="AL70" s="902"/>
      <c r="AM70" s="902"/>
      <c r="AN70" s="902"/>
      <c r="AO70" s="902"/>
      <c r="AP70" s="902"/>
      <c r="AQ70" s="902"/>
      <c r="AR70" s="902"/>
      <c r="AS70" s="902"/>
      <c r="AT70" s="916"/>
      <c r="AU70" s="916"/>
      <c r="AV70" s="916"/>
      <c r="AW70" s="916"/>
      <c r="AX70" s="916"/>
      <c r="AY70" s="916"/>
      <c r="AZ70" s="916"/>
      <c r="BA70" s="916"/>
      <c r="BB70" s="916"/>
      <c r="BC70" s="309"/>
      <c r="BD70" s="309"/>
    </row>
    <row r="71" spans="1:56" ht="15" customHeight="1" x14ac:dyDescent="0.25">
      <c r="A71" s="309"/>
      <c r="B71" s="884"/>
      <c r="C71" s="860"/>
      <c r="D71" s="911"/>
      <c r="E71" s="911"/>
      <c r="F71" s="911"/>
      <c r="G71" s="911"/>
      <c r="H71" s="911"/>
      <c r="I71" s="911"/>
      <c r="J71" s="911"/>
      <c r="K71" s="922"/>
      <c r="L71" s="938"/>
      <c r="M71" s="922"/>
      <c r="N71" s="902"/>
      <c r="O71" s="922"/>
      <c r="P71" s="916"/>
      <c r="Q71" s="916"/>
      <c r="R71" s="916"/>
      <c r="S71" s="916"/>
      <c r="T71" s="916"/>
      <c r="U71" s="916"/>
      <c r="V71" s="916"/>
      <c r="W71" s="916"/>
      <c r="X71" s="916"/>
      <c r="Y71" s="916"/>
      <c r="Z71" s="902"/>
      <c r="AA71" s="902"/>
      <c r="AB71" s="902"/>
      <c r="AC71" s="902"/>
      <c r="AD71" s="317"/>
      <c r="AE71" s="902"/>
      <c r="AF71" s="902"/>
      <c r="AG71" s="902"/>
      <c r="AH71" s="902"/>
      <c r="AI71" s="902"/>
      <c r="AJ71" s="939"/>
      <c r="AK71" s="902"/>
      <c r="AL71" s="902"/>
      <c r="AM71" s="902"/>
      <c r="AN71" s="902"/>
      <c r="AO71" s="902"/>
      <c r="AP71" s="902"/>
      <c r="AQ71" s="902"/>
      <c r="AR71" s="902"/>
      <c r="AS71" s="902"/>
      <c r="AT71" s="916"/>
      <c r="AU71" s="916"/>
      <c r="AV71" s="916"/>
      <c r="AW71" s="916"/>
      <c r="AX71" s="916"/>
      <c r="AY71" s="916"/>
      <c r="AZ71" s="916"/>
      <c r="BA71" s="916"/>
      <c r="BB71" s="916"/>
      <c r="BC71" s="309"/>
      <c r="BD71" s="309"/>
    </row>
    <row r="72" spans="1:56" ht="15" customHeight="1" x14ac:dyDescent="0.25">
      <c r="A72" s="309"/>
      <c r="B72" s="884"/>
      <c r="C72" s="911"/>
      <c r="D72" s="911"/>
      <c r="E72" s="911"/>
      <c r="F72" s="911"/>
      <c r="G72" s="911"/>
      <c r="H72" s="911"/>
      <c r="I72" s="911"/>
      <c r="J72" s="911"/>
      <c r="K72" s="922"/>
      <c r="L72" s="938"/>
      <c r="M72" s="922"/>
      <c r="N72" s="902"/>
      <c r="O72" s="922"/>
      <c r="P72" s="916"/>
      <c r="Q72" s="916"/>
      <c r="R72" s="916"/>
      <c r="S72" s="916"/>
      <c r="T72" s="916"/>
      <c r="U72" s="916"/>
      <c r="V72" s="916"/>
      <c r="W72" s="916"/>
      <c r="X72" s="916"/>
      <c r="Y72" s="916"/>
      <c r="Z72" s="902"/>
      <c r="AA72" s="902"/>
      <c r="AB72" s="902"/>
      <c r="AC72" s="902"/>
      <c r="AD72" s="902"/>
      <c r="AE72" s="902"/>
      <c r="AF72" s="916"/>
      <c r="AG72" s="916"/>
      <c r="AH72" s="916"/>
      <c r="AI72" s="902"/>
      <c r="AJ72" s="939"/>
      <c r="AK72" s="902"/>
      <c r="AL72" s="902"/>
      <c r="AM72" s="902"/>
      <c r="AN72" s="902"/>
      <c r="AO72" s="902"/>
      <c r="AP72" s="902"/>
      <c r="AQ72" s="902"/>
      <c r="AR72" s="902"/>
      <c r="AS72" s="902"/>
      <c r="AT72" s="916"/>
      <c r="AU72" s="916"/>
      <c r="AV72" s="916"/>
      <c r="AW72" s="916"/>
      <c r="AX72" s="916"/>
      <c r="AY72" s="916"/>
      <c r="AZ72" s="916"/>
      <c r="BA72" s="916"/>
      <c r="BB72" s="916"/>
      <c r="BC72" s="309"/>
      <c r="BD72" s="309"/>
    </row>
    <row r="73" spans="1:56" ht="15" customHeight="1" x14ac:dyDescent="0.25">
      <c r="A73" s="309"/>
      <c r="B73" s="712"/>
      <c r="C73" s="911"/>
      <c r="D73" s="911"/>
      <c r="E73" s="911"/>
      <c r="F73" s="911"/>
      <c r="G73" s="911"/>
      <c r="H73" s="911"/>
      <c r="I73" s="911"/>
      <c r="J73" s="911"/>
      <c r="K73" s="922"/>
      <c r="L73" s="938"/>
      <c r="M73" s="922"/>
      <c r="N73" s="902"/>
      <c r="O73" s="922"/>
      <c r="P73" s="916"/>
      <c r="Q73" s="916"/>
      <c r="R73" s="916"/>
      <c r="S73" s="916"/>
      <c r="T73" s="916"/>
      <c r="U73" s="916"/>
      <c r="V73" s="916"/>
      <c r="W73" s="916"/>
      <c r="X73" s="916"/>
      <c r="Y73" s="916"/>
      <c r="Z73" s="317"/>
      <c r="AA73" s="902"/>
      <c r="AB73" s="902"/>
      <c r="AC73" s="902"/>
      <c r="AD73" s="902"/>
      <c r="AE73" s="916"/>
      <c r="AF73" s="902"/>
      <c r="AG73" s="902"/>
      <c r="AH73" s="902"/>
      <c r="AI73" s="902"/>
      <c r="AJ73" s="939"/>
      <c r="AK73" s="902"/>
      <c r="AL73" s="902"/>
      <c r="AM73" s="902"/>
      <c r="AN73" s="902"/>
      <c r="AO73" s="902"/>
      <c r="AP73" s="902"/>
      <c r="AQ73" s="902"/>
      <c r="AR73" s="902"/>
      <c r="AS73" s="902"/>
      <c r="AT73" s="916"/>
      <c r="AU73" s="916"/>
      <c r="AV73" s="916"/>
      <c r="AW73" s="916"/>
      <c r="AX73" s="916"/>
      <c r="AY73" s="916"/>
      <c r="AZ73" s="916"/>
      <c r="BA73" s="916"/>
      <c r="BB73" s="916"/>
      <c r="BC73" s="309"/>
      <c r="BD73" s="309"/>
    </row>
    <row r="74" spans="1:56" ht="15" customHeight="1" x14ac:dyDescent="0.25">
      <c r="A74" s="309"/>
      <c r="B74" s="712"/>
      <c r="C74" s="911"/>
      <c r="D74" s="911"/>
      <c r="E74" s="911"/>
      <c r="F74" s="911"/>
      <c r="G74" s="911"/>
      <c r="H74" s="911"/>
      <c r="I74" s="911"/>
      <c r="J74" s="860"/>
      <c r="K74" s="922"/>
      <c r="L74" s="938"/>
      <c r="M74" s="922"/>
      <c r="N74" s="902"/>
      <c r="O74" s="922"/>
      <c r="P74" s="916"/>
      <c r="Q74" s="916"/>
      <c r="R74" s="916"/>
      <c r="S74" s="916"/>
      <c r="T74" s="916"/>
      <c r="U74" s="916"/>
      <c r="V74" s="916"/>
      <c r="W74" s="916"/>
      <c r="X74" s="916"/>
      <c r="Y74" s="916"/>
      <c r="Z74" s="902"/>
      <c r="AA74" s="902"/>
      <c r="AB74" s="902"/>
      <c r="AC74" s="902"/>
      <c r="AD74" s="902"/>
      <c r="AE74" s="902"/>
      <c r="AF74" s="902"/>
      <c r="AG74" s="902"/>
      <c r="AH74" s="902"/>
      <c r="AI74" s="902"/>
      <c r="AJ74" s="939"/>
      <c r="AK74" s="902"/>
      <c r="AL74" s="902"/>
      <c r="AM74" s="902"/>
      <c r="AN74" s="902"/>
      <c r="AO74" s="902"/>
      <c r="AP74" s="902"/>
      <c r="AQ74" s="902"/>
      <c r="AR74" s="902"/>
      <c r="AS74" s="902"/>
      <c r="AT74" s="916"/>
      <c r="AU74" s="916"/>
      <c r="AV74" s="916"/>
      <c r="AW74" s="916"/>
      <c r="AX74" s="916"/>
      <c r="AY74" s="916"/>
      <c r="AZ74" s="916"/>
      <c r="BA74" s="916"/>
      <c r="BB74" s="916"/>
      <c r="BC74" s="309"/>
      <c r="BD74" s="309"/>
    </row>
    <row r="75" spans="1:56" ht="15" customHeight="1" x14ac:dyDescent="0.25">
      <c r="A75" s="309"/>
      <c r="B75" s="712"/>
      <c r="C75" s="911"/>
      <c r="D75" s="911"/>
      <c r="E75" s="911"/>
      <c r="F75" s="911"/>
      <c r="G75" s="911"/>
      <c r="H75" s="911"/>
      <c r="I75" s="860"/>
      <c r="J75" s="911"/>
      <c r="K75" s="922"/>
      <c r="L75" s="938"/>
      <c r="M75" s="922"/>
      <c r="N75" s="902"/>
      <c r="O75" s="922"/>
      <c r="P75" s="916"/>
      <c r="Q75" s="916"/>
      <c r="R75" s="916"/>
      <c r="S75" s="916"/>
      <c r="T75" s="916"/>
      <c r="U75" s="916"/>
      <c r="V75" s="916"/>
      <c r="W75" s="916"/>
      <c r="X75" s="916"/>
      <c r="Y75" s="916"/>
      <c r="Z75" s="902"/>
      <c r="AA75" s="916"/>
      <c r="AB75" s="916"/>
      <c r="AC75" s="902"/>
      <c r="AD75" s="902"/>
      <c r="AE75" s="902"/>
      <c r="AF75" s="902"/>
      <c r="AG75" s="902"/>
      <c r="AH75" s="902"/>
      <c r="AI75" s="902"/>
      <c r="AJ75" s="939"/>
      <c r="AK75" s="902"/>
      <c r="AL75" s="902"/>
      <c r="AM75" s="902"/>
      <c r="AN75" s="902"/>
      <c r="AO75" s="902"/>
      <c r="AP75" s="902"/>
      <c r="AQ75" s="902"/>
      <c r="AR75" s="902"/>
      <c r="AS75" s="902"/>
      <c r="AT75" s="916"/>
      <c r="AU75" s="916"/>
      <c r="AV75" s="916"/>
      <c r="AW75" s="916"/>
      <c r="AX75" s="916"/>
      <c r="AY75" s="916"/>
      <c r="AZ75" s="916"/>
      <c r="BA75" s="916"/>
      <c r="BB75" s="916"/>
      <c r="BC75" s="309"/>
      <c r="BD75" s="309"/>
    </row>
    <row r="76" spans="1:56" ht="15" customHeight="1" x14ac:dyDescent="0.25">
      <c r="A76" s="309"/>
      <c r="B76" s="712"/>
      <c r="C76" s="911"/>
      <c r="D76" s="911"/>
      <c r="E76" s="911"/>
      <c r="F76" s="911"/>
      <c r="G76" s="911"/>
      <c r="H76" s="860"/>
      <c r="I76" s="911"/>
      <c r="J76" s="911"/>
      <c r="K76" s="922"/>
      <c r="L76" s="938"/>
      <c r="M76" s="922"/>
      <c r="N76" s="902"/>
      <c r="O76" s="922"/>
      <c r="P76" s="916"/>
      <c r="Q76" s="916"/>
      <c r="R76" s="916"/>
      <c r="S76" s="916"/>
      <c r="T76" s="916"/>
      <c r="U76" s="916"/>
      <c r="V76" s="916"/>
      <c r="W76" s="916"/>
      <c r="X76" s="916"/>
      <c r="Y76" s="916"/>
      <c r="Z76" s="902"/>
      <c r="AA76" s="902"/>
      <c r="AB76" s="902"/>
      <c r="AC76" s="902"/>
      <c r="AD76" s="902"/>
      <c r="AE76" s="902"/>
      <c r="AF76" s="902"/>
      <c r="AG76" s="902"/>
      <c r="AH76" s="916"/>
      <c r="AI76" s="902"/>
      <c r="AJ76" s="939"/>
      <c r="AK76" s="902"/>
      <c r="AL76" s="902"/>
      <c r="AM76" s="902"/>
      <c r="AN76" s="902"/>
      <c r="AO76" s="902"/>
      <c r="AP76" s="902"/>
      <c r="AQ76" s="902"/>
      <c r="AR76" s="902"/>
      <c r="AS76" s="902"/>
      <c r="AT76" s="916"/>
      <c r="AU76" s="916"/>
      <c r="AV76" s="916"/>
      <c r="AW76" s="916"/>
      <c r="AX76" s="916"/>
      <c r="AY76" s="916"/>
      <c r="AZ76" s="916"/>
      <c r="BA76" s="916"/>
      <c r="BB76" s="916"/>
      <c r="BC76" s="309"/>
      <c r="BD76" s="309"/>
    </row>
    <row r="77" spans="1:56" ht="15" customHeight="1" x14ac:dyDescent="0.25">
      <c r="A77" s="309"/>
      <c r="B77" s="712"/>
      <c r="C77" s="911"/>
      <c r="D77" s="911"/>
      <c r="E77" s="911"/>
      <c r="F77" s="911"/>
      <c r="G77" s="860"/>
      <c r="H77" s="911"/>
      <c r="I77" s="911"/>
      <c r="J77" s="911"/>
      <c r="K77" s="922"/>
      <c r="L77" s="938"/>
      <c r="M77" s="922"/>
      <c r="N77" s="902"/>
      <c r="O77" s="922"/>
      <c r="P77" s="916"/>
      <c r="Q77" s="916"/>
      <c r="R77" s="916"/>
      <c r="S77" s="916"/>
      <c r="T77" s="916"/>
      <c r="U77" s="916"/>
      <c r="V77" s="916"/>
      <c r="W77" s="916"/>
      <c r="X77" s="916"/>
      <c r="Y77" s="916"/>
      <c r="Z77" s="902"/>
      <c r="AA77" s="902"/>
      <c r="AB77" s="902"/>
      <c r="AC77" s="317"/>
      <c r="AD77" s="902"/>
      <c r="AE77" s="902"/>
      <c r="AF77" s="916"/>
      <c r="AG77" s="902"/>
      <c r="AH77" s="902"/>
      <c r="AI77" s="902"/>
      <c r="AJ77" s="939"/>
      <c r="AK77" s="902"/>
      <c r="AL77" s="902"/>
      <c r="AM77" s="902"/>
      <c r="AN77" s="902"/>
      <c r="AO77" s="902"/>
      <c r="AP77" s="902"/>
      <c r="AQ77" s="902"/>
      <c r="AR77" s="902"/>
      <c r="AS77" s="902"/>
      <c r="AT77" s="916"/>
      <c r="AU77" s="916"/>
      <c r="AV77" s="916"/>
      <c r="AW77" s="916"/>
      <c r="AX77" s="916"/>
      <c r="AY77" s="916"/>
      <c r="AZ77" s="916"/>
      <c r="BA77" s="916"/>
      <c r="BB77" s="916"/>
      <c r="BC77" s="309"/>
      <c r="BD77" s="309"/>
    </row>
    <row r="78" spans="1:56" ht="15" customHeight="1" x14ac:dyDescent="0.25">
      <c r="A78" s="309"/>
      <c r="B78" s="712"/>
      <c r="C78" s="911"/>
      <c r="D78" s="911"/>
      <c r="E78" s="911"/>
      <c r="F78" s="860"/>
      <c r="G78" s="911"/>
      <c r="H78" s="911"/>
      <c r="I78" s="911"/>
      <c r="J78" s="911"/>
      <c r="K78" s="922"/>
      <c r="L78" s="938"/>
      <c r="M78" s="922"/>
      <c r="N78" s="902"/>
      <c r="O78" s="922"/>
      <c r="P78" s="916"/>
      <c r="Q78" s="916"/>
      <c r="R78" s="916"/>
      <c r="S78" s="916"/>
      <c r="T78" s="916"/>
      <c r="U78" s="916"/>
      <c r="V78" s="916"/>
      <c r="W78" s="916"/>
      <c r="X78" s="916"/>
      <c r="Y78" s="916"/>
      <c r="Z78" s="902"/>
      <c r="AA78" s="902"/>
      <c r="AB78" s="902"/>
      <c r="AC78" s="902"/>
      <c r="AD78" s="916"/>
      <c r="AE78" s="902"/>
      <c r="AF78" s="902"/>
      <c r="AG78" s="902"/>
      <c r="AH78" s="902"/>
      <c r="AI78" s="902"/>
      <c r="AJ78" s="939"/>
      <c r="AK78" s="902"/>
      <c r="AL78" s="902"/>
      <c r="AM78" s="902"/>
      <c r="AN78" s="902"/>
      <c r="AO78" s="902"/>
      <c r="AP78" s="902"/>
      <c r="AQ78" s="902"/>
      <c r="AR78" s="902"/>
      <c r="AS78" s="902"/>
      <c r="AT78" s="916"/>
      <c r="AU78" s="916"/>
      <c r="AV78" s="916"/>
      <c r="AW78" s="916"/>
      <c r="AX78" s="916"/>
      <c r="AY78" s="916"/>
      <c r="AZ78" s="916"/>
      <c r="BA78" s="916"/>
      <c r="BB78" s="916"/>
      <c r="BC78" s="309"/>
      <c r="BD78" s="309"/>
    </row>
    <row r="79" spans="1:56" ht="15" customHeight="1" x14ac:dyDescent="0.25">
      <c r="A79" s="309"/>
      <c r="B79" s="712"/>
      <c r="C79" s="911"/>
      <c r="D79" s="911"/>
      <c r="E79" s="911"/>
      <c r="F79" s="860"/>
      <c r="G79" s="911"/>
      <c r="H79" s="911"/>
      <c r="I79" s="911"/>
      <c r="J79" s="911"/>
      <c r="K79" s="922"/>
      <c r="L79" s="938"/>
      <c r="M79" s="922"/>
      <c r="N79" s="902"/>
      <c r="O79" s="922"/>
      <c r="P79" s="916"/>
      <c r="Q79" s="916"/>
      <c r="R79" s="916"/>
      <c r="S79" s="916"/>
      <c r="T79" s="916"/>
      <c r="U79" s="916"/>
      <c r="V79" s="916"/>
      <c r="W79" s="916"/>
      <c r="X79" s="916"/>
      <c r="Y79" s="916"/>
      <c r="Z79" s="902"/>
      <c r="AA79" s="902"/>
      <c r="AB79" s="902"/>
      <c r="AC79" s="902"/>
      <c r="AD79" s="902"/>
      <c r="AE79" s="916"/>
      <c r="AF79" s="902"/>
      <c r="AG79" s="902"/>
      <c r="AH79" s="902"/>
      <c r="AI79" s="902"/>
      <c r="AJ79" s="939"/>
      <c r="AK79" s="902"/>
      <c r="AL79" s="902"/>
      <c r="AM79" s="902"/>
      <c r="AN79" s="902"/>
      <c r="AO79" s="902"/>
      <c r="AP79" s="902"/>
      <c r="AQ79" s="902"/>
      <c r="AR79" s="902"/>
      <c r="AS79" s="902"/>
      <c r="AT79" s="916"/>
      <c r="AU79" s="916"/>
      <c r="AV79" s="916"/>
      <c r="AW79" s="916"/>
      <c r="AX79" s="916"/>
      <c r="AY79" s="916"/>
      <c r="AZ79" s="916"/>
      <c r="BA79" s="916"/>
      <c r="BB79" s="916"/>
      <c r="BC79" s="309"/>
      <c r="BD79" s="309"/>
    </row>
    <row r="80" spans="1:56" ht="15" customHeight="1" x14ac:dyDescent="0.25">
      <c r="A80" s="309"/>
      <c r="B80" s="712"/>
      <c r="C80" s="911"/>
      <c r="D80" s="860"/>
      <c r="E80" s="860"/>
      <c r="F80" s="911"/>
      <c r="G80" s="911"/>
      <c r="H80" s="860"/>
      <c r="I80" s="911"/>
      <c r="J80" s="911"/>
      <c r="K80" s="922"/>
      <c r="L80" s="938"/>
      <c r="M80" s="922"/>
      <c r="N80" s="902"/>
      <c r="O80" s="922"/>
      <c r="P80" s="916"/>
      <c r="Q80" s="916"/>
      <c r="R80" s="916"/>
      <c r="S80" s="916"/>
      <c r="T80" s="916"/>
      <c r="U80" s="916"/>
      <c r="V80" s="916"/>
      <c r="W80" s="916"/>
      <c r="X80" s="916"/>
      <c r="Y80" s="916"/>
      <c r="Z80" s="902"/>
      <c r="AA80" s="902"/>
      <c r="AB80" s="902"/>
      <c r="AC80" s="902"/>
      <c r="AD80" s="902"/>
      <c r="AE80" s="902"/>
      <c r="AF80" s="902"/>
      <c r="AG80" s="902"/>
      <c r="AH80" s="902"/>
      <c r="AI80" s="902"/>
      <c r="AJ80" s="939"/>
      <c r="AK80" s="902"/>
      <c r="AL80" s="902"/>
      <c r="AM80" s="902"/>
      <c r="AN80" s="902"/>
      <c r="AO80" s="902"/>
      <c r="AP80" s="902"/>
      <c r="AQ80" s="902"/>
      <c r="AR80" s="902"/>
      <c r="AS80" s="902"/>
      <c r="AT80" s="916"/>
      <c r="AU80" s="916"/>
      <c r="AV80" s="916"/>
      <c r="AW80" s="916"/>
      <c r="AX80" s="916"/>
      <c r="AY80" s="916"/>
      <c r="AZ80" s="916"/>
      <c r="BA80" s="916"/>
      <c r="BB80" s="916"/>
      <c r="BC80" s="309"/>
      <c r="BD80" s="309"/>
    </row>
    <row r="81" spans="1:56" ht="15" customHeight="1" x14ac:dyDescent="0.25">
      <c r="A81" s="309"/>
      <c r="B81" s="884"/>
      <c r="C81" s="860"/>
      <c r="D81" s="911"/>
      <c r="E81" s="911"/>
      <c r="F81" s="911"/>
      <c r="G81" s="911"/>
      <c r="H81" s="911"/>
      <c r="I81" s="911"/>
      <c r="J81" s="911"/>
      <c r="K81" s="922"/>
      <c r="L81" s="938"/>
      <c r="M81" s="922"/>
      <c r="N81" s="902"/>
      <c r="O81" s="922"/>
      <c r="P81" s="916"/>
      <c r="Q81" s="916"/>
      <c r="R81" s="916"/>
      <c r="S81" s="916"/>
      <c r="T81" s="916"/>
      <c r="U81" s="916"/>
      <c r="V81" s="916"/>
      <c r="W81" s="916"/>
      <c r="X81" s="916"/>
      <c r="Y81" s="916"/>
      <c r="Z81" s="902"/>
      <c r="AA81" s="902"/>
      <c r="AB81" s="902"/>
      <c r="AC81" s="902"/>
      <c r="AD81" s="902"/>
      <c r="AE81" s="902"/>
      <c r="AF81" s="902"/>
      <c r="AG81" s="902"/>
      <c r="AH81" s="902"/>
      <c r="AI81" s="902"/>
      <c r="AJ81" s="939"/>
      <c r="AK81" s="902"/>
      <c r="AL81" s="902"/>
      <c r="AM81" s="902"/>
      <c r="AN81" s="902"/>
      <c r="AO81" s="902"/>
      <c r="AP81" s="902"/>
      <c r="AQ81" s="902"/>
      <c r="AR81" s="902"/>
      <c r="AS81" s="902"/>
      <c r="AT81" s="916"/>
      <c r="AU81" s="916"/>
      <c r="AV81" s="916"/>
      <c r="AW81" s="916"/>
      <c r="AX81" s="916"/>
      <c r="AY81" s="916"/>
      <c r="AZ81" s="916"/>
      <c r="BA81" s="916"/>
      <c r="BB81" s="916"/>
      <c r="BC81" s="309"/>
      <c r="BD81" s="309"/>
    </row>
    <row r="82" spans="1:56" ht="15" customHeight="1" x14ac:dyDescent="0.25">
      <c r="A82" s="309"/>
      <c r="B82" s="884"/>
      <c r="C82" s="911"/>
      <c r="D82" s="911"/>
      <c r="E82" s="911"/>
      <c r="F82" s="911"/>
      <c r="G82" s="911"/>
      <c r="H82" s="911"/>
      <c r="I82" s="860"/>
      <c r="J82" s="860"/>
      <c r="K82" s="922"/>
      <c r="L82" s="938"/>
      <c r="M82" s="922"/>
      <c r="N82" s="902"/>
      <c r="O82" s="922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317"/>
      <c r="AA82" s="902"/>
      <c r="AB82" s="902"/>
      <c r="AC82" s="902"/>
      <c r="AD82" s="902"/>
      <c r="AE82" s="902"/>
      <c r="AF82" s="902"/>
      <c r="AG82" s="902"/>
      <c r="AH82" s="916"/>
      <c r="AI82" s="902"/>
      <c r="AJ82" s="939"/>
      <c r="AK82" s="902"/>
      <c r="AL82" s="902"/>
      <c r="AM82" s="902"/>
      <c r="AN82" s="902"/>
      <c r="AO82" s="902"/>
      <c r="AP82" s="902"/>
      <c r="AQ82" s="902"/>
      <c r="AR82" s="902"/>
      <c r="AS82" s="902"/>
      <c r="AT82" s="916"/>
      <c r="AU82" s="916"/>
      <c r="AV82" s="916"/>
      <c r="AW82" s="916"/>
      <c r="AX82" s="916"/>
      <c r="AY82" s="916"/>
      <c r="AZ82" s="916"/>
      <c r="BA82" s="916"/>
      <c r="BB82" s="916"/>
      <c r="BC82" s="309"/>
      <c r="BD82" s="309"/>
    </row>
    <row r="83" spans="1:56" ht="15" customHeight="1" x14ac:dyDescent="0.25">
      <c r="A83" s="309"/>
      <c r="B83" s="712"/>
      <c r="C83" s="911"/>
      <c r="D83" s="911"/>
      <c r="E83" s="911"/>
      <c r="F83" s="911"/>
      <c r="G83" s="911"/>
      <c r="H83" s="911"/>
      <c r="I83" s="860"/>
      <c r="J83" s="911"/>
      <c r="K83" s="922"/>
      <c r="L83" s="938"/>
      <c r="M83" s="922"/>
      <c r="N83" s="902"/>
      <c r="O83" s="922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02"/>
      <c r="AA83" s="902"/>
      <c r="AB83" s="902"/>
      <c r="AC83" s="902"/>
      <c r="AD83" s="902"/>
      <c r="AE83" s="902"/>
      <c r="AF83" s="902"/>
      <c r="AG83" s="902"/>
      <c r="AH83" s="902"/>
      <c r="AI83" s="902"/>
      <c r="AJ83" s="939"/>
      <c r="AK83" s="902"/>
      <c r="AL83" s="902"/>
      <c r="AM83" s="902"/>
      <c r="AN83" s="902"/>
      <c r="AO83" s="902"/>
      <c r="AP83" s="902"/>
      <c r="AQ83" s="902"/>
      <c r="AR83" s="902"/>
      <c r="AS83" s="902"/>
      <c r="AT83" s="916"/>
      <c r="AU83" s="916"/>
      <c r="AV83" s="916"/>
      <c r="AW83" s="916"/>
      <c r="AX83" s="916"/>
      <c r="AY83" s="916"/>
      <c r="AZ83" s="916"/>
      <c r="BA83" s="916"/>
      <c r="BB83" s="916"/>
      <c r="BC83" s="309"/>
      <c r="BD83" s="309"/>
    </row>
    <row r="84" spans="1:56" ht="15" customHeight="1" x14ac:dyDescent="0.25">
      <c r="A84" s="309"/>
      <c r="B84" s="712"/>
      <c r="C84" s="911"/>
      <c r="D84" s="911"/>
      <c r="E84" s="911"/>
      <c r="F84" s="911"/>
      <c r="G84" s="911"/>
      <c r="H84" s="860"/>
      <c r="I84" s="911"/>
      <c r="J84" s="911"/>
      <c r="K84" s="922"/>
      <c r="L84" s="938"/>
      <c r="M84" s="922"/>
      <c r="N84" s="902"/>
      <c r="O84" s="922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02"/>
      <c r="AA84" s="916"/>
      <c r="AB84" s="916"/>
      <c r="AC84" s="902"/>
      <c r="AD84" s="902"/>
      <c r="AE84" s="902"/>
      <c r="AF84" s="902"/>
      <c r="AG84" s="902"/>
      <c r="AH84" s="902"/>
      <c r="AI84" s="902"/>
      <c r="AJ84" s="939"/>
      <c r="AK84" s="902"/>
      <c r="AL84" s="902"/>
      <c r="AM84" s="902"/>
      <c r="AN84" s="902"/>
      <c r="AO84" s="902"/>
      <c r="AP84" s="902"/>
      <c r="AQ84" s="902"/>
      <c r="AR84" s="902"/>
      <c r="AS84" s="902"/>
      <c r="AT84" s="916"/>
      <c r="AU84" s="916"/>
      <c r="AV84" s="916"/>
      <c r="AW84" s="916"/>
      <c r="AX84" s="916"/>
      <c r="AY84" s="916"/>
      <c r="AZ84" s="916"/>
      <c r="BA84" s="916"/>
      <c r="BB84" s="916"/>
      <c r="BC84" s="309"/>
      <c r="BD84" s="309"/>
    </row>
    <row r="85" spans="1:56" ht="15" customHeight="1" x14ac:dyDescent="0.25">
      <c r="A85" s="309"/>
      <c r="B85" s="712"/>
      <c r="C85" s="911"/>
      <c r="D85" s="911"/>
      <c r="E85" s="911"/>
      <c r="F85" s="911"/>
      <c r="G85" s="860"/>
      <c r="H85" s="911"/>
      <c r="I85" s="911"/>
      <c r="J85" s="911"/>
      <c r="K85" s="922"/>
      <c r="L85" s="938"/>
      <c r="M85" s="922"/>
      <c r="N85" s="902"/>
      <c r="O85" s="922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02"/>
      <c r="AA85" s="902"/>
      <c r="AB85" s="902"/>
      <c r="AC85" s="902"/>
      <c r="AD85" s="902"/>
      <c r="AE85" s="902"/>
      <c r="AF85" s="916"/>
      <c r="AG85" s="902"/>
      <c r="AH85" s="902"/>
      <c r="AI85" s="902"/>
      <c r="AJ85" s="939"/>
      <c r="AK85" s="902"/>
      <c r="AL85" s="902"/>
      <c r="AM85" s="902"/>
      <c r="AN85" s="902"/>
      <c r="AO85" s="902"/>
      <c r="AP85" s="902"/>
      <c r="AQ85" s="902"/>
      <c r="AR85" s="902"/>
      <c r="AS85" s="902"/>
      <c r="AT85" s="916"/>
      <c r="AU85" s="916"/>
      <c r="AV85" s="916"/>
      <c r="AW85" s="916"/>
      <c r="AX85" s="916"/>
      <c r="AY85" s="916"/>
      <c r="AZ85" s="916"/>
      <c r="BA85" s="916"/>
      <c r="BB85" s="916"/>
      <c r="BC85" s="309"/>
      <c r="BD85" s="309"/>
    </row>
    <row r="86" spans="1:56" ht="15" customHeight="1" x14ac:dyDescent="0.25">
      <c r="A86" s="309"/>
      <c r="B86" s="712"/>
      <c r="C86" s="911"/>
      <c r="D86" s="911"/>
      <c r="E86" s="911"/>
      <c r="F86" s="860"/>
      <c r="G86" s="911"/>
      <c r="H86" s="911"/>
      <c r="I86" s="911"/>
      <c r="J86" s="911"/>
      <c r="K86" s="922"/>
      <c r="L86" s="938"/>
      <c r="M86" s="922"/>
      <c r="N86" s="902"/>
      <c r="O86" s="922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02"/>
      <c r="AA86" s="902"/>
      <c r="AB86" s="902"/>
      <c r="AC86" s="916"/>
      <c r="AD86" s="902"/>
      <c r="AE86" s="902"/>
      <c r="AF86" s="902"/>
      <c r="AG86" s="902"/>
      <c r="AH86" s="902"/>
      <c r="AI86" s="902"/>
      <c r="AJ86" s="939"/>
      <c r="AK86" s="902"/>
      <c r="AL86" s="902"/>
      <c r="AM86" s="902"/>
      <c r="AN86" s="902"/>
      <c r="AO86" s="902"/>
      <c r="AP86" s="902"/>
      <c r="AQ86" s="902"/>
      <c r="AR86" s="902"/>
      <c r="AS86" s="902"/>
      <c r="AT86" s="916"/>
      <c r="AU86" s="916"/>
      <c r="AV86" s="916"/>
      <c r="AW86" s="916"/>
      <c r="AX86" s="916"/>
      <c r="AY86" s="916"/>
      <c r="AZ86" s="916"/>
      <c r="BA86" s="916"/>
      <c r="BB86" s="916"/>
      <c r="BC86" s="309"/>
      <c r="BD86" s="309"/>
    </row>
    <row r="87" spans="1:56" ht="15" customHeight="1" x14ac:dyDescent="0.25">
      <c r="A87" s="309"/>
      <c r="B87" s="712"/>
      <c r="C87" s="911"/>
      <c r="D87" s="911"/>
      <c r="E87" s="860"/>
      <c r="F87" s="911"/>
      <c r="G87" s="911"/>
      <c r="H87" s="911"/>
      <c r="I87" s="911"/>
      <c r="J87" s="911"/>
      <c r="K87" s="922"/>
      <c r="L87" s="938"/>
      <c r="M87" s="922"/>
      <c r="N87" s="902"/>
      <c r="O87" s="922"/>
      <c r="P87" s="916"/>
      <c r="Q87" s="916"/>
      <c r="R87" s="916"/>
      <c r="S87" s="916"/>
      <c r="T87" s="916"/>
      <c r="U87" s="916"/>
      <c r="V87" s="916"/>
      <c r="W87" s="916"/>
      <c r="X87" s="916"/>
      <c r="Y87" s="916"/>
      <c r="Z87" s="902"/>
      <c r="AA87" s="902"/>
      <c r="AB87" s="902"/>
      <c r="AC87" s="902"/>
      <c r="AD87" s="916"/>
      <c r="AE87" s="902"/>
      <c r="AF87" s="902"/>
      <c r="AG87" s="902"/>
      <c r="AH87" s="317"/>
      <c r="AI87" s="902"/>
      <c r="AJ87" s="939"/>
      <c r="AK87" s="902"/>
      <c r="AL87" s="902"/>
      <c r="AM87" s="902"/>
      <c r="AN87" s="902"/>
      <c r="AO87" s="902"/>
      <c r="AP87" s="902"/>
      <c r="AQ87" s="902"/>
      <c r="AR87" s="902"/>
      <c r="AS87" s="902"/>
      <c r="AT87" s="916"/>
      <c r="AU87" s="916"/>
      <c r="AV87" s="916"/>
      <c r="AW87" s="916"/>
      <c r="AX87" s="916"/>
      <c r="AY87" s="916"/>
      <c r="AZ87" s="916"/>
      <c r="BA87" s="916"/>
      <c r="BB87" s="916"/>
      <c r="BC87" s="309"/>
      <c r="BD87" s="309"/>
    </row>
    <row r="88" spans="1:56" ht="15" customHeight="1" x14ac:dyDescent="0.25">
      <c r="A88" s="309"/>
      <c r="B88" s="712"/>
      <c r="C88" s="911"/>
      <c r="D88" s="860"/>
      <c r="E88" s="860"/>
      <c r="F88" s="911"/>
      <c r="G88" s="911"/>
      <c r="H88" s="911"/>
      <c r="I88" s="911"/>
      <c r="J88" s="911"/>
      <c r="K88" s="922"/>
      <c r="L88" s="938"/>
      <c r="M88" s="922"/>
      <c r="N88" s="902"/>
      <c r="O88" s="922"/>
      <c r="P88" s="916"/>
      <c r="Q88" s="916"/>
      <c r="R88" s="916"/>
      <c r="S88" s="916"/>
      <c r="T88" s="916"/>
      <c r="U88" s="916"/>
      <c r="V88" s="916"/>
      <c r="W88" s="916"/>
      <c r="X88" s="916"/>
      <c r="Y88" s="916"/>
      <c r="Z88" s="317"/>
      <c r="AA88" s="902"/>
      <c r="AB88" s="902"/>
      <c r="AC88" s="902"/>
      <c r="AD88" s="902"/>
      <c r="AE88" s="902"/>
      <c r="AF88" s="902"/>
      <c r="AG88" s="916"/>
      <c r="AH88" s="902"/>
      <c r="AI88" s="902"/>
      <c r="AJ88" s="939"/>
      <c r="AK88" s="902"/>
      <c r="AL88" s="902"/>
      <c r="AM88" s="902"/>
      <c r="AN88" s="902"/>
      <c r="AO88" s="902"/>
      <c r="AP88" s="902"/>
      <c r="AQ88" s="902"/>
      <c r="AR88" s="902"/>
      <c r="AS88" s="902"/>
      <c r="AT88" s="916"/>
      <c r="AU88" s="916"/>
      <c r="AV88" s="916"/>
      <c r="AW88" s="916"/>
      <c r="AX88" s="916"/>
      <c r="AY88" s="916"/>
      <c r="AZ88" s="916"/>
      <c r="BA88" s="916"/>
      <c r="BB88" s="916"/>
      <c r="BC88" s="309"/>
      <c r="BD88" s="309"/>
    </row>
    <row r="89" spans="1:56" ht="15" customHeight="1" x14ac:dyDescent="0.25">
      <c r="A89" s="309"/>
      <c r="B89" s="884"/>
      <c r="C89" s="860"/>
      <c r="D89" s="911"/>
      <c r="E89" s="911"/>
      <c r="F89" s="860"/>
      <c r="G89" s="860"/>
      <c r="H89" s="860"/>
      <c r="I89" s="911"/>
      <c r="J89" s="911"/>
      <c r="K89" s="922"/>
      <c r="L89" s="938"/>
      <c r="M89" s="922"/>
      <c r="N89" s="902"/>
      <c r="O89" s="922"/>
      <c r="P89" s="916"/>
      <c r="Q89" s="916"/>
      <c r="R89" s="916"/>
      <c r="S89" s="916"/>
      <c r="T89" s="916"/>
      <c r="U89" s="916"/>
      <c r="V89" s="916"/>
      <c r="W89" s="916"/>
      <c r="X89" s="916"/>
      <c r="Y89" s="916"/>
      <c r="Z89" s="902"/>
      <c r="AA89" s="902"/>
      <c r="AB89" s="902"/>
      <c r="AC89" s="902"/>
      <c r="AD89" s="902"/>
      <c r="AE89" s="902"/>
      <c r="AF89" s="902"/>
      <c r="AG89" s="902"/>
      <c r="AH89" s="902"/>
      <c r="AI89" s="902"/>
      <c r="AJ89" s="939"/>
      <c r="AK89" s="902"/>
      <c r="AL89" s="902"/>
      <c r="AM89" s="902"/>
      <c r="AN89" s="902"/>
      <c r="AO89" s="902"/>
      <c r="AP89" s="902"/>
      <c r="AQ89" s="902"/>
      <c r="AR89" s="902"/>
      <c r="AS89" s="902"/>
      <c r="AT89" s="916"/>
      <c r="AU89" s="916"/>
      <c r="AV89" s="916"/>
      <c r="AW89" s="916"/>
      <c r="AX89" s="916"/>
      <c r="AY89" s="916"/>
      <c r="AZ89" s="916"/>
      <c r="BA89" s="916"/>
      <c r="BB89" s="916"/>
      <c r="BC89" s="309"/>
      <c r="BD89" s="309"/>
    </row>
    <row r="90" spans="1:56" ht="15" customHeight="1" x14ac:dyDescent="0.25">
      <c r="A90" s="309"/>
      <c r="B90" s="884"/>
      <c r="C90" s="911"/>
      <c r="D90" s="911"/>
      <c r="E90" s="860"/>
      <c r="F90" s="860"/>
      <c r="G90" s="860"/>
      <c r="H90" s="860"/>
      <c r="I90" s="911"/>
      <c r="J90" s="911"/>
      <c r="K90" s="922"/>
      <c r="L90" s="938"/>
      <c r="M90" s="922"/>
      <c r="N90" s="902"/>
      <c r="O90" s="922"/>
      <c r="P90" s="916"/>
      <c r="Q90" s="916"/>
      <c r="R90" s="916"/>
      <c r="S90" s="916"/>
      <c r="T90" s="916"/>
      <c r="U90" s="916"/>
      <c r="V90" s="916"/>
      <c r="W90" s="916"/>
      <c r="X90" s="916"/>
      <c r="Y90" s="916"/>
      <c r="Z90" s="902"/>
      <c r="AA90" s="916"/>
      <c r="AB90" s="902"/>
      <c r="AC90" s="902"/>
      <c r="AD90" s="902"/>
      <c r="AE90" s="916"/>
      <c r="AF90" s="902"/>
      <c r="AG90" s="902"/>
      <c r="AH90" s="902"/>
      <c r="AI90" s="902"/>
      <c r="AJ90" s="939"/>
      <c r="AK90" s="902"/>
      <c r="AL90" s="902"/>
      <c r="AM90" s="902"/>
      <c r="AN90" s="902"/>
      <c r="AO90" s="902"/>
      <c r="AP90" s="902"/>
      <c r="AQ90" s="902"/>
      <c r="AR90" s="902"/>
      <c r="AS90" s="902"/>
      <c r="AT90" s="916"/>
      <c r="AU90" s="916"/>
      <c r="AV90" s="916"/>
      <c r="AW90" s="916"/>
      <c r="AX90" s="916"/>
      <c r="AY90" s="916"/>
      <c r="AZ90" s="916"/>
      <c r="BA90" s="916"/>
      <c r="BB90" s="916"/>
      <c r="BC90" s="309"/>
      <c r="BD90" s="309"/>
    </row>
    <row r="91" spans="1:56" ht="15" customHeight="1" x14ac:dyDescent="0.25">
      <c r="A91" s="309"/>
      <c r="B91" s="884"/>
      <c r="C91" s="911"/>
      <c r="D91" s="911"/>
      <c r="E91" s="911"/>
      <c r="F91" s="911"/>
      <c r="G91" s="911"/>
      <c r="H91" s="911"/>
      <c r="I91" s="911"/>
      <c r="J91" s="911"/>
      <c r="K91" s="922"/>
      <c r="L91" s="938"/>
      <c r="M91" s="922"/>
      <c r="N91" s="902"/>
      <c r="O91" s="922"/>
      <c r="P91" s="916"/>
      <c r="Q91" s="916"/>
      <c r="R91" s="916"/>
      <c r="S91" s="916"/>
      <c r="T91" s="916"/>
      <c r="U91" s="916"/>
      <c r="V91" s="916"/>
      <c r="W91" s="916"/>
      <c r="X91" s="916"/>
      <c r="Y91" s="916"/>
      <c r="Z91" s="902"/>
      <c r="AA91" s="902"/>
      <c r="AB91" s="916"/>
      <c r="AC91" s="902"/>
      <c r="AD91" s="902"/>
      <c r="AE91" s="902"/>
      <c r="AF91" s="902"/>
      <c r="AG91" s="902"/>
      <c r="AH91" s="902"/>
      <c r="AI91" s="902"/>
      <c r="AJ91" s="939"/>
      <c r="AK91" s="902"/>
      <c r="AL91" s="902"/>
      <c r="AM91" s="902"/>
      <c r="AN91" s="902"/>
      <c r="AO91" s="902"/>
      <c r="AP91" s="902"/>
      <c r="AQ91" s="902"/>
      <c r="AR91" s="902"/>
      <c r="AS91" s="902"/>
      <c r="AT91" s="916"/>
      <c r="AU91" s="916"/>
      <c r="AV91" s="916"/>
      <c r="AW91" s="916"/>
      <c r="AX91" s="916"/>
      <c r="AY91" s="916"/>
      <c r="AZ91" s="916"/>
      <c r="BA91" s="916"/>
      <c r="BB91" s="916"/>
      <c r="BC91" s="309"/>
      <c r="BD91" s="309"/>
    </row>
    <row r="92" spans="1:56" ht="15" customHeight="1" x14ac:dyDescent="0.25">
      <c r="A92" s="309"/>
      <c r="B92" s="712"/>
      <c r="C92" s="911"/>
      <c r="D92" s="911"/>
      <c r="E92" s="911"/>
      <c r="F92" s="911"/>
      <c r="G92" s="911"/>
      <c r="H92" s="911"/>
      <c r="I92" s="911"/>
      <c r="J92" s="911"/>
      <c r="K92" s="922"/>
      <c r="L92" s="938"/>
      <c r="M92" s="922"/>
      <c r="N92" s="902"/>
      <c r="O92" s="922"/>
      <c r="P92" s="916"/>
      <c r="Q92" s="916"/>
      <c r="R92" s="916"/>
      <c r="S92" s="916"/>
      <c r="T92" s="916"/>
      <c r="U92" s="916"/>
      <c r="V92" s="916"/>
      <c r="W92" s="916"/>
      <c r="X92" s="916"/>
      <c r="Y92" s="916"/>
      <c r="Z92" s="902"/>
      <c r="AA92" s="902"/>
      <c r="AB92" s="902"/>
      <c r="AC92" s="902"/>
      <c r="AD92" s="902"/>
      <c r="AE92" s="902"/>
      <c r="AF92" s="902"/>
      <c r="AG92" s="902"/>
      <c r="AH92" s="902"/>
      <c r="AI92" s="902"/>
      <c r="AJ92" s="939"/>
      <c r="AK92" s="902"/>
      <c r="AL92" s="902"/>
      <c r="AM92" s="902"/>
      <c r="AN92" s="902"/>
      <c r="AO92" s="902"/>
      <c r="AP92" s="902"/>
      <c r="AQ92" s="902"/>
      <c r="AR92" s="902"/>
      <c r="AS92" s="902"/>
      <c r="AT92" s="916"/>
      <c r="AU92" s="916"/>
      <c r="AV92" s="916"/>
      <c r="AW92" s="916"/>
      <c r="AX92" s="916"/>
      <c r="AY92" s="916"/>
      <c r="AZ92" s="916"/>
      <c r="BA92" s="916"/>
      <c r="BB92" s="916"/>
      <c r="BC92" s="309"/>
      <c r="BD92" s="309"/>
    </row>
    <row r="93" spans="1:56" ht="15" customHeight="1" x14ac:dyDescent="0.25">
      <c r="A93" s="309"/>
      <c r="B93" s="712"/>
      <c r="C93" s="911"/>
      <c r="D93" s="911"/>
      <c r="E93" s="911"/>
      <c r="F93" s="911"/>
      <c r="G93" s="911"/>
      <c r="H93" s="911"/>
      <c r="I93" s="911"/>
      <c r="J93" s="860"/>
      <c r="K93" s="922"/>
      <c r="L93" s="938"/>
      <c r="M93" s="922"/>
      <c r="N93" s="902"/>
      <c r="O93" s="922"/>
      <c r="P93" s="916"/>
      <c r="Q93" s="916"/>
      <c r="R93" s="916"/>
      <c r="S93" s="916"/>
      <c r="T93" s="916"/>
      <c r="U93" s="916"/>
      <c r="V93" s="916"/>
      <c r="W93" s="916"/>
      <c r="X93" s="916"/>
      <c r="Y93" s="916"/>
      <c r="Z93" s="902"/>
      <c r="AA93" s="902"/>
      <c r="AB93" s="902"/>
      <c r="AC93" s="916"/>
      <c r="AD93" s="902"/>
      <c r="AE93" s="902"/>
      <c r="AF93" s="902"/>
      <c r="AG93" s="902"/>
      <c r="AH93" s="902"/>
      <c r="AI93" s="902"/>
      <c r="AJ93" s="939"/>
      <c r="AK93" s="902"/>
      <c r="AL93" s="902"/>
      <c r="AM93" s="902"/>
      <c r="AN93" s="902"/>
      <c r="AO93" s="902"/>
      <c r="AP93" s="902"/>
      <c r="AQ93" s="902"/>
      <c r="AR93" s="902"/>
      <c r="AS93" s="902"/>
      <c r="AT93" s="916"/>
      <c r="AU93" s="916"/>
      <c r="AV93" s="916"/>
      <c r="AW93" s="916"/>
      <c r="AX93" s="916"/>
      <c r="AY93" s="916"/>
      <c r="AZ93" s="916"/>
      <c r="BA93" s="916"/>
      <c r="BB93" s="916"/>
      <c r="BC93" s="309"/>
      <c r="BD93" s="309"/>
    </row>
    <row r="94" spans="1:56" ht="15" customHeight="1" x14ac:dyDescent="0.25">
      <c r="A94" s="309"/>
      <c r="B94" s="884"/>
      <c r="C94" s="921"/>
      <c r="D94" s="921"/>
      <c r="E94" s="911"/>
      <c r="F94" s="911"/>
      <c r="G94" s="911"/>
      <c r="H94" s="911"/>
      <c r="I94" s="911"/>
      <c r="J94" s="911"/>
      <c r="K94" s="922"/>
      <c r="L94" s="938"/>
      <c r="M94" s="922"/>
      <c r="N94" s="902"/>
      <c r="O94" s="922"/>
      <c r="P94" s="916"/>
      <c r="Q94" s="916"/>
      <c r="R94" s="916"/>
      <c r="S94" s="916"/>
      <c r="T94" s="916"/>
      <c r="U94" s="916"/>
      <c r="V94" s="916"/>
      <c r="W94" s="916"/>
      <c r="X94" s="916"/>
      <c r="Y94" s="916"/>
      <c r="Z94" s="902"/>
      <c r="AA94" s="902"/>
      <c r="AB94" s="902"/>
      <c r="AC94" s="902"/>
      <c r="AD94" s="916"/>
      <c r="AE94" s="902"/>
      <c r="AF94" s="916"/>
      <c r="AG94" s="902"/>
      <c r="AH94" s="916"/>
      <c r="AI94" s="902"/>
      <c r="AJ94" s="939"/>
      <c r="AK94" s="902"/>
      <c r="AL94" s="902"/>
      <c r="AM94" s="902"/>
      <c r="AN94" s="902"/>
      <c r="AO94" s="902"/>
      <c r="AP94" s="902"/>
      <c r="AQ94" s="902"/>
      <c r="AR94" s="902"/>
      <c r="AS94" s="902"/>
      <c r="AT94" s="916"/>
      <c r="AU94" s="916"/>
      <c r="AV94" s="916"/>
      <c r="AW94" s="916"/>
      <c r="AX94" s="916"/>
      <c r="AY94" s="916"/>
      <c r="AZ94" s="916"/>
      <c r="BA94" s="916"/>
      <c r="BB94" s="916"/>
      <c r="BC94" s="309"/>
      <c r="BD94" s="309"/>
    </row>
    <row r="95" spans="1:56" ht="15" customHeight="1" x14ac:dyDescent="0.25">
      <c r="A95" s="309"/>
      <c r="B95" s="712"/>
      <c r="C95" s="911"/>
      <c r="D95" s="921"/>
      <c r="E95" s="911"/>
      <c r="F95" s="911"/>
      <c r="G95" s="911"/>
      <c r="H95" s="911"/>
      <c r="I95" s="860"/>
      <c r="J95" s="911"/>
      <c r="K95" s="922"/>
      <c r="L95" s="938"/>
      <c r="M95" s="922"/>
      <c r="N95" s="902"/>
      <c r="O95" s="922"/>
      <c r="P95" s="916"/>
      <c r="Q95" s="916"/>
      <c r="R95" s="916"/>
      <c r="S95" s="916"/>
      <c r="T95" s="916"/>
      <c r="U95" s="916"/>
      <c r="V95" s="916"/>
      <c r="W95" s="916"/>
      <c r="X95" s="916"/>
      <c r="Y95" s="916"/>
      <c r="Z95" s="902"/>
      <c r="AA95" s="902"/>
      <c r="AB95" s="902"/>
      <c r="AC95" s="902"/>
      <c r="AD95" s="902"/>
      <c r="AE95" s="902"/>
      <c r="AF95" s="902"/>
      <c r="AG95" s="902"/>
      <c r="AH95" s="902"/>
      <c r="AI95" s="902"/>
      <c r="AJ95" s="939"/>
      <c r="AK95" s="902"/>
      <c r="AL95" s="902"/>
      <c r="AM95" s="902"/>
      <c r="AN95" s="902"/>
      <c r="AO95" s="902"/>
      <c r="AP95" s="902"/>
      <c r="AQ95" s="902"/>
      <c r="AR95" s="902"/>
      <c r="AS95" s="902"/>
      <c r="AT95" s="916"/>
      <c r="AU95" s="916"/>
      <c r="AV95" s="916"/>
      <c r="AW95" s="916"/>
      <c r="AX95" s="916"/>
      <c r="AY95" s="916"/>
      <c r="AZ95" s="916"/>
      <c r="BA95" s="916"/>
      <c r="BB95" s="916"/>
      <c r="BC95" s="309"/>
      <c r="BD95" s="309"/>
    </row>
    <row r="96" spans="1:56" ht="15" customHeight="1" x14ac:dyDescent="0.25">
      <c r="A96" s="309"/>
      <c r="B96" s="712"/>
      <c r="C96" s="911"/>
      <c r="D96" s="921"/>
      <c r="E96" s="911"/>
      <c r="F96" s="911"/>
      <c r="G96" s="911"/>
      <c r="H96" s="911"/>
      <c r="I96" s="860"/>
      <c r="J96" s="911"/>
      <c r="K96" s="922"/>
      <c r="L96" s="938"/>
      <c r="M96" s="922"/>
      <c r="N96" s="902"/>
      <c r="O96" s="922"/>
      <c r="P96" s="916"/>
      <c r="Q96" s="916"/>
      <c r="R96" s="916"/>
      <c r="S96" s="916"/>
      <c r="T96" s="916"/>
      <c r="U96" s="916"/>
      <c r="V96" s="916"/>
      <c r="W96" s="916"/>
      <c r="X96" s="916"/>
      <c r="Y96" s="916"/>
      <c r="Z96" s="317"/>
      <c r="AA96" s="902"/>
      <c r="AB96" s="902"/>
      <c r="AC96" s="902"/>
      <c r="AD96" s="902"/>
      <c r="AE96" s="902"/>
      <c r="AF96" s="902"/>
      <c r="AG96" s="902"/>
      <c r="AH96" s="902"/>
      <c r="AI96" s="902"/>
      <c r="AJ96" s="939"/>
      <c r="AK96" s="902"/>
      <c r="AL96" s="902"/>
      <c r="AM96" s="902"/>
      <c r="AN96" s="902"/>
      <c r="AO96" s="902"/>
      <c r="AP96" s="902"/>
      <c r="AQ96" s="902"/>
      <c r="AR96" s="902"/>
      <c r="AS96" s="902"/>
      <c r="AT96" s="916"/>
      <c r="AU96" s="916"/>
      <c r="AV96" s="916"/>
      <c r="AW96" s="916"/>
      <c r="AX96" s="916"/>
      <c r="AY96" s="916"/>
      <c r="AZ96" s="916"/>
      <c r="BA96" s="916"/>
      <c r="BB96" s="916"/>
      <c r="BC96" s="309"/>
      <c r="BD96" s="309"/>
    </row>
    <row r="97" spans="1:56" ht="15" customHeight="1" x14ac:dyDescent="0.25">
      <c r="A97" s="309"/>
      <c r="B97" s="712"/>
      <c r="C97" s="911"/>
      <c r="D97" s="921"/>
      <c r="E97" s="911"/>
      <c r="F97" s="911"/>
      <c r="G97" s="911"/>
      <c r="H97" s="860"/>
      <c r="I97" s="911"/>
      <c r="J97" s="911"/>
      <c r="K97" s="922"/>
      <c r="L97" s="938"/>
      <c r="M97" s="922"/>
      <c r="N97" s="902"/>
      <c r="O97" s="922"/>
      <c r="P97" s="916"/>
      <c r="Q97" s="916"/>
      <c r="R97" s="916"/>
      <c r="S97" s="916"/>
      <c r="T97" s="916"/>
      <c r="U97" s="916"/>
      <c r="V97" s="916"/>
      <c r="W97" s="916"/>
      <c r="X97" s="916"/>
      <c r="Y97" s="916"/>
      <c r="Z97" s="902"/>
      <c r="AA97" s="902"/>
      <c r="AB97" s="902"/>
      <c r="AC97" s="902"/>
      <c r="AD97" s="902"/>
      <c r="AE97" s="916"/>
      <c r="AF97" s="902"/>
      <c r="AG97" s="902"/>
      <c r="AH97" s="902"/>
      <c r="AI97" s="902"/>
      <c r="AJ97" s="939"/>
      <c r="AK97" s="902"/>
      <c r="AL97" s="902"/>
      <c r="AM97" s="902"/>
      <c r="AN97" s="902"/>
      <c r="AO97" s="902"/>
      <c r="AP97" s="902"/>
      <c r="AQ97" s="902"/>
      <c r="AR97" s="902"/>
      <c r="AS97" s="902"/>
      <c r="AT97" s="916"/>
      <c r="AU97" s="916"/>
      <c r="AV97" s="916"/>
      <c r="AW97" s="916"/>
      <c r="AX97" s="916"/>
      <c r="AY97" s="916"/>
      <c r="AZ97" s="916"/>
      <c r="BA97" s="916"/>
      <c r="BB97" s="916"/>
      <c r="BC97" s="309"/>
      <c r="BD97" s="309"/>
    </row>
    <row r="98" spans="1:56" ht="15" customHeight="1" x14ac:dyDescent="0.25">
      <c r="A98" s="309"/>
      <c r="B98" s="712"/>
      <c r="C98" s="911"/>
      <c r="D98" s="921"/>
      <c r="E98" s="911"/>
      <c r="F98" s="911"/>
      <c r="G98" s="860"/>
      <c r="H98" s="911"/>
      <c r="I98" s="911"/>
      <c r="J98" s="911"/>
      <c r="K98" s="922"/>
      <c r="L98" s="938"/>
      <c r="M98" s="922"/>
      <c r="N98" s="902"/>
      <c r="O98" s="922"/>
      <c r="P98" s="916"/>
      <c r="Q98" s="916"/>
      <c r="R98" s="916"/>
      <c r="S98" s="916"/>
      <c r="T98" s="916"/>
      <c r="U98" s="916"/>
      <c r="V98" s="916"/>
      <c r="W98" s="916"/>
      <c r="X98" s="916"/>
      <c r="Y98" s="916"/>
      <c r="Z98" s="902"/>
      <c r="AA98" s="902"/>
      <c r="AB98" s="902"/>
      <c r="AC98" s="902"/>
      <c r="AD98" s="902"/>
      <c r="AE98" s="902"/>
      <c r="AF98" s="902"/>
      <c r="AG98" s="916"/>
      <c r="AH98" s="902"/>
      <c r="AI98" s="902"/>
      <c r="AJ98" s="939"/>
      <c r="AK98" s="902"/>
      <c r="AL98" s="902"/>
      <c r="AM98" s="902"/>
      <c r="AN98" s="902"/>
      <c r="AO98" s="902"/>
      <c r="AP98" s="902"/>
      <c r="AQ98" s="902"/>
      <c r="AR98" s="902"/>
      <c r="AS98" s="902"/>
      <c r="AT98" s="916"/>
      <c r="AU98" s="916"/>
      <c r="AV98" s="916"/>
      <c r="AW98" s="916"/>
      <c r="AX98" s="916"/>
      <c r="AY98" s="916"/>
      <c r="AZ98" s="916"/>
      <c r="BA98" s="916"/>
      <c r="BB98" s="916"/>
      <c r="BC98" s="309"/>
      <c r="BD98" s="309"/>
    </row>
    <row r="99" spans="1:56" ht="15" customHeight="1" x14ac:dyDescent="0.25">
      <c r="A99" s="309"/>
      <c r="B99" s="712"/>
      <c r="C99" s="911"/>
      <c r="D99" s="921"/>
      <c r="E99" s="911"/>
      <c r="F99" s="860"/>
      <c r="G99" s="911"/>
      <c r="H99" s="911"/>
      <c r="I99" s="911"/>
      <c r="J99" s="911"/>
      <c r="K99" s="922"/>
      <c r="L99" s="938"/>
      <c r="M99" s="922"/>
      <c r="N99" s="902"/>
      <c r="O99" s="922"/>
      <c r="P99" s="916"/>
      <c r="Q99" s="916"/>
      <c r="R99" s="916"/>
      <c r="S99" s="916"/>
      <c r="T99" s="916"/>
      <c r="U99" s="916"/>
      <c r="V99" s="916"/>
      <c r="W99" s="916"/>
      <c r="X99" s="916"/>
      <c r="Y99" s="916"/>
      <c r="Z99" s="902"/>
      <c r="AA99" s="317"/>
      <c r="AB99" s="916"/>
      <c r="AC99" s="902"/>
      <c r="AD99" s="902"/>
      <c r="AE99" s="902"/>
      <c r="AF99" s="902"/>
      <c r="AG99" s="902"/>
      <c r="AH99" s="902"/>
      <c r="AI99" s="902"/>
      <c r="AJ99" s="939"/>
      <c r="AK99" s="902"/>
      <c r="AL99" s="902"/>
      <c r="AM99" s="902"/>
      <c r="AN99" s="902"/>
      <c r="AO99" s="902"/>
      <c r="AP99" s="902"/>
      <c r="AQ99" s="902"/>
      <c r="AR99" s="902"/>
      <c r="AS99" s="902"/>
      <c r="AT99" s="916"/>
      <c r="AU99" s="916"/>
      <c r="AV99" s="916"/>
      <c r="AW99" s="916"/>
      <c r="AX99" s="916"/>
      <c r="AY99" s="916"/>
      <c r="AZ99" s="916"/>
      <c r="BA99" s="916"/>
      <c r="BB99" s="916"/>
      <c r="BC99" s="309"/>
      <c r="BD99" s="309"/>
    </row>
    <row r="100" spans="1:56" ht="15" customHeight="1" x14ac:dyDescent="0.25">
      <c r="A100" s="309"/>
      <c r="B100" s="712"/>
      <c r="C100" s="911"/>
      <c r="D100" s="921"/>
      <c r="E100" s="860"/>
      <c r="F100" s="911"/>
      <c r="G100" s="911"/>
      <c r="H100" s="911"/>
      <c r="I100" s="911"/>
      <c r="J100" s="911"/>
      <c r="K100" s="922"/>
      <c r="L100" s="938"/>
      <c r="M100" s="922"/>
      <c r="N100" s="902"/>
      <c r="O100" s="922"/>
      <c r="P100" s="916"/>
      <c r="Q100" s="916"/>
      <c r="R100" s="916"/>
      <c r="S100" s="916"/>
      <c r="T100" s="916"/>
      <c r="U100" s="916"/>
      <c r="V100" s="916"/>
      <c r="W100" s="916"/>
      <c r="X100" s="916"/>
      <c r="Y100" s="916"/>
      <c r="Z100" s="902"/>
      <c r="AA100" s="902"/>
      <c r="AB100" s="902"/>
      <c r="AC100" s="902"/>
      <c r="AD100" s="902"/>
      <c r="AE100" s="902"/>
      <c r="AF100" s="902"/>
      <c r="AG100" s="902"/>
      <c r="AH100" s="902"/>
      <c r="AI100" s="902"/>
      <c r="AJ100" s="939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16"/>
      <c r="AU100" s="916"/>
      <c r="AV100" s="916"/>
      <c r="AW100" s="916"/>
      <c r="AX100" s="916"/>
      <c r="AY100" s="916"/>
      <c r="AZ100" s="916"/>
      <c r="BA100" s="916"/>
      <c r="BB100" s="916"/>
      <c r="BC100" s="309"/>
      <c r="BD100" s="309"/>
    </row>
    <row r="101" spans="1:56" ht="15" customHeight="1" x14ac:dyDescent="0.25">
      <c r="A101" s="309"/>
      <c r="B101" s="712"/>
      <c r="C101" s="911"/>
      <c r="D101" s="860"/>
      <c r="E101" s="911"/>
      <c r="F101" s="911"/>
      <c r="G101" s="911"/>
      <c r="H101" s="911"/>
      <c r="I101" s="911"/>
      <c r="J101" s="911"/>
      <c r="K101" s="922"/>
      <c r="L101" s="938"/>
      <c r="M101" s="922"/>
      <c r="N101" s="902"/>
      <c r="O101" s="922"/>
      <c r="P101" s="916"/>
      <c r="Q101" s="916"/>
      <c r="R101" s="916"/>
      <c r="S101" s="916"/>
      <c r="T101" s="916"/>
      <c r="U101" s="916"/>
      <c r="V101" s="916"/>
      <c r="W101" s="916"/>
      <c r="X101" s="916"/>
      <c r="Y101" s="916"/>
      <c r="Z101" s="902"/>
      <c r="AA101" s="902"/>
      <c r="AB101" s="902"/>
      <c r="AC101" s="902"/>
      <c r="AD101" s="902"/>
      <c r="AE101" s="902"/>
      <c r="AF101" s="317"/>
      <c r="AG101" s="902"/>
      <c r="AH101" s="902"/>
      <c r="AI101" s="902"/>
      <c r="AJ101" s="939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16"/>
      <c r="AU101" s="916"/>
      <c r="AV101" s="916"/>
      <c r="AW101" s="916"/>
      <c r="AX101" s="916"/>
      <c r="AY101" s="916"/>
      <c r="AZ101" s="916"/>
      <c r="BA101" s="916"/>
      <c r="BB101" s="916"/>
      <c r="BC101" s="309"/>
      <c r="BD101" s="309"/>
    </row>
    <row r="102" spans="1:56" ht="15" customHeight="1" x14ac:dyDescent="0.25">
      <c r="A102" s="309"/>
      <c r="B102" s="884"/>
      <c r="C102" s="921"/>
      <c r="D102" s="921"/>
      <c r="E102" s="911"/>
      <c r="F102" s="911"/>
      <c r="G102" s="911"/>
      <c r="H102" s="911"/>
      <c r="I102" s="911"/>
      <c r="J102" s="911"/>
      <c r="K102" s="922"/>
      <c r="L102" s="938"/>
      <c r="M102" s="922"/>
      <c r="N102" s="902"/>
      <c r="O102" s="922"/>
      <c r="P102" s="916"/>
      <c r="Q102" s="916"/>
      <c r="R102" s="916"/>
      <c r="S102" s="916"/>
      <c r="T102" s="916"/>
      <c r="U102" s="916"/>
      <c r="V102" s="916"/>
      <c r="W102" s="916"/>
      <c r="X102" s="916"/>
      <c r="Y102" s="916"/>
      <c r="Z102" s="902"/>
      <c r="AA102" s="902"/>
      <c r="AB102" s="902"/>
      <c r="AC102" s="916"/>
      <c r="AD102" s="902"/>
      <c r="AE102" s="902"/>
      <c r="AF102" s="902"/>
      <c r="AG102" s="902"/>
      <c r="AH102" s="902"/>
      <c r="AI102" s="902"/>
      <c r="AJ102" s="939"/>
      <c r="AK102" s="902"/>
      <c r="AL102" s="902"/>
      <c r="AM102" s="902"/>
      <c r="AN102" s="902"/>
      <c r="AO102" s="902"/>
      <c r="AP102" s="902"/>
      <c r="AQ102" s="902"/>
      <c r="AR102" s="902"/>
      <c r="AS102" s="902"/>
      <c r="AT102" s="916"/>
      <c r="AU102" s="916"/>
      <c r="AV102" s="916"/>
      <c r="AW102" s="916"/>
      <c r="AX102" s="916"/>
      <c r="AY102" s="916"/>
      <c r="AZ102" s="916"/>
      <c r="BA102" s="916"/>
      <c r="BB102" s="916"/>
      <c r="BC102" s="309"/>
      <c r="BD102" s="309"/>
    </row>
    <row r="103" spans="1:56" ht="15" customHeight="1" x14ac:dyDescent="0.25">
      <c r="A103" s="309"/>
      <c r="B103" s="884"/>
      <c r="C103" s="860"/>
      <c r="D103" s="921"/>
      <c r="E103" s="911"/>
      <c r="F103" s="911"/>
      <c r="G103" s="860"/>
      <c r="H103" s="860"/>
      <c r="I103" s="860"/>
      <c r="J103" s="860"/>
      <c r="K103" s="922"/>
      <c r="L103" s="938"/>
      <c r="M103" s="922"/>
      <c r="N103" s="902"/>
      <c r="O103" s="922"/>
      <c r="P103" s="916"/>
      <c r="Q103" s="916"/>
      <c r="R103" s="916"/>
      <c r="S103" s="916"/>
      <c r="T103" s="916"/>
      <c r="U103" s="916"/>
      <c r="V103" s="916"/>
      <c r="W103" s="916"/>
      <c r="X103" s="916"/>
      <c r="Y103" s="916"/>
      <c r="Z103" s="902"/>
      <c r="AA103" s="902"/>
      <c r="AB103" s="902"/>
      <c r="AC103" s="902"/>
      <c r="AD103" s="317"/>
      <c r="AE103" s="902"/>
      <c r="AF103" s="902"/>
      <c r="AG103" s="902"/>
      <c r="AH103" s="317"/>
      <c r="AI103" s="902"/>
      <c r="AJ103" s="939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16"/>
      <c r="AU103" s="916"/>
      <c r="AV103" s="916"/>
      <c r="AW103" s="916"/>
      <c r="AX103" s="916"/>
      <c r="AY103" s="916"/>
      <c r="AZ103" s="916"/>
      <c r="BA103" s="916"/>
      <c r="BB103" s="916"/>
      <c r="BC103" s="309"/>
      <c r="BD103" s="309"/>
    </row>
    <row r="104" spans="1:56" ht="15" customHeight="1" x14ac:dyDescent="0.25">
      <c r="A104" s="309"/>
      <c r="B104" s="712"/>
      <c r="C104" s="911"/>
      <c r="D104" s="921"/>
      <c r="E104" s="911"/>
      <c r="F104" s="911"/>
      <c r="G104" s="860"/>
      <c r="H104" s="860"/>
      <c r="I104" s="860"/>
      <c r="J104" s="860"/>
      <c r="K104" s="922"/>
      <c r="L104" s="938"/>
      <c r="M104" s="922"/>
      <c r="N104" s="902"/>
      <c r="O104" s="922"/>
      <c r="P104" s="916"/>
      <c r="Q104" s="916"/>
      <c r="R104" s="916"/>
      <c r="S104" s="916"/>
      <c r="T104" s="916"/>
      <c r="U104" s="916"/>
      <c r="V104" s="916"/>
      <c r="W104" s="916"/>
      <c r="X104" s="916"/>
      <c r="Y104" s="916"/>
      <c r="Z104" s="902"/>
      <c r="AA104" s="902"/>
      <c r="AB104" s="902"/>
      <c r="AC104" s="902"/>
      <c r="AD104" s="902"/>
      <c r="AE104" s="902"/>
      <c r="AF104" s="902"/>
      <c r="AG104" s="916"/>
      <c r="AH104" s="902"/>
      <c r="AI104" s="902"/>
      <c r="AJ104" s="939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16"/>
      <c r="AU104" s="916"/>
      <c r="AV104" s="916"/>
      <c r="AW104" s="916"/>
      <c r="AX104" s="916"/>
      <c r="AY104" s="916"/>
      <c r="AZ104" s="916"/>
      <c r="BA104" s="916"/>
      <c r="BB104" s="916"/>
      <c r="BC104" s="309"/>
      <c r="BD104" s="309"/>
    </row>
    <row r="105" spans="1:56" ht="15" customHeight="1" x14ac:dyDescent="0.25">
      <c r="A105" s="309"/>
      <c r="B105" s="712"/>
      <c r="C105" s="911"/>
      <c r="D105" s="921"/>
      <c r="E105" s="911"/>
      <c r="F105" s="911"/>
      <c r="G105" s="860"/>
      <c r="H105" s="860"/>
      <c r="I105" s="860"/>
      <c r="J105" s="860"/>
      <c r="K105" s="922"/>
      <c r="L105" s="938"/>
      <c r="M105" s="922"/>
      <c r="N105" s="902"/>
      <c r="O105" s="922"/>
      <c r="P105" s="916"/>
      <c r="Q105" s="916"/>
      <c r="R105" s="916"/>
      <c r="S105" s="916"/>
      <c r="T105" s="916"/>
      <c r="U105" s="916"/>
      <c r="V105" s="916"/>
      <c r="W105" s="916"/>
      <c r="X105" s="916"/>
      <c r="Y105" s="916"/>
      <c r="Z105" s="902"/>
      <c r="AA105" s="902"/>
      <c r="AB105" s="902"/>
      <c r="AC105" s="902"/>
      <c r="AD105" s="902"/>
      <c r="AE105" s="902"/>
      <c r="AF105" s="902"/>
      <c r="AG105" s="902"/>
      <c r="AH105" s="902"/>
      <c r="AI105" s="902"/>
      <c r="AJ105" s="939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16"/>
      <c r="AU105" s="916"/>
      <c r="AV105" s="916"/>
      <c r="AW105" s="916"/>
      <c r="AX105" s="916"/>
      <c r="AY105" s="916"/>
      <c r="AZ105" s="916"/>
      <c r="BA105" s="916"/>
      <c r="BB105" s="916"/>
      <c r="BC105" s="309"/>
      <c r="BD105" s="309"/>
    </row>
    <row r="106" spans="1:56" ht="15" customHeight="1" x14ac:dyDescent="0.25">
      <c r="A106" s="309"/>
      <c r="B106" s="712"/>
      <c r="C106" s="911"/>
      <c r="D106" s="921"/>
      <c r="E106" s="911"/>
      <c r="F106" s="911"/>
      <c r="G106" s="860"/>
      <c r="H106" s="860"/>
      <c r="I106" s="860"/>
      <c r="J106" s="860"/>
      <c r="K106" s="922"/>
      <c r="L106" s="938"/>
      <c r="M106" s="922"/>
      <c r="N106" s="902"/>
      <c r="O106" s="922"/>
      <c r="P106" s="916"/>
      <c r="Q106" s="916"/>
      <c r="R106" s="916"/>
      <c r="S106" s="916"/>
      <c r="T106" s="916"/>
      <c r="U106" s="916"/>
      <c r="V106" s="916"/>
      <c r="W106" s="916"/>
      <c r="X106" s="916"/>
      <c r="Y106" s="916"/>
      <c r="Z106" s="902"/>
      <c r="AA106" s="902"/>
      <c r="AB106" s="902"/>
      <c r="AC106" s="902"/>
      <c r="AD106" s="902"/>
      <c r="AE106" s="916"/>
      <c r="AF106" s="902"/>
      <c r="AG106" s="902"/>
      <c r="AH106" s="902"/>
      <c r="AI106" s="902"/>
      <c r="AJ106" s="939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16"/>
      <c r="AU106" s="916"/>
      <c r="AV106" s="916"/>
      <c r="AW106" s="916"/>
      <c r="AX106" s="916"/>
      <c r="AY106" s="916"/>
      <c r="AZ106" s="916"/>
      <c r="BA106" s="916"/>
      <c r="BB106" s="916"/>
      <c r="BC106" s="309"/>
      <c r="BD106" s="309"/>
    </row>
    <row r="107" spans="1:56" ht="15" customHeight="1" x14ac:dyDescent="0.25">
      <c r="A107" s="309"/>
      <c r="B107" s="884"/>
      <c r="C107" s="921"/>
      <c r="D107" s="921"/>
      <c r="E107" s="911"/>
      <c r="F107" s="922"/>
      <c r="G107" s="860"/>
      <c r="H107" s="922"/>
      <c r="I107" s="860"/>
      <c r="J107" s="911"/>
      <c r="K107" s="922"/>
      <c r="L107" s="938"/>
      <c r="M107" s="922"/>
      <c r="N107" s="902"/>
      <c r="O107" s="922"/>
      <c r="P107" s="916"/>
      <c r="Q107" s="916"/>
      <c r="R107" s="916"/>
      <c r="S107" s="916"/>
      <c r="T107" s="916"/>
      <c r="U107" s="916"/>
      <c r="V107" s="916"/>
      <c r="W107" s="916"/>
      <c r="X107" s="916"/>
      <c r="Y107" s="916"/>
      <c r="Z107" s="902"/>
      <c r="AA107" s="902"/>
      <c r="AB107" s="902"/>
      <c r="AC107" s="902"/>
      <c r="AD107" s="902"/>
      <c r="AE107" s="902"/>
      <c r="AF107" s="902"/>
      <c r="AG107" s="902"/>
      <c r="AH107" s="902"/>
      <c r="AI107" s="902"/>
      <c r="AJ107" s="939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16"/>
      <c r="AU107" s="916"/>
      <c r="AV107" s="916"/>
      <c r="AW107" s="916"/>
      <c r="AX107" s="916"/>
      <c r="AY107" s="916"/>
      <c r="AZ107" s="916"/>
      <c r="BA107" s="916"/>
      <c r="BB107" s="916"/>
      <c r="BC107" s="309"/>
      <c r="BD107" s="309"/>
    </row>
    <row r="108" spans="1:56" ht="15" customHeight="1" x14ac:dyDescent="0.25">
      <c r="A108" s="309"/>
      <c r="B108" s="712"/>
      <c r="C108" s="911"/>
      <c r="D108" s="921"/>
      <c r="E108" s="911"/>
      <c r="F108" s="922"/>
      <c r="G108" s="860"/>
      <c r="H108" s="922"/>
      <c r="I108" s="860"/>
      <c r="J108" s="911"/>
      <c r="K108" s="922"/>
      <c r="L108" s="938"/>
      <c r="M108" s="922"/>
      <c r="N108" s="902"/>
      <c r="O108" s="922"/>
      <c r="P108" s="916"/>
      <c r="Q108" s="916"/>
      <c r="R108" s="916"/>
      <c r="S108" s="916"/>
      <c r="T108" s="916"/>
      <c r="U108" s="916"/>
      <c r="V108" s="916"/>
      <c r="W108" s="916"/>
      <c r="X108" s="916"/>
      <c r="Y108" s="916"/>
      <c r="Z108" s="902"/>
      <c r="AA108" s="902"/>
      <c r="AB108" s="902"/>
      <c r="AC108" s="902"/>
      <c r="AD108" s="902"/>
      <c r="AE108" s="902"/>
      <c r="AF108" s="902"/>
      <c r="AG108" s="902"/>
      <c r="AH108" s="902"/>
      <c r="AI108" s="902"/>
      <c r="AJ108" s="939"/>
      <c r="AK108" s="902"/>
      <c r="AL108" s="902"/>
      <c r="AM108" s="902"/>
      <c r="AN108" s="902"/>
      <c r="AO108" s="902"/>
      <c r="AP108" s="902"/>
      <c r="AQ108" s="902"/>
      <c r="AR108" s="902"/>
      <c r="AS108" s="902"/>
      <c r="AT108" s="916"/>
      <c r="AU108" s="916"/>
      <c r="AV108" s="916"/>
      <c r="AW108" s="916"/>
      <c r="AX108" s="916"/>
      <c r="AY108" s="916"/>
      <c r="AZ108" s="916"/>
      <c r="BA108" s="916"/>
      <c r="BB108" s="916"/>
      <c r="BC108" s="309"/>
      <c r="BD108" s="309"/>
    </row>
    <row r="109" spans="1:56" ht="15" customHeight="1" x14ac:dyDescent="0.25">
      <c r="A109" s="309"/>
      <c r="B109" s="712"/>
      <c r="C109" s="911"/>
      <c r="D109" s="921"/>
      <c r="E109" s="911"/>
      <c r="F109" s="860"/>
      <c r="G109" s="860"/>
      <c r="H109" s="922"/>
      <c r="I109" s="911"/>
      <c r="J109" s="911"/>
      <c r="K109" s="922"/>
      <c r="L109" s="938"/>
      <c r="M109" s="922"/>
      <c r="N109" s="902"/>
      <c r="O109" s="922"/>
      <c r="P109" s="916"/>
      <c r="Q109" s="916"/>
      <c r="R109" s="916"/>
      <c r="S109" s="916"/>
      <c r="T109" s="916"/>
      <c r="U109" s="916"/>
      <c r="V109" s="916"/>
      <c r="W109" s="916"/>
      <c r="X109" s="916"/>
      <c r="Y109" s="916"/>
      <c r="Z109" s="902"/>
      <c r="AA109" s="902"/>
      <c r="AB109" s="902"/>
      <c r="AC109" s="902"/>
      <c r="AD109" s="902"/>
      <c r="AE109" s="902"/>
      <c r="AF109" s="902"/>
      <c r="AG109" s="902"/>
      <c r="AH109" s="916"/>
      <c r="AI109" s="902"/>
      <c r="AJ109" s="939"/>
      <c r="AK109" s="902"/>
      <c r="AL109" s="902"/>
      <c r="AM109" s="902"/>
      <c r="AN109" s="902"/>
      <c r="AO109" s="902"/>
      <c r="AP109" s="902"/>
      <c r="AQ109" s="902"/>
      <c r="AR109" s="902"/>
      <c r="AS109" s="902"/>
      <c r="AT109" s="916"/>
      <c r="AU109" s="916"/>
      <c r="AV109" s="916"/>
      <c r="AW109" s="916"/>
      <c r="AX109" s="916"/>
      <c r="AY109" s="916"/>
      <c r="AZ109" s="916"/>
      <c r="BA109" s="916"/>
      <c r="BB109" s="916"/>
      <c r="BC109" s="309"/>
      <c r="BD109" s="309"/>
    </row>
    <row r="110" spans="1:56" ht="15" customHeight="1" x14ac:dyDescent="0.25">
      <c r="A110" s="309"/>
      <c r="B110" s="712"/>
      <c r="C110" s="911"/>
      <c r="D110" s="921"/>
      <c r="E110" s="860"/>
      <c r="F110" s="922"/>
      <c r="G110" s="860"/>
      <c r="H110" s="922"/>
      <c r="I110" s="911"/>
      <c r="J110" s="911"/>
      <c r="K110" s="922"/>
      <c r="L110" s="938"/>
      <c r="M110" s="922"/>
      <c r="N110" s="902"/>
      <c r="O110" s="922"/>
      <c r="P110" s="916"/>
      <c r="Q110" s="916"/>
      <c r="R110" s="916"/>
      <c r="S110" s="916"/>
      <c r="T110" s="916"/>
      <c r="U110" s="916"/>
      <c r="V110" s="916"/>
      <c r="W110" s="916"/>
      <c r="X110" s="916"/>
      <c r="Y110" s="916"/>
      <c r="Z110" s="902"/>
      <c r="AA110" s="902"/>
      <c r="AB110" s="902"/>
      <c r="AC110" s="902"/>
      <c r="AD110" s="902"/>
      <c r="AE110" s="902"/>
      <c r="AF110" s="916"/>
      <c r="AG110" s="902"/>
      <c r="AH110" s="902"/>
      <c r="AI110" s="902"/>
      <c r="AJ110" s="939"/>
      <c r="AK110" s="902"/>
      <c r="AL110" s="902"/>
      <c r="AM110" s="902"/>
      <c r="AN110" s="902"/>
      <c r="AO110" s="902"/>
      <c r="AP110" s="902"/>
      <c r="AQ110" s="902"/>
      <c r="AR110" s="902"/>
      <c r="AS110" s="902"/>
      <c r="AT110" s="916"/>
      <c r="AU110" s="916"/>
      <c r="AV110" s="916"/>
      <c r="AW110" s="916"/>
      <c r="AX110" s="916"/>
      <c r="AY110" s="916"/>
      <c r="AZ110" s="916"/>
      <c r="BA110" s="916"/>
      <c r="BB110" s="916"/>
      <c r="BC110" s="309"/>
      <c r="BD110" s="309"/>
    </row>
    <row r="111" spans="1:56" ht="15" customHeight="1" x14ac:dyDescent="0.25">
      <c r="A111" s="309"/>
      <c r="B111" s="712"/>
      <c r="C111" s="911"/>
      <c r="D111" s="860"/>
      <c r="E111" s="911"/>
      <c r="F111" s="922"/>
      <c r="G111" s="860"/>
      <c r="H111" s="922"/>
      <c r="I111" s="860"/>
      <c r="J111" s="911"/>
      <c r="K111" s="922"/>
      <c r="L111" s="938"/>
      <c r="M111" s="922"/>
      <c r="N111" s="902"/>
      <c r="O111" s="922"/>
      <c r="P111" s="916"/>
      <c r="Q111" s="916"/>
      <c r="R111" s="916"/>
      <c r="S111" s="916"/>
      <c r="T111" s="916"/>
      <c r="U111" s="916"/>
      <c r="V111" s="916"/>
      <c r="W111" s="916"/>
      <c r="X111" s="916"/>
      <c r="Y111" s="916"/>
      <c r="Z111" s="902"/>
      <c r="AA111" s="902"/>
      <c r="AB111" s="902"/>
      <c r="AC111" s="902"/>
      <c r="AD111" s="902"/>
      <c r="AE111" s="902"/>
      <c r="AF111" s="902"/>
      <c r="AG111" s="902"/>
      <c r="AH111" s="902"/>
      <c r="AI111" s="902"/>
      <c r="AJ111" s="939"/>
      <c r="AK111" s="902"/>
      <c r="AL111" s="902"/>
      <c r="AM111" s="902"/>
      <c r="AN111" s="902"/>
      <c r="AO111" s="902"/>
      <c r="AP111" s="902"/>
      <c r="AQ111" s="902"/>
      <c r="AR111" s="902"/>
      <c r="AS111" s="902"/>
      <c r="AT111" s="916"/>
      <c r="AU111" s="916"/>
      <c r="AV111" s="916"/>
      <c r="AW111" s="916"/>
      <c r="AX111" s="916"/>
      <c r="AY111" s="916"/>
      <c r="AZ111" s="916"/>
      <c r="BA111" s="916"/>
      <c r="BB111" s="916"/>
      <c r="BC111" s="309"/>
      <c r="BD111" s="309"/>
    </row>
    <row r="112" spans="1:56" ht="15" customHeight="1" x14ac:dyDescent="0.25">
      <c r="A112" s="309"/>
      <c r="B112" s="884"/>
      <c r="C112" s="860"/>
      <c r="D112" s="921"/>
      <c r="E112" s="911"/>
      <c r="F112" s="922"/>
      <c r="G112" s="860"/>
      <c r="H112" s="922"/>
      <c r="I112" s="860"/>
      <c r="J112" s="911"/>
      <c r="K112" s="922"/>
      <c r="L112" s="938"/>
      <c r="M112" s="922"/>
      <c r="N112" s="902"/>
      <c r="O112" s="922"/>
      <c r="P112" s="916"/>
      <c r="Q112" s="916"/>
      <c r="R112" s="916"/>
      <c r="S112" s="916"/>
      <c r="T112" s="916"/>
      <c r="U112" s="916"/>
      <c r="V112" s="916"/>
      <c r="W112" s="916"/>
      <c r="X112" s="916"/>
      <c r="Y112" s="916"/>
      <c r="Z112" s="902"/>
      <c r="AA112" s="902"/>
      <c r="AB112" s="902"/>
      <c r="AC112" s="902"/>
      <c r="AD112" s="902"/>
      <c r="AE112" s="902"/>
      <c r="AF112" s="902"/>
      <c r="AG112" s="902"/>
      <c r="AH112" s="902"/>
      <c r="AI112" s="902"/>
      <c r="AJ112" s="939"/>
      <c r="AK112" s="902"/>
      <c r="AL112" s="902"/>
      <c r="AM112" s="902"/>
      <c r="AN112" s="902"/>
      <c r="AO112" s="902"/>
      <c r="AP112" s="902"/>
      <c r="AQ112" s="902"/>
      <c r="AR112" s="902"/>
      <c r="AS112" s="902"/>
      <c r="AT112" s="916"/>
      <c r="AU112" s="916"/>
      <c r="AV112" s="916"/>
      <c r="AW112" s="916"/>
      <c r="AX112" s="916"/>
      <c r="AY112" s="916"/>
      <c r="AZ112" s="916"/>
      <c r="BA112" s="916"/>
      <c r="BB112" s="916"/>
      <c r="BC112" s="309"/>
      <c r="BD112" s="309"/>
    </row>
    <row r="113" spans="1:56" ht="15" customHeight="1" x14ac:dyDescent="0.25">
      <c r="A113" s="309"/>
      <c r="B113" s="712"/>
      <c r="C113" s="911"/>
      <c r="D113" s="921"/>
      <c r="E113" s="911"/>
      <c r="F113" s="922"/>
      <c r="G113" s="860"/>
      <c r="H113" s="922"/>
      <c r="I113" s="860"/>
      <c r="J113" s="860"/>
      <c r="K113" s="922"/>
      <c r="L113" s="938"/>
      <c r="M113" s="922"/>
      <c r="N113" s="902"/>
      <c r="O113" s="922"/>
      <c r="P113" s="916"/>
      <c r="Q113" s="916"/>
      <c r="R113" s="916"/>
      <c r="S113" s="916"/>
      <c r="T113" s="916"/>
      <c r="U113" s="916"/>
      <c r="V113" s="916"/>
      <c r="W113" s="916"/>
      <c r="X113" s="916"/>
      <c r="Y113" s="916"/>
      <c r="Z113" s="902"/>
      <c r="AA113" s="902"/>
      <c r="AB113" s="902"/>
      <c r="AC113" s="902"/>
      <c r="AD113" s="902"/>
      <c r="AE113" s="902"/>
      <c r="AF113" s="902"/>
      <c r="AG113" s="317"/>
      <c r="AH113" s="902"/>
      <c r="AI113" s="902"/>
      <c r="AJ113" s="939"/>
      <c r="AK113" s="902"/>
      <c r="AL113" s="902"/>
      <c r="AM113" s="902"/>
      <c r="AN113" s="902"/>
      <c r="AO113" s="902"/>
      <c r="AP113" s="902"/>
      <c r="AQ113" s="902"/>
      <c r="AR113" s="902"/>
      <c r="AS113" s="902"/>
      <c r="AT113" s="916"/>
      <c r="AU113" s="916"/>
      <c r="AV113" s="916"/>
      <c r="AW113" s="916"/>
      <c r="AX113" s="916"/>
      <c r="AY113" s="916"/>
      <c r="AZ113" s="916"/>
      <c r="BA113" s="916"/>
      <c r="BB113" s="916"/>
      <c r="BC113" s="309"/>
      <c r="BD113" s="309"/>
    </row>
    <row r="114" spans="1:56" ht="15" customHeight="1" x14ac:dyDescent="0.25">
      <c r="A114" s="309"/>
      <c r="B114" s="884"/>
      <c r="C114" s="921"/>
      <c r="D114" s="921"/>
      <c r="E114" s="911"/>
      <c r="F114" s="911"/>
      <c r="G114" s="911"/>
      <c r="H114" s="911"/>
      <c r="I114" s="911"/>
      <c r="J114" s="911"/>
      <c r="K114" s="922"/>
      <c r="L114" s="938"/>
      <c r="M114" s="922"/>
      <c r="N114" s="902"/>
      <c r="O114" s="922"/>
      <c r="P114" s="916"/>
      <c r="Q114" s="916"/>
      <c r="R114" s="916"/>
      <c r="S114" s="916"/>
      <c r="T114" s="916"/>
      <c r="U114" s="916"/>
      <c r="V114" s="916"/>
      <c r="W114" s="916"/>
      <c r="X114" s="916"/>
      <c r="Y114" s="916"/>
      <c r="Z114" s="902"/>
      <c r="AA114" s="902"/>
      <c r="AB114" s="902"/>
      <c r="AC114" s="902"/>
      <c r="AD114" s="902"/>
      <c r="AE114" s="902"/>
      <c r="AF114" s="902"/>
      <c r="AG114" s="902"/>
      <c r="AH114" s="902"/>
      <c r="AI114" s="902"/>
      <c r="AJ114" s="939"/>
      <c r="AK114" s="902"/>
      <c r="AL114" s="902"/>
      <c r="AM114" s="902"/>
      <c r="AN114" s="902"/>
      <c r="AO114" s="902"/>
      <c r="AP114" s="902"/>
      <c r="AQ114" s="902"/>
      <c r="AR114" s="902"/>
      <c r="AS114" s="902"/>
      <c r="AT114" s="916"/>
      <c r="AU114" s="916"/>
      <c r="AV114" s="916"/>
      <c r="AW114" s="916"/>
      <c r="AX114" s="916"/>
      <c r="AY114" s="916"/>
      <c r="AZ114" s="916"/>
      <c r="BA114" s="916"/>
      <c r="BB114" s="916"/>
      <c r="BC114" s="309"/>
      <c r="BD114" s="309"/>
    </row>
    <row r="115" spans="1:56" ht="15" customHeight="1" x14ac:dyDescent="0.25">
      <c r="A115" s="309"/>
      <c r="B115" s="712"/>
      <c r="C115" s="911"/>
      <c r="D115" s="921"/>
      <c r="E115" s="911"/>
      <c r="F115" s="911"/>
      <c r="G115" s="911"/>
      <c r="H115" s="911"/>
      <c r="I115" s="860"/>
      <c r="J115" s="911"/>
      <c r="K115" s="922"/>
      <c r="L115" s="938"/>
      <c r="M115" s="922"/>
      <c r="N115" s="902"/>
      <c r="O115" s="922"/>
      <c r="P115" s="916"/>
      <c r="Q115" s="916"/>
      <c r="R115" s="916"/>
      <c r="S115" s="916"/>
      <c r="T115" s="916"/>
      <c r="U115" s="916"/>
      <c r="V115" s="916"/>
      <c r="W115" s="916"/>
      <c r="X115" s="916"/>
      <c r="Y115" s="916"/>
      <c r="Z115" s="317"/>
      <c r="AA115" s="902"/>
      <c r="AB115" s="902"/>
      <c r="AC115" s="902"/>
      <c r="AD115" s="902"/>
      <c r="AE115" s="902"/>
      <c r="AF115" s="902"/>
      <c r="AG115" s="902"/>
      <c r="AH115" s="902"/>
      <c r="AI115" s="902"/>
      <c r="AJ115" s="939"/>
      <c r="AK115" s="902"/>
      <c r="AL115" s="902"/>
      <c r="AM115" s="902"/>
      <c r="AN115" s="902"/>
      <c r="AO115" s="902"/>
      <c r="AP115" s="902"/>
      <c r="AQ115" s="902"/>
      <c r="AR115" s="902"/>
      <c r="AS115" s="902"/>
      <c r="AT115" s="916"/>
      <c r="AU115" s="916"/>
      <c r="AV115" s="916"/>
      <c r="AW115" s="916"/>
      <c r="AX115" s="916"/>
      <c r="AY115" s="916"/>
      <c r="AZ115" s="916"/>
      <c r="BA115" s="916"/>
      <c r="BB115" s="916"/>
      <c r="BC115" s="309"/>
      <c r="BD115" s="309"/>
    </row>
    <row r="116" spans="1:56" ht="15" customHeight="1" x14ac:dyDescent="0.25">
      <c r="A116" s="309"/>
      <c r="B116" s="712"/>
      <c r="C116" s="911"/>
      <c r="D116" s="921"/>
      <c r="E116" s="911"/>
      <c r="F116" s="911"/>
      <c r="G116" s="911"/>
      <c r="H116" s="860"/>
      <c r="I116" s="911"/>
      <c r="J116" s="911"/>
      <c r="K116" s="922"/>
      <c r="L116" s="938"/>
      <c r="M116" s="922"/>
      <c r="N116" s="902"/>
      <c r="O116" s="922"/>
      <c r="P116" s="916"/>
      <c r="Q116" s="916"/>
      <c r="R116" s="916"/>
      <c r="S116" s="916"/>
      <c r="T116" s="916"/>
      <c r="U116" s="916"/>
      <c r="V116" s="916"/>
      <c r="W116" s="916"/>
      <c r="X116" s="916"/>
      <c r="Y116" s="916"/>
      <c r="Z116" s="902"/>
      <c r="AA116" s="902"/>
      <c r="AB116" s="902"/>
      <c r="AC116" s="902"/>
      <c r="AD116" s="902"/>
      <c r="AE116" s="902"/>
      <c r="AF116" s="902"/>
      <c r="AG116" s="902"/>
      <c r="AH116" s="902"/>
      <c r="AI116" s="902"/>
      <c r="AJ116" s="939"/>
      <c r="AK116" s="902"/>
      <c r="AL116" s="902"/>
      <c r="AM116" s="902"/>
      <c r="AN116" s="902"/>
      <c r="AO116" s="902"/>
      <c r="AP116" s="902"/>
      <c r="AQ116" s="902"/>
      <c r="AR116" s="902"/>
      <c r="AS116" s="902"/>
      <c r="AT116" s="916"/>
      <c r="AU116" s="916"/>
      <c r="AV116" s="916"/>
      <c r="AW116" s="916"/>
      <c r="AX116" s="916"/>
      <c r="AY116" s="916"/>
      <c r="AZ116" s="916"/>
      <c r="BA116" s="916"/>
      <c r="BB116" s="916"/>
      <c r="BC116" s="309"/>
      <c r="BD116" s="309"/>
    </row>
    <row r="117" spans="1:56" ht="15" customHeight="1" x14ac:dyDescent="0.25">
      <c r="A117" s="309"/>
      <c r="B117" s="884"/>
      <c r="C117" s="911"/>
      <c r="D117" s="911"/>
      <c r="E117" s="911"/>
      <c r="F117" s="911"/>
      <c r="G117" s="860"/>
      <c r="H117" s="911"/>
      <c r="I117" s="860"/>
      <c r="J117" s="922"/>
      <c r="K117" s="922"/>
      <c r="L117" s="938"/>
      <c r="M117" s="922"/>
      <c r="N117" s="902"/>
      <c r="O117" s="922"/>
      <c r="P117" s="916"/>
      <c r="Q117" s="916"/>
      <c r="R117" s="916"/>
      <c r="S117" s="916"/>
      <c r="T117" s="916"/>
      <c r="U117" s="916"/>
      <c r="V117" s="916"/>
      <c r="W117" s="916"/>
      <c r="X117" s="916"/>
      <c r="Y117" s="916"/>
      <c r="Z117" s="902"/>
      <c r="AA117" s="317"/>
      <c r="AB117" s="916"/>
      <c r="AC117" s="902"/>
      <c r="AD117" s="902"/>
      <c r="AE117" s="902"/>
      <c r="AF117" s="902"/>
      <c r="AG117" s="902"/>
      <c r="AH117" s="902"/>
      <c r="AI117" s="902"/>
      <c r="AJ117" s="939"/>
      <c r="AK117" s="902"/>
      <c r="AL117" s="902"/>
      <c r="AM117" s="902"/>
      <c r="AN117" s="902"/>
      <c r="AO117" s="902"/>
      <c r="AP117" s="902"/>
      <c r="AQ117" s="902"/>
      <c r="AR117" s="902"/>
      <c r="AS117" s="902"/>
      <c r="AT117" s="916"/>
      <c r="AU117" s="916"/>
      <c r="AV117" s="916"/>
      <c r="AW117" s="916"/>
      <c r="AX117" s="916"/>
      <c r="AY117" s="916"/>
      <c r="AZ117" s="916"/>
      <c r="BA117" s="916"/>
      <c r="BB117" s="916"/>
      <c r="BC117" s="309"/>
      <c r="BD117" s="309"/>
    </row>
    <row r="118" spans="1:56" ht="15" customHeight="1" x14ac:dyDescent="0.25">
      <c r="A118" s="309"/>
      <c r="B118" s="712"/>
      <c r="C118" s="911"/>
      <c r="D118" s="911"/>
      <c r="E118" s="911"/>
      <c r="F118" s="860"/>
      <c r="G118" s="911"/>
      <c r="H118" s="911"/>
      <c r="I118" s="911"/>
      <c r="J118" s="911"/>
      <c r="K118" s="922"/>
      <c r="L118" s="938"/>
      <c r="M118" s="922"/>
      <c r="N118" s="902"/>
      <c r="O118" s="922"/>
      <c r="P118" s="916"/>
      <c r="Q118" s="916"/>
      <c r="R118" s="916"/>
      <c r="S118" s="916"/>
      <c r="T118" s="916"/>
      <c r="U118" s="916"/>
      <c r="V118" s="916"/>
      <c r="W118" s="916"/>
      <c r="X118" s="916"/>
      <c r="Y118" s="916"/>
      <c r="Z118" s="902"/>
      <c r="AA118" s="902"/>
      <c r="AB118" s="902"/>
      <c r="AC118" s="902"/>
      <c r="AD118" s="902"/>
      <c r="AE118" s="902"/>
      <c r="AF118" s="902"/>
      <c r="AG118" s="902"/>
      <c r="AH118" s="916"/>
      <c r="AI118" s="902"/>
      <c r="AJ118" s="939"/>
      <c r="AK118" s="902"/>
      <c r="AL118" s="902"/>
      <c r="AM118" s="902"/>
      <c r="AN118" s="902"/>
      <c r="AO118" s="902"/>
      <c r="AP118" s="902"/>
      <c r="AQ118" s="902"/>
      <c r="AR118" s="902"/>
      <c r="AS118" s="902"/>
      <c r="AT118" s="916"/>
      <c r="AU118" s="916"/>
      <c r="AV118" s="916"/>
      <c r="AW118" s="916"/>
      <c r="AX118" s="916"/>
      <c r="AY118" s="916"/>
      <c r="AZ118" s="916"/>
      <c r="BA118" s="916"/>
      <c r="BB118" s="916"/>
      <c r="BC118" s="309"/>
      <c r="BD118" s="309"/>
    </row>
    <row r="119" spans="1:56" ht="15" customHeight="1" x14ac:dyDescent="0.25">
      <c r="A119" s="309"/>
      <c r="B119" s="712"/>
      <c r="C119" s="911"/>
      <c r="D119" s="911"/>
      <c r="E119" s="911"/>
      <c r="F119" s="860"/>
      <c r="G119" s="911"/>
      <c r="H119" s="911"/>
      <c r="I119" s="911"/>
      <c r="J119" s="911"/>
      <c r="K119" s="922"/>
      <c r="L119" s="938"/>
      <c r="M119" s="922"/>
      <c r="N119" s="902"/>
      <c r="O119" s="922"/>
      <c r="P119" s="916"/>
      <c r="Q119" s="916"/>
      <c r="R119" s="916"/>
      <c r="S119" s="916"/>
      <c r="T119" s="916"/>
      <c r="U119" s="916"/>
      <c r="V119" s="916"/>
      <c r="W119" s="916"/>
      <c r="X119" s="916"/>
      <c r="Y119" s="916"/>
      <c r="Z119" s="902"/>
      <c r="AA119" s="902"/>
      <c r="AB119" s="902"/>
      <c r="AC119" s="317"/>
      <c r="AD119" s="902"/>
      <c r="AE119" s="902"/>
      <c r="AF119" s="902"/>
      <c r="AG119" s="902"/>
      <c r="AH119" s="902"/>
      <c r="AI119" s="902"/>
      <c r="AJ119" s="939"/>
      <c r="AK119" s="902"/>
      <c r="AL119" s="902"/>
      <c r="AM119" s="902"/>
      <c r="AN119" s="902"/>
      <c r="AO119" s="902"/>
      <c r="AP119" s="902"/>
      <c r="AQ119" s="902"/>
      <c r="AR119" s="902"/>
      <c r="AS119" s="902"/>
      <c r="AT119" s="916"/>
      <c r="AU119" s="916"/>
      <c r="AV119" s="916"/>
      <c r="AW119" s="916"/>
      <c r="AX119" s="916"/>
      <c r="AY119" s="916"/>
      <c r="AZ119" s="916"/>
      <c r="BA119" s="916"/>
      <c r="BB119" s="916"/>
      <c r="BC119" s="309"/>
      <c r="BD119" s="309"/>
    </row>
    <row r="120" spans="1:56" ht="15" customHeight="1" x14ac:dyDescent="0.25">
      <c r="A120" s="309"/>
      <c r="B120" s="712"/>
      <c r="C120" s="911"/>
      <c r="D120" s="911"/>
      <c r="E120" s="860"/>
      <c r="F120" s="911"/>
      <c r="G120" s="911"/>
      <c r="H120" s="911"/>
      <c r="I120" s="911"/>
      <c r="J120" s="911"/>
      <c r="K120" s="922"/>
      <c r="L120" s="938"/>
      <c r="M120" s="922"/>
      <c r="N120" s="902"/>
      <c r="O120" s="922"/>
      <c r="P120" s="916"/>
      <c r="Q120" s="916"/>
      <c r="R120" s="916"/>
      <c r="S120" s="916"/>
      <c r="T120" s="916"/>
      <c r="U120" s="916"/>
      <c r="V120" s="916"/>
      <c r="W120" s="916"/>
      <c r="X120" s="916"/>
      <c r="Y120" s="916"/>
      <c r="Z120" s="902"/>
      <c r="AA120" s="902"/>
      <c r="AB120" s="902"/>
      <c r="AC120" s="902"/>
      <c r="AD120" s="317"/>
      <c r="AE120" s="902"/>
      <c r="AF120" s="902"/>
      <c r="AG120" s="902"/>
      <c r="AH120" s="902"/>
      <c r="AI120" s="902"/>
      <c r="AJ120" s="939"/>
      <c r="AK120" s="902"/>
      <c r="AL120" s="902"/>
      <c r="AM120" s="902"/>
      <c r="AN120" s="902"/>
      <c r="AO120" s="902"/>
      <c r="AP120" s="902"/>
      <c r="AQ120" s="902"/>
      <c r="AR120" s="902"/>
      <c r="AS120" s="902"/>
      <c r="AT120" s="916"/>
      <c r="AU120" s="916"/>
      <c r="AV120" s="916"/>
      <c r="AW120" s="916"/>
      <c r="AX120" s="916"/>
      <c r="AY120" s="916"/>
      <c r="AZ120" s="916"/>
      <c r="BA120" s="916"/>
      <c r="BB120" s="916"/>
      <c r="BC120" s="309"/>
      <c r="BD120" s="309"/>
    </row>
    <row r="121" spans="1:56" ht="15" customHeight="1" x14ac:dyDescent="0.25">
      <c r="A121" s="309"/>
      <c r="B121" s="712"/>
      <c r="C121" s="911"/>
      <c r="D121" s="860"/>
      <c r="E121" s="911"/>
      <c r="F121" s="911"/>
      <c r="G121" s="860"/>
      <c r="H121" s="860"/>
      <c r="I121" s="860"/>
      <c r="J121" s="860"/>
      <c r="K121" s="922"/>
      <c r="L121" s="938"/>
      <c r="M121" s="922"/>
      <c r="N121" s="902"/>
      <c r="O121" s="922"/>
      <c r="P121" s="916"/>
      <c r="Q121" s="916"/>
      <c r="R121" s="916"/>
      <c r="S121" s="916"/>
      <c r="T121" s="916"/>
      <c r="U121" s="916"/>
      <c r="V121" s="916"/>
      <c r="W121" s="916"/>
      <c r="X121" s="916"/>
      <c r="Y121" s="916"/>
      <c r="Z121" s="902"/>
      <c r="AA121" s="902"/>
      <c r="AB121" s="902"/>
      <c r="AC121" s="902"/>
      <c r="AD121" s="902"/>
      <c r="AE121" s="902"/>
      <c r="AF121" s="902"/>
      <c r="AG121" s="902"/>
      <c r="AH121" s="902"/>
      <c r="AI121" s="902"/>
      <c r="AJ121" s="939"/>
      <c r="AK121" s="902"/>
      <c r="AL121" s="902"/>
      <c r="AM121" s="902"/>
      <c r="AN121" s="902"/>
      <c r="AO121" s="902"/>
      <c r="AP121" s="902"/>
      <c r="AQ121" s="902"/>
      <c r="AR121" s="902"/>
      <c r="AS121" s="902"/>
      <c r="AT121" s="916"/>
      <c r="AU121" s="916"/>
      <c r="AV121" s="916"/>
      <c r="AW121" s="916"/>
      <c r="AX121" s="916"/>
      <c r="AY121" s="916"/>
      <c r="AZ121" s="916"/>
      <c r="BA121" s="916"/>
      <c r="BB121" s="916"/>
      <c r="BC121" s="309"/>
      <c r="BD121" s="309"/>
    </row>
    <row r="122" spans="1:56" ht="15" customHeight="1" x14ac:dyDescent="0.25">
      <c r="A122" s="309"/>
      <c r="B122" s="884"/>
      <c r="C122" s="860"/>
      <c r="D122" s="911"/>
      <c r="E122" s="911"/>
      <c r="F122" s="911"/>
      <c r="G122" s="911"/>
      <c r="H122" s="911"/>
      <c r="I122" s="911"/>
      <c r="J122" s="911"/>
      <c r="K122" s="922"/>
      <c r="L122" s="938"/>
      <c r="M122" s="922"/>
      <c r="N122" s="902"/>
      <c r="O122" s="922"/>
      <c r="P122" s="916"/>
      <c r="Q122" s="916"/>
      <c r="R122" s="916"/>
      <c r="S122" s="916"/>
      <c r="T122" s="916"/>
      <c r="U122" s="916"/>
      <c r="V122" s="916"/>
      <c r="W122" s="916"/>
      <c r="X122" s="916"/>
      <c r="Y122" s="916"/>
      <c r="Z122" s="902"/>
      <c r="AA122" s="902"/>
      <c r="AB122" s="902"/>
      <c r="AC122" s="902"/>
      <c r="AD122" s="902"/>
      <c r="AE122" s="916"/>
      <c r="AF122" s="902"/>
      <c r="AG122" s="902"/>
      <c r="AH122" s="902"/>
      <c r="AI122" s="902"/>
      <c r="AJ122" s="939"/>
      <c r="AK122" s="902"/>
      <c r="AL122" s="902"/>
      <c r="AM122" s="902"/>
      <c r="AN122" s="902"/>
      <c r="AO122" s="902"/>
      <c r="AP122" s="902"/>
      <c r="AQ122" s="902"/>
      <c r="AR122" s="902"/>
      <c r="AS122" s="902"/>
      <c r="AT122" s="916"/>
      <c r="AU122" s="916"/>
      <c r="AV122" s="916"/>
      <c r="AW122" s="916"/>
      <c r="AX122" s="916"/>
      <c r="AY122" s="916"/>
      <c r="AZ122" s="916"/>
      <c r="BA122" s="916"/>
      <c r="BB122" s="916"/>
      <c r="BC122" s="309"/>
      <c r="BD122" s="309"/>
    </row>
    <row r="123" spans="1:56" ht="15" customHeight="1" x14ac:dyDescent="0.25">
      <c r="A123" s="309"/>
      <c r="B123" s="884"/>
      <c r="C123" s="911"/>
      <c r="D123" s="911"/>
      <c r="E123" s="911"/>
      <c r="F123" s="860"/>
      <c r="G123" s="911"/>
      <c r="H123" s="911"/>
      <c r="I123" s="911"/>
      <c r="J123" s="911"/>
      <c r="K123" s="922"/>
      <c r="L123" s="938"/>
      <c r="M123" s="922"/>
      <c r="N123" s="902"/>
      <c r="O123" s="922"/>
      <c r="P123" s="916"/>
      <c r="Q123" s="916"/>
      <c r="R123" s="916"/>
      <c r="S123" s="916"/>
      <c r="T123" s="916"/>
      <c r="U123" s="916"/>
      <c r="V123" s="916"/>
      <c r="W123" s="916"/>
      <c r="X123" s="916"/>
      <c r="Y123" s="916"/>
      <c r="Z123" s="902"/>
      <c r="AA123" s="902"/>
      <c r="AB123" s="902"/>
      <c r="AC123" s="902"/>
      <c r="AD123" s="902"/>
      <c r="AE123" s="902"/>
      <c r="AF123" s="902"/>
      <c r="AG123" s="902"/>
      <c r="AH123" s="902"/>
      <c r="AI123" s="902"/>
      <c r="AJ123" s="939"/>
      <c r="AK123" s="902"/>
      <c r="AL123" s="902"/>
      <c r="AM123" s="902"/>
      <c r="AN123" s="902"/>
      <c r="AO123" s="902"/>
      <c r="AP123" s="902"/>
      <c r="AQ123" s="902"/>
      <c r="AR123" s="902"/>
      <c r="AS123" s="902"/>
      <c r="AT123" s="916"/>
      <c r="AU123" s="916"/>
      <c r="AV123" s="916"/>
      <c r="AW123" s="916"/>
      <c r="AX123" s="916"/>
      <c r="AY123" s="916"/>
      <c r="AZ123" s="916"/>
      <c r="BA123" s="916"/>
      <c r="BB123" s="916"/>
      <c r="BC123" s="309"/>
      <c r="BD123" s="309"/>
    </row>
    <row r="124" spans="1:56" ht="15" customHeight="1" x14ac:dyDescent="0.25">
      <c r="A124" s="309"/>
      <c r="B124" s="712"/>
      <c r="C124" s="911"/>
      <c r="D124" s="911"/>
      <c r="E124" s="911"/>
      <c r="F124" s="860"/>
      <c r="G124" s="911"/>
      <c r="H124" s="911"/>
      <c r="I124" s="911"/>
      <c r="J124" s="860"/>
      <c r="K124" s="922"/>
      <c r="L124" s="938"/>
      <c r="M124" s="922"/>
      <c r="N124" s="902"/>
      <c r="O124" s="922"/>
      <c r="P124" s="916"/>
      <c r="Q124" s="916"/>
      <c r="R124" s="916"/>
      <c r="S124" s="916"/>
      <c r="T124" s="916"/>
      <c r="U124" s="916"/>
      <c r="V124" s="916"/>
      <c r="W124" s="916"/>
      <c r="X124" s="916"/>
      <c r="Y124" s="916"/>
      <c r="Z124" s="902"/>
      <c r="AA124" s="902"/>
      <c r="AB124" s="902"/>
      <c r="AC124" s="902"/>
      <c r="AD124" s="902"/>
      <c r="AE124" s="902"/>
      <c r="AF124" s="902"/>
      <c r="AG124" s="902"/>
      <c r="AH124" s="902"/>
      <c r="AI124" s="902"/>
      <c r="AJ124" s="939"/>
      <c r="AK124" s="902"/>
      <c r="AL124" s="902"/>
      <c r="AM124" s="902"/>
      <c r="AN124" s="902"/>
      <c r="AO124" s="902"/>
      <c r="AP124" s="902"/>
      <c r="AQ124" s="902"/>
      <c r="AR124" s="902"/>
      <c r="AS124" s="902"/>
      <c r="AT124" s="916"/>
      <c r="AU124" s="916"/>
      <c r="AV124" s="916"/>
      <c r="AW124" s="916"/>
      <c r="AX124" s="916"/>
      <c r="AY124" s="916"/>
      <c r="AZ124" s="916"/>
      <c r="BA124" s="916"/>
      <c r="BB124" s="916"/>
      <c r="BC124" s="309"/>
      <c r="BD124" s="309"/>
    </row>
    <row r="125" spans="1:56" ht="15" customHeight="1" x14ac:dyDescent="0.25">
      <c r="A125" s="309"/>
      <c r="B125" s="712"/>
      <c r="C125" s="911"/>
      <c r="D125" s="911"/>
      <c r="E125" s="911"/>
      <c r="F125" s="860"/>
      <c r="G125" s="911"/>
      <c r="H125" s="911"/>
      <c r="I125" s="860"/>
      <c r="J125" s="911"/>
      <c r="K125" s="922"/>
      <c r="L125" s="938"/>
      <c r="M125" s="922"/>
      <c r="N125" s="902"/>
      <c r="O125" s="922"/>
      <c r="P125" s="916"/>
      <c r="Q125" s="916"/>
      <c r="R125" s="916"/>
      <c r="S125" s="916"/>
      <c r="T125" s="916"/>
      <c r="U125" s="916"/>
      <c r="V125" s="916"/>
      <c r="W125" s="916"/>
      <c r="X125" s="916"/>
      <c r="Y125" s="916"/>
      <c r="Z125" s="902"/>
      <c r="AA125" s="902"/>
      <c r="AB125" s="902"/>
      <c r="AC125" s="902"/>
      <c r="AD125" s="902"/>
      <c r="AE125" s="902"/>
      <c r="AF125" s="902"/>
      <c r="AG125" s="902"/>
      <c r="AH125" s="902"/>
      <c r="AI125" s="902"/>
      <c r="AJ125" s="939"/>
      <c r="AK125" s="902"/>
      <c r="AL125" s="902"/>
      <c r="AM125" s="902"/>
      <c r="AN125" s="902"/>
      <c r="AO125" s="902"/>
      <c r="AP125" s="902"/>
      <c r="AQ125" s="902"/>
      <c r="AR125" s="902"/>
      <c r="AS125" s="902"/>
      <c r="AT125" s="916"/>
      <c r="AU125" s="916"/>
      <c r="AV125" s="916"/>
      <c r="AW125" s="916"/>
      <c r="AX125" s="916"/>
      <c r="AY125" s="916"/>
      <c r="AZ125" s="916"/>
      <c r="BA125" s="916"/>
      <c r="BB125" s="916"/>
      <c r="BC125" s="309"/>
      <c r="BD125" s="309"/>
    </row>
    <row r="126" spans="1:56" ht="15" customHeight="1" x14ac:dyDescent="0.25">
      <c r="A126" s="309"/>
      <c r="B126" s="884"/>
      <c r="C126" s="871"/>
      <c r="D126" s="871"/>
      <c r="E126" s="911"/>
      <c r="F126" s="911"/>
      <c r="G126" s="911"/>
      <c r="H126" s="911"/>
      <c r="I126" s="911"/>
      <c r="J126" s="911"/>
      <c r="K126" s="922"/>
      <c r="L126" s="938"/>
      <c r="M126" s="922"/>
      <c r="N126" s="902"/>
      <c r="O126" s="922"/>
      <c r="P126" s="916"/>
      <c r="Q126" s="916"/>
      <c r="R126" s="916"/>
      <c r="S126" s="916"/>
      <c r="T126" s="916"/>
      <c r="U126" s="916"/>
      <c r="V126" s="916"/>
      <c r="W126" s="916"/>
      <c r="X126" s="916"/>
      <c r="Y126" s="916"/>
      <c r="Z126" s="902"/>
      <c r="AA126" s="902"/>
      <c r="AB126" s="902"/>
      <c r="AC126" s="902"/>
      <c r="AD126" s="902"/>
      <c r="AE126" s="902"/>
      <c r="AF126" s="317"/>
      <c r="AG126" s="902"/>
      <c r="AH126" s="902"/>
      <c r="AI126" s="902"/>
      <c r="AJ126" s="939"/>
      <c r="AK126" s="902"/>
      <c r="AL126" s="902"/>
      <c r="AM126" s="902"/>
      <c r="AN126" s="902"/>
      <c r="AO126" s="902"/>
      <c r="AP126" s="902"/>
      <c r="AQ126" s="902"/>
      <c r="AR126" s="902"/>
      <c r="AS126" s="902"/>
      <c r="AT126" s="916"/>
      <c r="AU126" s="916"/>
      <c r="AV126" s="916"/>
      <c r="AW126" s="916"/>
      <c r="AX126" s="916"/>
      <c r="AY126" s="916"/>
      <c r="AZ126" s="916"/>
      <c r="BA126" s="916"/>
      <c r="BB126" s="916"/>
      <c r="BC126" s="309"/>
      <c r="BD126" s="309"/>
    </row>
    <row r="127" spans="1:56" ht="15" customHeight="1" x14ac:dyDescent="0.25">
      <c r="A127" s="309"/>
      <c r="B127" s="712"/>
      <c r="C127" s="911"/>
      <c r="D127" s="871"/>
      <c r="E127" s="911"/>
      <c r="F127" s="911"/>
      <c r="G127" s="911"/>
      <c r="H127" s="860"/>
      <c r="I127" s="911"/>
      <c r="J127" s="911"/>
      <c r="K127" s="922"/>
      <c r="L127" s="938"/>
      <c r="M127" s="922"/>
      <c r="N127" s="902"/>
      <c r="O127" s="922"/>
      <c r="P127" s="916"/>
      <c r="Q127" s="916"/>
      <c r="R127" s="916"/>
      <c r="S127" s="916"/>
      <c r="T127" s="916"/>
      <c r="U127" s="916"/>
      <c r="V127" s="916"/>
      <c r="W127" s="916"/>
      <c r="X127" s="916"/>
      <c r="Y127" s="916"/>
      <c r="Z127" s="902"/>
      <c r="AA127" s="902"/>
      <c r="AB127" s="902"/>
      <c r="AC127" s="902"/>
      <c r="AD127" s="902"/>
      <c r="AE127" s="902"/>
      <c r="AF127" s="902"/>
      <c r="AG127" s="902"/>
      <c r="AH127" s="902"/>
      <c r="AI127" s="902"/>
      <c r="AJ127" s="939"/>
      <c r="AK127" s="902"/>
      <c r="AL127" s="902"/>
      <c r="AM127" s="902"/>
      <c r="AN127" s="902"/>
      <c r="AO127" s="902"/>
      <c r="AP127" s="902"/>
      <c r="AQ127" s="902"/>
      <c r="AR127" s="902"/>
      <c r="AS127" s="902"/>
      <c r="AT127" s="916"/>
      <c r="AU127" s="916"/>
      <c r="AV127" s="916"/>
      <c r="AW127" s="916"/>
      <c r="AX127" s="916"/>
      <c r="AY127" s="916"/>
      <c r="AZ127" s="916"/>
      <c r="BA127" s="916"/>
      <c r="BB127" s="916"/>
      <c r="BC127" s="309"/>
      <c r="BD127" s="309"/>
    </row>
    <row r="128" spans="1:56" ht="15" customHeight="1" x14ac:dyDescent="0.25">
      <c r="A128" s="309"/>
      <c r="B128" s="712"/>
      <c r="C128" s="911"/>
      <c r="D128" s="871"/>
      <c r="E128" s="911"/>
      <c r="F128" s="911"/>
      <c r="G128" s="860"/>
      <c r="H128" s="911"/>
      <c r="I128" s="911"/>
      <c r="J128" s="911"/>
      <c r="K128" s="922"/>
      <c r="L128" s="938"/>
      <c r="M128" s="922"/>
      <c r="N128" s="902"/>
      <c r="O128" s="922"/>
      <c r="P128" s="916"/>
      <c r="Q128" s="916"/>
      <c r="R128" s="916"/>
      <c r="S128" s="916"/>
      <c r="T128" s="916"/>
      <c r="U128" s="916"/>
      <c r="V128" s="916"/>
      <c r="W128" s="916"/>
      <c r="X128" s="916"/>
      <c r="Y128" s="916"/>
      <c r="Z128" s="902"/>
      <c r="AA128" s="902"/>
      <c r="AB128" s="902"/>
      <c r="AC128" s="902"/>
      <c r="AD128" s="902"/>
      <c r="AE128" s="902"/>
      <c r="AF128" s="902"/>
      <c r="AG128" s="902"/>
      <c r="AH128" s="902"/>
      <c r="AI128" s="902"/>
      <c r="AJ128" s="939"/>
      <c r="AK128" s="902"/>
      <c r="AL128" s="902"/>
      <c r="AM128" s="902"/>
      <c r="AN128" s="902"/>
      <c r="AO128" s="902"/>
      <c r="AP128" s="902"/>
      <c r="AQ128" s="902"/>
      <c r="AR128" s="902"/>
      <c r="AS128" s="902"/>
      <c r="AT128" s="916"/>
      <c r="AU128" s="916"/>
      <c r="AV128" s="916"/>
      <c r="AW128" s="916"/>
      <c r="AX128" s="916"/>
      <c r="AY128" s="916"/>
      <c r="AZ128" s="916"/>
      <c r="BA128" s="916"/>
      <c r="BB128" s="916"/>
      <c r="BC128" s="309"/>
      <c r="BD128" s="309"/>
    </row>
    <row r="129" spans="1:56" ht="15" customHeight="1" x14ac:dyDescent="0.25">
      <c r="A129" s="309"/>
      <c r="B129" s="884"/>
      <c r="C129" s="871"/>
      <c r="D129" s="871"/>
      <c r="E129" s="911"/>
      <c r="F129" s="860"/>
      <c r="G129" s="860"/>
      <c r="H129" s="911"/>
      <c r="I129" s="911"/>
      <c r="J129" s="911"/>
      <c r="K129" s="922"/>
      <c r="L129" s="938"/>
      <c r="M129" s="922"/>
      <c r="N129" s="902"/>
      <c r="O129" s="922"/>
      <c r="P129" s="916"/>
      <c r="Q129" s="916"/>
      <c r="R129" s="916"/>
      <c r="S129" s="916"/>
      <c r="T129" s="916"/>
      <c r="U129" s="916"/>
      <c r="V129" s="916"/>
      <c r="W129" s="916"/>
      <c r="X129" s="916"/>
      <c r="Y129" s="916"/>
      <c r="Z129" s="902"/>
      <c r="AA129" s="902"/>
      <c r="AB129" s="902"/>
      <c r="AC129" s="902"/>
      <c r="AD129" s="902"/>
      <c r="AE129" s="902"/>
      <c r="AF129" s="902"/>
      <c r="AG129" s="317"/>
      <c r="AH129" s="902"/>
      <c r="AI129" s="902"/>
      <c r="AJ129" s="939"/>
      <c r="AK129" s="902"/>
      <c r="AL129" s="902"/>
      <c r="AM129" s="902"/>
      <c r="AN129" s="902"/>
      <c r="AO129" s="902"/>
      <c r="AP129" s="902"/>
      <c r="AQ129" s="902"/>
      <c r="AR129" s="902"/>
      <c r="AS129" s="902"/>
      <c r="AT129" s="916"/>
      <c r="AU129" s="916"/>
      <c r="AV129" s="916"/>
      <c r="AW129" s="916"/>
      <c r="AX129" s="916"/>
      <c r="AY129" s="916"/>
      <c r="AZ129" s="916"/>
      <c r="BA129" s="916"/>
      <c r="BB129" s="916"/>
      <c r="BC129" s="309"/>
      <c r="BD129" s="309"/>
    </row>
    <row r="130" spans="1:56" ht="15" customHeight="1" x14ac:dyDescent="0.25">
      <c r="A130" s="309"/>
      <c r="B130" s="712"/>
      <c r="C130" s="911"/>
      <c r="D130" s="911"/>
      <c r="E130" s="860"/>
      <c r="F130" s="911"/>
      <c r="G130" s="911"/>
      <c r="H130" s="911"/>
      <c r="I130" s="911"/>
      <c r="J130" s="911"/>
      <c r="K130" s="922"/>
      <c r="L130" s="938"/>
      <c r="M130" s="922"/>
      <c r="N130" s="902"/>
      <c r="O130" s="922"/>
      <c r="P130" s="916"/>
      <c r="Q130" s="916"/>
      <c r="R130" s="916"/>
      <c r="S130" s="916"/>
      <c r="T130" s="916"/>
      <c r="U130" s="916"/>
      <c r="V130" s="916"/>
      <c r="W130" s="916"/>
      <c r="X130" s="916"/>
      <c r="Y130" s="916"/>
      <c r="Z130" s="902"/>
      <c r="AA130" s="902"/>
      <c r="AB130" s="902"/>
      <c r="AC130" s="902"/>
      <c r="AD130" s="902"/>
      <c r="AE130" s="902"/>
      <c r="AF130" s="902"/>
      <c r="AG130" s="902"/>
      <c r="AH130" s="902"/>
      <c r="AI130" s="902"/>
      <c r="AJ130" s="939"/>
      <c r="AK130" s="902"/>
      <c r="AL130" s="902"/>
      <c r="AM130" s="902"/>
      <c r="AN130" s="902"/>
      <c r="AO130" s="902"/>
      <c r="AP130" s="902"/>
      <c r="AQ130" s="902"/>
      <c r="AR130" s="902"/>
      <c r="AS130" s="902"/>
      <c r="AT130" s="916"/>
      <c r="AU130" s="916"/>
      <c r="AV130" s="916"/>
      <c r="AW130" s="916"/>
      <c r="AX130" s="916"/>
      <c r="AY130" s="916"/>
      <c r="AZ130" s="916"/>
      <c r="BA130" s="916"/>
      <c r="BB130" s="916"/>
      <c r="BC130" s="309"/>
      <c r="BD130" s="309"/>
    </row>
    <row r="131" spans="1:56" ht="15" customHeight="1" x14ac:dyDescent="0.25">
      <c r="A131" s="309"/>
      <c r="B131" s="712"/>
      <c r="C131" s="911"/>
      <c r="D131" s="860"/>
      <c r="E131" s="860"/>
      <c r="F131" s="911"/>
      <c r="G131" s="911"/>
      <c r="H131" s="911"/>
      <c r="I131" s="911"/>
      <c r="J131" s="911"/>
      <c r="K131" s="922"/>
      <c r="L131" s="938"/>
      <c r="M131" s="922"/>
      <c r="N131" s="902"/>
      <c r="O131" s="922"/>
      <c r="P131" s="916"/>
      <c r="Q131" s="916"/>
      <c r="R131" s="916"/>
      <c r="S131" s="916"/>
      <c r="T131" s="916"/>
      <c r="U131" s="916"/>
      <c r="V131" s="916"/>
      <c r="W131" s="916"/>
      <c r="X131" s="916"/>
      <c r="Y131" s="916"/>
      <c r="Z131" s="902"/>
      <c r="AA131" s="902"/>
      <c r="AB131" s="902"/>
      <c r="AC131" s="902"/>
      <c r="AD131" s="902"/>
      <c r="AE131" s="902"/>
      <c r="AF131" s="902"/>
      <c r="AG131" s="902"/>
      <c r="AH131" s="902"/>
      <c r="AI131" s="902"/>
      <c r="AJ131" s="939"/>
      <c r="AK131" s="902"/>
      <c r="AL131" s="902"/>
      <c r="AM131" s="902"/>
      <c r="AN131" s="902"/>
      <c r="AO131" s="902"/>
      <c r="AP131" s="902"/>
      <c r="AQ131" s="902"/>
      <c r="AR131" s="902"/>
      <c r="AS131" s="902"/>
      <c r="AT131" s="916"/>
      <c r="AU131" s="916"/>
      <c r="AV131" s="916"/>
      <c r="AW131" s="916"/>
      <c r="AX131" s="916"/>
      <c r="AY131" s="916"/>
      <c r="AZ131" s="916"/>
      <c r="BA131" s="916"/>
      <c r="BB131" s="916"/>
      <c r="BC131" s="309"/>
      <c r="BD131" s="309"/>
    </row>
    <row r="132" spans="1:56" ht="15" customHeight="1" x14ac:dyDescent="0.25">
      <c r="A132" s="309"/>
      <c r="B132" s="884"/>
      <c r="C132" s="860"/>
      <c r="D132" s="911"/>
      <c r="E132" s="860"/>
      <c r="F132" s="911"/>
      <c r="G132" s="911"/>
      <c r="H132" s="911"/>
      <c r="I132" s="911"/>
      <c r="J132" s="911"/>
      <c r="K132" s="922"/>
      <c r="L132" s="938"/>
      <c r="M132" s="922"/>
      <c r="N132" s="902"/>
      <c r="O132" s="922"/>
      <c r="P132" s="916"/>
      <c r="Q132" s="916"/>
      <c r="R132" s="916"/>
      <c r="S132" s="916"/>
      <c r="T132" s="916"/>
      <c r="U132" s="916"/>
      <c r="V132" s="916"/>
      <c r="W132" s="916"/>
      <c r="X132" s="916"/>
      <c r="Y132" s="916"/>
      <c r="Z132" s="902"/>
      <c r="AA132" s="902"/>
      <c r="AB132" s="902"/>
      <c r="AC132" s="902"/>
      <c r="AD132" s="902"/>
      <c r="AE132" s="902"/>
      <c r="AF132" s="902"/>
      <c r="AG132" s="902"/>
      <c r="AH132" s="916"/>
      <c r="AI132" s="902"/>
      <c r="AJ132" s="939"/>
      <c r="AK132" s="902"/>
      <c r="AL132" s="902"/>
      <c r="AM132" s="902"/>
      <c r="AN132" s="902"/>
      <c r="AO132" s="902"/>
      <c r="AP132" s="902"/>
      <c r="AQ132" s="902"/>
      <c r="AR132" s="902"/>
      <c r="AS132" s="902"/>
      <c r="AT132" s="916"/>
      <c r="AU132" s="916"/>
      <c r="AV132" s="916"/>
      <c r="AW132" s="916"/>
      <c r="AX132" s="916"/>
      <c r="AY132" s="916"/>
      <c r="AZ132" s="916"/>
      <c r="BA132" s="916"/>
      <c r="BB132" s="916"/>
      <c r="BC132" s="309"/>
      <c r="BD132" s="309"/>
    </row>
    <row r="133" spans="1:56" ht="15" customHeight="1" x14ac:dyDescent="0.25">
      <c r="A133" s="309"/>
      <c r="B133" s="884"/>
      <c r="C133" s="911"/>
      <c r="D133" s="860"/>
      <c r="E133" s="911"/>
      <c r="F133" s="911"/>
      <c r="G133" s="911"/>
      <c r="H133" s="911"/>
      <c r="I133" s="911"/>
      <c r="J133" s="911"/>
      <c r="K133" s="922"/>
      <c r="L133" s="938"/>
      <c r="M133" s="922"/>
      <c r="N133" s="902"/>
      <c r="O133" s="922"/>
      <c r="P133" s="916"/>
      <c r="Q133" s="916"/>
      <c r="R133" s="916"/>
      <c r="S133" s="916"/>
      <c r="T133" s="916"/>
      <c r="U133" s="916"/>
      <c r="V133" s="916"/>
      <c r="W133" s="916"/>
      <c r="X133" s="916"/>
      <c r="Y133" s="916"/>
      <c r="Z133" s="902"/>
      <c r="AA133" s="902"/>
      <c r="AB133" s="902"/>
      <c r="AC133" s="902"/>
      <c r="AD133" s="902"/>
      <c r="AE133" s="902"/>
      <c r="AF133" s="902"/>
      <c r="AG133" s="902"/>
      <c r="AH133" s="902"/>
      <c r="AI133" s="902"/>
      <c r="AJ133" s="939"/>
      <c r="AK133" s="902"/>
      <c r="AL133" s="902"/>
      <c r="AM133" s="902"/>
      <c r="AN133" s="902"/>
      <c r="AO133" s="902"/>
      <c r="AP133" s="902"/>
      <c r="AQ133" s="902"/>
      <c r="AR133" s="902"/>
      <c r="AS133" s="902"/>
      <c r="AT133" s="916"/>
      <c r="AU133" s="916"/>
      <c r="AV133" s="916"/>
      <c r="AW133" s="916"/>
      <c r="AX133" s="916"/>
      <c r="AY133" s="916"/>
      <c r="AZ133" s="916"/>
      <c r="BA133" s="916"/>
      <c r="BB133" s="916"/>
      <c r="BC133" s="309"/>
      <c r="BD133" s="309"/>
    </row>
    <row r="134" spans="1:56" ht="15" customHeight="1" x14ac:dyDescent="0.25">
      <c r="A134" s="309"/>
      <c r="B134" s="884"/>
      <c r="C134" s="860"/>
      <c r="D134" s="911"/>
      <c r="E134" s="911"/>
      <c r="F134" s="911"/>
      <c r="G134" s="911"/>
      <c r="H134" s="911"/>
      <c r="I134" s="911"/>
      <c r="J134" s="911"/>
      <c r="K134" s="922"/>
      <c r="L134" s="938"/>
      <c r="M134" s="922"/>
      <c r="N134" s="902"/>
      <c r="O134" s="922"/>
      <c r="P134" s="916"/>
      <c r="Q134" s="916"/>
      <c r="R134" s="916"/>
      <c r="S134" s="916"/>
      <c r="T134" s="916"/>
      <c r="U134" s="916"/>
      <c r="V134" s="916"/>
      <c r="W134" s="916"/>
      <c r="X134" s="916"/>
      <c r="Y134" s="916"/>
      <c r="Z134" s="902"/>
      <c r="AA134" s="902"/>
      <c r="AB134" s="902"/>
      <c r="AC134" s="902"/>
      <c r="AD134" s="902"/>
      <c r="AE134" s="902"/>
      <c r="AF134" s="902"/>
      <c r="AG134" s="902"/>
      <c r="AH134" s="902"/>
      <c r="AI134" s="902"/>
      <c r="AJ134" s="939"/>
      <c r="AK134" s="902"/>
      <c r="AL134" s="902"/>
      <c r="AM134" s="902"/>
      <c r="AN134" s="902"/>
      <c r="AO134" s="902"/>
      <c r="AP134" s="902"/>
      <c r="AQ134" s="902"/>
      <c r="AR134" s="902"/>
      <c r="AS134" s="902"/>
      <c r="AT134" s="916"/>
      <c r="AU134" s="916"/>
      <c r="AV134" s="916"/>
      <c r="AW134" s="916"/>
      <c r="AX134" s="916"/>
      <c r="AY134" s="916"/>
      <c r="AZ134" s="916"/>
      <c r="BA134" s="916"/>
      <c r="BB134" s="916"/>
      <c r="BC134" s="309"/>
      <c r="BD134" s="309"/>
    </row>
    <row r="135" spans="1:56" ht="15" customHeight="1" x14ac:dyDescent="0.25">
      <c r="A135" s="309"/>
      <c r="B135" s="712"/>
      <c r="C135" s="911"/>
      <c r="D135" s="911"/>
      <c r="E135" s="911"/>
      <c r="F135" s="911"/>
      <c r="G135" s="911"/>
      <c r="H135" s="911"/>
      <c r="I135" s="911"/>
      <c r="J135" s="860"/>
      <c r="K135" s="922"/>
      <c r="L135" s="938"/>
      <c r="M135" s="922"/>
      <c r="N135" s="902"/>
      <c r="O135" s="922"/>
      <c r="P135" s="916"/>
      <c r="Q135" s="916"/>
      <c r="R135" s="916"/>
      <c r="S135" s="916"/>
      <c r="T135" s="916"/>
      <c r="U135" s="916"/>
      <c r="V135" s="916"/>
      <c r="W135" s="916"/>
      <c r="X135" s="916"/>
      <c r="Y135" s="916"/>
      <c r="Z135" s="902"/>
      <c r="AA135" s="902"/>
      <c r="AB135" s="902"/>
      <c r="AC135" s="902"/>
      <c r="AD135" s="902"/>
      <c r="AE135" s="902"/>
      <c r="AF135" s="902"/>
      <c r="AG135" s="902"/>
      <c r="AH135" s="902"/>
      <c r="AI135" s="902"/>
      <c r="AJ135" s="939"/>
      <c r="AK135" s="902"/>
      <c r="AL135" s="902"/>
      <c r="AM135" s="902"/>
      <c r="AN135" s="902"/>
      <c r="AO135" s="902"/>
      <c r="AP135" s="902"/>
      <c r="AQ135" s="902"/>
      <c r="AR135" s="902"/>
      <c r="AS135" s="902"/>
      <c r="AT135" s="916"/>
      <c r="AU135" s="916"/>
      <c r="AV135" s="916"/>
      <c r="AW135" s="916"/>
      <c r="AX135" s="916"/>
      <c r="AY135" s="916"/>
      <c r="AZ135" s="916"/>
      <c r="BA135" s="916"/>
      <c r="BB135" s="916"/>
      <c r="BC135" s="309"/>
      <c r="BD135" s="309"/>
    </row>
    <row r="136" spans="1:56" ht="15" customHeight="1" x14ac:dyDescent="0.25">
      <c r="A136" s="309"/>
      <c r="B136" s="884"/>
      <c r="C136" s="860"/>
      <c r="D136" s="911"/>
      <c r="E136" s="911"/>
      <c r="F136" s="911"/>
      <c r="G136" s="911"/>
      <c r="H136" s="911"/>
      <c r="I136" s="911"/>
      <c r="J136" s="911"/>
      <c r="K136" s="922"/>
      <c r="L136" s="938"/>
      <c r="M136" s="922"/>
      <c r="N136" s="902"/>
      <c r="O136" s="922"/>
      <c r="P136" s="916"/>
      <c r="Q136" s="916"/>
      <c r="R136" s="916"/>
      <c r="S136" s="916"/>
      <c r="T136" s="916"/>
      <c r="U136" s="916"/>
      <c r="V136" s="916"/>
      <c r="W136" s="916"/>
      <c r="X136" s="916"/>
      <c r="Y136" s="916"/>
      <c r="Z136" s="902"/>
      <c r="AA136" s="902"/>
      <c r="AB136" s="902"/>
      <c r="AC136" s="902"/>
      <c r="AD136" s="902"/>
      <c r="AE136" s="902"/>
      <c r="AF136" s="902"/>
      <c r="AG136" s="902"/>
      <c r="AH136" s="902"/>
      <c r="AI136" s="902"/>
      <c r="AJ136" s="939"/>
      <c r="AK136" s="902"/>
      <c r="AL136" s="902"/>
      <c r="AM136" s="902"/>
      <c r="AN136" s="902"/>
      <c r="AO136" s="902"/>
      <c r="AP136" s="902"/>
      <c r="AQ136" s="902"/>
      <c r="AR136" s="902"/>
      <c r="AS136" s="902"/>
      <c r="AT136" s="916"/>
      <c r="AU136" s="916"/>
      <c r="AV136" s="916"/>
      <c r="AW136" s="916"/>
      <c r="AX136" s="916"/>
      <c r="AY136" s="916"/>
      <c r="AZ136" s="916"/>
      <c r="BA136" s="916"/>
      <c r="BB136" s="916"/>
      <c r="BC136" s="309"/>
      <c r="BD136" s="309"/>
    </row>
    <row r="137" spans="1:56" ht="15" customHeight="1" x14ac:dyDescent="0.25">
      <c r="A137" s="309"/>
      <c r="B137" s="712"/>
      <c r="C137" s="911"/>
      <c r="D137" s="911"/>
      <c r="E137" s="911"/>
      <c r="F137" s="911"/>
      <c r="G137" s="911"/>
      <c r="H137" s="911"/>
      <c r="I137" s="860"/>
      <c r="J137" s="911"/>
      <c r="K137" s="922"/>
      <c r="L137" s="938"/>
      <c r="M137" s="922"/>
      <c r="N137" s="902"/>
      <c r="O137" s="922"/>
      <c r="P137" s="916"/>
      <c r="Q137" s="916"/>
      <c r="R137" s="916"/>
      <c r="S137" s="916"/>
      <c r="T137" s="916"/>
      <c r="U137" s="916"/>
      <c r="V137" s="916"/>
      <c r="W137" s="916"/>
      <c r="X137" s="916"/>
      <c r="Y137" s="916"/>
      <c r="Z137" s="902"/>
      <c r="AA137" s="902"/>
      <c r="AB137" s="902"/>
      <c r="AC137" s="902"/>
      <c r="AD137" s="902"/>
      <c r="AE137" s="902"/>
      <c r="AF137" s="902"/>
      <c r="AG137" s="902"/>
      <c r="AH137" s="902"/>
      <c r="AI137" s="902"/>
      <c r="AJ137" s="939"/>
      <c r="AK137" s="902"/>
      <c r="AL137" s="902"/>
      <c r="AM137" s="902"/>
      <c r="AN137" s="902"/>
      <c r="AO137" s="902"/>
      <c r="AP137" s="902"/>
      <c r="AQ137" s="902"/>
      <c r="AR137" s="902"/>
      <c r="AS137" s="902"/>
      <c r="AT137" s="916"/>
      <c r="AU137" s="916"/>
      <c r="AV137" s="916"/>
      <c r="AW137" s="916"/>
      <c r="AX137" s="916"/>
      <c r="AY137" s="916"/>
      <c r="AZ137" s="916"/>
      <c r="BA137" s="916"/>
      <c r="BB137" s="916"/>
      <c r="BC137" s="309"/>
      <c r="BD137" s="309"/>
    </row>
    <row r="138" spans="1:56" ht="15" customHeight="1" x14ac:dyDescent="0.25">
      <c r="A138" s="309"/>
      <c r="B138" s="884"/>
      <c r="C138" s="911"/>
      <c r="D138" s="911"/>
      <c r="E138" s="911"/>
      <c r="F138" s="911"/>
      <c r="G138" s="911"/>
      <c r="H138" s="911"/>
      <c r="I138" s="911"/>
      <c r="J138" s="911"/>
      <c r="K138" s="922"/>
      <c r="L138" s="938"/>
      <c r="M138" s="922"/>
      <c r="N138" s="902"/>
      <c r="O138" s="922"/>
      <c r="P138" s="916"/>
      <c r="Q138" s="916"/>
      <c r="R138" s="916"/>
      <c r="S138" s="916"/>
      <c r="T138" s="916"/>
      <c r="U138" s="916"/>
      <c r="V138" s="916"/>
      <c r="W138" s="916"/>
      <c r="X138" s="916"/>
      <c r="Y138" s="916"/>
      <c r="Z138" s="902"/>
      <c r="AA138" s="902"/>
      <c r="AB138" s="902"/>
      <c r="AC138" s="902"/>
      <c r="AD138" s="902"/>
      <c r="AE138" s="902"/>
      <c r="AF138" s="902"/>
      <c r="AG138" s="902"/>
      <c r="AH138" s="902"/>
      <c r="AI138" s="902"/>
      <c r="AJ138" s="939"/>
      <c r="AK138" s="902"/>
      <c r="AL138" s="902"/>
      <c r="AM138" s="902"/>
      <c r="AN138" s="902"/>
      <c r="AO138" s="902"/>
      <c r="AP138" s="902"/>
      <c r="AQ138" s="902"/>
      <c r="AR138" s="902"/>
      <c r="AS138" s="902"/>
      <c r="AT138" s="916"/>
      <c r="AU138" s="916"/>
      <c r="AV138" s="916"/>
      <c r="AW138" s="916"/>
      <c r="AX138" s="916"/>
      <c r="AY138" s="916"/>
      <c r="AZ138" s="916"/>
      <c r="BA138" s="916"/>
      <c r="BB138" s="916"/>
      <c r="BC138" s="309"/>
      <c r="BD138" s="309"/>
    </row>
    <row r="139" spans="1:56" ht="15" customHeight="1" x14ac:dyDescent="0.25">
      <c r="A139" s="309"/>
      <c r="B139" s="712"/>
      <c r="C139" s="911"/>
      <c r="D139" s="911"/>
      <c r="E139" s="911"/>
      <c r="F139" s="911"/>
      <c r="G139" s="911"/>
      <c r="H139" s="860"/>
      <c r="I139" s="911"/>
      <c r="J139" s="911"/>
      <c r="K139" s="922"/>
      <c r="L139" s="938"/>
      <c r="M139" s="922"/>
      <c r="N139" s="902"/>
      <c r="O139" s="922"/>
      <c r="P139" s="916"/>
      <c r="Q139" s="916"/>
      <c r="R139" s="916"/>
      <c r="S139" s="916"/>
      <c r="T139" s="916"/>
      <c r="U139" s="916"/>
      <c r="V139" s="916"/>
      <c r="W139" s="916"/>
      <c r="X139" s="916"/>
      <c r="Y139" s="916"/>
      <c r="Z139" s="902"/>
      <c r="AA139" s="902"/>
      <c r="AB139" s="902"/>
      <c r="AC139" s="902"/>
      <c r="AD139" s="902"/>
      <c r="AE139" s="902"/>
      <c r="AF139" s="902"/>
      <c r="AG139" s="902"/>
      <c r="AH139" s="902"/>
      <c r="AI139" s="902"/>
      <c r="AJ139" s="939"/>
      <c r="AK139" s="902"/>
      <c r="AL139" s="902"/>
      <c r="AM139" s="902"/>
      <c r="AN139" s="902"/>
      <c r="AO139" s="902"/>
      <c r="AP139" s="902"/>
      <c r="AQ139" s="902"/>
      <c r="AR139" s="902"/>
      <c r="AS139" s="902"/>
      <c r="AT139" s="916"/>
      <c r="AU139" s="916"/>
      <c r="AV139" s="916"/>
      <c r="AW139" s="916"/>
      <c r="AX139" s="916"/>
      <c r="AY139" s="916"/>
      <c r="AZ139" s="916"/>
      <c r="BA139" s="916"/>
      <c r="BB139" s="916"/>
      <c r="BC139" s="309"/>
      <c r="BD139" s="309"/>
    </row>
    <row r="140" spans="1:56" ht="15" customHeight="1" x14ac:dyDescent="0.25">
      <c r="A140" s="309"/>
      <c r="B140" s="712"/>
      <c r="C140" s="911"/>
      <c r="D140" s="911"/>
      <c r="E140" s="911"/>
      <c r="F140" s="911"/>
      <c r="G140" s="911"/>
      <c r="H140" s="860"/>
      <c r="I140" s="911"/>
      <c r="J140" s="911"/>
      <c r="K140" s="922"/>
      <c r="L140" s="938"/>
      <c r="M140" s="922"/>
      <c r="N140" s="902"/>
      <c r="O140" s="922"/>
      <c r="P140" s="916"/>
      <c r="Q140" s="916"/>
      <c r="R140" s="916"/>
      <c r="S140" s="916"/>
      <c r="T140" s="916"/>
      <c r="U140" s="916"/>
      <c r="V140" s="916"/>
      <c r="W140" s="916"/>
      <c r="X140" s="916"/>
      <c r="Y140" s="916"/>
      <c r="Z140" s="902"/>
      <c r="AA140" s="902"/>
      <c r="AB140" s="902"/>
      <c r="AC140" s="902"/>
      <c r="AD140" s="902"/>
      <c r="AE140" s="902"/>
      <c r="AF140" s="902"/>
      <c r="AG140" s="902"/>
      <c r="AH140" s="902"/>
      <c r="AI140" s="902"/>
      <c r="AJ140" s="939"/>
      <c r="AK140" s="902"/>
      <c r="AL140" s="902"/>
      <c r="AM140" s="902"/>
      <c r="AN140" s="902"/>
      <c r="AO140" s="902"/>
      <c r="AP140" s="902"/>
      <c r="AQ140" s="902"/>
      <c r="AR140" s="902"/>
      <c r="AS140" s="902"/>
      <c r="AT140" s="916"/>
      <c r="AU140" s="916"/>
      <c r="AV140" s="916"/>
      <c r="AW140" s="916"/>
      <c r="AX140" s="916"/>
      <c r="AY140" s="916"/>
      <c r="AZ140" s="916"/>
      <c r="BA140" s="916"/>
      <c r="BB140" s="916"/>
      <c r="BC140" s="309"/>
      <c r="BD140" s="309"/>
    </row>
    <row r="141" spans="1:56" ht="15" customHeight="1" x14ac:dyDescent="0.25">
      <c r="A141" s="309"/>
      <c r="B141" s="712"/>
      <c r="C141" s="911"/>
      <c r="D141" s="911"/>
      <c r="E141" s="911"/>
      <c r="F141" s="911"/>
      <c r="G141" s="860"/>
      <c r="H141" s="911"/>
      <c r="I141" s="911"/>
      <c r="J141" s="911"/>
      <c r="K141" s="922"/>
      <c r="L141" s="938"/>
      <c r="M141" s="922"/>
      <c r="N141" s="902"/>
      <c r="O141" s="922"/>
      <c r="P141" s="916"/>
      <c r="Q141" s="916"/>
      <c r="R141" s="916"/>
      <c r="S141" s="916"/>
      <c r="T141" s="916"/>
      <c r="U141" s="916"/>
      <c r="V141" s="916"/>
      <c r="W141" s="916"/>
      <c r="X141" s="916"/>
      <c r="Y141" s="916"/>
      <c r="Z141" s="902"/>
      <c r="AA141" s="902"/>
      <c r="AB141" s="902"/>
      <c r="AC141" s="902"/>
      <c r="AD141" s="902"/>
      <c r="AE141" s="902"/>
      <c r="AF141" s="902"/>
      <c r="AG141" s="902"/>
      <c r="AH141" s="902"/>
      <c r="AI141" s="902"/>
      <c r="AJ141" s="939"/>
      <c r="AK141" s="902"/>
      <c r="AL141" s="902"/>
      <c r="AM141" s="902"/>
      <c r="AN141" s="902"/>
      <c r="AO141" s="902"/>
      <c r="AP141" s="902"/>
      <c r="AQ141" s="902"/>
      <c r="AR141" s="902"/>
      <c r="AS141" s="902"/>
      <c r="AT141" s="916"/>
      <c r="AU141" s="916"/>
      <c r="AV141" s="916"/>
      <c r="AW141" s="916"/>
      <c r="AX141" s="916"/>
      <c r="AY141" s="916"/>
      <c r="AZ141" s="916"/>
      <c r="BA141" s="916"/>
      <c r="BB141" s="916"/>
      <c r="BC141" s="309"/>
      <c r="BD141" s="309"/>
    </row>
    <row r="142" spans="1:56" ht="15" customHeight="1" x14ac:dyDescent="0.25">
      <c r="A142" s="309"/>
      <c r="B142" s="884"/>
      <c r="C142" s="911"/>
      <c r="D142" s="911"/>
      <c r="E142" s="911"/>
      <c r="F142" s="911"/>
      <c r="G142" s="911"/>
      <c r="H142" s="911"/>
      <c r="I142" s="911"/>
      <c r="J142" s="911"/>
      <c r="K142" s="922"/>
      <c r="L142" s="938"/>
      <c r="M142" s="922"/>
      <c r="N142" s="902"/>
      <c r="O142" s="922"/>
      <c r="P142" s="916"/>
      <c r="Q142" s="916"/>
      <c r="R142" s="916"/>
      <c r="S142" s="916"/>
      <c r="T142" s="916"/>
      <c r="U142" s="916"/>
      <c r="V142" s="916"/>
      <c r="W142" s="916"/>
      <c r="X142" s="916"/>
      <c r="Y142" s="916"/>
      <c r="Z142" s="902"/>
      <c r="AA142" s="902"/>
      <c r="AB142" s="902"/>
      <c r="AC142" s="902"/>
      <c r="AD142" s="902"/>
      <c r="AE142" s="902"/>
      <c r="AF142" s="902"/>
      <c r="AG142" s="902"/>
      <c r="AH142" s="902"/>
      <c r="AI142" s="902"/>
      <c r="AJ142" s="939"/>
      <c r="AK142" s="902"/>
      <c r="AL142" s="902"/>
      <c r="AM142" s="902"/>
      <c r="AN142" s="902"/>
      <c r="AO142" s="902"/>
      <c r="AP142" s="902"/>
      <c r="AQ142" s="902"/>
      <c r="AR142" s="902"/>
      <c r="AS142" s="902"/>
      <c r="AT142" s="916"/>
      <c r="AU142" s="916"/>
      <c r="AV142" s="916"/>
      <c r="AW142" s="916"/>
      <c r="AX142" s="916"/>
      <c r="AY142" s="916"/>
      <c r="AZ142" s="916"/>
      <c r="BA142" s="916"/>
      <c r="BB142" s="916"/>
      <c r="BC142" s="309"/>
      <c r="BD142" s="309"/>
    </row>
    <row r="143" spans="1:56" ht="15" customHeight="1" x14ac:dyDescent="0.25">
      <c r="A143" s="309"/>
      <c r="B143" s="712"/>
      <c r="C143" s="911"/>
      <c r="D143" s="911"/>
      <c r="E143" s="911"/>
      <c r="F143" s="860"/>
      <c r="G143" s="911"/>
      <c r="H143" s="911"/>
      <c r="I143" s="911"/>
      <c r="J143" s="911"/>
      <c r="K143" s="922"/>
      <c r="L143" s="938"/>
      <c r="M143" s="922"/>
      <c r="N143" s="902"/>
      <c r="O143" s="922"/>
      <c r="P143" s="916"/>
      <c r="Q143" s="916"/>
      <c r="R143" s="916"/>
      <c r="S143" s="916"/>
      <c r="T143" s="916"/>
      <c r="U143" s="916"/>
      <c r="V143" s="916"/>
      <c r="W143" s="916"/>
      <c r="X143" s="916"/>
      <c r="Y143" s="916"/>
      <c r="Z143" s="902"/>
      <c r="AA143" s="902"/>
      <c r="AB143" s="902"/>
      <c r="AC143" s="902"/>
      <c r="AD143" s="902"/>
      <c r="AE143" s="902"/>
      <c r="AF143" s="902"/>
      <c r="AG143" s="902"/>
      <c r="AH143" s="902"/>
      <c r="AI143" s="902"/>
      <c r="AJ143" s="939"/>
      <c r="AK143" s="902"/>
      <c r="AL143" s="902"/>
      <c r="AM143" s="902"/>
      <c r="AN143" s="902"/>
      <c r="AO143" s="902"/>
      <c r="AP143" s="902"/>
      <c r="AQ143" s="902"/>
      <c r="AR143" s="902"/>
      <c r="AS143" s="902"/>
      <c r="AT143" s="916"/>
      <c r="AU143" s="916"/>
      <c r="AV143" s="916"/>
      <c r="AW143" s="916"/>
      <c r="AX143" s="916"/>
      <c r="AY143" s="916"/>
      <c r="AZ143" s="916"/>
      <c r="BA143" s="916"/>
      <c r="BB143" s="916"/>
      <c r="BC143" s="309"/>
      <c r="BD143" s="309"/>
    </row>
    <row r="144" spans="1:56" ht="15" customHeight="1" x14ac:dyDescent="0.25">
      <c r="A144" s="309"/>
      <c r="B144" s="712"/>
      <c r="C144" s="911"/>
      <c r="D144" s="911"/>
      <c r="E144" s="860"/>
      <c r="F144" s="911"/>
      <c r="G144" s="911"/>
      <c r="H144" s="911"/>
      <c r="I144" s="911"/>
      <c r="J144" s="911"/>
      <c r="K144" s="922"/>
      <c r="L144" s="938"/>
      <c r="M144" s="922"/>
      <c r="N144" s="902"/>
      <c r="O144" s="922"/>
      <c r="P144" s="916"/>
      <c r="Q144" s="916"/>
      <c r="R144" s="916"/>
      <c r="S144" s="916"/>
      <c r="T144" s="916"/>
      <c r="U144" s="916"/>
      <c r="V144" s="916"/>
      <c r="W144" s="916"/>
      <c r="X144" s="916"/>
      <c r="Y144" s="916"/>
      <c r="Z144" s="902"/>
      <c r="AA144" s="902"/>
      <c r="AB144" s="902"/>
      <c r="AC144" s="902"/>
      <c r="AD144" s="902"/>
      <c r="AE144" s="902"/>
      <c r="AF144" s="902"/>
      <c r="AG144" s="902"/>
      <c r="AH144" s="902"/>
      <c r="AI144" s="902"/>
      <c r="AJ144" s="939"/>
      <c r="AK144" s="902"/>
      <c r="AL144" s="902"/>
      <c r="AM144" s="902"/>
      <c r="AN144" s="902"/>
      <c r="AO144" s="902"/>
      <c r="AP144" s="902"/>
      <c r="AQ144" s="902"/>
      <c r="AR144" s="902"/>
      <c r="AS144" s="902"/>
      <c r="AT144" s="916"/>
      <c r="AU144" s="916"/>
      <c r="AV144" s="916"/>
      <c r="AW144" s="916"/>
      <c r="AX144" s="916"/>
      <c r="AY144" s="916"/>
      <c r="AZ144" s="916"/>
      <c r="BA144" s="916"/>
      <c r="BB144" s="916"/>
      <c r="BC144" s="309"/>
      <c r="BD144" s="309"/>
    </row>
    <row r="145" spans="1:56" ht="15" customHeight="1" x14ac:dyDescent="0.25">
      <c r="A145" s="309"/>
      <c r="B145" s="712"/>
      <c r="C145" s="911"/>
      <c r="D145" s="860"/>
      <c r="E145" s="911"/>
      <c r="F145" s="911"/>
      <c r="G145" s="911"/>
      <c r="H145" s="911"/>
      <c r="I145" s="860"/>
      <c r="J145" s="860"/>
      <c r="K145" s="922"/>
      <c r="L145" s="938"/>
      <c r="M145" s="922"/>
      <c r="N145" s="902"/>
      <c r="O145" s="922"/>
      <c r="P145" s="916"/>
      <c r="Q145" s="916"/>
      <c r="R145" s="916"/>
      <c r="S145" s="916"/>
      <c r="T145" s="916"/>
      <c r="U145" s="916"/>
      <c r="V145" s="916"/>
      <c r="W145" s="916"/>
      <c r="X145" s="916"/>
      <c r="Y145" s="916"/>
      <c r="Z145" s="902"/>
      <c r="AA145" s="902"/>
      <c r="AB145" s="902"/>
      <c r="AC145" s="902"/>
      <c r="AD145" s="902"/>
      <c r="AE145" s="902"/>
      <c r="AF145" s="902"/>
      <c r="AG145" s="902"/>
      <c r="AH145" s="902"/>
      <c r="AI145" s="902"/>
      <c r="AJ145" s="939"/>
      <c r="AK145" s="902"/>
      <c r="AL145" s="902"/>
      <c r="AM145" s="902"/>
      <c r="AN145" s="902"/>
      <c r="AO145" s="902"/>
      <c r="AP145" s="902"/>
      <c r="AQ145" s="902"/>
      <c r="AR145" s="902"/>
      <c r="AS145" s="902"/>
      <c r="AT145" s="916"/>
      <c r="AU145" s="916"/>
      <c r="AV145" s="916"/>
      <c r="AW145" s="916"/>
      <c r="AX145" s="916"/>
      <c r="AY145" s="916"/>
      <c r="AZ145" s="916"/>
      <c r="BA145" s="916"/>
      <c r="BB145" s="916"/>
      <c r="BC145" s="309"/>
      <c r="BD145" s="309"/>
    </row>
    <row r="146" spans="1:56" ht="15" customHeight="1" x14ac:dyDescent="0.25">
      <c r="A146" s="309"/>
      <c r="B146" s="712"/>
      <c r="C146" s="911"/>
      <c r="D146" s="860"/>
      <c r="E146" s="911"/>
      <c r="F146" s="911"/>
      <c r="G146" s="911"/>
      <c r="H146" s="911"/>
      <c r="I146" s="860"/>
      <c r="J146" s="860"/>
      <c r="K146" s="922"/>
      <c r="L146" s="938"/>
      <c r="M146" s="922"/>
      <c r="N146" s="902"/>
      <c r="O146" s="922"/>
      <c r="P146" s="916"/>
      <c r="Q146" s="916"/>
      <c r="R146" s="916"/>
      <c r="S146" s="916"/>
      <c r="T146" s="916"/>
      <c r="U146" s="916"/>
      <c r="V146" s="916"/>
      <c r="W146" s="916"/>
      <c r="X146" s="916"/>
      <c r="Y146" s="916"/>
      <c r="Z146" s="902"/>
      <c r="AA146" s="902"/>
      <c r="AB146" s="902"/>
      <c r="AC146" s="902"/>
      <c r="AD146" s="902"/>
      <c r="AE146" s="902"/>
      <c r="AF146" s="902"/>
      <c r="AG146" s="902"/>
      <c r="AH146" s="902"/>
      <c r="AI146" s="902"/>
      <c r="AJ146" s="939"/>
      <c r="AK146" s="902"/>
      <c r="AL146" s="902"/>
      <c r="AM146" s="902"/>
      <c r="AN146" s="902"/>
      <c r="AO146" s="902"/>
      <c r="AP146" s="902"/>
      <c r="AQ146" s="902"/>
      <c r="AR146" s="902"/>
      <c r="AS146" s="902"/>
      <c r="AT146" s="916"/>
      <c r="AU146" s="916"/>
      <c r="AV146" s="916"/>
      <c r="AW146" s="916"/>
      <c r="AX146" s="916"/>
      <c r="AY146" s="916"/>
      <c r="AZ146" s="916"/>
      <c r="BA146" s="916"/>
      <c r="BB146" s="916"/>
      <c r="BC146" s="309"/>
      <c r="BD146" s="309"/>
    </row>
    <row r="147" spans="1:56" ht="15" customHeight="1" x14ac:dyDescent="0.25">
      <c r="A147" s="309"/>
      <c r="B147" s="884"/>
      <c r="C147" s="911"/>
      <c r="D147" s="911"/>
      <c r="E147" s="911"/>
      <c r="F147" s="911"/>
      <c r="G147" s="911"/>
      <c r="H147" s="911"/>
      <c r="I147" s="911"/>
      <c r="J147" s="911"/>
      <c r="K147" s="922"/>
      <c r="L147" s="938"/>
      <c r="M147" s="922"/>
      <c r="N147" s="902"/>
      <c r="O147" s="922"/>
      <c r="P147" s="916"/>
      <c r="Q147" s="916"/>
      <c r="R147" s="916"/>
      <c r="S147" s="916"/>
      <c r="T147" s="916"/>
      <c r="U147" s="916"/>
      <c r="V147" s="916"/>
      <c r="W147" s="916"/>
      <c r="X147" s="916"/>
      <c r="Y147" s="916"/>
      <c r="Z147" s="902"/>
      <c r="AA147" s="902"/>
      <c r="AB147" s="902"/>
      <c r="AC147" s="902"/>
      <c r="AD147" s="902"/>
      <c r="AE147" s="902"/>
      <c r="AF147" s="902"/>
      <c r="AG147" s="902"/>
      <c r="AH147" s="902"/>
      <c r="AI147" s="902"/>
      <c r="AJ147" s="939"/>
      <c r="AK147" s="902"/>
      <c r="AL147" s="902"/>
      <c r="AM147" s="902"/>
      <c r="AN147" s="902"/>
      <c r="AO147" s="902"/>
      <c r="AP147" s="902"/>
      <c r="AQ147" s="902"/>
      <c r="AR147" s="902"/>
      <c r="AS147" s="902"/>
      <c r="AT147" s="916"/>
      <c r="AU147" s="916"/>
      <c r="AV147" s="916"/>
      <c r="AW147" s="916"/>
      <c r="AX147" s="916"/>
      <c r="AY147" s="916"/>
      <c r="AZ147" s="916"/>
      <c r="BA147" s="916"/>
      <c r="BB147" s="916"/>
      <c r="BC147" s="309"/>
      <c r="BD147" s="309"/>
    </row>
    <row r="148" spans="1:56" ht="15" customHeight="1" x14ac:dyDescent="0.25">
      <c r="A148" s="309"/>
      <c r="B148" s="884"/>
      <c r="C148" s="860"/>
      <c r="D148" s="911"/>
      <c r="E148" s="911"/>
      <c r="F148" s="911"/>
      <c r="G148" s="911"/>
      <c r="H148" s="911"/>
      <c r="I148" s="911"/>
      <c r="J148" s="911"/>
      <c r="K148" s="922"/>
      <c r="L148" s="938"/>
      <c r="M148" s="922"/>
      <c r="N148" s="902"/>
      <c r="O148" s="922"/>
      <c r="P148" s="916"/>
      <c r="Q148" s="916"/>
      <c r="R148" s="916"/>
      <c r="S148" s="916"/>
      <c r="T148" s="916"/>
      <c r="U148" s="916"/>
      <c r="V148" s="916"/>
      <c r="W148" s="916"/>
      <c r="X148" s="916"/>
      <c r="Y148" s="916"/>
      <c r="Z148" s="902"/>
      <c r="AA148" s="902"/>
      <c r="AB148" s="902"/>
      <c r="AC148" s="902"/>
      <c r="AD148" s="902"/>
      <c r="AE148" s="902"/>
      <c r="AF148" s="902"/>
      <c r="AG148" s="902"/>
      <c r="AH148" s="902"/>
      <c r="AI148" s="902"/>
      <c r="AJ148" s="939"/>
      <c r="AK148" s="902"/>
      <c r="AL148" s="902"/>
      <c r="AM148" s="902"/>
      <c r="AN148" s="902"/>
      <c r="AO148" s="902"/>
      <c r="AP148" s="902"/>
      <c r="AQ148" s="902"/>
      <c r="AR148" s="902"/>
      <c r="AS148" s="902"/>
      <c r="AT148" s="916"/>
      <c r="AU148" s="916"/>
      <c r="AV148" s="916"/>
      <c r="AW148" s="916"/>
      <c r="AX148" s="916"/>
      <c r="AY148" s="916"/>
      <c r="AZ148" s="916"/>
      <c r="BA148" s="916"/>
      <c r="BB148" s="916"/>
      <c r="BC148" s="309"/>
      <c r="BD148" s="309"/>
    </row>
    <row r="149" spans="1:56" ht="15" customHeight="1" x14ac:dyDescent="0.25">
      <c r="A149" s="309"/>
      <c r="B149" s="884"/>
      <c r="C149" s="911"/>
      <c r="D149" s="911"/>
      <c r="E149" s="911"/>
      <c r="F149" s="911"/>
      <c r="G149" s="911"/>
      <c r="H149" s="911"/>
      <c r="I149" s="860"/>
      <c r="J149" s="922"/>
      <c r="K149" s="922"/>
      <c r="L149" s="938"/>
      <c r="M149" s="922"/>
      <c r="N149" s="902"/>
      <c r="O149" s="922"/>
      <c r="P149" s="916"/>
      <c r="Q149" s="916"/>
      <c r="R149" s="916"/>
      <c r="S149" s="916"/>
      <c r="T149" s="916"/>
      <c r="U149" s="916"/>
      <c r="V149" s="916"/>
      <c r="W149" s="916"/>
      <c r="X149" s="916"/>
      <c r="Y149" s="916"/>
      <c r="Z149" s="902"/>
      <c r="AA149" s="902"/>
      <c r="AB149" s="902"/>
      <c r="AC149" s="902"/>
      <c r="AD149" s="902"/>
      <c r="AE149" s="902"/>
      <c r="AF149" s="902"/>
      <c r="AG149" s="902"/>
      <c r="AH149" s="902"/>
      <c r="AI149" s="902"/>
      <c r="AJ149" s="939"/>
      <c r="AK149" s="902"/>
      <c r="AL149" s="902"/>
      <c r="AM149" s="902"/>
      <c r="AN149" s="902"/>
      <c r="AO149" s="902"/>
      <c r="AP149" s="902"/>
      <c r="AQ149" s="902"/>
      <c r="AR149" s="902"/>
      <c r="AS149" s="902"/>
      <c r="AT149" s="916"/>
      <c r="AU149" s="916"/>
      <c r="AV149" s="916"/>
      <c r="AW149" s="916"/>
      <c r="AX149" s="916"/>
      <c r="AY149" s="916"/>
      <c r="AZ149" s="916"/>
      <c r="BA149" s="916"/>
      <c r="BB149" s="916"/>
      <c r="BC149" s="309"/>
      <c r="BD149" s="309"/>
    </row>
    <row r="150" spans="1:56" ht="15" customHeight="1" x14ac:dyDescent="0.25">
      <c r="A150" s="309"/>
      <c r="B150" s="884"/>
      <c r="C150" s="911"/>
      <c r="D150" s="911"/>
      <c r="E150" s="911"/>
      <c r="F150" s="911"/>
      <c r="G150" s="860"/>
      <c r="H150" s="911"/>
      <c r="I150" s="911"/>
      <c r="J150" s="922"/>
      <c r="K150" s="922"/>
      <c r="L150" s="938"/>
      <c r="M150" s="922"/>
      <c r="N150" s="902"/>
      <c r="O150" s="922"/>
      <c r="P150" s="916"/>
      <c r="Q150" s="916"/>
      <c r="R150" s="916"/>
      <c r="S150" s="916"/>
      <c r="T150" s="916"/>
      <c r="U150" s="916"/>
      <c r="V150" s="916"/>
      <c r="W150" s="916"/>
      <c r="X150" s="916"/>
      <c r="Y150" s="916"/>
      <c r="Z150" s="902"/>
      <c r="AA150" s="902"/>
      <c r="AB150" s="902"/>
      <c r="AC150" s="902"/>
      <c r="AD150" s="902"/>
      <c r="AE150" s="902"/>
      <c r="AF150" s="902"/>
      <c r="AG150" s="902"/>
      <c r="AH150" s="902"/>
      <c r="AI150" s="902"/>
      <c r="AJ150" s="939"/>
      <c r="AK150" s="902"/>
      <c r="AL150" s="902"/>
      <c r="AM150" s="902"/>
      <c r="AN150" s="902"/>
      <c r="AO150" s="902"/>
      <c r="AP150" s="902"/>
      <c r="AQ150" s="902"/>
      <c r="AR150" s="902"/>
      <c r="AS150" s="902"/>
      <c r="AT150" s="916"/>
      <c r="AU150" s="916"/>
      <c r="AV150" s="916"/>
      <c r="AW150" s="916"/>
      <c r="AX150" s="916"/>
      <c r="AY150" s="916"/>
      <c r="AZ150" s="916"/>
      <c r="BA150" s="916"/>
      <c r="BB150" s="916"/>
      <c r="BC150" s="309"/>
      <c r="BD150" s="309"/>
    </row>
    <row r="151" spans="1:56" ht="15" customHeight="1" x14ac:dyDescent="0.25">
      <c r="A151" s="309"/>
      <c r="B151" s="712"/>
      <c r="C151" s="911"/>
      <c r="D151" s="911"/>
      <c r="E151" s="911"/>
      <c r="F151" s="911"/>
      <c r="G151" s="860"/>
      <c r="H151" s="860"/>
      <c r="I151" s="911"/>
      <c r="J151" s="922"/>
      <c r="K151" s="922"/>
      <c r="L151" s="938"/>
      <c r="M151" s="922"/>
      <c r="N151" s="902"/>
      <c r="O151" s="922"/>
      <c r="P151" s="916"/>
      <c r="Q151" s="916"/>
      <c r="R151" s="916"/>
      <c r="S151" s="916"/>
      <c r="T151" s="916"/>
      <c r="U151" s="916"/>
      <c r="V151" s="916"/>
      <c r="W151" s="916"/>
      <c r="X151" s="916"/>
      <c r="Y151" s="916"/>
      <c r="Z151" s="902"/>
      <c r="AA151" s="902"/>
      <c r="AB151" s="902"/>
      <c r="AC151" s="902"/>
      <c r="AD151" s="902"/>
      <c r="AE151" s="902"/>
      <c r="AF151" s="902"/>
      <c r="AG151" s="902"/>
      <c r="AH151" s="902"/>
      <c r="AI151" s="902"/>
      <c r="AJ151" s="939"/>
      <c r="AK151" s="902"/>
      <c r="AL151" s="902"/>
      <c r="AM151" s="902"/>
      <c r="AN151" s="902"/>
      <c r="AO151" s="902"/>
      <c r="AP151" s="902"/>
      <c r="AQ151" s="902"/>
      <c r="AR151" s="902"/>
      <c r="AS151" s="902"/>
      <c r="AT151" s="916"/>
      <c r="AU151" s="916"/>
      <c r="AV151" s="916"/>
      <c r="AW151" s="916"/>
      <c r="AX151" s="916"/>
      <c r="AY151" s="916"/>
      <c r="AZ151" s="916"/>
      <c r="BA151" s="916"/>
      <c r="BB151" s="916"/>
      <c r="BC151" s="309"/>
      <c r="BD151" s="309"/>
    </row>
    <row r="152" spans="1:56" ht="15" customHeight="1" x14ac:dyDescent="0.25">
      <c r="A152" s="309"/>
      <c r="B152" s="884"/>
      <c r="C152" s="911"/>
      <c r="D152" s="911"/>
      <c r="E152" s="911"/>
      <c r="F152" s="860"/>
      <c r="G152" s="911"/>
      <c r="H152" s="911"/>
      <c r="I152" s="911"/>
      <c r="J152" s="922"/>
      <c r="K152" s="922"/>
      <c r="L152" s="938"/>
      <c r="M152" s="922"/>
      <c r="N152" s="902"/>
      <c r="O152" s="922"/>
      <c r="P152" s="916"/>
      <c r="Q152" s="916"/>
      <c r="R152" s="916"/>
      <c r="S152" s="916"/>
      <c r="T152" s="916"/>
      <c r="U152" s="916"/>
      <c r="V152" s="916"/>
      <c r="W152" s="916"/>
      <c r="X152" s="916"/>
      <c r="Y152" s="916"/>
      <c r="Z152" s="902"/>
      <c r="AA152" s="902"/>
      <c r="AB152" s="902"/>
      <c r="AC152" s="902"/>
      <c r="AD152" s="902"/>
      <c r="AE152" s="902"/>
      <c r="AF152" s="902"/>
      <c r="AG152" s="902"/>
      <c r="AH152" s="902"/>
      <c r="AI152" s="902"/>
      <c r="AJ152" s="939"/>
      <c r="AK152" s="902"/>
      <c r="AL152" s="902"/>
      <c r="AM152" s="902"/>
      <c r="AN152" s="902"/>
      <c r="AO152" s="902"/>
      <c r="AP152" s="902"/>
      <c r="AQ152" s="902"/>
      <c r="AR152" s="902"/>
      <c r="AS152" s="902"/>
      <c r="AT152" s="916"/>
      <c r="AU152" s="916"/>
      <c r="AV152" s="916"/>
      <c r="AW152" s="916"/>
      <c r="AX152" s="916"/>
      <c r="AY152" s="916"/>
      <c r="AZ152" s="916"/>
      <c r="BA152" s="916"/>
      <c r="BB152" s="916"/>
      <c r="BC152" s="309"/>
      <c r="BD152" s="309"/>
    </row>
    <row r="153" spans="1:56" ht="15" customHeight="1" x14ac:dyDescent="0.25">
      <c r="A153" s="309"/>
      <c r="B153" s="712"/>
      <c r="C153" s="911"/>
      <c r="D153" s="911"/>
      <c r="E153" s="911"/>
      <c r="F153" s="860"/>
      <c r="G153" s="860"/>
      <c r="H153" s="911"/>
      <c r="I153" s="911"/>
      <c r="J153" s="922"/>
      <c r="K153" s="922"/>
      <c r="L153" s="938"/>
      <c r="M153" s="922"/>
      <c r="N153" s="902"/>
      <c r="O153" s="922"/>
      <c r="P153" s="916"/>
      <c r="Q153" s="916"/>
      <c r="R153" s="916"/>
      <c r="S153" s="916"/>
      <c r="T153" s="916"/>
      <c r="U153" s="916"/>
      <c r="V153" s="916"/>
      <c r="W153" s="916"/>
      <c r="X153" s="916"/>
      <c r="Y153" s="916"/>
      <c r="Z153" s="902"/>
      <c r="AA153" s="902"/>
      <c r="AB153" s="902"/>
      <c r="AC153" s="902"/>
      <c r="AD153" s="902"/>
      <c r="AE153" s="902"/>
      <c r="AF153" s="902"/>
      <c r="AG153" s="902"/>
      <c r="AH153" s="902"/>
      <c r="AI153" s="902"/>
      <c r="AJ153" s="939"/>
      <c r="AK153" s="902"/>
      <c r="AL153" s="902"/>
      <c r="AM153" s="902"/>
      <c r="AN153" s="902"/>
      <c r="AO153" s="902"/>
      <c r="AP153" s="902"/>
      <c r="AQ153" s="902"/>
      <c r="AR153" s="902"/>
      <c r="AS153" s="902"/>
      <c r="AT153" s="916"/>
      <c r="AU153" s="916"/>
      <c r="AV153" s="916"/>
      <c r="AW153" s="916"/>
      <c r="AX153" s="916"/>
      <c r="AY153" s="916"/>
      <c r="AZ153" s="916"/>
      <c r="BA153" s="916"/>
      <c r="BB153" s="916"/>
      <c r="BC153" s="309"/>
      <c r="BD153" s="309"/>
    </row>
    <row r="154" spans="1:56" ht="15" customHeight="1" x14ac:dyDescent="0.25">
      <c r="A154" s="309"/>
      <c r="B154" s="712"/>
      <c r="C154" s="911"/>
      <c r="D154" s="911"/>
      <c r="E154" s="911"/>
      <c r="F154" s="860"/>
      <c r="G154" s="860"/>
      <c r="H154" s="911"/>
      <c r="I154" s="911"/>
      <c r="J154" s="922"/>
      <c r="K154" s="922"/>
      <c r="L154" s="938"/>
      <c r="M154" s="922"/>
      <c r="N154" s="902"/>
      <c r="O154" s="922"/>
      <c r="P154" s="916"/>
      <c r="Q154" s="916"/>
      <c r="R154" s="916"/>
      <c r="S154" s="916"/>
      <c r="T154" s="916"/>
      <c r="U154" s="916"/>
      <c r="V154" s="916"/>
      <c r="W154" s="916"/>
      <c r="X154" s="916"/>
      <c r="Y154" s="916"/>
      <c r="Z154" s="902"/>
      <c r="AA154" s="902"/>
      <c r="AB154" s="902"/>
      <c r="AC154" s="902"/>
      <c r="AD154" s="902"/>
      <c r="AE154" s="902"/>
      <c r="AF154" s="902"/>
      <c r="AG154" s="902"/>
      <c r="AH154" s="902"/>
      <c r="AI154" s="902"/>
      <c r="AJ154" s="939"/>
      <c r="AK154" s="902"/>
      <c r="AL154" s="902"/>
      <c r="AM154" s="902"/>
      <c r="AN154" s="902"/>
      <c r="AO154" s="902"/>
      <c r="AP154" s="902"/>
      <c r="AQ154" s="902"/>
      <c r="AR154" s="902"/>
      <c r="AS154" s="902"/>
      <c r="AT154" s="916"/>
      <c r="AU154" s="916"/>
      <c r="AV154" s="916"/>
      <c r="AW154" s="916"/>
      <c r="AX154" s="916"/>
      <c r="AY154" s="916"/>
      <c r="AZ154" s="916"/>
      <c r="BA154" s="916"/>
      <c r="BB154" s="916"/>
      <c r="BC154" s="309"/>
      <c r="BD154" s="309"/>
    </row>
    <row r="155" spans="1:56" ht="15" customHeight="1" x14ac:dyDescent="0.25">
      <c r="A155" s="309"/>
      <c r="B155" s="712"/>
      <c r="C155" s="911"/>
      <c r="D155" s="911"/>
      <c r="E155" s="911"/>
      <c r="F155" s="860"/>
      <c r="G155" s="911"/>
      <c r="H155" s="911"/>
      <c r="I155" s="911"/>
      <c r="J155" s="922"/>
      <c r="K155" s="922"/>
      <c r="L155" s="938"/>
      <c r="M155" s="922"/>
      <c r="N155" s="902"/>
      <c r="O155" s="922"/>
      <c r="P155" s="916"/>
      <c r="Q155" s="916"/>
      <c r="R155" s="916"/>
      <c r="S155" s="916"/>
      <c r="T155" s="916"/>
      <c r="U155" s="916"/>
      <c r="V155" s="916"/>
      <c r="W155" s="916"/>
      <c r="X155" s="916"/>
      <c r="Y155" s="916"/>
      <c r="Z155" s="902"/>
      <c r="AA155" s="902"/>
      <c r="AB155" s="902"/>
      <c r="AC155" s="902"/>
      <c r="AD155" s="902"/>
      <c r="AE155" s="902"/>
      <c r="AF155" s="902"/>
      <c r="AG155" s="902"/>
      <c r="AH155" s="902"/>
      <c r="AI155" s="902"/>
      <c r="AJ155" s="939"/>
      <c r="AK155" s="902"/>
      <c r="AL155" s="902"/>
      <c r="AM155" s="902"/>
      <c r="AN155" s="902"/>
      <c r="AO155" s="902"/>
      <c r="AP155" s="902"/>
      <c r="AQ155" s="902"/>
      <c r="AR155" s="902"/>
      <c r="AS155" s="902"/>
      <c r="AT155" s="916"/>
      <c r="AU155" s="916"/>
      <c r="AV155" s="916"/>
      <c r="AW155" s="916"/>
      <c r="AX155" s="916"/>
      <c r="AY155" s="916"/>
      <c r="AZ155" s="916"/>
      <c r="BA155" s="916"/>
      <c r="BB155" s="916"/>
      <c r="BC155" s="309"/>
      <c r="BD155" s="309"/>
    </row>
    <row r="156" spans="1:56" ht="15" customHeight="1" x14ac:dyDescent="0.25">
      <c r="A156" s="309"/>
      <c r="B156" s="884"/>
      <c r="C156" s="911"/>
      <c r="D156" s="911"/>
      <c r="E156" s="860"/>
      <c r="F156" s="911"/>
      <c r="G156" s="911"/>
      <c r="H156" s="911"/>
      <c r="I156" s="911"/>
      <c r="J156" s="922"/>
      <c r="K156" s="922"/>
      <c r="L156" s="938"/>
      <c r="M156" s="922"/>
      <c r="N156" s="902"/>
      <c r="O156" s="922"/>
      <c r="P156" s="916"/>
      <c r="Q156" s="916"/>
      <c r="R156" s="916"/>
      <c r="S156" s="916"/>
      <c r="T156" s="916"/>
      <c r="U156" s="916"/>
      <c r="V156" s="916"/>
      <c r="W156" s="916"/>
      <c r="X156" s="916"/>
      <c r="Y156" s="916"/>
      <c r="Z156" s="902"/>
      <c r="AA156" s="902"/>
      <c r="AB156" s="902"/>
      <c r="AC156" s="902"/>
      <c r="AD156" s="902"/>
      <c r="AE156" s="902"/>
      <c r="AF156" s="902"/>
      <c r="AG156" s="902"/>
      <c r="AH156" s="902"/>
      <c r="AI156" s="902"/>
      <c r="AJ156" s="939"/>
      <c r="AK156" s="902"/>
      <c r="AL156" s="902"/>
      <c r="AM156" s="902"/>
      <c r="AN156" s="902"/>
      <c r="AO156" s="902"/>
      <c r="AP156" s="902"/>
      <c r="AQ156" s="902"/>
      <c r="AR156" s="902"/>
      <c r="AS156" s="902"/>
      <c r="AT156" s="916"/>
      <c r="AU156" s="916"/>
      <c r="AV156" s="916"/>
      <c r="AW156" s="916"/>
      <c r="AX156" s="916"/>
      <c r="AY156" s="916"/>
      <c r="AZ156" s="916"/>
      <c r="BA156" s="916"/>
      <c r="BB156" s="916"/>
      <c r="BC156" s="309"/>
      <c r="BD156" s="309"/>
    </row>
    <row r="157" spans="1:56" ht="15" customHeight="1" x14ac:dyDescent="0.25">
      <c r="A157" s="309"/>
      <c r="B157" s="712"/>
      <c r="C157" s="911"/>
      <c r="D157" s="911"/>
      <c r="E157" s="860"/>
      <c r="F157" s="911"/>
      <c r="G157" s="911"/>
      <c r="H157" s="911"/>
      <c r="I157" s="911"/>
      <c r="J157" s="922"/>
      <c r="K157" s="922"/>
      <c r="L157" s="938"/>
      <c r="M157" s="922"/>
      <c r="N157" s="902"/>
      <c r="O157" s="922"/>
      <c r="P157" s="916"/>
      <c r="Q157" s="916"/>
      <c r="R157" s="916"/>
      <c r="S157" s="916"/>
      <c r="T157" s="916"/>
      <c r="U157" s="916"/>
      <c r="V157" s="916"/>
      <c r="W157" s="916"/>
      <c r="X157" s="916"/>
      <c r="Y157" s="916"/>
      <c r="Z157" s="902"/>
      <c r="AA157" s="902"/>
      <c r="AB157" s="902"/>
      <c r="AC157" s="902"/>
      <c r="AD157" s="902"/>
      <c r="AE157" s="902"/>
      <c r="AF157" s="902"/>
      <c r="AG157" s="902"/>
      <c r="AH157" s="902"/>
      <c r="AI157" s="902"/>
      <c r="AJ157" s="939"/>
      <c r="AK157" s="902"/>
      <c r="AL157" s="902"/>
      <c r="AM157" s="902"/>
      <c r="AN157" s="902"/>
      <c r="AO157" s="902"/>
      <c r="AP157" s="902"/>
      <c r="AQ157" s="902"/>
      <c r="AR157" s="902"/>
      <c r="AS157" s="902"/>
      <c r="AT157" s="916"/>
      <c r="AU157" s="916"/>
      <c r="AV157" s="916"/>
      <c r="AW157" s="916"/>
      <c r="AX157" s="916"/>
      <c r="AY157" s="916"/>
      <c r="AZ157" s="916"/>
      <c r="BA157" s="916"/>
      <c r="BB157" s="916"/>
      <c r="BC157" s="309"/>
      <c r="BD157" s="309"/>
    </row>
    <row r="158" spans="1:56" ht="15" customHeight="1" x14ac:dyDescent="0.25">
      <c r="A158" s="309"/>
      <c r="B158" s="712"/>
      <c r="C158" s="911"/>
      <c r="D158" s="860"/>
      <c r="E158" s="860"/>
      <c r="F158" s="911"/>
      <c r="G158" s="911"/>
      <c r="H158" s="911"/>
      <c r="I158" s="911"/>
      <c r="J158" s="911"/>
      <c r="K158" s="922"/>
      <c r="L158" s="938"/>
      <c r="M158" s="922"/>
      <c r="N158" s="902"/>
      <c r="O158" s="922"/>
      <c r="P158" s="916"/>
      <c r="Q158" s="916"/>
      <c r="R158" s="916"/>
      <c r="S158" s="916"/>
      <c r="T158" s="916"/>
      <c r="U158" s="916"/>
      <c r="V158" s="916"/>
      <c r="W158" s="916"/>
      <c r="X158" s="916"/>
      <c r="Y158" s="916"/>
      <c r="Z158" s="902"/>
      <c r="AA158" s="902"/>
      <c r="AB158" s="902"/>
      <c r="AC158" s="902"/>
      <c r="AD158" s="902"/>
      <c r="AE158" s="902"/>
      <c r="AF158" s="902"/>
      <c r="AG158" s="902"/>
      <c r="AH158" s="902"/>
      <c r="AI158" s="902"/>
      <c r="AJ158" s="939"/>
      <c r="AK158" s="902"/>
      <c r="AL158" s="902"/>
      <c r="AM158" s="902"/>
      <c r="AN158" s="902"/>
      <c r="AO158" s="902"/>
      <c r="AP158" s="902"/>
      <c r="AQ158" s="902"/>
      <c r="AR158" s="902"/>
      <c r="AS158" s="902"/>
      <c r="AT158" s="916"/>
      <c r="AU158" s="916"/>
      <c r="AV158" s="916"/>
      <c r="AW158" s="916"/>
      <c r="AX158" s="916"/>
      <c r="AY158" s="916"/>
      <c r="AZ158" s="916"/>
      <c r="BA158" s="916"/>
      <c r="BB158" s="916"/>
      <c r="BC158" s="309"/>
      <c r="BD158" s="309"/>
    </row>
    <row r="159" spans="1:56" ht="15" customHeight="1" x14ac:dyDescent="0.25">
      <c r="A159" s="309"/>
      <c r="B159" s="884"/>
      <c r="C159" s="911"/>
      <c r="D159" s="860"/>
      <c r="E159" s="911"/>
      <c r="F159" s="911"/>
      <c r="G159" s="911"/>
      <c r="H159" s="911"/>
      <c r="I159" s="911"/>
      <c r="J159" s="860"/>
      <c r="K159" s="922"/>
      <c r="L159" s="938"/>
      <c r="M159" s="922"/>
      <c r="N159" s="902"/>
      <c r="O159" s="922"/>
      <c r="P159" s="916"/>
      <c r="Q159" s="916"/>
      <c r="R159" s="916"/>
      <c r="S159" s="916"/>
      <c r="T159" s="916"/>
      <c r="U159" s="916"/>
      <c r="V159" s="916"/>
      <c r="W159" s="916"/>
      <c r="X159" s="916"/>
      <c r="Y159" s="916"/>
      <c r="Z159" s="902"/>
      <c r="AA159" s="902"/>
      <c r="AB159" s="902"/>
      <c r="AC159" s="902"/>
      <c r="AD159" s="902"/>
      <c r="AE159" s="902"/>
      <c r="AF159" s="902"/>
      <c r="AG159" s="902"/>
      <c r="AH159" s="902"/>
      <c r="AI159" s="902"/>
      <c r="AJ159" s="939"/>
      <c r="AK159" s="902"/>
      <c r="AL159" s="902"/>
      <c r="AM159" s="902"/>
      <c r="AN159" s="902"/>
      <c r="AO159" s="902"/>
      <c r="AP159" s="902"/>
      <c r="AQ159" s="902"/>
      <c r="AR159" s="902"/>
      <c r="AS159" s="902"/>
      <c r="AT159" s="916"/>
      <c r="AU159" s="916"/>
      <c r="AV159" s="916"/>
      <c r="AW159" s="916"/>
      <c r="AX159" s="916"/>
      <c r="AY159" s="916"/>
      <c r="AZ159" s="916"/>
      <c r="BA159" s="916"/>
      <c r="BB159" s="916"/>
      <c r="BC159" s="309"/>
      <c r="BD159" s="309"/>
    </row>
    <row r="160" spans="1:56" ht="15" customHeight="1" x14ac:dyDescent="0.25">
      <c r="A160" s="309"/>
      <c r="B160" s="884"/>
      <c r="C160" s="860"/>
      <c r="D160" s="911"/>
      <c r="E160" s="911"/>
      <c r="F160" s="911"/>
      <c r="G160" s="911"/>
      <c r="H160" s="911"/>
      <c r="I160" s="911"/>
      <c r="J160" s="911"/>
      <c r="K160" s="922"/>
      <c r="L160" s="938"/>
      <c r="M160" s="922"/>
      <c r="N160" s="902"/>
      <c r="O160" s="922"/>
      <c r="P160" s="916"/>
      <c r="Q160" s="916"/>
      <c r="R160" s="916"/>
      <c r="S160" s="916"/>
      <c r="T160" s="916"/>
      <c r="U160" s="916"/>
      <c r="V160" s="916"/>
      <c r="W160" s="916"/>
      <c r="X160" s="916"/>
      <c r="Y160" s="916"/>
      <c r="Z160" s="902"/>
      <c r="AA160" s="902"/>
      <c r="AB160" s="902"/>
      <c r="AC160" s="902"/>
      <c r="AD160" s="902"/>
      <c r="AE160" s="902"/>
      <c r="AF160" s="902"/>
      <c r="AG160" s="902"/>
      <c r="AH160" s="902"/>
      <c r="AI160" s="902"/>
      <c r="AJ160" s="939"/>
      <c r="AK160" s="902"/>
      <c r="AL160" s="902"/>
      <c r="AM160" s="902"/>
      <c r="AN160" s="902"/>
      <c r="AO160" s="902"/>
      <c r="AP160" s="902"/>
      <c r="AQ160" s="902"/>
      <c r="AR160" s="902"/>
      <c r="AS160" s="902"/>
      <c r="AT160" s="916"/>
      <c r="AU160" s="916"/>
      <c r="AV160" s="916"/>
      <c r="AW160" s="916"/>
      <c r="AX160" s="916"/>
      <c r="AY160" s="916"/>
      <c r="AZ160" s="916"/>
      <c r="BA160" s="916"/>
      <c r="BB160" s="916"/>
      <c r="BC160" s="309"/>
      <c r="BD160" s="309"/>
    </row>
    <row r="161" spans="1:56" ht="15" customHeight="1" x14ac:dyDescent="0.25">
      <c r="A161" s="309"/>
      <c r="B161" s="884"/>
      <c r="C161" s="911"/>
      <c r="D161" s="911"/>
      <c r="E161" s="911"/>
      <c r="F161" s="911"/>
      <c r="G161" s="911"/>
      <c r="H161" s="911"/>
      <c r="I161" s="911"/>
      <c r="J161" s="860"/>
      <c r="K161" s="922"/>
      <c r="L161" s="938"/>
      <c r="M161" s="922"/>
      <c r="N161" s="902"/>
      <c r="O161" s="922"/>
      <c r="P161" s="916"/>
      <c r="Q161" s="916"/>
      <c r="R161" s="916"/>
      <c r="S161" s="916"/>
      <c r="T161" s="916"/>
      <c r="U161" s="916"/>
      <c r="V161" s="916"/>
      <c r="W161" s="916"/>
      <c r="X161" s="916"/>
      <c r="Y161" s="916"/>
      <c r="Z161" s="902"/>
      <c r="AA161" s="902"/>
      <c r="AB161" s="902"/>
      <c r="AC161" s="902"/>
      <c r="AD161" s="902"/>
      <c r="AE161" s="902"/>
      <c r="AF161" s="902"/>
      <c r="AG161" s="902"/>
      <c r="AH161" s="902"/>
      <c r="AI161" s="902"/>
      <c r="AJ161" s="939"/>
      <c r="AK161" s="902"/>
      <c r="AL161" s="902"/>
      <c r="AM161" s="902"/>
      <c r="AN161" s="902"/>
      <c r="AO161" s="902"/>
      <c r="AP161" s="902"/>
      <c r="AQ161" s="902"/>
      <c r="AR161" s="902"/>
      <c r="AS161" s="902"/>
      <c r="AT161" s="916"/>
      <c r="AU161" s="916"/>
      <c r="AV161" s="916"/>
      <c r="AW161" s="916"/>
      <c r="AX161" s="916"/>
      <c r="AY161" s="916"/>
      <c r="AZ161" s="916"/>
      <c r="BA161" s="916"/>
      <c r="BB161" s="916"/>
      <c r="BC161" s="309"/>
      <c r="BD161" s="309"/>
    </row>
    <row r="162" spans="1:56" ht="15" customHeight="1" x14ac:dyDescent="0.25">
      <c r="A162" s="309"/>
      <c r="B162" s="884"/>
      <c r="C162" s="911"/>
      <c r="D162" s="911"/>
      <c r="E162" s="911"/>
      <c r="F162" s="911"/>
      <c r="G162" s="860"/>
      <c r="H162" s="860"/>
      <c r="I162" s="860"/>
      <c r="J162" s="860"/>
      <c r="K162" s="922"/>
      <c r="L162" s="938"/>
      <c r="M162" s="922"/>
      <c r="N162" s="902"/>
      <c r="O162" s="922"/>
      <c r="P162" s="916"/>
      <c r="Q162" s="916"/>
      <c r="R162" s="916"/>
      <c r="S162" s="916"/>
      <c r="T162" s="916"/>
      <c r="U162" s="916"/>
      <c r="V162" s="916"/>
      <c r="W162" s="916"/>
      <c r="X162" s="916"/>
      <c r="Y162" s="916"/>
      <c r="Z162" s="902"/>
      <c r="AA162" s="902"/>
      <c r="AB162" s="902"/>
      <c r="AC162" s="902"/>
      <c r="AD162" s="902"/>
      <c r="AE162" s="902"/>
      <c r="AF162" s="902"/>
      <c r="AG162" s="902"/>
      <c r="AH162" s="902"/>
      <c r="AI162" s="902"/>
      <c r="AJ162" s="939"/>
      <c r="AK162" s="902"/>
      <c r="AL162" s="902"/>
      <c r="AM162" s="902"/>
      <c r="AN162" s="902"/>
      <c r="AO162" s="902"/>
      <c r="AP162" s="902"/>
      <c r="AQ162" s="902"/>
      <c r="AR162" s="902"/>
      <c r="AS162" s="902"/>
      <c r="AT162" s="916"/>
      <c r="AU162" s="916"/>
      <c r="AV162" s="916"/>
      <c r="AW162" s="916"/>
      <c r="AX162" s="916"/>
      <c r="AY162" s="916"/>
      <c r="AZ162" s="916"/>
      <c r="BA162" s="916"/>
      <c r="BB162" s="916"/>
      <c r="BC162" s="309"/>
      <c r="BD162" s="309"/>
    </row>
    <row r="163" spans="1:56" ht="15" customHeight="1" x14ac:dyDescent="0.25">
      <c r="A163" s="309"/>
      <c r="B163" s="712"/>
      <c r="C163" s="911"/>
      <c r="D163" s="911"/>
      <c r="E163" s="911"/>
      <c r="F163" s="911"/>
      <c r="G163" s="860"/>
      <c r="H163" s="860"/>
      <c r="I163" s="860"/>
      <c r="J163" s="860"/>
      <c r="K163" s="922"/>
      <c r="L163" s="938"/>
      <c r="M163" s="922"/>
      <c r="N163" s="902"/>
      <c r="O163" s="922"/>
      <c r="P163" s="916"/>
      <c r="Q163" s="916"/>
      <c r="R163" s="916"/>
      <c r="S163" s="916"/>
      <c r="T163" s="916"/>
      <c r="U163" s="916"/>
      <c r="V163" s="916"/>
      <c r="W163" s="916"/>
      <c r="X163" s="916"/>
      <c r="Y163" s="916"/>
      <c r="Z163" s="902"/>
      <c r="AA163" s="902"/>
      <c r="AB163" s="902"/>
      <c r="AC163" s="902"/>
      <c r="AD163" s="902"/>
      <c r="AE163" s="902"/>
      <c r="AF163" s="902"/>
      <c r="AG163" s="902"/>
      <c r="AH163" s="902"/>
      <c r="AI163" s="902"/>
      <c r="AJ163" s="939"/>
      <c r="AK163" s="902"/>
      <c r="AL163" s="902"/>
      <c r="AM163" s="902"/>
      <c r="AN163" s="902"/>
      <c r="AO163" s="902"/>
      <c r="AP163" s="902"/>
      <c r="AQ163" s="902"/>
      <c r="AR163" s="902"/>
      <c r="AS163" s="902"/>
      <c r="AT163" s="916"/>
      <c r="AU163" s="916"/>
      <c r="AV163" s="916"/>
      <c r="AW163" s="916"/>
      <c r="AX163" s="916"/>
      <c r="AY163" s="916"/>
      <c r="AZ163" s="916"/>
      <c r="BA163" s="916"/>
      <c r="BB163" s="916"/>
      <c r="BC163" s="309"/>
      <c r="BD163" s="309"/>
    </row>
    <row r="164" spans="1:56" ht="15" customHeight="1" x14ac:dyDescent="0.25">
      <c r="A164" s="309"/>
      <c r="B164" s="884"/>
      <c r="C164" s="911"/>
      <c r="D164" s="911"/>
      <c r="E164" s="911"/>
      <c r="F164" s="911"/>
      <c r="G164" s="911"/>
      <c r="H164" s="911"/>
      <c r="I164" s="911"/>
      <c r="J164" s="922"/>
      <c r="K164" s="922"/>
      <c r="L164" s="938"/>
      <c r="M164" s="922"/>
      <c r="N164" s="902"/>
      <c r="O164" s="922"/>
      <c r="P164" s="916"/>
      <c r="Q164" s="916"/>
      <c r="R164" s="916"/>
      <c r="S164" s="916"/>
      <c r="T164" s="916"/>
      <c r="U164" s="916"/>
      <c r="V164" s="916"/>
      <c r="W164" s="916"/>
      <c r="X164" s="916"/>
      <c r="Y164" s="916"/>
      <c r="Z164" s="902"/>
      <c r="AA164" s="902"/>
      <c r="AB164" s="902"/>
      <c r="AC164" s="902"/>
      <c r="AD164" s="902"/>
      <c r="AE164" s="902"/>
      <c r="AF164" s="902"/>
      <c r="AG164" s="902"/>
      <c r="AH164" s="902"/>
      <c r="AI164" s="902"/>
      <c r="AJ164" s="939"/>
      <c r="AK164" s="902"/>
      <c r="AL164" s="902"/>
      <c r="AM164" s="902"/>
      <c r="AN164" s="902"/>
      <c r="AO164" s="902"/>
      <c r="AP164" s="902"/>
      <c r="AQ164" s="902"/>
      <c r="AR164" s="902"/>
      <c r="AS164" s="902"/>
      <c r="AT164" s="916"/>
      <c r="AU164" s="916"/>
      <c r="AV164" s="916"/>
      <c r="AW164" s="916"/>
      <c r="AX164" s="916"/>
      <c r="AY164" s="916"/>
      <c r="AZ164" s="916"/>
      <c r="BA164" s="916"/>
      <c r="BB164" s="916"/>
      <c r="BC164" s="309"/>
      <c r="BD164" s="309"/>
    </row>
    <row r="165" spans="1:56" ht="15" customHeight="1" x14ac:dyDescent="0.25">
      <c r="A165" s="309"/>
      <c r="B165" s="884"/>
      <c r="C165" s="911"/>
      <c r="D165" s="911"/>
      <c r="E165" s="911"/>
      <c r="F165" s="911"/>
      <c r="G165" s="911"/>
      <c r="H165" s="911"/>
      <c r="I165" s="911"/>
      <c r="J165" s="922"/>
      <c r="K165" s="922"/>
      <c r="L165" s="938"/>
      <c r="M165" s="922"/>
      <c r="N165" s="902"/>
      <c r="O165" s="922"/>
      <c r="P165" s="916"/>
      <c r="Q165" s="916"/>
      <c r="R165" s="916"/>
      <c r="S165" s="916"/>
      <c r="T165" s="916"/>
      <c r="U165" s="916"/>
      <c r="V165" s="916"/>
      <c r="W165" s="916"/>
      <c r="X165" s="916"/>
      <c r="Y165" s="916"/>
      <c r="Z165" s="902"/>
      <c r="AA165" s="902"/>
      <c r="AB165" s="902"/>
      <c r="AC165" s="902"/>
      <c r="AD165" s="902"/>
      <c r="AE165" s="902"/>
      <c r="AF165" s="902"/>
      <c r="AG165" s="902"/>
      <c r="AH165" s="902"/>
      <c r="AI165" s="902"/>
      <c r="AJ165" s="939"/>
      <c r="AK165" s="902"/>
      <c r="AL165" s="902"/>
      <c r="AM165" s="902"/>
      <c r="AN165" s="902"/>
      <c r="AO165" s="902"/>
      <c r="AP165" s="902"/>
      <c r="AQ165" s="902"/>
      <c r="AR165" s="902"/>
      <c r="AS165" s="902"/>
      <c r="AT165" s="916"/>
      <c r="AU165" s="916"/>
      <c r="AV165" s="916"/>
      <c r="AW165" s="916"/>
      <c r="AX165" s="916"/>
      <c r="AY165" s="916"/>
      <c r="AZ165" s="916"/>
      <c r="BA165" s="916"/>
      <c r="BB165" s="916"/>
      <c r="BC165" s="309"/>
      <c r="BD165" s="309"/>
    </row>
    <row r="166" spans="1:56" ht="15" customHeight="1" x14ac:dyDescent="0.25">
      <c r="A166" s="309"/>
      <c r="B166" s="712"/>
      <c r="C166" s="911"/>
      <c r="D166" s="911"/>
      <c r="E166" s="911"/>
      <c r="F166" s="911"/>
      <c r="G166" s="911"/>
      <c r="H166" s="860"/>
      <c r="I166" s="911"/>
      <c r="J166" s="922"/>
      <c r="K166" s="922"/>
      <c r="L166" s="938"/>
      <c r="M166" s="922"/>
      <c r="N166" s="902"/>
      <c r="O166" s="922"/>
      <c r="P166" s="916"/>
      <c r="Q166" s="916"/>
      <c r="R166" s="916"/>
      <c r="S166" s="916"/>
      <c r="T166" s="916"/>
      <c r="U166" s="916"/>
      <c r="V166" s="916"/>
      <c r="W166" s="916"/>
      <c r="X166" s="916"/>
      <c r="Y166" s="916"/>
      <c r="Z166" s="902"/>
      <c r="AA166" s="902"/>
      <c r="AB166" s="902"/>
      <c r="AC166" s="902"/>
      <c r="AD166" s="902"/>
      <c r="AE166" s="902"/>
      <c r="AF166" s="902"/>
      <c r="AG166" s="902"/>
      <c r="AH166" s="902"/>
      <c r="AI166" s="902"/>
      <c r="AJ166" s="939"/>
      <c r="AK166" s="902"/>
      <c r="AL166" s="902"/>
      <c r="AM166" s="902"/>
      <c r="AN166" s="902"/>
      <c r="AO166" s="902"/>
      <c r="AP166" s="902"/>
      <c r="AQ166" s="902"/>
      <c r="AR166" s="902"/>
      <c r="AS166" s="902"/>
      <c r="AT166" s="916"/>
      <c r="AU166" s="916"/>
      <c r="AV166" s="916"/>
      <c r="AW166" s="916"/>
      <c r="AX166" s="916"/>
      <c r="AY166" s="916"/>
      <c r="AZ166" s="916"/>
      <c r="BA166" s="916"/>
      <c r="BB166" s="916"/>
      <c r="BC166" s="309"/>
      <c r="BD166" s="309"/>
    </row>
    <row r="167" spans="1:56" ht="15" customHeight="1" x14ac:dyDescent="0.25">
      <c r="A167" s="309"/>
      <c r="B167" s="884"/>
      <c r="C167" s="860"/>
      <c r="D167" s="911"/>
      <c r="E167" s="911"/>
      <c r="F167" s="911"/>
      <c r="G167" s="911"/>
      <c r="H167" s="911"/>
      <c r="I167" s="911"/>
      <c r="J167" s="911"/>
      <c r="K167" s="922"/>
      <c r="L167" s="938"/>
      <c r="M167" s="922"/>
      <c r="N167" s="902"/>
      <c r="O167" s="922"/>
      <c r="P167" s="916"/>
      <c r="Q167" s="916"/>
      <c r="R167" s="916"/>
      <c r="S167" s="916"/>
      <c r="T167" s="916"/>
      <c r="U167" s="916"/>
      <c r="V167" s="916"/>
      <c r="W167" s="916"/>
      <c r="X167" s="916"/>
      <c r="Y167" s="916"/>
      <c r="Z167" s="902"/>
      <c r="AA167" s="902"/>
      <c r="AB167" s="902"/>
      <c r="AC167" s="902"/>
      <c r="AD167" s="902"/>
      <c r="AE167" s="902"/>
      <c r="AF167" s="902"/>
      <c r="AG167" s="902"/>
      <c r="AH167" s="902"/>
      <c r="AI167" s="902"/>
      <c r="AJ167" s="939"/>
      <c r="AK167" s="902"/>
      <c r="AL167" s="902"/>
      <c r="AM167" s="902"/>
      <c r="AN167" s="902"/>
      <c r="AO167" s="902"/>
      <c r="AP167" s="902"/>
      <c r="AQ167" s="902"/>
      <c r="AR167" s="902"/>
      <c r="AS167" s="902"/>
      <c r="AT167" s="916"/>
      <c r="AU167" s="916"/>
      <c r="AV167" s="916"/>
      <c r="AW167" s="916"/>
      <c r="AX167" s="916"/>
      <c r="AY167" s="916"/>
      <c r="AZ167" s="916"/>
      <c r="BA167" s="916"/>
      <c r="BB167" s="916"/>
      <c r="BC167" s="309"/>
      <c r="BD167" s="309"/>
    </row>
    <row r="168" spans="1:56" ht="15" customHeight="1" x14ac:dyDescent="0.25">
      <c r="A168" s="309"/>
      <c r="B168" s="884"/>
      <c r="C168" s="911"/>
      <c r="D168" s="911"/>
      <c r="E168" s="911"/>
      <c r="F168" s="911"/>
      <c r="G168" s="860"/>
      <c r="H168" s="911"/>
      <c r="I168" s="911"/>
      <c r="J168" s="922"/>
      <c r="K168" s="922"/>
      <c r="L168" s="938"/>
      <c r="M168" s="922"/>
      <c r="N168" s="309"/>
      <c r="O168" s="309"/>
      <c r="P168" s="309"/>
      <c r="Q168" s="309"/>
      <c r="R168" s="309"/>
      <c r="S168" s="309"/>
      <c r="T168" s="922"/>
      <c r="U168" s="930"/>
      <c r="V168" s="309"/>
      <c r="W168" s="309"/>
      <c r="X168" s="309"/>
      <c r="Y168" s="309"/>
      <c r="Z168" s="309"/>
      <c r="AA168" s="309"/>
      <c r="AB168" s="309"/>
      <c r="AC168" s="309"/>
      <c r="AD168" s="309"/>
      <c r="AE168" s="309"/>
      <c r="AF168" s="309"/>
      <c r="AG168" s="309"/>
      <c r="AH168" s="309"/>
      <c r="AI168" s="309"/>
      <c r="AJ168" s="309"/>
      <c r="AK168" s="309"/>
      <c r="AL168" s="309"/>
      <c r="AM168" s="309"/>
      <c r="AN168" s="309"/>
      <c r="AO168" s="309"/>
      <c r="AP168" s="309"/>
      <c r="AQ168" s="309"/>
      <c r="AR168" s="309"/>
      <c r="AS168" s="309"/>
      <c r="AT168" s="309"/>
      <c r="AU168" s="309"/>
      <c r="AV168" s="309"/>
      <c r="AW168" s="309"/>
      <c r="AX168" s="309"/>
      <c r="AY168" s="309"/>
      <c r="AZ168" s="309"/>
      <c r="BA168" s="309"/>
      <c r="BB168" s="309"/>
      <c r="BC168" s="309"/>
      <c r="BD168" s="309"/>
    </row>
    <row r="169" spans="1:56" ht="15" customHeight="1" x14ac:dyDescent="0.25">
      <c r="A169" s="309"/>
      <c r="B169" s="712"/>
      <c r="C169" s="911"/>
      <c r="D169" s="911"/>
      <c r="E169" s="911"/>
      <c r="F169" s="860"/>
      <c r="G169" s="911"/>
      <c r="H169" s="911"/>
      <c r="I169" s="911"/>
      <c r="J169" s="922"/>
      <c r="K169" s="922"/>
      <c r="L169" s="938"/>
      <c r="M169" s="922"/>
      <c r="N169" s="309"/>
      <c r="O169" s="309"/>
      <c r="P169" s="309"/>
      <c r="Q169" s="309"/>
      <c r="R169" s="309"/>
      <c r="S169" s="309"/>
      <c r="T169" s="922"/>
      <c r="U169" s="930"/>
      <c r="V169" s="309"/>
      <c r="W169" s="309"/>
      <c r="X169" s="309"/>
      <c r="Y169" s="309"/>
      <c r="Z169" s="309"/>
      <c r="AA169" s="309"/>
      <c r="AB169" s="309"/>
      <c r="AC169" s="309"/>
      <c r="AD169" s="309"/>
      <c r="AE169" s="309"/>
      <c r="AF169" s="309"/>
      <c r="AG169" s="309"/>
      <c r="AH169" s="309"/>
      <c r="AI169" s="309"/>
      <c r="AJ169" s="309"/>
      <c r="AK169" s="309"/>
      <c r="AL169" s="309"/>
      <c r="AM169" s="309"/>
      <c r="AN169" s="309"/>
      <c r="AO169" s="309"/>
      <c r="AP169" s="309"/>
      <c r="AQ169" s="309"/>
      <c r="AR169" s="309"/>
      <c r="AS169" s="309"/>
      <c r="AT169" s="309"/>
      <c r="AU169" s="309"/>
      <c r="AV169" s="309"/>
      <c r="AW169" s="309"/>
      <c r="AX169" s="309"/>
      <c r="AY169" s="309"/>
      <c r="AZ169" s="309"/>
      <c r="BA169" s="309"/>
      <c r="BB169" s="309"/>
      <c r="BC169" s="309"/>
      <c r="BD169" s="309"/>
    </row>
    <row r="170" spans="1:56" ht="15" customHeight="1" x14ac:dyDescent="0.25">
      <c r="A170" s="309"/>
      <c r="B170" s="884"/>
      <c r="C170" s="911"/>
      <c r="D170" s="911"/>
      <c r="E170" s="911"/>
      <c r="F170" s="911"/>
      <c r="G170" s="911"/>
      <c r="H170" s="911"/>
      <c r="I170" s="911"/>
      <c r="J170" s="922"/>
      <c r="K170" s="922"/>
      <c r="L170" s="938"/>
      <c r="M170" s="922"/>
      <c r="N170" s="309"/>
      <c r="O170" s="309"/>
      <c r="P170" s="309"/>
      <c r="Q170" s="309"/>
      <c r="R170" s="309"/>
      <c r="S170" s="309"/>
      <c r="T170" s="922"/>
      <c r="U170" s="930"/>
      <c r="V170" s="309"/>
      <c r="W170" s="309"/>
      <c r="X170" s="309"/>
      <c r="Y170" s="309"/>
      <c r="Z170" s="309"/>
      <c r="AA170" s="309"/>
      <c r="AB170" s="309"/>
      <c r="AC170" s="309"/>
      <c r="AD170" s="309"/>
      <c r="AE170" s="309"/>
      <c r="AF170" s="309"/>
      <c r="AG170" s="309"/>
      <c r="AH170" s="309"/>
      <c r="AI170" s="309"/>
      <c r="AJ170" s="309"/>
      <c r="AK170" s="309"/>
      <c r="AL170" s="309"/>
      <c r="AM170" s="309"/>
      <c r="AN170" s="309"/>
      <c r="AO170" s="309"/>
      <c r="AP170" s="309"/>
      <c r="AQ170" s="309"/>
      <c r="AR170" s="309"/>
      <c r="AS170" s="309"/>
      <c r="AT170" s="309"/>
      <c r="AU170" s="309"/>
      <c r="AV170" s="309"/>
      <c r="AW170" s="309"/>
      <c r="AX170" s="309"/>
      <c r="AY170" s="309"/>
      <c r="AZ170" s="309"/>
      <c r="BA170" s="309"/>
      <c r="BB170" s="309"/>
      <c r="BC170" s="309"/>
      <c r="BD170" s="309"/>
    </row>
    <row r="171" spans="1:56" ht="15" customHeight="1" x14ac:dyDescent="0.25">
      <c r="A171" s="309"/>
      <c r="B171" s="712"/>
      <c r="C171" s="911"/>
      <c r="D171" s="911"/>
      <c r="E171" s="860"/>
      <c r="F171" s="911"/>
      <c r="G171" s="911"/>
      <c r="H171" s="911"/>
      <c r="I171" s="911"/>
      <c r="J171" s="922"/>
      <c r="K171" s="922"/>
      <c r="L171" s="938"/>
      <c r="M171" s="922"/>
      <c r="N171" s="309"/>
      <c r="O171" s="309"/>
      <c r="P171" s="309"/>
      <c r="Q171" s="309"/>
      <c r="R171" s="309"/>
      <c r="S171" s="309"/>
      <c r="T171" s="922"/>
      <c r="U171" s="930"/>
      <c r="V171" s="309"/>
      <c r="W171" s="309"/>
      <c r="X171" s="309"/>
      <c r="Y171" s="309"/>
      <c r="Z171" s="309"/>
      <c r="AA171" s="309"/>
      <c r="AB171" s="309"/>
      <c r="AC171" s="309"/>
      <c r="AD171" s="309"/>
      <c r="AE171" s="309"/>
      <c r="AF171" s="309"/>
      <c r="AG171" s="309"/>
      <c r="AH171" s="309"/>
      <c r="AI171" s="309"/>
      <c r="AJ171" s="309"/>
      <c r="AK171" s="309"/>
      <c r="AL171" s="309"/>
      <c r="AM171" s="309"/>
      <c r="AN171" s="309"/>
      <c r="AO171" s="309"/>
      <c r="AP171" s="309"/>
      <c r="AQ171" s="309"/>
      <c r="AR171" s="309"/>
      <c r="AS171" s="309"/>
      <c r="AT171" s="309"/>
      <c r="AU171" s="309"/>
      <c r="AV171" s="309"/>
      <c r="AW171" s="309"/>
      <c r="AX171" s="309"/>
      <c r="AY171" s="309"/>
      <c r="AZ171" s="309"/>
      <c r="BA171" s="309"/>
      <c r="BB171" s="309"/>
      <c r="BC171" s="309"/>
      <c r="BD171" s="309"/>
    </row>
    <row r="172" spans="1:56" ht="15" customHeight="1" x14ac:dyDescent="0.25">
      <c r="A172" s="309"/>
      <c r="B172" s="884"/>
      <c r="C172" s="911"/>
      <c r="D172" s="860"/>
      <c r="E172" s="911"/>
      <c r="F172" s="860"/>
      <c r="G172" s="911"/>
      <c r="H172" s="911"/>
      <c r="I172" s="911"/>
      <c r="J172" s="922"/>
      <c r="K172" s="922"/>
      <c r="L172" s="938"/>
      <c r="M172" s="922"/>
      <c r="N172" s="309"/>
      <c r="O172" s="309"/>
      <c r="P172" s="309"/>
      <c r="Q172" s="309"/>
      <c r="R172" s="309"/>
      <c r="S172" s="309"/>
      <c r="T172" s="922"/>
      <c r="U172" s="930"/>
      <c r="V172" s="309"/>
      <c r="W172" s="309"/>
      <c r="X172" s="309"/>
      <c r="Y172" s="309"/>
      <c r="Z172" s="309"/>
      <c r="AA172" s="309"/>
      <c r="AB172" s="309"/>
      <c r="AC172" s="309"/>
      <c r="AD172" s="309"/>
      <c r="AE172" s="309"/>
      <c r="AF172" s="309"/>
      <c r="AG172" s="309"/>
      <c r="AH172" s="309"/>
      <c r="AI172" s="309"/>
      <c r="AJ172" s="309"/>
      <c r="AK172" s="309"/>
      <c r="AL172" s="309"/>
      <c r="AM172" s="309"/>
      <c r="AN172" s="309"/>
      <c r="AO172" s="309"/>
      <c r="AP172" s="309"/>
      <c r="AQ172" s="309"/>
      <c r="AR172" s="309"/>
      <c r="AS172" s="309"/>
      <c r="AT172" s="309"/>
      <c r="AU172" s="309"/>
      <c r="AV172" s="309"/>
      <c r="AW172" s="309"/>
      <c r="AX172" s="309"/>
      <c r="AY172" s="309"/>
      <c r="AZ172" s="309"/>
      <c r="BA172" s="309"/>
      <c r="BB172" s="309"/>
      <c r="BC172" s="309"/>
      <c r="BD172" s="309"/>
    </row>
    <row r="173" spans="1:56" ht="15" customHeight="1" x14ac:dyDescent="0.25">
      <c r="A173" s="309"/>
      <c r="B173" s="712"/>
      <c r="C173" s="911"/>
      <c r="D173" s="860"/>
      <c r="E173" s="911"/>
      <c r="F173" s="860"/>
      <c r="G173" s="911"/>
      <c r="H173" s="911"/>
      <c r="I173" s="911"/>
      <c r="J173" s="922"/>
      <c r="K173" s="922"/>
      <c r="L173" s="938"/>
      <c r="M173" s="922"/>
      <c r="N173" s="309"/>
      <c r="O173" s="309"/>
      <c r="P173" s="309"/>
      <c r="Q173" s="309"/>
      <c r="R173" s="309"/>
      <c r="S173" s="309"/>
      <c r="T173" s="922"/>
      <c r="U173" s="930"/>
      <c r="V173" s="309"/>
      <c r="W173" s="309"/>
      <c r="X173" s="309"/>
      <c r="Y173" s="309"/>
      <c r="Z173" s="309"/>
      <c r="AA173" s="309"/>
      <c r="AB173" s="309"/>
      <c r="AC173" s="309"/>
      <c r="AD173" s="309"/>
      <c r="AE173" s="309"/>
      <c r="AF173" s="309"/>
      <c r="AG173" s="309"/>
      <c r="AH173" s="309"/>
      <c r="AI173" s="309"/>
      <c r="AJ173" s="309"/>
      <c r="AK173" s="309"/>
      <c r="AL173" s="309"/>
      <c r="AM173" s="309"/>
      <c r="AN173" s="309"/>
      <c r="AO173" s="309"/>
      <c r="AP173" s="309"/>
      <c r="AQ173" s="309"/>
      <c r="AR173" s="309"/>
      <c r="AS173" s="309"/>
      <c r="AT173" s="309"/>
      <c r="AU173" s="309"/>
      <c r="AV173" s="309"/>
      <c r="AW173" s="309"/>
      <c r="AX173" s="309"/>
      <c r="AY173" s="309"/>
      <c r="AZ173" s="309"/>
      <c r="BA173" s="309"/>
      <c r="BB173" s="309"/>
      <c r="BC173" s="309"/>
      <c r="BD173" s="309"/>
    </row>
    <row r="174" spans="1:56" ht="15" customHeight="1" x14ac:dyDescent="0.25">
      <c r="A174" s="309"/>
      <c r="B174" s="884"/>
      <c r="C174" s="911"/>
      <c r="D174" s="911"/>
      <c r="E174" s="911"/>
      <c r="F174" s="911"/>
      <c r="G174" s="911"/>
      <c r="H174" s="911"/>
      <c r="I174" s="911"/>
      <c r="J174" s="911"/>
      <c r="K174" s="922"/>
      <c r="L174" s="938"/>
      <c r="M174" s="922"/>
      <c r="N174" s="309"/>
      <c r="O174" s="309"/>
      <c r="P174" s="309"/>
      <c r="Q174" s="309"/>
      <c r="R174" s="309"/>
      <c r="S174" s="309"/>
      <c r="T174" s="922"/>
      <c r="U174" s="930"/>
      <c r="V174" s="309"/>
      <c r="W174" s="309"/>
      <c r="X174" s="309"/>
      <c r="Y174" s="309"/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  <c r="AO174" s="309"/>
      <c r="AP174" s="309"/>
      <c r="AQ174" s="309"/>
      <c r="AR174" s="309"/>
      <c r="AS174" s="309"/>
      <c r="AT174" s="309"/>
      <c r="AU174" s="309"/>
      <c r="AV174" s="309"/>
      <c r="AW174" s="309"/>
      <c r="AX174" s="309"/>
      <c r="AY174" s="309"/>
      <c r="AZ174" s="309"/>
      <c r="BA174" s="309"/>
      <c r="BB174" s="309"/>
      <c r="BC174" s="309"/>
      <c r="BD174" s="309"/>
    </row>
    <row r="175" spans="1:56" ht="15" customHeight="1" x14ac:dyDescent="0.25">
      <c r="A175" s="309"/>
      <c r="B175" s="884"/>
      <c r="C175" s="860"/>
      <c r="D175" s="911"/>
      <c r="E175" s="911"/>
      <c r="F175" s="860"/>
      <c r="G175" s="860"/>
      <c r="H175" s="860"/>
      <c r="I175" s="911"/>
      <c r="J175" s="911"/>
      <c r="K175" s="922"/>
      <c r="L175" s="938"/>
      <c r="M175" s="922"/>
      <c r="N175" s="309"/>
      <c r="O175" s="309"/>
      <c r="P175" s="309"/>
      <c r="Q175" s="309"/>
      <c r="R175" s="309"/>
      <c r="S175" s="309"/>
      <c r="T175" s="922"/>
      <c r="U175" s="930"/>
      <c r="V175" s="309"/>
      <c r="W175" s="309"/>
      <c r="X175" s="309"/>
      <c r="Y175" s="309"/>
      <c r="Z175" s="309"/>
      <c r="AA175" s="309"/>
      <c r="AB175" s="309"/>
      <c r="AC175" s="309"/>
      <c r="AD175" s="309"/>
      <c r="AE175" s="309"/>
      <c r="AF175" s="309"/>
      <c r="AG175" s="309"/>
      <c r="AH175" s="309"/>
      <c r="AI175" s="309"/>
      <c r="AJ175" s="309"/>
      <c r="AK175" s="309"/>
      <c r="AL175" s="309"/>
      <c r="AM175" s="309"/>
      <c r="AN175" s="309"/>
      <c r="AO175" s="309"/>
      <c r="AP175" s="309"/>
      <c r="AQ175" s="309"/>
      <c r="AR175" s="309"/>
      <c r="AS175" s="309"/>
      <c r="AT175" s="309"/>
      <c r="AU175" s="309"/>
      <c r="AV175" s="309"/>
      <c r="AW175" s="309"/>
      <c r="AX175" s="309"/>
      <c r="AY175" s="309"/>
      <c r="AZ175" s="309"/>
      <c r="BA175" s="309"/>
      <c r="BB175" s="309"/>
      <c r="BC175" s="309"/>
      <c r="BD175" s="309"/>
    </row>
    <row r="176" spans="1:56" ht="15" customHeight="1" x14ac:dyDescent="0.25">
      <c r="A176" s="309"/>
      <c r="B176" s="884"/>
      <c r="C176" s="911"/>
      <c r="D176" s="911"/>
      <c r="E176" s="911"/>
      <c r="F176" s="860"/>
      <c r="G176" s="911"/>
      <c r="H176" s="911"/>
      <c r="I176" s="911"/>
      <c r="J176" s="911"/>
      <c r="K176" s="922"/>
      <c r="L176" s="938"/>
      <c r="M176" s="922"/>
      <c r="N176" s="309"/>
      <c r="O176" s="309"/>
      <c r="P176" s="309"/>
      <c r="Q176" s="309"/>
      <c r="R176" s="309"/>
      <c r="S176" s="309"/>
      <c r="T176" s="922"/>
      <c r="U176" s="930"/>
      <c r="V176" s="309"/>
      <c r="W176" s="309"/>
      <c r="X176" s="309"/>
      <c r="Y176" s="309"/>
      <c r="Z176" s="309"/>
      <c r="AA176" s="309"/>
      <c r="AB176" s="309"/>
      <c r="AC176" s="309"/>
      <c r="AD176" s="309"/>
      <c r="AE176" s="309"/>
      <c r="AF176" s="309"/>
      <c r="AG176" s="309"/>
      <c r="AH176" s="309"/>
      <c r="AI176" s="309"/>
      <c r="AJ176" s="309"/>
      <c r="AK176" s="309"/>
      <c r="AL176" s="309"/>
      <c r="AM176" s="309"/>
      <c r="AN176" s="309"/>
      <c r="AO176" s="309"/>
      <c r="AP176" s="309"/>
      <c r="AQ176" s="309"/>
      <c r="AR176" s="309"/>
      <c r="AS176" s="309"/>
      <c r="AT176" s="309"/>
      <c r="AU176" s="309"/>
      <c r="AV176" s="309"/>
      <c r="AW176" s="309"/>
      <c r="AX176" s="309"/>
      <c r="AY176" s="309"/>
      <c r="AZ176" s="309"/>
      <c r="BA176" s="309"/>
      <c r="BB176" s="309"/>
      <c r="BC176" s="309"/>
      <c r="BD176" s="309"/>
    </row>
    <row r="177" spans="1:56" ht="15" customHeight="1" x14ac:dyDescent="0.25">
      <c r="A177" s="309"/>
      <c r="B177" s="884"/>
      <c r="C177" s="911"/>
      <c r="D177" s="911"/>
      <c r="E177" s="860"/>
      <c r="F177" s="911"/>
      <c r="G177" s="911"/>
      <c r="H177" s="911"/>
      <c r="I177" s="911"/>
      <c r="J177" s="911"/>
      <c r="K177" s="922"/>
      <c r="L177" s="938"/>
      <c r="M177" s="922"/>
      <c r="N177" s="309"/>
      <c r="O177" s="309"/>
      <c r="P177" s="309"/>
      <c r="Q177" s="309"/>
      <c r="R177" s="309"/>
      <c r="S177" s="309"/>
      <c r="T177" s="922"/>
      <c r="U177" s="930"/>
      <c r="V177" s="309"/>
      <c r="W177" s="309"/>
      <c r="X177" s="309"/>
      <c r="Y177" s="309"/>
      <c r="Z177" s="309"/>
      <c r="AA177" s="309"/>
      <c r="AB177" s="309"/>
      <c r="AC177" s="309"/>
      <c r="AD177" s="309"/>
      <c r="AE177" s="309"/>
      <c r="AF177" s="309"/>
      <c r="AG177" s="309"/>
      <c r="AH177" s="309"/>
      <c r="AI177" s="309"/>
      <c r="AJ177" s="309"/>
      <c r="AK177" s="309"/>
      <c r="AL177" s="309"/>
      <c r="AM177" s="309"/>
      <c r="AN177" s="309"/>
      <c r="AO177" s="309"/>
      <c r="AP177" s="309"/>
      <c r="AQ177" s="309"/>
      <c r="AR177" s="309"/>
      <c r="AS177" s="309"/>
      <c r="AT177" s="309"/>
      <c r="AU177" s="309"/>
      <c r="AV177" s="309"/>
      <c r="AW177" s="309"/>
      <c r="AX177" s="309"/>
      <c r="AY177" s="309"/>
      <c r="AZ177" s="309"/>
      <c r="BA177" s="309"/>
      <c r="BB177" s="309"/>
      <c r="BC177" s="309"/>
      <c r="BD177" s="309"/>
    </row>
    <row r="178" spans="1:56" ht="15" customHeight="1" x14ac:dyDescent="0.25">
      <c r="A178" s="309"/>
      <c r="B178" s="884"/>
      <c r="C178" s="911"/>
      <c r="D178" s="860"/>
      <c r="E178" s="911"/>
      <c r="F178" s="911"/>
      <c r="G178" s="911"/>
      <c r="H178" s="911"/>
      <c r="I178" s="911"/>
      <c r="J178" s="860"/>
      <c r="K178" s="922"/>
      <c r="L178" s="938"/>
      <c r="M178" s="922"/>
      <c r="N178" s="309"/>
      <c r="O178" s="309"/>
      <c r="P178" s="309"/>
      <c r="Q178" s="309"/>
      <c r="R178" s="309"/>
      <c r="S178" s="309"/>
      <c r="T178" s="902"/>
      <c r="U178" s="370"/>
      <c r="V178" s="309"/>
      <c r="W178" s="309"/>
      <c r="X178" s="309"/>
      <c r="Y178" s="309"/>
      <c r="Z178" s="309"/>
      <c r="AA178" s="309"/>
      <c r="AB178" s="309"/>
      <c r="AC178" s="309"/>
      <c r="AD178" s="309"/>
      <c r="AE178" s="309"/>
      <c r="AF178" s="309"/>
      <c r="AG178" s="309"/>
      <c r="AH178" s="309"/>
      <c r="AI178" s="309"/>
      <c r="AJ178" s="309"/>
      <c r="AK178" s="309"/>
      <c r="AL178" s="309"/>
      <c r="AM178" s="309"/>
      <c r="AN178" s="309"/>
      <c r="AO178" s="309"/>
      <c r="AP178" s="309"/>
      <c r="AQ178" s="309"/>
      <c r="AR178" s="309"/>
      <c r="AS178" s="309"/>
      <c r="AT178" s="309"/>
      <c r="AU178" s="309"/>
      <c r="AV178" s="309"/>
      <c r="AW178" s="309"/>
      <c r="AX178" s="309"/>
      <c r="AY178" s="309"/>
      <c r="AZ178" s="309"/>
      <c r="BA178" s="309"/>
      <c r="BB178" s="309"/>
      <c r="BC178" s="309"/>
      <c r="BD178" s="309"/>
    </row>
    <row r="179" spans="1:56" ht="15" customHeight="1" x14ac:dyDescent="0.25">
      <c r="A179" s="309"/>
      <c r="B179" s="884"/>
      <c r="C179" s="860"/>
      <c r="D179" s="911"/>
      <c r="E179" s="911"/>
      <c r="F179" s="911"/>
      <c r="G179" s="911"/>
      <c r="H179" s="911"/>
      <c r="I179" s="911"/>
      <c r="J179" s="911"/>
      <c r="K179" s="922"/>
      <c r="L179" s="938"/>
      <c r="M179" s="922"/>
      <c r="N179" s="309"/>
      <c r="O179" s="309"/>
      <c r="P179" s="309"/>
      <c r="Q179" s="309"/>
      <c r="R179" s="309"/>
      <c r="S179" s="309"/>
      <c r="T179" s="922"/>
      <c r="U179" s="930"/>
      <c r="V179" s="309"/>
      <c r="W179" s="309"/>
      <c r="X179" s="309"/>
      <c r="Y179" s="309"/>
      <c r="Z179" s="309"/>
      <c r="AA179" s="309"/>
      <c r="AB179" s="309"/>
      <c r="AC179" s="309"/>
      <c r="AD179" s="309"/>
      <c r="AE179" s="309"/>
      <c r="AF179" s="309"/>
      <c r="AG179" s="309"/>
      <c r="AH179" s="309"/>
      <c r="AI179" s="309"/>
      <c r="AJ179" s="309"/>
      <c r="AK179" s="309"/>
      <c r="AL179" s="309"/>
      <c r="AM179" s="309"/>
      <c r="AN179" s="309"/>
      <c r="AO179" s="309"/>
      <c r="AP179" s="309"/>
      <c r="AQ179" s="309"/>
      <c r="AR179" s="309"/>
      <c r="AS179" s="309"/>
      <c r="AT179" s="309"/>
      <c r="AU179" s="309"/>
      <c r="AV179" s="309"/>
      <c r="AW179" s="309"/>
      <c r="AX179" s="309"/>
      <c r="AY179" s="309"/>
      <c r="AZ179" s="309"/>
      <c r="BA179" s="309"/>
      <c r="BB179" s="309"/>
      <c r="BC179" s="309"/>
      <c r="BD179" s="309"/>
    </row>
    <row r="180" spans="1:56" ht="15" customHeight="1" x14ac:dyDescent="0.25">
      <c r="A180" s="309"/>
      <c r="B180" s="884"/>
      <c r="C180" s="911"/>
      <c r="D180" s="911"/>
      <c r="E180" s="911"/>
      <c r="F180" s="911"/>
      <c r="G180" s="911"/>
      <c r="H180" s="911"/>
      <c r="I180" s="911"/>
      <c r="J180" s="911"/>
      <c r="K180" s="922"/>
      <c r="L180" s="938"/>
      <c r="M180" s="922"/>
      <c r="N180" s="309"/>
      <c r="O180" s="309"/>
      <c r="P180" s="309"/>
      <c r="Q180" s="309"/>
      <c r="R180" s="309"/>
      <c r="S180" s="309"/>
      <c r="T180" s="922"/>
      <c r="U180" s="930"/>
      <c r="V180" s="309"/>
      <c r="W180" s="309"/>
      <c r="X180" s="309"/>
      <c r="Y180" s="309"/>
      <c r="Z180" s="309"/>
      <c r="AA180" s="309"/>
      <c r="AB180" s="309"/>
      <c r="AC180" s="309"/>
      <c r="AD180" s="309"/>
      <c r="AE180" s="309"/>
      <c r="AF180" s="309"/>
      <c r="AG180" s="309"/>
      <c r="AH180" s="309"/>
      <c r="AI180" s="309"/>
      <c r="AJ180" s="309"/>
      <c r="AK180" s="309"/>
      <c r="AL180" s="309"/>
      <c r="AM180" s="309"/>
      <c r="AN180" s="309"/>
      <c r="AO180" s="309"/>
      <c r="AP180" s="309"/>
      <c r="AQ180" s="309"/>
      <c r="AR180" s="309"/>
      <c r="AS180" s="309"/>
      <c r="AT180" s="309"/>
      <c r="AU180" s="309"/>
      <c r="AV180" s="309"/>
      <c r="AW180" s="309"/>
      <c r="AX180" s="309"/>
      <c r="AY180" s="309"/>
      <c r="AZ180" s="309"/>
      <c r="BA180" s="309"/>
      <c r="BB180" s="309"/>
      <c r="BC180" s="309"/>
      <c r="BD180" s="309"/>
    </row>
    <row r="181" spans="1:56" ht="15" customHeight="1" x14ac:dyDescent="0.25">
      <c r="A181" s="309"/>
      <c r="B181" s="884"/>
      <c r="C181" s="911"/>
      <c r="D181" s="911"/>
      <c r="E181" s="911"/>
      <c r="F181" s="911"/>
      <c r="G181" s="911"/>
      <c r="H181" s="911"/>
      <c r="I181" s="860"/>
      <c r="J181" s="911"/>
      <c r="K181" s="922"/>
      <c r="L181" s="938"/>
      <c r="M181" s="922"/>
      <c r="N181" s="309"/>
      <c r="O181" s="309"/>
      <c r="P181" s="309"/>
      <c r="Q181" s="309"/>
      <c r="R181" s="309"/>
      <c r="S181" s="309"/>
      <c r="T181" s="922"/>
      <c r="U181" s="930"/>
      <c r="V181" s="309"/>
      <c r="W181" s="309"/>
      <c r="X181" s="309"/>
      <c r="Y181" s="309"/>
      <c r="Z181" s="309"/>
      <c r="AA181" s="309"/>
      <c r="AB181" s="309"/>
      <c r="AC181" s="309"/>
      <c r="AD181" s="309"/>
      <c r="AE181" s="309"/>
      <c r="AF181" s="309"/>
      <c r="AG181" s="309"/>
      <c r="AH181" s="309"/>
      <c r="AI181" s="309"/>
      <c r="AJ181" s="309"/>
      <c r="AK181" s="309"/>
      <c r="AL181" s="309"/>
      <c r="AM181" s="309"/>
      <c r="AN181" s="309"/>
      <c r="AO181" s="309"/>
      <c r="AP181" s="309"/>
      <c r="AQ181" s="309"/>
      <c r="AR181" s="309"/>
      <c r="AS181" s="309"/>
      <c r="AT181" s="309"/>
      <c r="AU181" s="309"/>
      <c r="AV181" s="309"/>
      <c r="AW181" s="309"/>
      <c r="AX181" s="309"/>
      <c r="AY181" s="309"/>
      <c r="AZ181" s="309"/>
      <c r="BA181" s="309"/>
      <c r="BB181" s="309"/>
      <c r="BC181" s="309"/>
      <c r="BD181" s="309"/>
    </row>
    <row r="182" spans="1:56" ht="15" customHeight="1" x14ac:dyDescent="0.25">
      <c r="A182" s="309"/>
      <c r="B182" s="884"/>
      <c r="C182" s="911"/>
      <c r="D182" s="911"/>
      <c r="E182" s="911"/>
      <c r="F182" s="911"/>
      <c r="G182" s="911"/>
      <c r="H182" s="911"/>
      <c r="I182" s="911"/>
      <c r="J182" s="911"/>
      <c r="K182" s="922"/>
      <c r="L182" s="938"/>
      <c r="M182" s="922"/>
      <c r="N182" s="902"/>
      <c r="O182" s="922"/>
      <c r="P182" s="902"/>
      <c r="Q182" s="309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  <c r="AB182" s="309"/>
      <c r="AC182" s="309"/>
      <c r="AD182" s="309"/>
      <c r="AE182" s="309"/>
      <c r="AF182" s="309"/>
      <c r="AG182" s="309"/>
      <c r="AH182" s="309"/>
      <c r="AI182" s="309"/>
      <c r="AJ182" s="309"/>
      <c r="AK182" s="309"/>
      <c r="AL182" s="309"/>
      <c r="AM182" s="309"/>
      <c r="AN182" s="309"/>
      <c r="AO182" s="309"/>
      <c r="AP182" s="309"/>
      <c r="AQ182" s="309"/>
      <c r="AR182" s="309"/>
      <c r="AS182" s="309"/>
      <c r="AT182" s="309"/>
      <c r="AU182" s="309"/>
      <c r="AV182" s="309"/>
      <c r="AW182" s="309"/>
      <c r="AX182" s="309"/>
      <c r="AY182" s="309"/>
      <c r="AZ182" s="309"/>
      <c r="BA182" s="309"/>
      <c r="BB182" s="309"/>
      <c r="BC182" s="309"/>
      <c r="BD182" s="309"/>
    </row>
    <row r="183" spans="1:56" ht="15" customHeight="1" x14ac:dyDescent="0.25">
      <c r="A183" s="309"/>
      <c r="B183" s="884"/>
      <c r="C183" s="911"/>
      <c r="D183" s="911"/>
      <c r="E183" s="860"/>
      <c r="F183" s="911"/>
      <c r="G183" s="911"/>
      <c r="H183" s="911"/>
      <c r="I183" s="911"/>
      <c r="J183" s="911"/>
      <c r="K183" s="922"/>
      <c r="L183" s="938"/>
      <c r="M183" s="922"/>
      <c r="N183" s="902"/>
      <c r="O183" s="922"/>
      <c r="P183" s="902"/>
      <c r="Q183" s="309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  <c r="AB183" s="309"/>
      <c r="AC183" s="309"/>
      <c r="AD183" s="309"/>
      <c r="AE183" s="309"/>
      <c r="AF183" s="309"/>
      <c r="AG183" s="309"/>
      <c r="AH183" s="309"/>
      <c r="AI183" s="309"/>
      <c r="AJ183" s="309"/>
      <c r="AK183" s="309"/>
      <c r="AL183" s="309"/>
      <c r="AM183" s="309"/>
      <c r="AN183" s="309"/>
      <c r="AO183" s="309"/>
      <c r="AP183" s="309"/>
      <c r="AQ183" s="309"/>
      <c r="AR183" s="309"/>
      <c r="AS183" s="309"/>
      <c r="AT183" s="309"/>
      <c r="AU183" s="309"/>
      <c r="AV183" s="309"/>
      <c r="AW183" s="309"/>
      <c r="AX183" s="309"/>
      <c r="AY183" s="309"/>
      <c r="AZ183" s="309"/>
      <c r="BA183" s="309"/>
      <c r="BB183" s="309"/>
      <c r="BC183" s="309"/>
      <c r="BD183" s="309"/>
    </row>
    <row r="184" spans="1:56" ht="15" customHeight="1" x14ac:dyDescent="0.25">
      <c r="A184" s="309"/>
      <c r="B184" s="884"/>
      <c r="C184" s="911"/>
      <c r="D184" s="911"/>
      <c r="E184" s="911"/>
      <c r="F184" s="911"/>
      <c r="G184" s="911"/>
      <c r="H184" s="911"/>
      <c r="I184" s="911"/>
      <c r="J184" s="911"/>
      <c r="K184" s="922"/>
      <c r="L184" s="938"/>
      <c r="M184" s="922"/>
      <c r="N184" s="902"/>
      <c r="O184" s="922"/>
      <c r="P184" s="902"/>
      <c r="Q184" s="309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  <c r="AD184" s="309"/>
      <c r="AE184" s="309"/>
      <c r="AF184" s="309"/>
      <c r="AG184" s="309"/>
      <c r="AH184" s="309"/>
      <c r="AI184" s="309"/>
      <c r="AJ184" s="309"/>
      <c r="AK184" s="309"/>
      <c r="AL184" s="309"/>
      <c r="AM184" s="309"/>
      <c r="AN184" s="309"/>
      <c r="AO184" s="309"/>
      <c r="AP184" s="309"/>
      <c r="AQ184" s="309"/>
      <c r="AR184" s="309"/>
      <c r="AS184" s="309"/>
      <c r="AT184" s="309"/>
      <c r="AU184" s="309"/>
      <c r="AV184" s="309"/>
      <c r="AW184" s="309"/>
      <c r="AX184" s="309"/>
      <c r="AY184" s="309"/>
      <c r="AZ184" s="309"/>
      <c r="BA184" s="309"/>
      <c r="BB184" s="309"/>
      <c r="BC184" s="309"/>
      <c r="BD184" s="309"/>
    </row>
    <row r="185" spans="1:56" ht="15" customHeight="1" x14ac:dyDescent="0.25">
      <c r="A185" s="309"/>
      <c r="B185" s="712"/>
      <c r="C185" s="911"/>
      <c r="D185" s="911"/>
      <c r="E185" s="911"/>
      <c r="F185" s="911"/>
      <c r="G185" s="911"/>
      <c r="H185" s="860"/>
      <c r="I185" s="911"/>
      <c r="J185" s="911"/>
      <c r="K185" s="922"/>
      <c r="L185" s="938"/>
      <c r="M185" s="922"/>
      <c r="N185" s="902"/>
      <c r="O185" s="922"/>
      <c r="P185" s="902"/>
      <c r="Q185" s="309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  <c r="AB185" s="309"/>
      <c r="AC185" s="309"/>
      <c r="AD185" s="309"/>
      <c r="AE185" s="309"/>
      <c r="AF185" s="309"/>
      <c r="AG185" s="309"/>
      <c r="AH185" s="309"/>
      <c r="AI185" s="309"/>
      <c r="AJ185" s="309"/>
      <c r="AK185" s="309"/>
      <c r="AL185" s="309"/>
      <c r="AM185" s="309"/>
      <c r="AN185" s="309"/>
      <c r="AO185" s="309"/>
      <c r="AP185" s="309"/>
      <c r="AQ185" s="309"/>
      <c r="AR185" s="309"/>
      <c r="AS185" s="309"/>
      <c r="AT185" s="309"/>
      <c r="AU185" s="309"/>
      <c r="AV185" s="309"/>
      <c r="AW185" s="309"/>
      <c r="AX185" s="309"/>
      <c r="AY185" s="309"/>
      <c r="AZ185" s="309"/>
      <c r="BA185" s="309"/>
      <c r="BB185" s="309"/>
      <c r="BC185" s="309"/>
      <c r="BD185" s="309"/>
    </row>
    <row r="186" spans="1:56" ht="15" customHeight="1" x14ac:dyDescent="0.25">
      <c r="A186" s="309"/>
      <c r="B186" s="884"/>
      <c r="C186" s="911"/>
      <c r="D186" s="911"/>
      <c r="E186" s="911"/>
      <c r="F186" s="911"/>
      <c r="G186" s="911"/>
      <c r="H186" s="911"/>
      <c r="I186" s="911"/>
      <c r="J186" s="911"/>
      <c r="K186" s="922"/>
      <c r="L186" s="938"/>
      <c r="M186" s="922"/>
      <c r="N186" s="902"/>
      <c r="O186" s="922"/>
      <c r="P186" s="902"/>
      <c r="Q186" s="309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  <c r="AD186" s="309"/>
      <c r="AE186" s="309"/>
      <c r="AF186" s="309"/>
      <c r="AG186" s="309"/>
      <c r="AH186" s="309"/>
      <c r="AI186" s="309"/>
      <c r="AJ186" s="309"/>
      <c r="AK186" s="309"/>
      <c r="AL186" s="309"/>
      <c r="AM186" s="309"/>
      <c r="AN186" s="309"/>
      <c r="AO186" s="309"/>
      <c r="AP186" s="309"/>
      <c r="AQ186" s="309"/>
      <c r="AR186" s="309"/>
      <c r="AS186" s="309"/>
      <c r="AT186" s="309"/>
      <c r="AU186" s="309"/>
      <c r="AV186" s="309"/>
      <c r="AW186" s="309"/>
      <c r="AX186" s="309"/>
      <c r="AY186" s="309"/>
      <c r="AZ186" s="309"/>
      <c r="BA186" s="309"/>
      <c r="BB186" s="309"/>
      <c r="BC186" s="309"/>
      <c r="BD186" s="309"/>
    </row>
    <row r="187" spans="1:56" ht="15" customHeight="1" x14ac:dyDescent="0.25">
      <c r="A187" s="309"/>
      <c r="B187" s="884"/>
      <c r="C187" s="911"/>
      <c r="D187" s="911"/>
      <c r="E187" s="911"/>
      <c r="F187" s="911"/>
      <c r="G187" s="911"/>
      <c r="H187" s="911"/>
      <c r="I187" s="911"/>
      <c r="J187" s="911"/>
      <c r="K187" s="922"/>
      <c r="L187" s="938"/>
      <c r="M187" s="922"/>
      <c r="N187" s="902"/>
      <c r="O187" s="922"/>
      <c r="P187" s="902"/>
      <c r="Q187" s="309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  <c r="AB187" s="309"/>
      <c r="AC187" s="309"/>
      <c r="AD187" s="309"/>
      <c r="AE187" s="309"/>
      <c r="AF187" s="309"/>
      <c r="AG187" s="309"/>
      <c r="AH187" s="309"/>
      <c r="AI187" s="309"/>
      <c r="AJ187" s="309"/>
      <c r="AK187" s="309"/>
      <c r="AL187" s="309"/>
      <c r="AM187" s="309"/>
      <c r="AN187" s="309"/>
      <c r="AO187" s="309"/>
      <c r="AP187" s="309"/>
      <c r="AQ187" s="309"/>
      <c r="AR187" s="309"/>
      <c r="AS187" s="309"/>
      <c r="AT187" s="309"/>
      <c r="AU187" s="309"/>
      <c r="AV187" s="309"/>
      <c r="AW187" s="309"/>
      <c r="AX187" s="309"/>
      <c r="AY187" s="309"/>
      <c r="AZ187" s="309"/>
      <c r="BA187" s="309"/>
      <c r="BB187" s="309"/>
      <c r="BC187" s="309"/>
      <c r="BD187" s="309"/>
    </row>
    <row r="188" spans="1:56" ht="15" customHeight="1" x14ac:dyDescent="0.25">
      <c r="A188" s="309"/>
      <c r="B188" s="884"/>
      <c r="C188" s="911"/>
      <c r="D188" s="911"/>
      <c r="E188" s="911"/>
      <c r="F188" s="911"/>
      <c r="G188" s="860"/>
      <c r="H188" s="911"/>
      <c r="I188" s="911"/>
      <c r="J188" s="911"/>
      <c r="K188" s="922"/>
      <c r="L188" s="938"/>
      <c r="M188" s="922"/>
      <c r="N188" s="902"/>
      <c r="O188" s="922"/>
      <c r="P188" s="902"/>
      <c r="Q188" s="309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  <c r="AB188" s="309"/>
      <c r="AC188" s="309"/>
      <c r="AD188" s="309"/>
      <c r="AE188" s="309"/>
      <c r="AF188" s="309"/>
      <c r="AG188" s="309"/>
      <c r="AH188" s="309"/>
      <c r="AI188" s="309"/>
      <c r="AJ188" s="309"/>
      <c r="AK188" s="309"/>
      <c r="AL188" s="309"/>
      <c r="AM188" s="309"/>
      <c r="AN188" s="309"/>
      <c r="AO188" s="309"/>
      <c r="AP188" s="309"/>
      <c r="AQ188" s="309"/>
      <c r="AR188" s="309"/>
      <c r="AS188" s="309"/>
      <c r="AT188" s="309"/>
      <c r="AU188" s="309"/>
      <c r="AV188" s="309"/>
      <c r="AW188" s="309"/>
      <c r="AX188" s="309"/>
      <c r="AY188" s="309"/>
      <c r="AZ188" s="309"/>
      <c r="BA188" s="309"/>
      <c r="BB188" s="309"/>
      <c r="BC188" s="309"/>
      <c r="BD188" s="309"/>
    </row>
    <row r="189" spans="1:56" ht="15" customHeight="1" x14ac:dyDescent="0.25">
      <c r="A189" s="309"/>
      <c r="B189" s="884"/>
      <c r="C189" s="911"/>
      <c r="D189" s="911"/>
      <c r="E189" s="911"/>
      <c r="F189" s="860"/>
      <c r="G189" s="911"/>
      <c r="H189" s="911"/>
      <c r="I189" s="911"/>
      <c r="J189" s="911"/>
      <c r="K189" s="922"/>
      <c r="L189" s="938"/>
      <c r="M189" s="922"/>
      <c r="N189" s="902"/>
      <c r="O189" s="922"/>
      <c r="P189" s="902"/>
      <c r="Q189" s="309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  <c r="AB189" s="309"/>
      <c r="AC189" s="309"/>
      <c r="AD189" s="309"/>
      <c r="AE189" s="309"/>
      <c r="AF189" s="309"/>
      <c r="AG189" s="309"/>
      <c r="AH189" s="309"/>
      <c r="AI189" s="309"/>
      <c r="AJ189" s="309"/>
      <c r="AK189" s="309"/>
      <c r="AL189" s="309"/>
      <c r="AM189" s="309"/>
      <c r="AN189" s="309"/>
      <c r="AO189" s="309"/>
      <c r="AP189" s="309"/>
      <c r="AQ189" s="309"/>
      <c r="AR189" s="309"/>
      <c r="AS189" s="309"/>
      <c r="AT189" s="309"/>
      <c r="AU189" s="309"/>
      <c r="AV189" s="309"/>
      <c r="AW189" s="309"/>
      <c r="AX189" s="309"/>
      <c r="AY189" s="309"/>
      <c r="AZ189" s="309"/>
      <c r="BA189" s="309"/>
      <c r="BB189" s="309"/>
      <c r="BC189" s="309"/>
      <c r="BD189" s="309"/>
    </row>
    <row r="190" spans="1:56" ht="15" customHeight="1" x14ac:dyDescent="0.25">
      <c r="A190" s="309"/>
      <c r="B190" s="884"/>
      <c r="C190" s="911"/>
      <c r="D190" s="911"/>
      <c r="E190" s="860"/>
      <c r="F190" s="911"/>
      <c r="G190" s="911"/>
      <c r="H190" s="911"/>
      <c r="I190" s="911"/>
      <c r="J190" s="911"/>
      <c r="K190" s="922"/>
      <c r="L190" s="938"/>
      <c r="M190" s="922"/>
      <c r="N190" s="902"/>
      <c r="O190" s="922"/>
      <c r="P190" s="902"/>
      <c r="Q190" s="309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  <c r="AB190" s="309"/>
      <c r="AC190" s="309"/>
      <c r="AD190" s="309"/>
      <c r="AE190" s="309"/>
      <c r="AF190" s="309"/>
      <c r="AG190" s="309"/>
      <c r="AH190" s="309"/>
      <c r="AI190" s="309"/>
      <c r="AJ190" s="309"/>
      <c r="AK190" s="309"/>
      <c r="AL190" s="309"/>
      <c r="AM190" s="309"/>
      <c r="AN190" s="309"/>
      <c r="AO190" s="309"/>
      <c r="AP190" s="309"/>
      <c r="AQ190" s="309"/>
      <c r="AR190" s="309"/>
      <c r="AS190" s="309"/>
      <c r="AT190" s="309"/>
      <c r="AU190" s="309"/>
      <c r="AV190" s="309"/>
      <c r="AW190" s="309"/>
      <c r="AX190" s="309"/>
      <c r="AY190" s="309"/>
      <c r="AZ190" s="309"/>
      <c r="BA190" s="309"/>
      <c r="BB190" s="309"/>
      <c r="BC190" s="309"/>
      <c r="BD190" s="309"/>
    </row>
    <row r="191" spans="1:56" ht="15" customHeight="1" x14ac:dyDescent="0.25">
      <c r="A191" s="309"/>
      <c r="B191" s="712"/>
      <c r="C191" s="911"/>
      <c r="D191" s="911"/>
      <c r="E191" s="860"/>
      <c r="F191" s="911"/>
      <c r="G191" s="911"/>
      <c r="H191" s="911"/>
      <c r="I191" s="911"/>
      <c r="J191" s="911"/>
      <c r="K191" s="922"/>
      <c r="L191" s="938"/>
      <c r="M191" s="922"/>
      <c r="N191" s="902"/>
      <c r="O191" s="922"/>
      <c r="P191" s="902"/>
      <c r="Q191" s="309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  <c r="AB191" s="309"/>
      <c r="AC191" s="309"/>
      <c r="AD191" s="309"/>
      <c r="AE191" s="309"/>
      <c r="AF191" s="309"/>
      <c r="AG191" s="309"/>
      <c r="AH191" s="309"/>
      <c r="AI191" s="309"/>
      <c r="AJ191" s="309"/>
      <c r="AK191" s="309"/>
      <c r="AL191" s="309"/>
      <c r="AM191" s="309"/>
      <c r="AN191" s="309"/>
      <c r="AO191" s="309"/>
      <c r="AP191" s="309"/>
      <c r="AQ191" s="309"/>
      <c r="AR191" s="309"/>
      <c r="AS191" s="309"/>
      <c r="AT191" s="309"/>
      <c r="AU191" s="309"/>
      <c r="AV191" s="309"/>
      <c r="AW191" s="309"/>
      <c r="AX191" s="309"/>
      <c r="AY191" s="309"/>
      <c r="AZ191" s="309"/>
      <c r="BA191" s="309"/>
      <c r="BB191" s="309"/>
      <c r="BC191" s="309"/>
      <c r="BD191" s="309"/>
    </row>
    <row r="192" spans="1:56" ht="15" customHeight="1" x14ac:dyDescent="0.25">
      <c r="A192" s="309"/>
      <c r="B192" s="884"/>
      <c r="C192" s="911"/>
      <c r="D192" s="860"/>
      <c r="E192" s="911"/>
      <c r="F192" s="911"/>
      <c r="G192" s="911"/>
      <c r="H192" s="911"/>
      <c r="I192" s="911"/>
      <c r="J192" s="911"/>
      <c r="K192" s="922"/>
      <c r="L192" s="938"/>
      <c r="M192" s="922"/>
      <c r="N192" s="902"/>
      <c r="O192" s="922"/>
      <c r="P192" s="902"/>
      <c r="Q192" s="309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  <c r="AB192" s="309"/>
      <c r="AC192" s="309"/>
      <c r="AD192" s="309"/>
      <c r="AE192" s="309"/>
      <c r="AF192" s="309"/>
      <c r="AG192" s="309"/>
      <c r="AH192" s="309"/>
      <c r="AI192" s="309"/>
      <c r="AJ192" s="309"/>
      <c r="AK192" s="309"/>
      <c r="AL192" s="309"/>
      <c r="AM192" s="309"/>
      <c r="AN192" s="309"/>
      <c r="AO192" s="309"/>
      <c r="AP192" s="309"/>
      <c r="AQ192" s="309"/>
      <c r="AR192" s="309"/>
      <c r="AS192" s="309"/>
      <c r="AT192" s="309"/>
      <c r="AU192" s="309"/>
      <c r="AV192" s="309"/>
      <c r="AW192" s="309"/>
      <c r="AX192" s="309"/>
      <c r="AY192" s="309"/>
      <c r="AZ192" s="309"/>
      <c r="BA192" s="309"/>
      <c r="BB192" s="309"/>
      <c r="BC192" s="309"/>
      <c r="BD192" s="309"/>
    </row>
    <row r="193" spans="1:56" ht="15" customHeight="1" x14ac:dyDescent="0.25">
      <c r="A193" s="309"/>
      <c r="B193" s="884"/>
      <c r="C193" s="911"/>
      <c r="D193" s="860"/>
      <c r="E193" s="860"/>
      <c r="F193" s="911"/>
      <c r="G193" s="911"/>
      <c r="H193" s="911"/>
      <c r="I193" s="911"/>
      <c r="J193" s="911"/>
      <c r="K193" s="922"/>
      <c r="L193" s="938"/>
      <c r="M193" s="922"/>
      <c r="N193" s="902"/>
      <c r="O193" s="922"/>
      <c r="P193" s="902"/>
      <c r="Q193" s="309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  <c r="AB193" s="309"/>
      <c r="AC193" s="309"/>
      <c r="AD193" s="309"/>
      <c r="AE193" s="309"/>
      <c r="AF193" s="309"/>
      <c r="AG193" s="309"/>
      <c r="AH193" s="309"/>
      <c r="AI193" s="309"/>
      <c r="AJ193" s="309"/>
      <c r="AK193" s="309"/>
      <c r="AL193" s="309"/>
      <c r="AM193" s="309"/>
      <c r="AN193" s="309"/>
      <c r="AO193" s="309"/>
      <c r="AP193" s="309"/>
      <c r="AQ193" s="309"/>
      <c r="AR193" s="309"/>
      <c r="AS193" s="309"/>
      <c r="AT193" s="309"/>
      <c r="AU193" s="309"/>
      <c r="AV193" s="309"/>
      <c r="AW193" s="309"/>
      <c r="AX193" s="309"/>
      <c r="AY193" s="309"/>
      <c r="AZ193" s="309"/>
      <c r="BA193" s="309"/>
      <c r="BB193" s="309"/>
      <c r="BC193" s="309"/>
      <c r="BD193" s="309"/>
    </row>
    <row r="194" spans="1:56" ht="15" customHeight="1" x14ac:dyDescent="0.25">
      <c r="A194" s="309"/>
      <c r="B194" s="884"/>
      <c r="C194" s="860"/>
      <c r="D194" s="911"/>
      <c r="E194" s="860"/>
      <c r="F194" s="911"/>
      <c r="G194" s="911"/>
      <c r="H194" s="911"/>
      <c r="I194" s="911"/>
      <c r="J194" s="911"/>
      <c r="K194" s="922"/>
      <c r="L194" s="938"/>
      <c r="M194" s="922"/>
      <c r="N194" s="902"/>
      <c r="O194" s="922"/>
      <c r="P194" s="902"/>
      <c r="Q194" s="309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  <c r="AD194" s="309"/>
      <c r="AE194" s="309"/>
      <c r="AF194" s="309"/>
      <c r="AG194" s="309"/>
      <c r="AH194" s="309"/>
      <c r="AI194" s="309"/>
      <c r="AJ194" s="309"/>
      <c r="AK194" s="309"/>
      <c r="AL194" s="309"/>
      <c r="AM194" s="309"/>
      <c r="AN194" s="309"/>
      <c r="AO194" s="309"/>
      <c r="AP194" s="309"/>
      <c r="AQ194" s="309"/>
      <c r="AR194" s="309"/>
      <c r="AS194" s="309"/>
      <c r="AT194" s="309"/>
      <c r="AU194" s="309"/>
      <c r="AV194" s="309"/>
      <c r="AW194" s="309"/>
      <c r="AX194" s="309"/>
      <c r="AY194" s="309"/>
      <c r="AZ194" s="309"/>
      <c r="BA194" s="309"/>
      <c r="BB194" s="309"/>
      <c r="BC194" s="309"/>
      <c r="BD194" s="309"/>
    </row>
    <row r="195" spans="1:56" ht="15" customHeight="1" x14ac:dyDescent="0.25">
      <c r="A195" s="309"/>
      <c r="B195" s="884"/>
      <c r="C195" s="911"/>
      <c r="D195" s="911"/>
      <c r="E195" s="911"/>
      <c r="F195" s="911"/>
      <c r="G195" s="911"/>
      <c r="H195" s="911"/>
      <c r="I195" s="911"/>
      <c r="J195" s="911"/>
      <c r="K195" s="922"/>
      <c r="L195" s="938"/>
      <c r="M195" s="922"/>
      <c r="N195" s="902"/>
      <c r="O195" s="922"/>
      <c r="P195" s="902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09"/>
      <c r="AI195" s="309"/>
      <c r="AJ195" s="309"/>
      <c r="AK195" s="309"/>
      <c r="AL195" s="309"/>
      <c r="AM195" s="309"/>
      <c r="AN195" s="309"/>
      <c r="AO195" s="309"/>
      <c r="AP195" s="309"/>
      <c r="AQ195" s="309"/>
      <c r="AR195" s="309"/>
      <c r="AS195" s="309"/>
      <c r="AT195" s="309"/>
      <c r="AU195" s="309"/>
      <c r="AV195" s="309"/>
      <c r="AW195" s="309"/>
      <c r="AX195" s="309"/>
      <c r="AY195" s="309"/>
      <c r="AZ195" s="309"/>
      <c r="BA195" s="309"/>
      <c r="BB195" s="309"/>
      <c r="BC195" s="309"/>
      <c r="BD195" s="309"/>
    </row>
    <row r="196" spans="1:56" ht="15" customHeight="1" x14ac:dyDescent="0.25">
      <c r="A196" s="309"/>
      <c r="B196" s="884"/>
      <c r="C196" s="911"/>
      <c r="D196" s="911"/>
      <c r="E196" s="911"/>
      <c r="F196" s="911"/>
      <c r="G196" s="911"/>
      <c r="H196" s="911"/>
      <c r="I196" s="911"/>
      <c r="J196" s="911"/>
      <c r="K196" s="922"/>
      <c r="L196" s="938"/>
      <c r="M196" s="922"/>
      <c r="N196" s="902"/>
      <c r="O196" s="922"/>
      <c r="P196" s="902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09"/>
      <c r="AI196" s="309"/>
      <c r="AJ196" s="309"/>
      <c r="AK196" s="309"/>
      <c r="AL196" s="309"/>
      <c r="AM196" s="309"/>
      <c r="AN196" s="309"/>
      <c r="AO196" s="309"/>
      <c r="AP196" s="309"/>
      <c r="AQ196" s="309"/>
      <c r="AR196" s="309"/>
      <c r="AS196" s="309"/>
      <c r="AT196" s="309"/>
      <c r="AU196" s="309"/>
      <c r="AV196" s="309"/>
      <c r="AW196" s="309"/>
      <c r="AX196" s="309"/>
      <c r="AY196" s="309"/>
      <c r="AZ196" s="309"/>
      <c r="BA196" s="309"/>
      <c r="BB196" s="309"/>
      <c r="BC196" s="309"/>
      <c r="BD196" s="309"/>
    </row>
    <row r="197" spans="1:56" ht="15" customHeight="1" x14ac:dyDescent="0.25">
      <c r="A197" s="309"/>
      <c r="B197" s="884"/>
      <c r="C197" s="911"/>
      <c r="D197" s="911"/>
      <c r="E197" s="911"/>
      <c r="F197" s="911"/>
      <c r="G197" s="911"/>
      <c r="H197" s="911"/>
      <c r="I197" s="911"/>
      <c r="J197" s="911"/>
      <c r="K197" s="922"/>
      <c r="L197" s="938"/>
      <c r="M197" s="922"/>
      <c r="N197" s="902"/>
      <c r="O197" s="922"/>
      <c r="P197" s="902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09"/>
      <c r="AI197" s="309"/>
      <c r="AJ197" s="309"/>
      <c r="AK197" s="309"/>
      <c r="AL197" s="309"/>
      <c r="AM197" s="309"/>
      <c r="AN197" s="309"/>
      <c r="AO197" s="309"/>
      <c r="AP197" s="309"/>
      <c r="AQ197" s="309"/>
      <c r="AR197" s="309"/>
      <c r="AS197" s="309"/>
      <c r="AT197" s="309"/>
      <c r="AU197" s="309"/>
      <c r="AV197" s="309"/>
      <c r="AW197" s="309"/>
      <c r="AX197" s="309"/>
      <c r="AY197" s="309"/>
      <c r="AZ197" s="309"/>
      <c r="BA197" s="309"/>
      <c r="BB197" s="309"/>
      <c r="BC197" s="309"/>
      <c r="BD197" s="309"/>
    </row>
    <row r="198" spans="1:56" ht="15" customHeight="1" x14ac:dyDescent="0.25">
      <c r="A198" s="309"/>
      <c r="B198" s="884"/>
      <c r="C198" s="911"/>
      <c r="D198" s="911"/>
      <c r="E198" s="911"/>
      <c r="F198" s="911"/>
      <c r="G198" s="911"/>
      <c r="H198" s="911"/>
      <c r="I198" s="911"/>
      <c r="J198" s="911"/>
      <c r="K198" s="922"/>
      <c r="L198" s="938"/>
      <c r="M198" s="922"/>
      <c r="N198" s="902"/>
      <c r="O198" s="922"/>
      <c r="P198" s="902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09"/>
      <c r="AI198" s="309"/>
      <c r="AJ198" s="309"/>
      <c r="AK198" s="309"/>
      <c r="AL198" s="309"/>
      <c r="AM198" s="309"/>
      <c r="AN198" s="309"/>
      <c r="AO198" s="309"/>
      <c r="AP198" s="309"/>
      <c r="AQ198" s="309"/>
      <c r="AR198" s="309"/>
      <c r="AS198" s="309"/>
      <c r="AT198" s="309"/>
      <c r="AU198" s="309"/>
      <c r="AV198" s="309"/>
      <c r="AW198" s="309"/>
      <c r="AX198" s="309"/>
      <c r="AY198" s="309"/>
      <c r="AZ198" s="309"/>
      <c r="BA198" s="309"/>
      <c r="BB198" s="309"/>
      <c r="BC198" s="309"/>
      <c r="BD198" s="309"/>
    </row>
    <row r="199" spans="1:56" ht="15" customHeight="1" x14ac:dyDescent="0.25">
      <c r="A199" s="309"/>
      <c r="B199" s="884"/>
      <c r="C199" s="860"/>
      <c r="D199" s="911"/>
      <c r="E199" s="911"/>
      <c r="F199" s="911"/>
      <c r="G199" s="911"/>
      <c r="H199" s="911"/>
      <c r="I199" s="911"/>
      <c r="J199" s="911"/>
      <c r="K199" s="922"/>
      <c r="L199" s="938"/>
      <c r="M199" s="922"/>
      <c r="N199" s="902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09"/>
      <c r="AI199" s="309"/>
      <c r="AJ199" s="309"/>
      <c r="AK199" s="309"/>
      <c r="AL199" s="309"/>
      <c r="AM199" s="309"/>
      <c r="AN199" s="309"/>
      <c r="AO199" s="309"/>
      <c r="AP199" s="309"/>
      <c r="AQ199" s="309"/>
      <c r="AR199" s="309"/>
      <c r="AS199" s="309"/>
      <c r="AT199" s="309"/>
      <c r="AU199" s="309"/>
      <c r="AV199" s="309"/>
      <c r="AW199" s="309"/>
      <c r="AX199" s="309"/>
      <c r="AY199" s="309"/>
      <c r="AZ199" s="309"/>
      <c r="BA199" s="309"/>
      <c r="BB199" s="309"/>
      <c r="BC199" s="309"/>
      <c r="BD199" s="309"/>
    </row>
    <row r="200" spans="1:56" ht="15" customHeight="1" x14ac:dyDescent="0.25">
      <c r="A200" s="309"/>
      <c r="B200" s="884"/>
      <c r="C200" s="911"/>
      <c r="D200" s="911"/>
      <c r="E200" s="911"/>
      <c r="F200" s="911"/>
      <c r="G200" s="911"/>
      <c r="H200" s="911"/>
      <c r="I200" s="911"/>
      <c r="J200" s="911"/>
      <c r="K200" s="922"/>
      <c r="L200" s="938"/>
      <c r="M200" s="922"/>
      <c r="N200" s="902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09"/>
      <c r="AI200" s="309"/>
      <c r="AJ200" s="309"/>
      <c r="AK200" s="309"/>
      <c r="AL200" s="309"/>
      <c r="AM200" s="309"/>
      <c r="AN200" s="309"/>
      <c r="AO200" s="309"/>
      <c r="AP200" s="309"/>
      <c r="AQ200" s="309"/>
      <c r="AR200" s="309"/>
      <c r="AS200" s="309"/>
      <c r="AT200" s="309"/>
      <c r="AU200" s="309"/>
      <c r="AV200" s="309"/>
      <c r="AW200" s="309"/>
      <c r="AX200" s="309"/>
      <c r="AY200" s="309"/>
      <c r="AZ200" s="309"/>
      <c r="BA200" s="309"/>
      <c r="BB200" s="309"/>
      <c r="BC200" s="309"/>
      <c r="BD200" s="309"/>
    </row>
    <row r="201" spans="1:56" ht="15" customHeight="1" x14ac:dyDescent="0.25">
      <c r="A201" s="309"/>
      <c r="B201" s="884"/>
      <c r="C201" s="911"/>
      <c r="D201" s="911"/>
      <c r="E201" s="911"/>
      <c r="F201" s="911"/>
      <c r="G201" s="911"/>
      <c r="H201" s="911"/>
      <c r="I201" s="911"/>
      <c r="J201" s="911"/>
      <c r="K201" s="922"/>
      <c r="L201" s="938"/>
      <c r="M201" s="922"/>
      <c r="N201" s="902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09"/>
      <c r="AI201" s="309"/>
      <c r="AJ201" s="309"/>
      <c r="AK201" s="309"/>
      <c r="AL201" s="309"/>
      <c r="AM201" s="309"/>
      <c r="AN201" s="309"/>
      <c r="AO201" s="309"/>
      <c r="AP201" s="309"/>
      <c r="AQ201" s="309"/>
      <c r="AR201" s="309"/>
      <c r="AS201" s="309"/>
      <c r="AT201" s="309"/>
      <c r="AU201" s="309"/>
      <c r="AV201" s="309"/>
      <c r="AW201" s="309"/>
      <c r="AX201" s="309"/>
      <c r="AY201" s="309"/>
      <c r="AZ201" s="309"/>
      <c r="BA201" s="309"/>
      <c r="BB201" s="309"/>
      <c r="BC201" s="309"/>
      <c r="BD201" s="309"/>
    </row>
    <row r="202" spans="1:56" ht="15" customHeight="1" x14ac:dyDescent="0.25">
      <c r="B202" s="723" t="e">
        <f>B201+#REF!</f>
        <v>#REF!</v>
      </c>
      <c r="C202" s="931"/>
      <c r="D202" s="932"/>
      <c r="E202" s="932"/>
      <c r="F202" s="932"/>
      <c r="G202" s="932"/>
      <c r="H202" s="932"/>
      <c r="I202" s="932"/>
      <c r="J202" s="932"/>
      <c r="K202" s="806">
        <f>$X$11</f>
        <v>145</v>
      </c>
      <c r="L202" s="895" t="e">
        <f>IF(B202&lt;$W$14,-1000000,IF(B202=$W$14,0,1000000))</f>
        <v>#REF!</v>
      </c>
      <c r="M202" s="806">
        <f>$T$8</f>
        <v>100</v>
      </c>
      <c r="N202" s="885"/>
      <c r="O202" s="309"/>
      <c r="P202" s="309"/>
      <c r="Q202" s="309"/>
      <c r="R202" s="309"/>
      <c r="S202" s="309"/>
    </row>
    <row r="203" spans="1:56" ht="15" customHeight="1" x14ac:dyDescent="0.25">
      <c r="K203" s="309"/>
      <c r="L203" s="309"/>
      <c r="M203" s="309"/>
      <c r="N203" s="885"/>
      <c r="O203" s="309"/>
      <c r="P203" s="309"/>
      <c r="Q203" s="309"/>
      <c r="R203" s="309"/>
      <c r="S203" s="309"/>
    </row>
    <row r="204" spans="1:56" ht="15" customHeight="1" x14ac:dyDescent="0.25">
      <c r="K204" s="309"/>
      <c r="L204" s="309"/>
      <c r="M204" s="309"/>
      <c r="N204" s="885"/>
      <c r="O204" s="309"/>
      <c r="P204" s="309"/>
      <c r="Q204" s="309"/>
      <c r="R204" s="309"/>
      <c r="S204" s="309"/>
    </row>
    <row r="205" spans="1:56" ht="15" customHeight="1" x14ac:dyDescent="0.25">
      <c r="K205" s="309"/>
      <c r="L205" s="309"/>
      <c r="M205" s="309"/>
      <c r="N205" s="885"/>
      <c r="O205" s="309"/>
      <c r="P205" s="309"/>
      <c r="Q205" s="309"/>
      <c r="R205" s="309"/>
      <c r="S205" s="309"/>
    </row>
    <row r="206" spans="1:56" ht="15" customHeight="1" x14ac:dyDescent="0.25">
      <c r="K206" s="309"/>
      <c r="L206" s="309"/>
      <c r="M206" s="309"/>
      <c r="N206" s="885"/>
      <c r="O206" s="309"/>
      <c r="P206" s="309"/>
      <c r="Q206" s="309"/>
      <c r="R206" s="309"/>
      <c r="S206" s="309"/>
    </row>
    <row r="207" spans="1:56" ht="15" customHeight="1" x14ac:dyDescent="0.25">
      <c r="K207" s="309"/>
      <c r="L207" s="309"/>
      <c r="M207" s="309"/>
      <c r="N207" s="885"/>
      <c r="O207" s="309"/>
      <c r="P207" s="309"/>
      <c r="Q207" s="309"/>
      <c r="R207" s="309"/>
      <c r="S207" s="309"/>
    </row>
    <row r="208" spans="1:56" ht="15" customHeight="1" x14ac:dyDescent="0.25">
      <c r="K208" s="309"/>
      <c r="L208" s="309"/>
      <c r="M208" s="309"/>
      <c r="N208" s="885"/>
      <c r="O208" s="309"/>
      <c r="P208" s="309"/>
      <c r="Q208" s="309"/>
      <c r="R208" s="309"/>
      <c r="S208" s="309"/>
    </row>
    <row r="209" spans="1:19" ht="15" customHeight="1" x14ac:dyDescent="0.25">
      <c r="K209" s="309"/>
      <c r="L209" s="309"/>
      <c r="M209" s="309"/>
      <c r="N209" s="885"/>
      <c r="O209" s="309"/>
      <c r="P209" s="309"/>
      <c r="Q209" s="309"/>
      <c r="R209" s="309"/>
      <c r="S209" s="309"/>
    </row>
    <row r="210" spans="1:19" ht="15" customHeight="1" x14ac:dyDescent="0.25">
      <c r="K210" s="309"/>
      <c r="L210" s="309"/>
      <c r="M210" s="309"/>
      <c r="N210" s="885"/>
      <c r="O210" s="309"/>
      <c r="P210" s="309"/>
      <c r="Q210" s="309"/>
      <c r="R210" s="309"/>
      <c r="S210" s="309"/>
    </row>
    <row r="211" spans="1:19" ht="15" customHeight="1" x14ac:dyDescent="0.25">
      <c r="A211" s="640"/>
      <c r="B211" s="309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885"/>
      <c r="O211" s="309"/>
      <c r="P211" s="309"/>
      <c r="Q211" s="309"/>
      <c r="R211" s="309"/>
      <c r="S211" s="309"/>
    </row>
    <row r="212" spans="1:19" ht="15" customHeight="1" x14ac:dyDescent="0.25">
      <c r="A212" s="640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885"/>
      <c r="O212" s="309"/>
      <c r="P212" s="309"/>
      <c r="Q212" s="309"/>
      <c r="R212" s="309"/>
      <c r="S212" s="309"/>
    </row>
    <row r="213" spans="1:19" ht="15" customHeight="1" x14ac:dyDescent="0.25">
      <c r="A213" s="640"/>
      <c r="B213" s="309"/>
      <c r="C213" s="309"/>
      <c r="D213" s="309"/>
      <c r="E213" s="309"/>
      <c r="F213" s="309"/>
      <c r="G213" s="309"/>
      <c r="H213" s="309"/>
      <c r="I213" s="309"/>
      <c r="J213" s="309"/>
      <c r="K213" s="309"/>
      <c r="L213" s="309"/>
      <c r="M213" s="309"/>
      <c r="N213" s="885"/>
      <c r="O213" s="309"/>
      <c r="P213" s="309"/>
      <c r="Q213" s="309"/>
      <c r="R213" s="309"/>
      <c r="S213" s="309"/>
    </row>
    <row r="214" spans="1:19" ht="15" customHeight="1" x14ac:dyDescent="0.25">
      <c r="A214" s="640"/>
      <c r="B214" s="309"/>
      <c r="C214" s="309"/>
      <c r="D214" s="309"/>
      <c r="E214" s="309"/>
      <c r="F214" s="309"/>
      <c r="G214" s="309"/>
      <c r="H214" s="309"/>
      <c r="I214" s="309"/>
      <c r="J214" s="309"/>
      <c r="K214" s="309"/>
      <c r="L214" s="309"/>
      <c r="M214" s="309"/>
      <c r="N214" s="885"/>
      <c r="O214" s="309"/>
      <c r="P214" s="309"/>
      <c r="Q214" s="309"/>
      <c r="R214" s="309"/>
      <c r="S214" s="309"/>
    </row>
    <row r="215" spans="1:19" ht="15" customHeight="1" x14ac:dyDescent="0.25">
      <c r="A215" s="640"/>
      <c r="B215" s="309"/>
      <c r="C215" s="309"/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885"/>
      <c r="O215" s="309"/>
      <c r="P215" s="309"/>
      <c r="Q215" s="309"/>
      <c r="R215" s="309"/>
      <c r="S215" s="309"/>
    </row>
    <row r="216" spans="1:19" ht="15" customHeight="1" x14ac:dyDescent="0.25">
      <c r="A216" s="640"/>
      <c r="B216" s="309"/>
      <c r="C216" s="309"/>
      <c r="D216" s="309"/>
      <c r="E216" s="309"/>
      <c r="F216" s="652"/>
      <c r="G216" s="309"/>
      <c r="H216" s="309"/>
      <c r="I216" s="309"/>
      <c r="J216" s="309"/>
      <c r="K216" s="309"/>
      <c r="L216" s="309"/>
      <c r="M216" s="309"/>
      <c r="N216" s="885"/>
      <c r="O216" s="309"/>
      <c r="P216" s="309"/>
      <c r="Q216" s="309"/>
      <c r="R216" s="309"/>
      <c r="S216" s="309"/>
    </row>
    <row r="217" spans="1:19" ht="15" customHeight="1" x14ac:dyDescent="0.25">
      <c r="A217" s="640"/>
      <c r="B217" s="309"/>
      <c r="C217" s="309"/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885"/>
      <c r="O217" s="309"/>
      <c r="P217" s="309"/>
      <c r="Q217" s="309"/>
      <c r="R217" s="309"/>
      <c r="S217" s="309"/>
    </row>
    <row r="218" spans="1:19" ht="15" customHeight="1" x14ac:dyDescent="0.25">
      <c r="A218" s="640"/>
      <c r="B218" s="309"/>
      <c r="C218" s="309"/>
      <c r="D218" s="309"/>
      <c r="E218" s="652"/>
      <c r="F218" s="309"/>
      <c r="G218" s="309"/>
      <c r="H218" s="309"/>
      <c r="I218" s="309"/>
      <c r="J218" s="309"/>
      <c r="K218" s="309"/>
      <c r="L218" s="309"/>
      <c r="M218" s="309"/>
      <c r="N218" s="885"/>
      <c r="O218" s="309"/>
      <c r="P218" s="309"/>
      <c r="Q218" s="309"/>
      <c r="R218" s="309"/>
      <c r="S218" s="309"/>
    </row>
    <row r="219" spans="1:19" ht="15" customHeight="1" x14ac:dyDescent="0.25">
      <c r="A219" s="640"/>
      <c r="B219" s="309"/>
      <c r="C219" s="652"/>
      <c r="D219" s="652"/>
      <c r="E219" s="317"/>
      <c r="F219" s="309"/>
      <c r="G219" s="309"/>
      <c r="H219" s="309"/>
      <c r="I219" s="309"/>
      <c r="J219" s="309"/>
      <c r="K219" s="309"/>
      <c r="L219" s="309"/>
      <c r="M219" s="309"/>
      <c r="N219" s="885"/>
      <c r="O219" s="309"/>
      <c r="P219" s="309"/>
      <c r="Q219" s="309"/>
      <c r="R219" s="309"/>
      <c r="S219" s="309"/>
    </row>
    <row r="220" spans="1:19" ht="15" customHeight="1" x14ac:dyDescent="0.25">
      <c r="A220" s="640"/>
      <c r="B220" s="309"/>
      <c r="C220" s="309"/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885"/>
      <c r="O220" s="309"/>
      <c r="P220" s="309"/>
      <c r="Q220" s="309"/>
      <c r="R220" s="309"/>
      <c r="S220" s="309"/>
    </row>
    <row r="221" spans="1:19" ht="15" customHeight="1" x14ac:dyDescent="0.25">
      <c r="A221" s="640"/>
      <c r="B221" s="652"/>
      <c r="C221" s="309"/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885"/>
      <c r="O221" s="309"/>
      <c r="P221" s="309"/>
      <c r="Q221" s="309"/>
      <c r="R221" s="309"/>
      <c r="S221" s="309"/>
    </row>
    <row r="222" spans="1:19" ht="15" customHeight="1" x14ac:dyDescent="0.25">
      <c r="A222" s="640"/>
      <c r="B222" s="309"/>
      <c r="C222" s="309"/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885"/>
      <c r="O222" s="309"/>
      <c r="P222" s="309"/>
      <c r="Q222" s="309"/>
      <c r="R222" s="309"/>
      <c r="S222" s="309"/>
    </row>
    <row r="223" spans="1:19" ht="15" customHeight="1" x14ac:dyDescent="0.25">
      <c r="A223" s="640"/>
      <c r="B223" s="309"/>
      <c r="C223" s="309"/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885"/>
      <c r="O223" s="309"/>
      <c r="P223" s="309"/>
      <c r="Q223" s="309"/>
      <c r="R223" s="309"/>
      <c r="S223" s="309"/>
    </row>
    <row r="224" spans="1:19" ht="15" customHeight="1" x14ac:dyDescent="0.25">
      <c r="A224" s="640"/>
      <c r="B224" s="309"/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885"/>
      <c r="O224" s="309"/>
      <c r="P224" s="309"/>
      <c r="Q224" s="309"/>
      <c r="R224" s="309"/>
      <c r="S224" s="309"/>
    </row>
    <row r="225" spans="1:19" ht="15" customHeight="1" x14ac:dyDescent="0.25">
      <c r="A225" s="640"/>
      <c r="B225" s="309"/>
      <c r="C225" s="309"/>
      <c r="D225" s="309"/>
      <c r="E225" s="309"/>
      <c r="F225" s="309"/>
      <c r="G225" s="309"/>
      <c r="H225" s="309"/>
      <c r="I225" s="309"/>
      <c r="J225" s="309"/>
      <c r="K225" s="309"/>
      <c r="L225" s="309"/>
      <c r="M225" s="309"/>
      <c r="N225" s="885"/>
      <c r="O225" s="309"/>
      <c r="P225" s="309"/>
      <c r="Q225" s="309"/>
      <c r="R225" s="309"/>
      <c r="S225" s="309"/>
    </row>
    <row r="226" spans="1:19" ht="15" customHeight="1" x14ac:dyDescent="0.25">
      <c r="A226" s="640"/>
      <c r="B226" s="309"/>
      <c r="C226" s="309"/>
      <c r="D226" s="309"/>
      <c r="E226" s="309"/>
      <c r="F226" s="309"/>
      <c r="G226" s="309"/>
      <c r="H226" s="309"/>
      <c r="I226" s="309"/>
      <c r="J226" s="309"/>
      <c r="K226" s="309"/>
      <c r="L226" s="309"/>
      <c r="M226" s="309"/>
      <c r="N226" s="885"/>
      <c r="O226" s="309"/>
      <c r="P226" s="309"/>
      <c r="Q226" s="309"/>
      <c r="R226" s="309"/>
      <c r="S226" s="309"/>
    </row>
    <row r="227" spans="1:19" ht="15" customHeight="1" x14ac:dyDescent="0.25">
      <c r="A227" s="640"/>
      <c r="B227" s="309"/>
      <c r="C227" s="309"/>
      <c r="D227" s="309"/>
      <c r="E227" s="309"/>
      <c r="F227" s="309"/>
      <c r="G227" s="309"/>
      <c r="H227" s="309"/>
      <c r="I227" s="309"/>
      <c r="J227" s="309"/>
      <c r="K227" s="309"/>
      <c r="L227" s="309"/>
      <c r="M227" s="309"/>
      <c r="N227" s="885"/>
      <c r="O227" s="309"/>
      <c r="P227" s="309"/>
      <c r="Q227" s="309"/>
      <c r="R227" s="309"/>
      <c r="S227" s="309"/>
    </row>
    <row r="228" spans="1:19" ht="15" customHeight="1" x14ac:dyDescent="0.25">
      <c r="A228" s="640"/>
      <c r="B228" s="309"/>
      <c r="C228" s="309"/>
      <c r="D228" s="309"/>
      <c r="E228" s="309"/>
      <c r="F228" s="309"/>
      <c r="G228" s="309"/>
      <c r="H228" s="309"/>
      <c r="I228" s="309"/>
      <c r="J228" s="309"/>
      <c r="K228" s="309"/>
      <c r="L228" s="309"/>
      <c r="M228" s="309"/>
      <c r="N228" s="885"/>
      <c r="O228" s="309"/>
      <c r="P228" s="309"/>
      <c r="Q228" s="309"/>
      <c r="R228" s="309"/>
      <c r="S228" s="309"/>
    </row>
    <row r="229" spans="1:19" ht="15" customHeight="1" x14ac:dyDescent="0.25">
      <c r="A229" s="640"/>
      <c r="B229" s="309"/>
      <c r="C229" s="309"/>
      <c r="D229" s="309"/>
      <c r="E229" s="309"/>
      <c r="F229" s="652"/>
      <c r="G229" s="309"/>
      <c r="H229" s="309"/>
      <c r="I229" s="309"/>
      <c r="J229" s="309"/>
      <c r="K229" s="309"/>
      <c r="L229" s="309"/>
      <c r="M229" s="309"/>
      <c r="N229" s="885"/>
      <c r="O229" s="309"/>
      <c r="P229" s="309"/>
      <c r="Q229" s="309"/>
      <c r="R229" s="309"/>
      <c r="S229" s="309"/>
    </row>
    <row r="230" spans="1:19" ht="15" customHeight="1" x14ac:dyDescent="0.25">
      <c r="A230" s="640"/>
      <c r="B230" s="309"/>
      <c r="C230" s="309"/>
      <c r="D230" s="309"/>
      <c r="E230" s="652"/>
      <c r="F230" s="309"/>
      <c r="G230" s="309"/>
      <c r="H230" s="309"/>
      <c r="I230" s="309"/>
      <c r="J230" s="309"/>
      <c r="K230" s="309"/>
      <c r="L230" s="309"/>
      <c r="M230" s="309"/>
      <c r="N230" s="885"/>
      <c r="O230" s="309"/>
      <c r="P230" s="309"/>
      <c r="Q230" s="309"/>
      <c r="R230" s="309"/>
      <c r="S230" s="309"/>
    </row>
    <row r="231" spans="1:19" ht="15" customHeight="1" x14ac:dyDescent="0.25">
      <c r="A231" s="640"/>
      <c r="B231" s="309"/>
      <c r="C231" s="309"/>
      <c r="D231" s="652"/>
      <c r="E231" s="309"/>
      <c r="F231" s="309"/>
      <c r="G231" s="309"/>
      <c r="H231" s="309"/>
      <c r="I231" s="309"/>
      <c r="J231" s="309"/>
      <c r="K231" s="309"/>
      <c r="L231" s="309"/>
      <c r="M231" s="309"/>
      <c r="N231" s="885"/>
      <c r="O231" s="309"/>
      <c r="P231" s="309"/>
      <c r="Q231" s="309"/>
      <c r="R231" s="309"/>
      <c r="S231" s="309"/>
    </row>
    <row r="232" spans="1:19" ht="15" customHeight="1" x14ac:dyDescent="0.25">
      <c r="A232" s="640"/>
      <c r="B232" s="309"/>
      <c r="C232" s="652"/>
      <c r="D232" s="309"/>
      <c r="E232" s="309"/>
      <c r="F232" s="309"/>
      <c r="G232" s="309"/>
      <c r="H232" s="309"/>
      <c r="I232" s="309"/>
      <c r="J232" s="309"/>
      <c r="K232" s="309"/>
      <c r="L232" s="309"/>
      <c r="M232" s="309"/>
      <c r="N232" s="885"/>
      <c r="O232" s="309"/>
      <c r="P232" s="309"/>
      <c r="Q232" s="309"/>
      <c r="R232" s="309"/>
      <c r="S232" s="309"/>
    </row>
    <row r="233" spans="1:19" ht="15" customHeight="1" x14ac:dyDescent="0.25">
      <c r="A233" s="640"/>
      <c r="B233" s="309"/>
      <c r="C233" s="309"/>
      <c r="D233" s="309"/>
      <c r="E233" s="309"/>
      <c r="F233" s="309"/>
      <c r="G233" s="309"/>
      <c r="H233" s="309"/>
      <c r="I233" s="309"/>
      <c r="J233" s="309"/>
      <c r="K233" s="309"/>
      <c r="L233" s="309"/>
      <c r="M233" s="309"/>
      <c r="N233" s="885"/>
      <c r="O233" s="309"/>
      <c r="P233" s="309"/>
      <c r="Q233" s="309"/>
      <c r="R233" s="309"/>
      <c r="S233" s="309"/>
    </row>
    <row r="234" spans="1:19" ht="15" customHeight="1" x14ac:dyDescent="0.25">
      <c r="A234" s="640"/>
      <c r="B234" s="652"/>
      <c r="C234" s="309"/>
      <c r="D234" s="309"/>
      <c r="E234" s="309"/>
      <c r="F234" s="309"/>
      <c r="G234" s="309"/>
      <c r="H234" s="309"/>
      <c r="I234" s="309"/>
      <c r="J234" s="309"/>
      <c r="K234" s="309"/>
      <c r="L234" s="309"/>
      <c r="M234" s="309"/>
      <c r="N234" s="885"/>
      <c r="O234" s="309"/>
      <c r="P234" s="309"/>
      <c r="Q234" s="309"/>
      <c r="R234" s="309"/>
      <c r="S234" s="309"/>
    </row>
    <row r="235" spans="1:19" ht="15" customHeight="1" x14ac:dyDescent="0.25">
      <c r="A235" s="640"/>
      <c r="B235" s="309"/>
      <c r="C235" s="309"/>
      <c r="D235" s="309"/>
      <c r="E235" s="309"/>
      <c r="F235" s="309"/>
      <c r="G235" s="309"/>
      <c r="H235" s="309"/>
      <c r="I235" s="309"/>
      <c r="J235" s="309"/>
      <c r="K235" s="309"/>
      <c r="L235" s="309"/>
      <c r="M235" s="309"/>
      <c r="N235" s="885"/>
      <c r="O235" s="309"/>
      <c r="P235" s="309"/>
      <c r="Q235" s="309"/>
      <c r="R235" s="309"/>
      <c r="S235" s="309"/>
    </row>
    <row r="236" spans="1:19" ht="15" customHeight="1" x14ac:dyDescent="0.25">
      <c r="A236" s="640"/>
      <c r="B236" s="309"/>
      <c r="C236" s="309"/>
      <c r="D236" s="309"/>
      <c r="E236" s="309"/>
      <c r="F236" s="309"/>
      <c r="G236" s="309"/>
      <c r="H236" s="309"/>
      <c r="I236" s="309"/>
      <c r="J236" s="309"/>
      <c r="K236" s="309"/>
      <c r="L236" s="309"/>
      <c r="M236" s="309"/>
      <c r="N236" s="885"/>
      <c r="O236" s="309"/>
      <c r="P236" s="309"/>
      <c r="Q236" s="309"/>
      <c r="R236" s="309"/>
      <c r="S236" s="309"/>
    </row>
    <row r="237" spans="1:19" ht="15" customHeight="1" x14ac:dyDescent="0.25">
      <c r="A237" s="640"/>
      <c r="B237" s="309"/>
      <c r="C237" s="309"/>
      <c r="D237" s="309"/>
      <c r="E237" s="309"/>
      <c r="F237" s="309"/>
      <c r="G237" s="309"/>
      <c r="H237" s="309"/>
      <c r="I237" s="309"/>
      <c r="J237" s="309"/>
      <c r="K237" s="309"/>
      <c r="L237" s="309"/>
      <c r="M237" s="309"/>
      <c r="N237" s="885"/>
      <c r="O237" s="309"/>
      <c r="P237" s="309"/>
      <c r="Q237" s="309"/>
      <c r="R237" s="309"/>
      <c r="S237" s="309"/>
    </row>
    <row r="238" spans="1:19" ht="15" customHeight="1" x14ac:dyDescent="0.25">
      <c r="A238" s="640"/>
      <c r="B238" s="309"/>
      <c r="C238" s="309"/>
      <c r="D238" s="309"/>
      <c r="E238" s="309"/>
      <c r="F238" s="309"/>
      <c r="G238" s="309"/>
      <c r="H238" s="309"/>
      <c r="I238" s="309"/>
      <c r="J238" s="309"/>
      <c r="K238" s="309"/>
      <c r="L238" s="309"/>
      <c r="M238" s="309"/>
      <c r="N238" s="885"/>
      <c r="O238" s="309"/>
      <c r="P238" s="309"/>
      <c r="Q238" s="309"/>
      <c r="R238" s="309"/>
      <c r="S238" s="309"/>
    </row>
    <row r="239" spans="1:19" ht="15" customHeight="1" x14ac:dyDescent="0.25">
      <c r="A239" s="640"/>
      <c r="B239" s="309"/>
      <c r="C239" s="309"/>
      <c r="D239" s="309"/>
      <c r="E239" s="309"/>
      <c r="F239" s="309"/>
      <c r="G239" s="309"/>
      <c r="H239" s="309"/>
      <c r="I239" s="309"/>
      <c r="J239" s="309"/>
      <c r="K239" s="309"/>
      <c r="L239" s="309"/>
      <c r="M239" s="309"/>
      <c r="N239" s="885"/>
      <c r="O239" s="309"/>
      <c r="P239" s="309"/>
      <c r="Q239" s="309"/>
      <c r="R239" s="309"/>
      <c r="S239" s="309"/>
    </row>
    <row r="240" spans="1:19" ht="15" customHeight="1" x14ac:dyDescent="0.25">
      <c r="A240" s="727"/>
      <c r="B240" s="309"/>
      <c r="C240" s="309"/>
      <c r="D240" s="309"/>
      <c r="E240" s="309"/>
      <c r="F240" s="309"/>
      <c r="G240" s="309"/>
      <c r="H240" s="309"/>
      <c r="I240" s="309"/>
      <c r="J240" s="309"/>
      <c r="K240" s="309"/>
      <c r="L240" s="309"/>
      <c r="M240" s="309"/>
      <c r="N240" s="885"/>
      <c r="O240" s="309"/>
      <c r="P240" s="309"/>
      <c r="Q240" s="309"/>
      <c r="R240" s="309"/>
      <c r="S240" s="309"/>
    </row>
    <row r="241" spans="1:19" ht="15" customHeight="1" x14ac:dyDescent="0.25">
      <c r="A241" s="727"/>
      <c r="B241" s="309"/>
      <c r="C241" s="309"/>
      <c r="D241" s="309"/>
      <c r="E241" s="309"/>
      <c r="F241" s="309"/>
      <c r="G241" s="309"/>
      <c r="H241" s="309"/>
      <c r="I241" s="309"/>
      <c r="J241" s="309"/>
      <c r="K241" s="309"/>
      <c r="L241" s="309"/>
      <c r="M241" s="309"/>
      <c r="N241" s="885"/>
      <c r="O241" s="309"/>
      <c r="P241" s="309"/>
      <c r="Q241" s="309"/>
      <c r="R241" s="309"/>
      <c r="S241" s="309"/>
    </row>
    <row r="242" spans="1:19" ht="15" customHeight="1" x14ac:dyDescent="0.25">
      <c r="A242" s="727"/>
      <c r="B242" s="309"/>
      <c r="C242" s="309"/>
      <c r="D242" s="309"/>
      <c r="E242" s="309"/>
      <c r="F242" s="309"/>
      <c r="G242" s="309"/>
      <c r="H242" s="309"/>
      <c r="I242" s="309"/>
      <c r="J242" s="309"/>
      <c r="K242" s="309"/>
      <c r="L242" s="309"/>
      <c r="M242" s="309"/>
      <c r="N242" s="885"/>
      <c r="O242" s="309"/>
      <c r="P242" s="309"/>
      <c r="Q242" s="309"/>
      <c r="R242" s="309"/>
      <c r="S242" s="309"/>
    </row>
    <row r="243" spans="1:19" ht="15" customHeight="1" x14ac:dyDescent="0.25">
      <c r="A243" s="727"/>
      <c r="B243" s="309"/>
      <c r="C243" s="309"/>
      <c r="D243" s="309"/>
      <c r="E243" s="309"/>
      <c r="F243" s="309"/>
      <c r="G243" s="309"/>
      <c r="H243" s="309"/>
      <c r="I243" s="309"/>
      <c r="J243" s="309"/>
      <c r="K243" s="309"/>
      <c r="L243" s="309"/>
      <c r="M243" s="309"/>
      <c r="N243" s="885"/>
      <c r="O243" s="309"/>
      <c r="P243" s="309"/>
      <c r="Q243" s="309"/>
      <c r="R243" s="309"/>
      <c r="S243" s="309"/>
    </row>
    <row r="244" spans="1:19" ht="15" customHeight="1" x14ac:dyDescent="0.25">
      <c r="A244" s="727"/>
      <c r="B244" s="309"/>
      <c r="C244" s="309"/>
      <c r="D244" s="309"/>
      <c r="E244" s="309"/>
      <c r="F244" s="309"/>
      <c r="G244" s="309"/>
      <c r="H244" s="309"/>
      <c r="I244" s="309"/>
      <c r="J244" s="309"/>
      <c r="K244" s="309"/>
      <c r="L244" s="309"/>
      <c r="M244" s="309"/>
      <c r="N244" s="885"/>
      <c r="O244" s="309"/>
      <c r="P244" s="309"/>
      <c r="Q244" s="309"/>
      <c r="R244" s="309"/>
      <c r="S244" s="309"/>
    </row>
    <row r="245" spans="1:19" ht="15" customHeight="1" x14ac:dyDescent="0.25">
      <c r="A245" s="727"/>
      <c r="B245" s="309"/>
      <c r="C245" s="309"/>
      <c r="D245" s="309"/>
      <c r="E245" s="309"/>
      <c r="F245" s="309"/>
      <c r="G245" s="309"/>
      <c r="H245" s="309"/>
      <c r="I245" s="309"/>
      <c r="J245" s="309"/>
      <c r="K245" s="309"/>
      <c r="L245" s="309"/>
      <c r="M245" s="309"/>
      <c r="N245" s="885"/>
      <c r="O245" s="309"/>
      <c r="P245" s="309"/>
      <c r="Q245" s="309"/>
      <c r="R245" s="309"/>
      <c r="S245" s="309"/>
    </row>
    <row r="246" spans="1:19" ht="15" customHeight="1" x14ac:dyDescent="0.25">
      <c r="A246" s="727"/>
      <c r="B246" s="309"/>
      <c r="C246" s="309"/>
      <c r="D246" s="309"/>
      <c r="E246" s="309"/>
      <c r="F246" s="309"/>
      <c r="G246" s="309"/>
      <c r="H246" s="309"/>
      <c r="I246" s="309"/>
      <c r="J246" s="309"/>
      <c r="K246" s="309"/>
      <c r="L246" s="309"/>
      <c r="M246" s="309"/>
      <c r="N246" s="885"/>
      <c r="O246" s="309"/>
      <c r="P246" s="309"/>
      <c r="Q246" s="309"/>
      <c r="R246" s="309"/>
      <c r="S246" s="309"/>
    </row>
    <row r="247" spans="1:19" ht="15" customHeight="1" x14ac:dyDescent="0.25">
      <c r="A247" s="727"/>
      <c r="B247" s="309"/>
      <c r="C247" s="309"/>
      <c r="D247" s="309"/>
      <c r="E247" s="309"/>
      <c r="F247" s="309"/>
      <c r="G247" s="309"/>
      <c r="H247" s="309"/>
      <c r="I247" s="309"/>
      <c r="J247" s="309"/>
      <c r="K247" s="309"/>
      <c r="L247" s="309"/>
      <c r="M247" s="309"/>
      <c r="N247" s="885"/>
      <c r="O247" s="309"/>
      <c r="P247" s="309"/>
      <c r="Q247" s="309"/>
      <c r="R247" s="309"/>
      <c r="S247" s="309"/>
    </row>
    <row r="248" spans="1:19" ht="15" customHeight="1" x14ac:dyDescent="0.25">
      <c r="A248" s="727"/>
      <c r="B248" s="309"/>
      <c r="C248" s="309"/>
      <c r="D248" s="309"/>
      <c r="E248" s="309"/>
      <c r="F248" s="309"/>
      <c r="G248" s="309"/>
      <c r="H248" s="309"/>
      <c r="I248" s="309"/>
      <c r="J248" s="309"/>
      <c r="K248" s="309"/>
      <c r="L248" s="309"/>
      <c r="M248" s="309"/>
      <c r="N248" s="885"/>
      <c r="O248" s="309"/>
      <c r="P248" s="309"/>
      <c r="Q248" s="309"/>
      <c r="R248" s="309"/>
      <c r="S248" s="309"/>
    </row>
    <row r="249" spans="1:19" ht="15" customHeight="1" x14ac:dyDescent="0.25">
      <c r="A249" s="727"/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885"/>
      <c r="O249" s="309"/>
      <c r="P249" s="309"/>
      <c r="Q249" s="309"/>
      <c r="R249" s="309"/>
      <c r="S249" s="309"/>
    </row>
    <row r="250" spans="1:19" ht="15" customHeight="1" x14ac:dyDescent="0.25">
      <c r="A250" s="727"/>
      <c r="B250" s="309"/>
      <c r="C250" s="309"/>
      <c r="D250" s="309"/>
      <c r="E250" s="309"/>
      <c r="F250" s="309"/>
      <c r="G250" s="309"/>
      <c r="H250" s="309"/>
      <c r="I250" s="309"/>
      <c r="J250" s="309"/>
      <c r="K250" s="309"/>
      <c r="L250" s="309"/>
      <c r="M250" s="309"/>
      <c r="N250" s="885"/>
      <c r="O250" s="309"/>
      <c r="P250" s="309"/>
      <c r="Q250" s="309"/>
      <c r="R250" s="309"/>
      <c r="S250" s="309"/>
    </row>
    <row r="251" spans="1:19" ht="15" customHeight="1" x14ac:dyDescent="0.25">
      <c r="A251" s="727"/>
      <c r="B251" s="309"/>
      <c r="C251" s="309"/>
      <c r="D251" s="309"/>
      <c r="E251" s="309"/>
      <c r="F251" s="309"/>
      <c r="G251" s="309"/>
      <c r="H251" s="309"/>
      <c r="I251" s="309"/>
      <c r="J251" s="309"/>
      <c r="K251" s="309"/>
      <c r="L251" s="309"/>
      <c r="M251" s="309"/>
      <c r="N251" s="885"/>
      <c r="O251" s="309"/>
      <c r="P251" s="309"/>
      <c r="Q251" s="309"/>
      <c r="R251" s="309"/>
      <c r="S251" s="309"/>
    </row>
    <row r="252" spans="1:19" ht="15" customHeight="1" x14ac:dyDescent="0.25">
      <c r="A252" s="727"/>
      <c r="B252" s="309"/>
      <c r="C252" s="309"/>
      <c r="D252" s="309"/>
      <c r="E252" s="309"/>
      <c r="F252" s="309"/>
      <c r="G252" s="309"/>
      <c r="H252" s="309"/>
      <c r="I252" s="309"/>
      <c r="J252" s="309"/>
      <c r="K252" s="309"/>
      <c r="L252" s="309"/>
      <c r="M252" s="309"/>
      <c r="N252" s="309"/>
      <c r="O252" s="309"/>
      <c r="P252" s="309"/>
      <c r="Q252" s="309"/>
      <c r="R252" s="309"/>
      <c r="S252" s="309"/>
    </row>
    <row r="253" spans="1:19" ht="15" customHeight="1" x14ac:dyDescent="0.25">
      <c r="A253" s="727"/>
      <c r="B253" s="309"/>
      <c r="C253" s="309"/>
      <c r="D253" s="309"/>
      <c r="E253" s="309"/>
      <c r="F253" s="309"/>
      <c r="G253" s="309"/>
      <c r="H253" s="309"/>
      <c r="I253" s="309"/>
      <c r="J253" s="309"/>
      <c r="K253" s="309"/>
      <c r="L253" s="309"/>
      <c r="M253" s="309"/>
      <c r="N253" s="309"/>
      <c r="O253" s="309"/>
      <c r="P253" s="309"/>
      <c r="Q253" s="309"/>
      <c r="R253" s="309"/>
      <c r="S253" s="309"/>
    </row>
    <row r="254" spans="1:19" ht="15" customHeight="1" x14ac:dyDescent="0.25">
      <c r="A254" s="727"/>
      <c r="B254" s="309"/>
      <c r="C254" s="309"/>
      <c r="D254" s="309"/>
      <c r="E254" s="309"/>
      <c r="F254" s="309"/>
      <c r="G254" s="309"/>
      <c r="H254" s="309"/>
      <c r="I254" s="309"/>
      <c r="J254" s="309"/>
      <c r="K254" s="309"/>
      <c r="L254" s="309"/>
      <c r="M254" s="309"/>
      <c r="N254" s="309"/>
      <c r="O254" s="309"/>
      <c r="P254" s="309"/>
      <c r="Q254" s="309"/>
      <c r="R254" s="309"/>
      <c r="S254" s="309"/>
    </row>
    <row r="255" spans="1:19" ht="15" customHeight="1" x14ac:dyDescent="0.25">
      <c r="A255" s="727"/>
      <c r="B255" s="309"/>
      <c r="C255" s="309"/>
      <c r="D255" s="309"/>
      <c r="E255" s="309"/>
      <c r="F255" s="309"/>
      <c r="G255" s="309"/>
      <c r="H255" s="309"/>
      <c r="I255" s="309"/>
      <c r="J255" s="309"/>
      <c r="K255" s="309"/>
      <c r="L255" s="309"/>
      <c r="M255" s="309"/>
      <c r="N255" s="309"/>
      <c r="O255" s="309"/>
      <c r="P255" s="309"/>
      <c r="Q255" s="309"/>
      <c r="R255" s="309"/>
      <c r="S255" s="309"/>
    </row>
    <row r="256" spans="1:19" ht="15" customHeight="1" x14ac:dyDescent="0.25">
      <c r="A256" s="727"/>
      <c r="B256" s="309"/>
      <c r="C256" s="309"/>
      <c r="D256" s="309"/>
      <c r="E256" s="309"/>
      <c r="F256" s="309"/>
      <c r="G256" s="309"/>
      <c r="H256" s="309"/>
      <c r="I256" s="309"/>
      <c r="J256" s="309"/>
      <c r="K256" s="309"/>
      <c r="L256" s="309"/>
      <c r="M256" s="309"/>
      <c r="N256" s="309"/>
      <c r="O256" s="309"/>
      <c r="P256" s="309"/>
      <c r="Q256" s="309"/>
      <c r="R256" s="309"/>
      <c r="S256" s="309"/>
    </row>
    <row r="257" spans="1:19" ht="15" customHeight="1" x14ac:dyDescent="0.25">
      <c r="A257" s="727"/>
      <c r="B257" s="309"/>
      <c r="C257" s="309"/>
      <c r="D257" s="309"/>
      <c r="E257" s="309"/>
      <c r="F257" s="309"/>
      <c r="G257" s="309"/>
      <c r="H257" s="309"/>
      <c r="I257" s="309"/>
      <c r="J257" s="309"/>
      <c r="K257" s="309"/>
      <c r="L257" s="309"/>
      <c r="M257" s="309"/>
      <c r="N257" s="309"/>
      <c r="O257" s="309"/>
      <c r="P257" s="309"/>
      <c r="Q257" s="309"/>
      <c r="R257" s="309"/>
      <c r="S257" s="309"/>
    </row>
    <row r="258" spans="1:19" ht="15" customHeight="1" x14ac:dyDescent="0.25">
      <c r="A258" s="727"/>
      <c r="B258" s="309"/>
      <c r="C258" s="309"/>
      <c r="D258" s="309"/>
      <c r="E258" s="309"/>
      <c r="F258" s="309"/>
      <c r="G258" s="309"/>
      <c r="H258" s="309"/>
      <c r="I258" s="309"/>
      <c r="J258" s="309"/>
      <c r="K258" s="309"/>
      <c r="L258" s="309"/>
      <c r="M258" s="309"/>
      <c r="N258" s="309"/>
      <c r="O258" s="309"/>
      <c r="P258" s="309"/>
      <c r="Q258" s="309"/>
      <c r="R258" s="309"/>
      <c r="S258" s="309"/>
    </row>
    <row r="259" spans="1:19" ht="15" customHeight="1" x14ac:dyDescent="0.25">
      <c r="A259" s="727"/>
      <c r="B259" s="309"/>
      <c r="C259" s="309"/>
      <c r="D259" s="309"/>
      <c r="E259" s="309"/>
      <c r="F259" s="309"/>
      <c r="G259" s="309"/>
      <c r="H259" s="309"/>
      <c r="I259" s="309"/>
      <c r="J259" s="309"/>
      <c r="K259" s="309"/>
      <c r="L259" s="309"/>
      <c r="M259" s="309"/>
      <c r="N259" s="309"/>
      <c r="O259" s="309"/>
      <c r="P259" s="309"/>
      <c r="Q259" s="309"/>
      <c r="R259" s="309"/>
      <c r="S259" s="309"/>
    </row>
    <row r="260" spans="1:19" ht="15" customHeight="1" x14ac:dyDescent="0.25">
      <c r="A260" s="727"/>
      <c r="B260" s="309"/>
      <c r="C260" s="309"/>
      <c r="D260" s="309"/>
      <c r="E260" s="309"/>
      <c r="F260" s="309"/>
      <c r="G260" s="309"/>
      <c r="H260" s="309"/>
      <c r="I260" s="309"/>
      <c r="J260" s="309"/>
      <c r="K260" s="309"/>
      <c r="L260" s="309"/>
      <c r="M260" s="309"/>
      <c r="N260" s="309"/>
      <c r="O260" s="309"/>
      <c r="P260" s="309"/>
      <c r="Q260" s="309"/>
      <c r="R260" s="309"/>
      <c r="S260" s="309"/>
    </row>
    <row r="261" spans="1:19" ht="15" customHeight="1" x14ac:dyDescent="0.25">
      <c r="A261" s="727"/>
      <c r="B261" s="309"/>
      <c r="C261" s="309"/>
      <c r="D261" s="309"/>
      <c r="E261" s="309"/>
      <c r="F261" s="309"/>
      <c r="G261" s="309"/>
      <c r="H261" s="309"/>
      <c r="I261" s="309"/>
      <c r="J261" s="309"/>
      <c r="K261" s="309"/>
      <c r="L261" s="309"/>
      <c r="M261" s="309"/>
      <c r="N261" s="309"/>
      <c r="O261" s="309"/>
      <c r="P261" s="309"/>
      <c r="Q261" s="309"/>
      <c r="R261" s="309"/>
      <c r="S261" s="309"/>
    </row>
    <row r="262" spans="1:19" ht="15" customHeight="1" x14ac:dyDescent="0.25">
      <c r="A262" s="727"/>
      <c r="B262" s="309"/>
      <c r="C262" s="309"/>
      <c r="D262" s="309"/>
      <c r="E262" s="309"/>
      <c r="F262" s="309"/>
      <c r="G262" s="309"/>
      <c r="H262" s="309"/>
      <c r="I262" s="309"/>
      <c r="J262" s="309"/>
      <c r="K262" s="309"/>
      <c r="L262" s="309"/>
      <c r="M262" s="309"/>
      <c r="N262" s="309"/>
      <c r="O262" s="309"/>
      <c r="P262" s="309"/>
      <c r="Q262" s="309"/>
      <c r="R262" s="309"/>
      <c r="S262" s="309"/>
    </row>
    <row r="263" spans="1:19" ht="15" customHeight="1" x14ac:dyDescent="0.25">
      <c r="A263" s="727"/>
      <c r="B263" s="309"/>
      <c r="C263" s="309"/>
      <c r="D263" s="309"/>
      <c r="E263" s="309"/>
      <c r="F263" s="309"/>
      <c r="G263" s="309"/>
      <c r="H263" s="309"/>
      <c r="I263" s="309"/>
      <c r="J263" s="309"/>
      <c r="K263" s="309"/>
      <c r="L263" s="309"/>
      <c r="M263" s="309"/>
      <c r="N263" s="309"/>
      <c r="O263" s="309"/>
      <c r="P263" s="309"/>
      <c r="Q263" s="309"/>
      <c r="R263" s="309"/>
      <c r="S263" s="309"/>
    </row>
    <row r="264" spans="1:19" ht="15" customHeight="1" x14ac:dyDescent="0.25">
      <c r="A264" s="727"/>
      <c r="B264" s="309"/>
      <c r="C264" s="309"/>
      <c r="D264" s="309"/>
      <c r="E264" s="309"/>
      <c r="F264" s="309"/>
      <c r="G264" s="309"/>
      <c r="H264" s="309"/>
      <c r="I264" s="309"/>
      <c r="J264" s="309"/>
      <c r="K264" s="309"/>
      <c r="L264" s="309"/>
      <c r="M264" s="309"/>
      <c r="N264" s="309"/>
      <c r="O264" s="309"/>
      <c r="P264" s="309"/>
      <c r="Q264" s="309"/>
      <c r="R264" s="309"/>
      <c r="S264" s="309"/>
    </row>
    <row r="265" spans="1:19" ht="15" customHeight="1" x14ac:dyDescent="0.25">
      <c r="A265" s="317"/>
      <c r="B265" s="309"/>
      <c r="C265" s="309"/>
      <c r="D265" s="309"/>
      <c r="E265" s="309"/>
      <c r="F265" s="652"/>
      <c r="G265" s="309"/>
      <c r="H265" s="309"/>
      <c r="I265" s="309"/>
      <c r="J265" s="309"/>
      <c r="K265" s="309"/>
      <c r="L265" s="309"/>
      <c r="M265" s="309"/>
      <c r="N265" s="309"/>
      <c r="O265" s="309"/>
      <c r="P265" s="309"/>
      <c r="Q265" s="309"/>
      <c r="R265" s="309"/>
      <c r="S265" s="309"/>
    </row>
    <row r="266" spans="1:19" ht="15" customHeight="1" x14ac:dyDescent="0.25">
      <c r="A266" s="727"/>
      <c r="B266" s="309"/>
      <c r="C266" s="309"/>
      <c r="D266" s="309"/>
      <c r="E266" s="309"/>
      <c r="F266" s="309"/>
      <c r="G266" s="309"/>
      <c r="H266" s="309"/>
      <c r="I266" s="309"/>
      <c r="J266" s="309"/>
      <c r="K266" s="309"/>
      <c r="L266" s="309"/>
      <c r="M266" s="309"/>
      <c r="N266" s="309"/>
      <c r="O266" s="309"/>
      <c r="P266" s="309"/>
      <c r="Q266" s="309"/>
      <c r="R266" s="309"/>
      <c r="S266" s="309"/>
    </row>
    <row r="267" spans="1:19" ht="15" customHeight="1" x14ac:dyDescent="0.25">
      <c r="A267" s="317"/>
      <c r="B267" s="309"/>
      <c r="C267" s="309"/>
      <c r="D267" s="309"/>
      <c r="E267" s="652"/>
      <c r="F267" s="309"/>
      <c r="G267" s="309"/>
      <c r="H267" s="309"/>
      <c r="I267" s="309"/>
      <c r="J267" s="309"/>
      <c r="K267" s="309"/>
      <c r="L267" s="309"/>
      <c r="M267" s="309"/>
      <c r="N267" s="309"/>
      <c r="O267" s="309"/>
      <c r="P267" s="309"/>
      <c r="Q267" s="309"/>
      <c r="R267" s="309"/>
      <c r="S267" s="309"/>
    </row>
    <row r="268" spans="1:19" ht="15" customHeight="1" x14ac:dyDescent="0.25">
      <c r="A268" s="727"/>
      <c r="B268" s="309"/>
      <c r="C268" s="309"/>
      <c r="D268" s="309"/>
      <c r="E268" s="309"/>
      <c r="F268" s="309"/>
      <c r="G268" s="309"/>
      <c r="H268" s="309"/>
      <c r="I268" s="309"/>
      <c r="J268" s="309"/>
      <c r="K268" s="309"/>
      <c r="L268" s="309"/>
      <c r="M268" s="309"/>
      <c r="N268" s="309"/>
      <c r="O268" s="309"/>
      <c r="P268" s="309"/>
      <c r="Q268" s="309"/>
      <c r="R268" s="309"/>
      <c r="S268" s="309"/>
    </row>
    <row r="269" spans="1:19" ht="15" customHeight="1" x14ac:dyDescent="0.25">
      <c r="A269" s="317"/>
      <c r="B269" s="309"/>
      <c r="C269" s="309"/>
      <c r="D269" s="652"/>
      <c r="E269" s="309"/>
      <c r="F269" s="309"/>
      <c r="G269" s="309"/>
      <c r="H269" s="309"/>
      <c r="I269" s="309"/>
      <c r="J269" s="309"/>
      <c r="K269" s="309"/>
      <c r="L269" s="309"/>
      <c r="M269" s="309"/>
      <c r="N269" s="309"/>
      <c r="O269" s="309"/>
      <c r="P269" s="309"/>
      <c r="Q269" s="309"/>
      <c r="R269" s="309"/>
      <c r="S269" s="309"/>
    </row>
    <row r="270" spans="1:19" ht="15" customHeight="1" x14ac:dyDescent="0.25">
      <c r="A270" s="317"/>
      <c r="B270" s="309"/>
      <c r="C270" s="652"/>
      <c r="D270" s="309"/>
      <c r="E270" s="309"/>
      <c r="F270" s="309"/>
      <c r="G270" s="309"/>
      <c r="H270" s="309"/>
      <c r="I270" s="309"/>
      <c r="J270" s="309"/>
      <c r="K270" s="309"/>
      <c r="L270" s="309"/>
      <c r="M270" s="309"/>
      <c r="N270" s="309"/>
      <c r="O270" s="309"/>
      <c r="P270" s="309"/>
      <c r="Q270" s="309"/>
      <c r="R270" s="309"/>
      <c r="S270" s="309"/>
    </row>
    <row r="271" spans="1:19" ht="15" customHeight="1" x14ac:dyDescent="0.25">
      <c r="A271" s="727"/>
      <c r="B271" s="309"/>
      <c r="C271" s="309"/>
      <c r="D271" s="309"/>
      <c r="E271" s="309"/>
      <c r="F271" s="309"/>
      <c r="G271" s="309"/>
      <c r="H271" s="309"/>
      <c r="I271" s="309"/>
      <c r="J271" s="309"/>
      <c r="K271" s="309"/>
      <c r="L271" s="309"/>
      <c r="M271" s="309"/>
      <c r="N271" s="309"/>
      <c r="O271" s="309"/>
      <c r="P271" s="309"/>
      <c r="Q271" s="309"/>
      <c r="R271" s="309"/>
      <c r="S271" s="309"/>
    </row>
    <row r="272" spans="1:19" ht="15" customHeight="1" x14ac:dyDescent="0.25">
      <c r="A272" s="317"/>
      <c r="B272" s="652"/>
      <c r="C272" s="309"/>
      <c r="D272" s="309"/>
      <c r="E272" s="309"/>
      <c r="F272" s="309"/>
      <c r="G272" s="309"/>
      <c r="H272" s="309"/>
      <c r="I272" s="309"/>
      <c r="J272" s="309"/>
      <c r="K272" s="309"/>
      <c r="L272" s="309"/>
      <c r="M272" s="309"/>
      <c r="N272" s="309"/>
      <c r="O272" s="309"/>
      <c r="P272" s="309"/>
      <c r="Q272" s="309"/>
      <c r="R272" s="309"/>
      <c r="S272" s="309"/>
    </row>
    <row r="273" spans="1:19" ht="15" customHeight="1" x14ac:dyDescent="0.25">
      <c r="A273" s="727"/>
      <c r="B273" s="309"/>
      <c r="C273" s="309"/>
      <c r="D273" s="309"/>
      <c r="E273" s="309"/>
      <c r="F273" s="309"/>
      <c r="G273" s="309"/>
      <c r="H273" s="309"/>
      <c r="I273" s="309"/>
      <c r="J273" s="309"/>
      <c r="K273" s="309"/>
      <c r="L273" s="309"/>
      <c r="M273" s="309"/>
      <c r="N273" s="309"/>
      <c r="O273" s="309"/>
      <c r="P273" s="309"/>
      <c r="Q273" s="309"/>
      <c r="R273" s="309"/>
      <c r="S273" s="309"/>
    </row>
    <row r="274" spans="1:19" ht="15" customHeight="1" x14ac:dyDescent="0.25">
      <c r="A274" s="727"/>
      <c r="B274" s="309"/>
      <c r="C274" s="309"/>
      <c r="D274" s="317"/>
      <c r="E274" s="309"/>
      <c r="F274" s="309"/>
      <c r="G274" s="309"/>
      <c r="H274" s="309"/>
      <c r="I274" s="309"/>
      <c r="J274" s="309"/>
      <c r="K274" s="309"/>
      <c r="L274" s="309"/>
      <c r="M274" s="309"/>
      <c r="N274" s="309"/>
      <c r="O274" s="309"/>
      <c r="P274" s="309"/>
      <c r="Q274" s="309"/>
      <c r="R274" s="309"/>
      <c r="S274" s="309"/>
    </row>
    <row r="275" spans="1:19" ht="15" customHeight="1" x14ac:dyDescent="0.25">
      <c r="A275" s="727"/>
      <c r="B275" s="309"/>
      <c r="C275" s="309"/>
      <c r="D275" s="309"/>
      <c r="E275" s="309"/>
      <c r="F275" s="309"/>
      <c r="G275" s="309"/>
      <c r="H275" s="309"/>
      <c r="I275" s="309"/>
      <c r="J275" s="309"/>
      <c r="K275" s="309"/>
      <c r="L275" s="309"/>
      <c r="M275" s="309"/>
      <c r="N275" s="309"/>
      <c r="O275" s="309"/>
      <c r="P275" s="309"/>
      <c r="Q275" s="309"/>
      <c r="R275" s="309"/>
      <c r="S275" s="309"/>
    </row>
    <row r="276" spans="1:19" ht="15" customHeight="1" x14ac:dyDescent="0.25">
      <c r="A276" s="727"/>
      <c r="B276" s="309"/>
      <c r="C276" s="309"/>
      <c r="D276" s="309"/>
      <c r="E276" s="309"/>
      <c r="F276" s="309"/>
      <c r="G276" s="309"/>
      <c r="H276" s="309"/>
      <c r="I276" s="309"/>
      <c r="J276" s="309"/>
      <c r="K276" s="309"/>
      <c r="L276" s="309"/>
      <c r="M276" s="309"/>
      <c r="N276" s="309"/>
      <c r="O276" s="309"/>
      <c r="P276" s="309"/>
      <c r="Q276" s="309"/>
      <c r="R276" s="309"/>
      <c r="S276" s="309"/>
    </row>
    <row r="277" spans="1:19" ht="15" customHeight="1" x14ac:dyDescent="0.25">
      <c r="A277" s="727"/>
      <c r="B277" s="309"/>
      <c r="C277" s="309"/>
      <c r="D277" s="309"/>
      <c r="E277" s="309"/>
      <c r="F277" s="309"/>
      <c r="G277" s="309"/>
      <c r="H277" s="309"/>
      <c r="I277" s="309"/>
      <c r="J277" s="309"/>
      <c r="K277" s="309"/>
      <c r="L277" s="309"/>
      <c r="M277" s="309"/>
      <c r="N277" s="309"/>
      <c r="O277" s="309"/>
      <c r="P277" s="309"/>
      <c r="Q277" s="309"/>
      <c r="R277" s="309"/>
      <c r="S277" s="309"/>
    </row>
    <row r="278" spans="1:19" ht="15" customHeight="1" x14ac:dyDescent="0.25">
      <c r="A278" s="727"/>
      <c r="B278" s="309"/>
      <c r="C278" s="309"/>
      <c r="D278" s="309"/>
      <c r="E278" s="309"/>
      <c r="F278" s="309"/>
      <c r="G278" s="309"/>
      <c r="H278" s="309"/>
      <c r="I278" s="309"/>
      <c r="J278" s="309"/>
      <c r="K278" s="309"/>
      <c r="L278" s="309"/>
      <c r="M278" s="309"/>
      <c r="N278" s="309"/>
      <c r="O278" s="309"/>
      <c r="P278" s="309"/>
      <c r="Q278" s="309"/>
      <c r="R278" s="309"/>
      <c r="S278" s="309"/>
    </row>
    <row r="279" spans="1:19" ht="15" customHeight="1" x14ac:dyDescent="0.25">
      <c r="A279" s="727"/>
      <c r="B279" s="309"/>
      <c r="C279" s="309"/>
      <c r="D279" s="309"/>
      <c r="E279" s="309"/>
      <c r="F279" s="309"/>
      <c r="G279" s="309"/>
      <c r="H279" s="309"/>
      <c r="I279" s="309"/>
      <c r="J279" s="309"/>
      <c r="K279" s="309"/>
      <c r="L279" s="309"/>
      <c r="M279" s="309"/>
      <c r="N279" s="309"/>
      <c r="O279" s="309"/>
      <c r="P279" s="309"/>
      <c r="Q279" s="309"/>
      <c r="R279" s="309"/>
      <c r="S279" s="309"/>
    </row>
    <row r="280" spans="1:19" ht="15" customHeight="1" x14ac:dyDescent="0.25">
      <c r="A280" s="727"/>
      <c r="B280" s="309"/>
      <c r="C280" s="309"/>
      <c r="D280" s="309"/>
      <c r="E280" s="309"/>
      <c r="F280" s="309"/>
      <c r="G280" s="309"/>
      <c r="H280" s="309"/>
      <c r="I280" s="309"/>
      <c r="J280" s="309"/>
      <c r="K280" s="309"/>
      <c r="L280" s="309"/>
      <c r="M280" s="309"/>
      <c r="N280" s="309"/>
      <c r="O280" s="309"/>
      <c r="P280" s="309"/>
      <c r="Q280" s="309"/>
      <c r="R280" s="309"/>
      <c r="S280" s="309"/>
    </row>
    <row r="281" spans="1:19" ht="15" customHeight="1" x14ac:dyDescent="0.25">
      <c r="A281" s="727"/>
      <c r="B281" s="309"/>
      <c r="C281" s="309"/>
      <c r="D281" s="309"/>
      <c r="E281" s="309"/>
      <c r="F281" s="309"/>
      <c r="G281" s="309"/>
      <c r="H281" s="309"/>
      <c r="I281" s="309"/>
      <c r="J281" s="309"/>
      <c r="K281" s="309"/>
      <c r="L281" s="309"/>
      <c r="M281" s="309"/>
      <c r="N281" s="309"/>
      <c r="O281" s="309"/>
      <c r="P281" s="309"/>
      <c r="Q281" s="309"/>
      <c r="R281" s="309"/>
      <c r="S281" s="309"/>
    </row>
    <row r="282" spans="1:19" ht="15" customHeight="1" x14ac:dyDescent="0.25">
      <c r="A282" s="727"/>
      <c r="B282" s="309"/>
      <c r="C282" s="309"/>
      <c r="D282" s="309"/>
      <c r="E282" s="309"/>
      <c r="F282" s="309"/>
      <c r="G282" s="309"/>
      <c r="H282" s="309"/>
      <c r="I282" s="309"/>
      <c r="J282" s="309"/>
      <c r="K282" s="309"/>
      <c r="L282" s="309"/>
      <c r="M282" s="309"/>
      <c r="N282" s="309"/>
      <c r="O282" s="309"/>
      <c r="P282" s="309"/>
      <c r="Q282" s="309"/>
      <c r="R282" s="309"/>
      <c r="S282" s="309"/>
    </row>
    <row r="283" spans="1:19" ht="15" customHeight="1" x14ac:dyDescent="0.25">
      <c r="A283" s="727"/>
      <c r="B283" s="309"/>
      <c r="C283" s="309"/>
      <c r="D283" s="309"/>
      <c r="E283" s="309"/>
      <c r="F283" s="309"/>
      <c r="G283" s="309"/>
      <c r="H283" s="309"/>
      <c r="I283" s="309"/>
      <c r="J283" s="309"/>
      <c r="K283" s="309"/>
      <c r="L283" s="309"/>
      <c r="M283" s="309"/>
      <c r="N283" s="309"/>
      <c r="O283" s="309"/>
      <c r="P283" s="309"/>
      <c r="Q283" s="309"/>
      <c r="R283" s="309"/>
      <c r="S283" s="309"/>
    </row>
    <row r="284" spans="1:19" ht="15" customHeight="1" x14ac:dyDescent="0.25">
      <c r="A284" s="727"/>
      <c r="B284" s="309"/>
      <c r="C284" s="309"/>
      <c r="D284" s="309"/>
      <c r="E284" s="309"/>
      <c r="F284" s="652"/>
      <c r="G284" s="309"/>
      <c r="H284" s="309"/>
      <c r="I284" s="309"/>
      <c r="J284" s="309"/>
      <c r="K284" s="309"/>
      <c r="L284" s="309"/>
      <c r="M284" s="309"/>
      <c r="N284" s="309"/>
      <c r="O284" s="309"/>
      <c r="P284" s="309"/>
      <c r="Q284" s="309"/>
      <c r="R284" s="309"/>
      <c r="S284" s="309"/>
    </row>
    <row r="285" spans="1:19" ht="15" customHeight="1" x14ac:dyDescent="0.25">
      <c r="A285" s="317"/>
      <c r="B285" s="309"/>
      <c r="C285" s="309"/>
      <c r="D285" s="309"/>
      <c r="E285" s="652"/>
      <c r="F285" s="309"/>
      <c r="G285" s="309"/>
      <c r="H285" s="309"/>
      <c r="I285" s="309"/>
      <c r="J285" s="309"/>
      <c r="K285" s="309"/>
      <c r="L285" s="309"/>
      <c r="M285" s="309"/>
      <c r="N285" s="309"/>
      <c r="O285" s="309"/>
      <c r="P285" s="309"/>
      <c r="Q285" s="309"/>
      <c r="R285" s="309"/>
      <c r="S285" s="309"/>
    </row>
    <row r="286" spans="1:19" ht="15" customHeight="1" x14ac:dyDescent="0.25">
      <c r="A286" s="727"/>
      <c r="B286" s="309"/>
      <c r="C286" s="309"/>
      <c r="D286" s="652"/>
      <c r="E286" s="309"/>
      <c r="F286" s="309"/>
      <c r="G286" s="309"/>
      <c r="H286" s="309"/>
      <c r="I286" s="309"/>
      <c r="J286" s="309"/>
      <c r="K286" s="309"/>
      <c r="L286" s="309"/>
      <c r="M286" s="309"/>
      <c r="N286" s="309"/>
      <c r="O286" s="309"/>
      <c r="P286" s="309"/>
      <c r="Q286" s="309"/>
      <c r="R286" s="309"/>
      <c r="S286" s="309"/>
    </row>
    <row r="287" spans="1:19" ht="15" customHeight="1" x14ac:dyDescent="0.25">
      <c r="A287" s="317"/>
      <c r="B287" s="309"/>
      <c r="C287" s="652"/>
      <c r="D287" s="309"/>
      <c r="E287" s="317"/>
      <c r="F287" s="309"/>
      <c r="G287" s="652"/>
      <c r="H287" s="309"/>
      <c r="I287" s="309"/>
      <c r="J287" s="309"/>
      <c r="K287" s="309"/>
      <c r="L287" s="309"/>
      <c r="M287" s="309"/>
      <c r="N287" s="309"/>
      <c r="O287" s="309"/>
      <c r="P287" s="309"/>
      <c r="Q287" s="309"/>
      <c r="R287" s="309"/>
      <c r="S287" s="309"/>
    </row>
    <row r="288" spans="1:19" ht="15" customHeight="1" x14ac:dyDescent="0.25">
      <c r="A288" s="727"/>
      <c r="B288" s="309"/>
      <c r="C288" s="317"/>
      <c r="D288" s="309"/>
      <c r="E288" s="309"/>
      <c r="F288" s="317"/>
      <c r="G288" s="309"/>
      <c r="H288" s="309"/>
      <c r="I288" s="309"/>
      <c r="J288" s="309"/>
      <c r="K288" s="309"/>
      <c r="L288" s="309"/>
      <c r="M288" s="309"/>
      <c r="N288" s="309"/>
      <c r="O288" s="309"/>
      <c r="P288" s="309"/>
      <c r="Q288" s="309"/>
      <c r="R288" s="309"/>
      <c r="S288" s="309"/>
    </row>
    <row r="289" spans="1:19" ht="15" customHeight="1" x14ac:dyDescent="0.25">
      <c r="A289" s="727"/>
      <c r="B289" s="652"/>
      <c r="C289" s="309"/>
      <c r="D289" s="309"/>
      <c r="E289" s="309"/>
      <c r="F289" s="309"/>
      <c r="G289" s="309"/>
      <c r="H289" s="309"/>
      <c r="I289" s="309"/>
      <c r="J289" s="309"/>
      <c r="K289" s="309"/>
      <c r="L289" s="309"/>
      <c r="M289" s="309"/>
      <c r="N289" s="309"/>
      <c r="O289" s="309"/>
      <c r="P289" s="309"/>
      <c r="Q289" s="309"/>
      <c r="R289" s="309"/>
      <c r="S289" s="309"/>
    </row>
    <row r="290" spans="1:19" ht="15" customHeight="1" x14ac:dyDescent="0.25">
      <c r="A290" s="727"/>
      <c r="B290" s="309"/>
      <c r="C290" s="309"/>
      <c r="D290" s="309"/>
      <c r="E290" s="309"/>
      <c r="F290" s="309"/>
      <c r="G290" s="309"/>
      <c r="H290" s="309"/>
      <c r="I290" s="309"/>
      <c r="J290" s="309"/>
      <c r="K290" s="309"/>
      <c r="L290" s="309"/>
      <c r="M290" s="309"/>
      <c r="N290" s="309"/>
      <c r="O290" s="309"/>
      <c r="P290" s="309"/>
      <c r="Q290" s="309"/>
      <c r="R290" s="309"/>
      <c r="S290" s="309"/>
    </row>
    <row r="291" spans="1:19" ht="15" customHeight="1" x14ac:dyDescent="0.25">
      <c r="A291" s="727"/>
      <c r="B291" s="309"/>
      <c r="C291" s="309"/>
      <c r="D291" s="309"/>
      <c r="E291" s="309"/>
      <c r="F291" s="309"/>
      <c r="G291" s="309"/>
      <c r="H291" s="309"/>
      <c r="I291" s="309"/>
      <c r="J291" s="309"/>
      <c r="K291" s="309"/>
      <c r="L291" s="309"/>
      <c r="M291" s="309"/>
      <c r="N291" s="309"/>
      <c r="O291" s="309"/>
      <c r="P291" s="309"/>
      <c r="Q291" s="309"/>
      <c r="R291" s="309"/>
      <c r="S291" s="309"/>
    </row>
    <row r="292" spans="1:19" ht="15" customHeight="1" x14ac:dyDescent="0.25">
      <c r="A292" s="727"/>
      <c r="B292" s="309"/>
      <c r="C292" s="309"/>
      <c r="D292" s="309"/>
      <c r="E292" s="309"/>
      <c r="F292" s="309"/>
      <c r="G292" s="309"/>
      <c r="H292" s="309"/>
      <c r="I292" s="309"/>
      <c r="J292" s="309"/>
      <c r="K292" s="309"/>
      <c r="L292" s="309"/>
      <c r="M292" s="309"/>
      <c r="N292" s="309"/>
      <c r="O292" s="309"/>
      <c r="P292" s="309"/>
      <c r="Q292" s="309"/>
      <c r="R292" s="309"/>
      <c r="S292" s="309"/>
    </row>
    <row r="293" spans="1:19" ht="15" customHeight="1" x14ac:dyDescent="0.25">
      <c r="A293" s="727"/>
      <c r="B293" s="309"/>
      <c r="C293" s="309"/>
      <c r="D293" s="309"/>
      <c r="E293" s="309"/>
      <c r="F293" s="309"/>
      <c r="G293" s="309"/>
      <c r="H293" s="309"/>
      <c r="I293" s="309"/>
      <c r="J293" s="309"/>
      <c r="K293" s="309"/>
      <c r="L293" s="309"/>
      <c r="M293" s="309"/>
      <c r="N293" s="309"/>
      <c r="O293" s="309"/>
      <c r="P293" s="309"/>
      <c r="Q293" s="309"/>
      <c r="R293" s="309"/>
      <c r="S293" s="309"/>
    </row>
    <row r="294" spans="1:19" ht="15" customHeight="1" x14ac:dyDescent="0.25">
      <c r="A294" s="727"/>
      <c r="B294" s="309"/>
      <c r="C294" s="309"/>
      <c r="D294" s="309"/>
      <c r="E294" s="309"/>
      <c r="F294" s="309"/>
      <c r="G294" s="309"/>
      <c r="H294" s="309"/>
      <c r="I294" s="309"/>
      <c r="J294" s="309"/>
      <c r="K294" s="309"/>
      <c r="L294" s="309"/>
      <c r="M294" s="309"/>
      <c r="N294" s="309"/>
      <c r="O294" s="309"/>
      <c r="P294" s="309"/>
      <c r="Q294" s="309"/>
      <c r="R294" s="309"/>
      <c r="S294" s="309"/>
    </row>
    <row r="295" spans="1:19" ht="15" customHeight="1" x14ac:dyDescent="0.25">
      <c r="A295" s="727"/>
      <c r="B295" s="309"/>
      <c r="C295" s="309"/>
      <c r="D295" s="309"/>
      <c r="E295" s="309"/>
      <c r="F295" s="309"/>
      <c r="G295" s="309"/>
      <c r="H295" s="309"/>
      <c r="I295" s="309"/>
      <c r="J295" s="309"/>
      <c r="K295" s="309"/>
      <c r="L295" s="309"/>
      <c r="M295" s="309"/>
      <c r="N295" s="309"/>
      <c r="O295" s="309"/>
      <c r="P295" s="309"/>
      <c r="Q295" s="309"/>
      <c r="R295" s="309"/>
      <c r="S295" s="309"/>
    </row>
    <row r="296" spans="1:19" ht="15" customHeight="1" x14ac:dyDescent="0.25">
      <c r="A296" s="727"/>
      <c r="B296" s="309"/>
      <c r="C296" s="309"/>
      <c r="D296" s="309"/>
      <c r="E296" s="309"/>
      <c r="F296" s="309"/>
      <c r="G296" s="309"/>
      <c r="H296" s="309"/>
      <c r="I296" s="309"/>
      <c r="J296" s="309"/>
      <c r="K296" s="309"/>
      <c r="L296" s="309"/>
      <c r="M296" s="309"/>
      <c r="N296" s="309"/>
      <c r="O296" s="309"/>
      <c r="P296" s="309"/>
      <c r="Q296" s="309"/>
      <c r="R296" s="309"/>
      <c r="S296" s="309"/>
    </row>
    <row r="297" spans="1:19" ht="15" customHeight="1" x14ac:dyDescent="0.25">
      <c r="A297" s="727"/>
      <c r="B297" s="309"/>
      <c r="C297" s="309"/>
      <c r="D297" s="309"/>
      <c r="E297" s="309"/>
      <c r="F297" s="309"/>
      <c r="G297" s="309"/>
      <c r="H297" s="309"/>
      <c r="I297" s="309"/>
      <c r="J297" s="309"/>
      <c r="K297" s="309"/>
      <c r="L297" s="309"/>
      <c r="M297" s="309"/>
      <c r="N297" s="309"/>
      <c r="O297" s="309"/>
      <c r="P297" s="309"/>
      <c r="Q297" s="309"/>
      <c r="R297" s="309"/>
      <c r="S297" s="309"/>
    </row>
    <row r="298" spans="1:19" ht="15" customHeight="1" x14ac:dyDescent="0.25">
      <c r="A298" s="727"/>
      <c r="B298" s="309"/>
      <c r="C298" s="309"/>
      <c r="D298" s="309"/>
      <c r="E298" s="309"/>
      <c r="F298" s="309"/>
      <c r="G298" s="309"/>
      <c r="H298" s="309"/>
      <c r="I298" s="309"/>
      <c r="J298" s="309"/>
      <c r="K298" s="309"/>
      <c r="L298" s="309"/>
      <c r="M298" s="309"/>
      <c r="N298" s="309"/>
      <c r="O298" s="309"/>
      <c r="P298" s="309"/>
      <c r="Q298" s="309"/>
      <c r="R298" s="309"/>
      <c r="S298" s="309"/>
    </row>
    <row r="299" spans="1:19" ht="15" customHeight="1" x14ac:dyDescent="0.25">
      <c r="A299" s="727"/>
      <c r="B299" s="309"/>
      <c r="C299" s="309"/>
      <c r="D299" s="309"/>
      <c r="E299" s="309"/>
      <c r="F299" s="309"/>
      <c r="G299" s="309"/>
      <c r="H299" s="309"/>
      <c r="I299" s="309"/>
      <c r="J299" s="309"/>
      <c r="K299" s="309"/>
      <c r="L299" s="309"/>
      <c r="M299" s="309"/>
      <c r="N299" s="309"/>
      <c r="O299" s="309"/>
      <c r="P299" s="309"/>
      <c r="Q299" s="309"/>
      <c r="R299" s="309"/>
      <c r="S299" s="309"/>
    </row>
    <row r="300" spans="1:19" ht="15" customHeight="1" x14ac:dyDescent="0.25">
      <c r="A300" s="727"/>
      <c r="B300" s="309"/>
      <c r="C300" s="309"/>
      <c r="D300" s="309"/>
      <c r="E300" s="309"/>
      <c r="F300" s="309"/>
      <c r="G300" s="309"/>
      <c r="H300" s="309"/>
      <c r="I300" s="309"/>
      <c r="J300" s="309"/>
      <c r="K300" s="309"/>
      <c r="L300" s="309"/>
      <c r="M300" s="309"/>
      <c r="N300" s="309"/>
      <c r="O300" s="309"/>
      <c r="P300" s="309"/>
      <c r="Q300" s="309"/>
      <c r="R300" s="309"/>
      <c r="S300" s="309"/>
    </row>
    <row r="301" spans="1:19" ht="15" customHeight="1" x14ac:dyDescent="0.25">
      <c r="A301" s="727"/>
      <c r="B301" s="309"/>
      <c r="C301" s="309"/>
      <c r="D301" s="309"/>
      <c r="E301" s="309"/>
      <c r="F301" s="309"/>
      <c r="G301" s="309"/>
      <c r="H301" s="309"/>
      <c r="I301" s="309"/>
      <c r="J301" s="309"/>
      <c r="K301" s="309"/>
      <c r="L301" s="309"/>
      <c r="M301" s="309"/>
      <c r="N301" s="309"/>
      <c r="O301" s="309"/>
      <c r="P301" s="309"/>
      <c r="Q301" s="309"/>
      <c r="R301" s="309"/>
      <c r="S301" s="309"/>
    </row>
    <row r="302" spans="1:19" ht="15" customHeight="1" x14ac:dyDescent="0.25">
      <c r="A302" s="727"/>
      <c r="B302" s="309"/>
      <c r="C302" s="309"/>
      <c r="D302" s="309"/>
      <c r="E302" s="309"/>
      <c r="F302" s="309"/>
      <c r="G302" s="309"/>
      <c r="H302" s="309"/>
      <c r="I302" s="309"/>
      <c r="J302" s="309"/>
      <c r="K302" s="309"/>
      <c r="L302" s="309"/>
      <c r="M302" s="309"/>
      <c r="N302" s="309"/>
      <c r="O302" s="309"/>
      <c r="P302" s="309"/>
      <c r="Q302" s="309"/>
      <c r="R302" s="309"/>
      <c r="S302" s="309"/>
    </row>
    <row r="303" spans="1:19" ht="15" customHeight="1" x14ac:dyDescent="0.25">
      <c r="A303" s="727"/>
      <c r="B303" s="309"/>
      <c r="C303" s="309"/>
      <c r="D303" s="309"/>
      <c r="E303" s="309"/>
      <c r="F303" s="309"/>
      <c r="G303" s="309"/>
      <c r="H303" s="309"/>
      <c r="I303" s="309"/>
      <c r="J303" s="309"/>
      <c r="K303" s="309"/>
      <c r="L303" s="309"/>
      <c r="M303" s="309"/>
      <c r="N303" s="309"/>
      <c r="O303" s="309"/>
      <c r="P303" s="309"/>
      <c r="Q303" s="309"/>
      <c r="R303" s="309"/>
      <c r="S303" s="309"/>
    </row>
    <row r="304" spans="1:19" ht="15" customHeight="1" x14ac:dyDescent="0.25">
      <c r="A304" s="727"/>
      <c r="B304" s="309"/>
      <c r="C304" s="309"/>
      <c r="D304" s="309"/>
      <c r="E304" s="309"/>
      <c r="F304" s="652"/>
      <c r="G304" s="309"/>
      <c r="H304" s="309"/>
      <c r="I304" s="309"/>
      <c r="J304" s="309"/>
      <c r="K304" s="309"/>
      <c r="L304" s="309"/>
      <c r="M304" s="309"/>
      <c r="N304" s="309"/>
      <c r="O304" s="309"/>
      <c r="P304" s="309"/>
      <c r="Q304" s="309"/>
      <c r="R304" s="309"/>
      <c r="S304" s="309"/>
    </row>
    <row r="305" spans="1:19" ht="15" customHeight="1" x14ac:dyDescent="0.25">
      <c r="A305" s="727"/>
      <c r="B305" s="309"/>
      <c r="C305" s="309"/>
      <c r="D305" s="309"/>
      <c r="E305" s="309"/>
      <c r="F305" s="309"/>
      <c r="G305" s="309"/>
      <c r="H305" s="309"/>
      <c r="I305" s="309"/>
      <c r="J305" s="309"/>
      <c r="K305" s="309"/>
      <c r="L305" s="309"/>
      <c r="M305" s="309"/>
      <c r="N305" s="309"/>
      <c r="O305" s="309"/>
      <c r="P305" s="309"/>
      <c r="Q305" s="309"/>
      <c r="R305" s="309"/>
      <c r="S305" s="309"/>
    </row>
    <row r="306" spans="1:19" ht="15" customHeight="1" x14ac:dyDescent="0.25">
      <c r="A306" s="317"/>
      <c r="B306" s="309"/>
      <c r="C306" s="309"/>
      <c r="D306" s="309"/>
      <c r="E306" s="652"/>
      <c r="F306" s="309"/>
      <c r="G306" s="309"/>
      <c r="H306" s="309"/>
      <c r="I306" s="309"/>
      <c r="J306" s="309"/>
      <c r="K306" s="309"/>
      <c r="L306" s="309"/>
      <c r="M306" s="309"/>
      <c r="N306" s="309"/>
      <c r="O306" s="309"/>
      <c r="P306" s="309"/>
      <c r="Q306" s="309"/>
      <c r="R306" s="309"/>
      <c r="S306" s="309"/>
    </row>
    <row r="307" spans="1:19" ht="15" customHeight="1" x14ac:dyDescent="0.25">
      <c r="A307" s="727"/>
      <c r="B307" s="309"/>
      <c r="C307" s="309"/>
      <c r="D307" s="309"/>
      <c r="E307" s="309"/>
      <c r="F307" s="317"/>
      <c r="G307" s="309"/>
      <c r="H307" s="309"/>
      <c r="I307" s="309"/>
      <c r="J307" s="309"/>
      <c r="K307" s="309"/>
      <c r="L307" s="309"/>
      <c r="M307" s="309"/>
      <c r="N307" s="309"/>
      <c r="O307" s="309"/>
      <c r="P307" s="309"/>
      <c r="Q307" s="309"/>
      <c r="R307" s="309"/>
      <c r="S307" s="309"/>
    </row>
    <row r="308" spans="1:19" ht="15" customHeight="1" x14ac:dyDescent="0.25">
      <c r="A308" s="317"/>
      <c r="B308" s="309"/>
      <c r="C308" s="309"/>
      <c r="D308" s="652"/>
      <c r="E308" s="309"/>
      <c r="F308" s="309"/>
      <c r="G308" s="309"/>
      <c r="H308" s="309"/>
      <c r="I308" s="309"/>
      <c r="J308" s="309"/>
      <c r="K308" s="309"/>
      <c r="L308" s="309"/>
      <c r="M308" s="309"/>
      <c r="N308" s="309"/>
      <c r="O308" s="309"/>
      <c r="P308" s="309"/>
      <c r="Q308" s="309"/>
      <c r="R308" s="309"/>
      <c r="S308" s="309"/>
    </row>
    <row r="309" spans="1:19" ht="15" customHeight="1" x14ac:dyDescent="0.25">
      <c r="A309" s="727"/>
      <c r="B309" s="309"/>
      <c r="C309" s="309"/>
      <c r="D309" s="309"/>
      <c r="E309" s="309"/>
      <c r="F309" s="309"/>
      <c r="G309" s="309"/>
      <c r="H309" s="309"/>
      <c r="I309" s="309"/>
      <c r="J309" s="309"/>
      <c r="K309" s="309"/>
      <c r="L309" s="309"/>
      <c r="M309" s="309"/>
      <c r="N309" s="309"/>
      <c r="O309" s="309"/>
      <c r="P309" s="309"/>
      <c r="Q309" s="309"/>
      <c r="R309" s="309"/>
      <c r="S309" s="309"/>
    </row>
    <row r="310" spans="1:19" ht="15" customHeight="1" x14ac:dyDescent="0.25">
      <c r="A310" s="727"/>
      <c r="B310" s="309"/>
      <c r="C310" s="309"/>
      <c r="D310" s="309"/>
      <c r="E310" s="309"/>
      <c r="F310" s="309"/>
      <c r="G310" s="309"/>
      <c r="H310" s="309"/>
      <c r="I310" s="309"/>
      <c r="J310" s="309"/>
      <c r="K310" s="309"/>
      <c r="L310" s="309"/>
      <c r="M310" s="309"/>
      <c r="N310" s="309"/>
      <c r="O310" s="309"/>
      <c r="P310" s="309"/>
      <c r="Q310" s="309"/>
      <c r="R310" s="309"/>
      <c r="S310" s="309"/>
    </row>
    <row r="311" spans="1:19" ht="15" customHeight="1" x14ac:dyDescent="0.25">
      <c r="A311" s="727"/>
      <c r="B311" s="652"/>
      <c r="C311" s="309"/>
      <c r="D311" s="309"/>
      <c r="E311" s="309"/>
      <c r="F311" s="309"/>
      <c r="G311" s="309"/>
      <c r="H311" s="309"/>
      <c r="I311" s="309"/>
      <c r="J311" s="309"/>
      <c r="K311" s="309"/>
      <c r="L311" s="309"/>
      <c r="M311" s="309"/>
      <c r="N311" s="309"/>
      <c r="O311" s="309"/>
      <c r="P311" s="309"/>
      <c r="Q311" s="309"/>
      <c r="R311" s="309"/>
      <c r="S311" s="309"/>
    </row>
    <row r="312" spans="1:19" ht="15" customHeight="1" x14ac:dyDescent="0.25">
      <c r="A312" s="727"/>
      <c r="B312" s="309"/>
      <c r="C312" s="309"/>
      <c r="D312" s="309"/>
      <c r="E312" s="309"/>
      <c r="F312" s="309"/>
      <c r="G312" s="309"/>
      <c r="H312" s="309"/>
      <c r="I312" s="309"/>
      <c r="J312" s="309"/>
      <c r="K312" s="309"/>
      <c r="L312" s="309"/>
      <c r="M312" s="309"/>
      <c r="N312" s="309"/>
      <c r="O312" s="309"/>
      <c r="P312" s="309"/>
      <c r="Q312" s="309"/>
      <c r="R312" s="309"/>
      <c r="S312" s="309"/>
    </row>
    <row r="313" spans="1:19" ht="15" customHeight="1" x14ac:dyDescent="0.25">
      <c r="A313" s="727"/>
      <c r="B313" s="309"/>
      <c r="C313" s="309"/>
      <c r="D313" s="309"/>
      <c r="E313" s="309"/>
      <c r="F313" s="309"/>
      <c r="G313" s="309"/>
      <c r="H313" s="309"/>
      <c r="I313" s="309"/>
      <c r="J313" s="309"/>
      <c r="K313" s="309"/>
      <c r="L313" s="309"/>
      <c r="M313" s="309"/>
      <c r="N313" s="309"/>
      <c r="O313" s="309"/>
      <c r="P313" s="309"/>
      <c r="Q313" s="309"/>
      <c r="R313" s="309"/>
      <c r="S313" s="309"/>
    </row>
    <row r="314" spans="1:19" ht="15" customHeight="1" x14ac:dyDescent="0.25">
      <c r="A314" s="727"/>
      <c r="B314" s="309"/>
      <c r="C314" s="309"/>
      <c r="D314" s="309"/>
      <c r="E314" s="309"/>
      <c r="F314" s="309"/>
      <c r="G314" s="309"/>
      <c r="H314" s="309"/>
      <c r="I314" s="309"/>
      <c r="J314" s="309"/>
      <c r="K314" s="309"/>
      <c r="L314" s="309"/>
      <c r="M314" s="309"/>
      <c r="N314" s="309"/>
      <c r="O314" s="309"/>
      <c r="P314" s="309"/>
      <c r="Q314" s="309"/>
      <c r="R314" s="309"/>
      <c r="S314" s="309"/>
    </row>
    <row r="315" spans="1:19" ht="15" customHeight="1" x14ac:dyDescent="0.25">
      <c r="A315" s="727"/>
      <c r="B315" s="309"/>
      <c r="C315" s="309"/>
      <c r="D315" s="309"/>
      <c r="E315" s="309"/>
      <c r="F315" s="309"/>
      <c r="G315" s="309"/>
      <c r="H315" s="309"/>
      <c r="I315" s="309"/>
      <c r="J315" s="309"/>
      <c r="K315" s="309"/>
      <c r="L315" s="309"/>
      <c r="M315" s="309"/>
      <c r="N315" s="309"/>
      <c r="O315" s="309"/>
      <c r="P315" s="309"/>
      <c r="Q315" s="309"/>
      <c r="R315" s="309"/>
      <c r="S315" s="309"/>
    </row>
    <row r="316" spans="1:19" ht="15" customHeight="1" x14ac:dyDescent="0.25">
      <c r="A316" s="727"/>
      <c r="B316" s="309"/>
      <c r="C316" s="309"/>
      <c r="D316" s="309"/>
      <c r="E316" s="309"/>
      <c r="F316" s="309"/>
      <c r="G316" s="309"/>
      <c r="H316" s="309"/>
      <c r="I316" s="309"/>
      <c r="J316" s="309"/>
      <c r="K316" s="309"/>
      <c r="L316" s="309"/>
      <c r="M316" s="309"/>
      <c r="N316" s="309"/>
      <c r="O316" s="309"/>
      <c r="P316" s="309"/>
      <c r="Q316" s="309"/>
      <c r="R316" s="309"/>
      <c r="S316" s="309"/>
    </row>
    <row r="317" spans="1:19" ht="15" customHeight="1" x14ac:dyDescent="0.25">
      <c r="A317" s="727"/>
      <c r="B317" s="309"/>
      <c r="C317" s="309"/>
      <c r="D317" s="309"/>
      <c r="E317" s="309"/>
      <c r="F317" s="309"/>
      <c r="G317" s="309"/>
      <c r="H317" s="309"/>
      <c r="I317" s="309"/>
      <c r="J317" s="309"/>
      <c r="K317" s="309"/>
      <c r="L317" s="309"/>
      <c r="M317" s="309"/>
      <c r="N317" s="309"/>
      <c r="O317" s="309"/>
      <c r="P317" s="309"/>
      <c r="Q317" s="309"/>
      <c r="R317" s="309"/>
      <c r="S317" s="309"/>
    </row>
    <row r="318" spans="1:19" ht="15" customHeight="1" x14ac:dyDescent="0.25">
      <c r="A318" s="317"/>
      <c r="B318" s="309"/>
      <c r="C318" s="652"/>
      <c r="D318" s="309"/>
      <c r="E318" s="309"/>
      <c r="F318" s="309"/>
      <c r="G318" s="309"/>
      <c r="H318" s="309"/>
      <c r="I318" s="309"/>
      <c r="J318" s="309"/>
      <c r="K318" s="309"/>
      <c r="L318" s="309"/>
      <c r="M318" s="309"/>
      <c r="N318" s="309"/>
      <c r="O318" s="309"/>
      <c r="P318" s="309"/>
      <c r="Q318" s="309"/>
      <c r="R318" s="309"/>
      <c r="S318" s="309"/>
    </row>
    <row r="319" spans="1:19" ht="15" customHeight="1" x14ac:dyDescent="0.25">
      <c r="A319" s="727"/>
      <c r="B319" s="309"/>
      <c r="C319" s="309"/>
      <c r="D319" s="309"/>
      <c r="E319" s="309"/>
      <c r="F319" s="309"/>
      <c r="G319" s="309"/>
      <c r="H319" s="309"/>
      <c r="I319" s="309"/>
      <c r="J319" s="309"/>
      <c r="K319" s="309"/>
      <c r="L319" s="309"/>
      <c r="M319" s="309"/>
      <c r="N319" s="309"/>
      <c r="O319" s="309"/>
      <c r="P319" s="309"/>
      <c r="Q319" s="309"/>
      <c r="R319" s="309"/>
      <c r="S319" s="309"/>
    </row>
    <row r="320" spans="1:19" ht="15" customHeight="1" x14ac:dyDescent="0.25">
      <c r="A320" s="727"/>
      <c r="B320" s="309"/>
      <c r="C320" s="309"/>
      <c r="D320" s="309"/>
      <c r="E320" s="309"/>
      <c r="F320" s="309"/>
      <c r="G320" s="309"/>
      <c r="H320" s="309"/>
      <c r="I320" s="309"/>
      <c r="J320" s="309"/>
      <c r="K320" s="309"/>
      <c r="L320" s="309"/>
      <c r="M320" s="309"/>
      <c r="N320" s="309"/>
      <c r="O320" s="309"/>
      <c r="P320" s="309"/>
      <c r="Q320" s="309"/>
      <c r="R320" s="309"/>
      <c r="S320" s="309"/>
    </row>
    <row r="321" spans="1:19" ht="15" customHeight="1" x14ac:dyDescent="0.25">
      <c r="A321" s="727"/>
      <c r="B321" s="309"/>
      <c r="C321" s="309"/>
      <c r="D321" s="309"/>
      <c r="E321" s="309"/>
      <c r="F321" s="309"/>
      <c r="G321" s="309"/>
      <c r="H321" s="309"/>
      <c r="I321" s="309"/>
      <c r="J321" s="309"/>
      <c r="K321" s="309"/>
      <c r="L321" s="309"/>
      <c r="M321" s="309"/>
      <c r="N321" s="309"/>
      <c r="O321" s="309"/>
      <c r="P321" s="309"/>
      <c r="Q321" s="309"/>
      <c r="R321" s="309"/>
      <c r="S321" s="309"/>
    </row>
    <row r="322" spans="1:19" ht="15" customHeight="1" x14ac:dyDescent="0.25">
      <c r="A322" s="727"/>
      <c r="B322" s="309"/>
      <c r="C322" s="309"/>
      <c r="D322" s="309"/>
      <c r="E322" s="309"/>
      <c r="F322" s="309"/>
      <c r="G322" s="309"/>
      <c r="H322" s="309"/>
      <c r="I322" s="309"/>
      <c r="J322" s="309"/>
      <c r="K322" s="309"/>
      <c r="L322" s="309"/>
      <c r="M322" s="309"/>
      <c r="N322" s="309"/>
      <c r="O322" s="309"/>
      <c r="P322" s="309"/>
      <c r="Q322" s="309"/>
      <c r="R322" s="309"/>
      <c r="S322" s="309"/>
    </row>
    <row r="323" spans="1:19" ht="15" customHeight="1" x14ac:dyDescent="0.25">
      <c r="A323" s="727"/>
      <c r="B323" s="309"/>
      <c r="C323" s="309"/>
      <c r="D323" s="309"/>
      <c r="E323" s="309"/>
      <c r="F323" s="309"/>
      <c r="G323" s="309"/>
      <c r="H323" s="309"/>
      <c r="I323" s="309"/>
      <c r="J323" s="309"/>
      <c r="K323" s="309"/>
      <c r="L323" s="309"/>
      <c r="M323" s="309"/>
      <c r="N323" s="309"/>
      <c r="O323" s="309"/>
      <c r="P323" s="309"/>
      <c r="Q323" s="309"/>
      <c r="R323" s="309"/>
      <c r="S323" s="309"/>
    </row>
    <row r="324" spans="1:19" ht="15" customHeight="1" x14ac:dyDescent="0.25">
      <c r="A324" s="727"/>
      <c r="B324" s="309"/>
      <c r="C324" s="309"/>
      <c r="D324" s="309"/>
      <c r="E324" s="309"/>
      <c r="F324" s="309"/>
      <c r="G324" s="309"/>
      <c r="H324" s="309"/>
      <c r="I324" s="309"/>
      <c r="J324" s="309"/>
      <c r="K324" s="309"/>
      <c r="L324" s="309"/>
      <c r="M324" s="309"/>
      <c r="N324" s="309"/>
      <c r="O324" s="309"/>
      <c r="P324" s="309"/>
      <c r="Q324" s="309"/>
      <c r="R324" s="309"/>
      <c r="S324" s="309"/>
    </row>
    <row r="325" spans="1:19" ht="15" customHeight="1" x14ac:dyDescent="0.25">
      <c r="A325" s="727"/>
      <c r="B325" s="309"/>
      <c r="C325" s="309"/>
      <c r="D325" s="309"/>
      <c r="E325" s="309"/>
      <c r="F325" s="309"/>
      <c r="G325" s="309"/>
      <c r="H325" s="309"/>
      <c r="I325" s="309"/>
      <c r="J325" s="309"/>
      <c r="K325" s="309"/>
      <c r="L325" s="309"/>
      <c r="M325" s="309"/>
      <c r="N325" s="309"/>
      <c r="O325" s="309"/>
      <c r="P325" s="309"/>
      <c r="Q325" s="309"/>
      <c r="R325" s="309"/>
      <c r="S325" s="309"/>
    </row>
    <row r="326" spans="1:19" ht="15" customHeight="1" x14ac:dyDescent="0.25">
      <c r="A326" s="727"/>
      <c r="B326" s="309"/>
      <c r="C326" s="309"/>
      <c r="D326" s="309"/>
      <c r="E326" s="309"/>
      <c r="F326" s="309"/>
      <c r="G326" s="309"/>
      <c r="H326" s="309"/>
      <c r="I326" s="309"/>
      <c r="J326" s="309"/>
      <c r="K326" s="309"/>
      <c r="L326" s="309"/>
      <c r="M326" s="309"/>
      <c r="N326" s="309"/>
      <c r="O326" s="309"/>
      <c r="P326" s="309"/>
      <c r="Q326" s="309"/>
      <c r="R326" s="309"/>
      <c r="S326" s="309"/>
    </row>
    <row r="327" spans="1:19" ht="15" customHeight="1" x14ac:dyDescent="0.25">
      <c r="A327" s="727"/>
      <c r="B327" s="309"/>
      <c r="C327" s="309"/>
      <c r="D327" s="309"/>
      <c r="E327" s="309"/>
      <c r="F327" s="309"/>
      <c r="G327" s="309"/>
      <c r="H327" s="309"/>
      <c r="I327" s="309"/>
      <c r="J327" s="309"/>
      <c r="K327" s="309"/>
      <c r="L327" s="309"/>
      <c r="M327" s="309"/>
      <c r="N327" s="309"/>
      <c r="O327" s="309"/>
      <c r="P327" s="309"/>
      <c r="Q327" s="309"/>
      <c r="R327" s="309"/>
      <c r="S327" s="309"/>
    </row>
    <row r="328" spans="1:19" ht="15" customHeight="1" x14ac:dyDescent="0.25">
      <c r="A328" s="727"/>
      <c r="B328" s="309"/>
      <c r="C328" s="309"/>
      <c r="D328" s="309"/>
      <c r="E328" s="309"/>
      <c r="F328" s="309"/>
      <c r="G328" s="309"/>
      <c r="H328" s="309"/>
      <c r="I328" s="309"/>
      <c r="J328" s="309"/>
      <c r="K328" s="309"/>
      <c r="L328" s="309"/>
      <c r="M328" s="309"/>
      <c r="N328" s="309"/>
      <c r="O328" s="309"/>
      <c r="P328" s="309"/>
      <c r="Q328" s="309"/>
      <c r="R328" s="309"/>
      <c r="S328" s="309"/>
    </row>
    <row r="329" spans="1:19" ht="15" customHeight="1" x14ac:dyDescent="0.25">
      <c r="A329" s="727"/>
      <c r="B329" s="309"/>
      <c r="C329" s="309"/>
      <c r="D329" s="309"/>
      <c r="E329" s="309"/>
      <c r="F329" s="309"/>
      <c r="G329" s="309"/>
      <c r="H329" s="309"/>
      <c r="I329" s="309"/>
      <c r="J329" s="309"/>
      <c r="K329" s="309"/>
      <c r="L329" s="309"/>
      <c r="M329" s="309"/>
      <c r="N329" s="309"/>
      <c r="O329" s="309"/>
      <c r="P329" s="309"/>
      <c r="Q329" s="309"/>
      <c r="R329" s="309"/>
      <c r="S329" s="309"/>
    </row>
    <row r="330" spans="1:19" ht="15" customHeight="1" x14ac:dyDescent="0.25">
      <c r="A330" s="727"/>
      <c r="B330" s="309"/>
      <c r="C330" s="309"/>
      <c r="D330" s="309"/>
      <c r="E330" s="309"/>
      <c r="F330" s="309"/>
      <c r="G330" s="309"/>
      <c r="H330" s="309"/>
      <c r="I330" s="309"/>
      <c r="J330" s="309"/>
      <c r="K330" s="309"/>
      <c r="L330" s="309"/>
      <c r="M330" s="309"/>
      <c r="N330" s="309"/>
      <c r="O330" s="309"/>
      <c r="P330" s="309"/>
      <c r="Q330" s="309"/>
      <c r="R330" s="309"/>
      <c r="S330" s="309"/>
    </row>
    <row r="331" spans="1:19" ht="15" customHeight="1" x14ac:dyDescent="0.25">
      <c r="A331" s="727"/>
      <c r="B331" s="309"/>
      <c r="C331" s="309"/>
      <c r="D331" s="309"/>
      <c r="E331" s="309"/>
      <c r="F331" s="309"/>
      <c r="G331" s="309"/>
      <c r="H331" s="309"/>
      <c r="I331" s="309"/>
      <c r="J331" s="309"/>
      <c r="K331" s="309"/>
      <c r="L331" s="309"/>
      <c r="M331" s="309"/>
      <c r="N331" s="309"/>
      <c r="O331" s="309"/>
      <c r="P331" s="309"/>
      <c r="Q331" s="309"/>
      <c r="R331" s="309"/>
      <c r="S331" s="309"/>
    </row>
    <row r="332" spans="1:19" ht="15" customHeight="1" x14ac:dyDescent="0.25">
      <c r="A332" s="727"/>
      <c r="B332" s="309"/>
      <c r="C332" s="309"/>
      <c r="D332" s="309"/>
      <c r="E332" s="309"/>
      <c r="F332" s="309"/>
      <c r="G332" s="309"/>
      <c r="H332" s="309"/>
      <c r="I332" s="309"/>
      <c r="J332" s="309"/>
      <c r="K332" s="309"/>
      <c r="L332" s="309"/>
      <c r="M332" s="309"/>
      <c r="N332" s="309"/>
      <c r="O332" s="309"/>
      <c r="P332" s="309"/>
      <c r="Q332" s="309"/>
      <c r="R332" s="309"/>
      <c r="S332" s="309"/>
    </row>
    <row r="333" spans="1:19" ht="15" customHeight="1" x14ac:dyDescent="0.25">
      <c r="A333" s="727"/>
      <c r="B333" s="309"/>
      <c r="C333" s="309"/>
      <c r="D333" s="309"/>
      <c r="E333" s="309"/>
      <c r="F333" s="309"/>
      <c r="G333" s="309"/>
      <c r="H333" s="309"/>
      <c r="I333" s="309"/>
      <c r="J333" s="309"/>
      <c r="K333" s="309"/>
      <c r="L333" s="309"/>
      <c r="M333" s="309"/>
      <c r="N333" s="309"/>
      <c r="O333" s="309"/>
      <c r="P333" s="309"/>
      <c r="Q333" s="309"/>
      <c r="R333" s="309"/>
      <c r="S333" s="309"/>
    </row>
    <row r="334" spans="1:19" ht="15" customHeight="1" x14ac:dyDescent="0.25">
      <c r="A334" s="727"/>
      <c r="B334" s="309"/>
      <c r="C334" s="309"/>
      <c r="D334" s="309"/>
      <c r="E334" s="309"/>
      <c r="F334" s="309"/>
      <c r="G334" s="309"/>
      <c r="H334" s="309"/>
      <c r="I334" s="309"/>
      <c r="J334" s="309"/>
      <c r="K334" s="309"/>
      <c r="L334" s="309"/>
      <c r="M334" s="309"/>
      <c r="N334" s="309"/>
      <c r="O334" s="309"/>
      <c r="P334" s="309"/>
      <c r="Q334" s="309"/>
      <c r="R334" s="309"/>
      <c r="S334" s="309"/>
    </row>
    <row r="335" spans="1:19" ht="15" customHeight="1" x14ac:dyDescent="0.25">
      <c r="A335" s="727"/>
      <c r="B335" s="309"/>
      <c r="C335" s="309"/>
      <c r="D335" s="309"/>
      <c r="E335" s="309"/>
      <c r="F335" s="309"/>
      <c r="G335" s="309"/>
      <c r="H335" s="309"/>
      <c r="I335" s="309"/>
      <c r="J335" s="309"/>
      <c r="K335" s="309"/>
      <c r="L335" s="309"/>
      <c r="M335" s="309"/>
      <c r="N335" s="309"/>
      <c r="O335" s="309"/>
      <c r="P335" s="309"/>
      <c r="Q335" s="309"/>
      <c r="R335" s="309"/>
      <c r="S335" s="309"/>
    </row>
    <row r="336" spans="1:19" ht="15" customHeight="1" x14ac:dyDescent="0.25">
      <c r="A336" s="317"/>
      <c r="B336" s="309"/>
      <c r="C336" s="309"/>
      <c r="D336" s="309"/>
      <c r="E336" s="309"/>
      <c r="F336" s="652"/>
      <c r="G336" s="309"/>
      <c r="H336" s="309"/>
      <c r="I336" s="309"/>
      <c r="J336" s="309"/>
      <c r="K336" s="309"/>
      <c r="L336" s="309"/>
      <c r="M336" s="309"/>
      <c r="N336" s="309"/>
      <c r="O336" s="309"/>
      <c r="P336" s="309"/>
      <c r="Q336" s="309"/>
      <c r="R336" s="309"/>
      <c r="S336" s="309"/>
    </row>
    <row r="337" spans="1:19" ht="15" customHeight="1" x14ac:dyDescent="0.25">
      <c r="A337" s="727"/>
      <c r="B337" s="309"/>
      <c r="C337" s="309"/>
      <c r="D337" s="309"/>
      <c r="E337" s="309"/>
      <c r="F337" s="309"/>
      <c r="G337" s="309"/>
      <c r="H337" s="309"/>
      <c r="I337" s="309"/>
      <c r="J337" s="309"/>
      <c r="K337" s="309"/>
      <c r="L337" s="309"/>
      <c r="M337" s="309"/>
      <c r="N337" s="309"/>
      <c r="O337" s="309"/>
      <c r="P337" s="309"/>
      <c r="Q337" s="309"/>
      <c r="R337" s="309"/>
      <c r="S337" s="309"/>
    </row>
    <row r="338" spans="1:19" ht="15" customHeight="1" x14ac:dyDescent="0.25">
      <c r="A338" s="727"/>
      <c r="B338" s="309"/>
      <c r="C338" s="309"/>
      <c r="D338" s="309"/>
      <c r="E338" s="652"/>
      <c r="F338" s="309"/>
      <c r="G338" s="309"/>
      <c r="H338" s="309"/>
      <c r="I338" s="309"/>
      <c r="J338" s="309"/>
      <c r="K338" s="309"/>
      <c r="L338" s="309"/>
      <c r="M338" s="309"/>
      <c r="N338" s="309"/>
      <c r="O338" s="309"/>
      <c r="P338" s="309"/>
      <c r="Q338" s="309"/>
      <c r="R338" s="309"/>
      <c r="S338" s="309"/>
    </row>
    <row r="339" spans="1:19" ht="15" customHeight="1" x14ac:dyDescent="0.25">
      <c r="A339" s="727"/>
      <c r="B339" s="309"/>
      <c r="C339" s="309"/>
      <c r="D339" s="309"/>
      <c r="E339" s="309"/>
      <c r="F339" s="309"/>
      <c r="G339" s="309"/>
      <c r="H339" s="309"/>
      <c r="I339" s="309"/>
      <c r="J339" s="309"/>
      <c r="K339" s="309"/>
      <c r="L339" s="309"/>
      <c r="M339" s="309"/>
      <c r="N339" s="309"/>
      <c r="O339" s="309"/>
      <c r="P339" s="309"/>
      <c r="Q339" s="309"/>
      <c r="R339" s="309"/>
      <c r="S339" s="309"/>
    </row>
    <row r="340" spans="1:19" ht="15" customHeight="1" x14ac:dyDescent="0.25">
      <c r="A340" s="727"/>
      <c r="B340" s="309"/>
      <c r="C340" s="309"/>
      <c r="D340" s="309"/>
      <c r="E340" s="309"/>
      <c r="F340" s="309"/>
      <c r="G340" s="309"/>
      <c r="H340" s="309"/>
      <c r="I340" s="309"/>
      <c r="J340" s="309"/>
      <c r="K340" s="309"/>
      <c r="L340" s="309"/>
      <c r="M340" s="309"/>
      <c r="N340" s="309"/>
      <c r="O340" s="309"/>
      <c r="P340" s="309"/>
      <c r="Q340" s="309"/>
      <c r="R340" s="309"/>
      <c r="S340" s="309"/>
    </row>
    <row r="341" spans="1:19" ht="15" customHeight="1" x14ac:dyDescent="0.25">
      <c r="A341" s="727"/>
      <c r="B341" s="309"/>
      <c r="C341" s="309"/>
      <c r="D341" s="309"/>
      <c r="E341" s="309"/>
      <c r="F341" s="309"/>
      <c r="G341" s="309"/>
      <c r="H341" s="309"/>
      <c r="I341" s="309"/>
      <c r="J341" s="309"/>
      <c r="K341" s="309"/>
      <c r="L341" s="309"/>
      <c r="M341" s="309"/>
      <c r="N341" s="309"/>
      <c r="O341" s="309"/>
      <c r="P341" s="309"/>
      <c r="Q341" s="309"/>
      <c r="R341" s="309"/>
      <c r="S341" s="309"/>
    </row>
    <row r="342" spans="1:19" ht="15" customHeight="1" x14ac:dyDescent="0.25">
      <c r="A342" s="317"/>
      <c r="B342" s="309"/>
      <c r="C342" s="309"/>
      <c r="D342" s="652"/>
      <c r="E342" s="309"/>
      <c r="F342" s="309"/>
      <c r="G342" s="309"/>
      <c r="H342" s="309"/>
      <c r="I342" s="309"/>
      <c r="J342" s="309"/>
      <c r="K342" s="309"/>
      <c r="L342" s="309"/>
      <c r="M342" s="309"/>
      <c r="N342" s="309"/>
      <c r="O342" s="309"/>
      <c r="P342" s="309"/>
      <c r="Q342" s="309"/>
      <c r="R342" s="309"/>
      <c r="S342" s="309"/>
    </row>
    <row r="343" spans="1:19" ht="15" customHeight="1" x14ac:dyDescent="0.25">
      <c r="A343" s="317"/>
      <c r="B343" s="309"/>
      <c r="C343" s="652"/>
      <c r="D343" s="309"/>
      <c r="E343" s="309"/>
      <c r="F343" s="309"/>
      <c r="G343" s="309"/>
      <c r="H343" s="309"/>
      <c r="I343" s="309"/>
      <c r="J343" s="309"/>
      <c r="K343" s="309"/>
      <c r="L343" s="309"/>
      <c r="M343" s="309"/>
      <c r="N343" s="309"/>
      <c r="O343" s="309"/>
      <c r="P343" s="309"/>
      <c r="Q343" s="309"/>
      <c r="R343" s="309"/>
      <c r="S343" s="309"/>
    </row>
    <row r="344" spans="1:19" ht="15" customHeight="1" x14ac:dyDescent="0.25">
      <c r="A344" s="727"/>
      <c r="B344" s="309"/>
      <c r="C344" s="309"/>
      <c r="D344" s="309"/>
      <c r="E344" s="309"/>
      <c r="F344" s="309"/>
      <c r="G344" s="309"/>
      <c r="H344" s="309"/>
      <c r="I344" s="309"/>
      <c r="J344" s="309"/>
      <c r="K344" s="309"/>
      <c r="L344" s="309"/>
      <c r="M344" s="309"/>
      <c r="N344" s="309"/>
      <c r="O344" s="309"/>
      <c r="P344" s="309"/>
      <c r="Q344" s="309"/>
      <c r="R344" s="309"/>
      <c r="S344" s="309"/>
    </row>
    <row r="345" spans="1:19" ht="15" customHeight="1" x14ac:dyDescent="0.25">
      <c r="A345" s="727"/>
      <c r="B345" s="309"/>
      <c r="C345" s="309"/>
      <c r="D345" s="309"/>
      <c r="E345" s="309"/>
      <c r="F345" s="309"/>
      <c r="G345" s="309"/>
      <c r="H345" s="309"/>
      <c r="I345" s="309"/>
      <c r="J345" s="309"/>
      <c r="K345" s="309"/>
      <c r="L345" s="309"/>
      <c r="M345" s="309"/>
      <c r="N345" s="309"/>
      <c r="O345" s="309"/>
      <c r="P345" s="309"/>
      <c r="Q345" s="309"/>
      <c r="R345" s="309"/>
      <c r="S345" s="309"/>
    </row>
    <row r="346" spans="1:19" ht="15" customHeight="1" x14ac:dyDescent="0.25">
      <c r="A346" s="727"/>
      <c r="B346" s="309"/>
      <c r="C346" s="309"/>
      <c r="D346" s="309"/>
      <c r="E346" s="309"/>
      <c r="F346" s="309"/>
      <c r="G346" s="309"/>
      <c r="H346" s="309"/>
      <c r="I346" s="309"/>
      <c r="J346" s="309"/>
      <c r="K346" s="309"/>
      <c r="L346" s="309"/>
      <c r="M346" s="309"/>
      <c r="N346" s="309"/>
      <c r="O346" s="309"/>
      <c r="P346" s="309"/>
      <c r="Q346" s="309"/>
      <c r="R346" s="309"/>
      <c r="S346" s="309"/>
    </row>
    <row r="347" spans="1:19" ht="15" customHeight="1" x14ac:dyDescent="0.25">
      <c r="A347" s="317"/>
      <c r="B347" s="652"/>
      <c r="C347" s="309"/>
      <c r="D347" s="309"/>
      <c r="E347" s="309"/>
      <c r="F347" s="309"/>
      <c r="G347" s="309"/>
      <c r="H347" s="309"/>
      <c r="I347" s="309"/>
      <c r="J347" s="309"/>
      <c r="K347" s="309"/>
      <c r="L347" s="309"/>
      <c r="M347" s="309"/>
      <c r="N347" s="309"/>
      <c r="O347" s="309"/>
      <c r="P347" s="309"/>
      <c r="Q347" s="309"/>
      <c r="R347" s="309"/>
      <c r="S347" s="309"/>
    </row>
    <row r="348" spans="1:19" ht="15" customHeight="1" x14ac:dyDescent="0.25">
      <c r="A348" s="727"/>
      <c r="B348" s="309"/>
      <c r="C348" s="309"/>
      <c r="D348" s="309"/>
      <c r="E348" s="309"/>
      <c r="F348" s="317"/>
      <c r="G348" s="309"/>
      <c r="H348" s="309"/>
      <c r="I348" s="309"/>
      <c r="J348" s="309"/>
      <c r="K348" s="309"/>
      <c r="L348" s="309"/>
      <c r="M348" s="309"/>
      <c r="N348" s="309"/>
      <c r="O348" s="309"/>
      <c r="P348" s="309"/>
      <c r="Q348" s="309"/>
      <c r="R348" s="309"/>
      <c r="S348" s="309"/>
    </row>
    <row r="349" spans="1:19" ht="15" customHeight="1" x14ac:dyDescent="0.25">
      <c r="A349" s="727"/>
      <c r="B349" s="309"/>
      <c r="C349" s="309"/>
      <c r="D349" s="309"/>
      <c r="E349" s="309"/>
      <c r="F349" s="309"/>
      <c r="G349" s="309"/>
      <c r="H349" s="309"/>
      <c r="I349" s="309"/>
      <c r="J349" s="309"/>
      <c r="K349" s="309"/>
      <c r="L349" s="309"/>
      <c r="M349" s="309"/>
      <c r="N349" s="309"/>
      <c r="O349" s="309"/>
      <c r="P349" s="309"/>
      <c r="Q349" s="309"/>
      <c r="R349" s="309"/>
      <c r="S349" s="309"/>
    </row>
    <row r="350" spans="1:19" ht="15" customHeight="1" x14ac:dyDescent="0.25">
      <c r="A350" s="727"/>
      <c r="B350" s="309"/>
      <c r="C350" s="309"/>
      <c r="D350" s="309"/>
      <c r="E350" s="309"/>
      <c r="F350" s="309"/>
      <c r="G350" s="309"/>
      <c r="H350" s="309"/>
      <c r="I350" s="309"/>
      <c r="J350" s="309"/>
      <c r="K350" s="309"/>
      <c r="L350" s="309"/>
      <c r="M350" s="309"/>
      <c r="N350" s="309"/>
      <c r="O350" s="309"/>
      <c r="P350" s="309"/>
      <c r="Q350" s="309"/>
      <c r="R350" s="309"/>
      <c r="S350" s="309"/>
    </row>
    <row r="351" spans="1:19" ht="15" customHeight="1" x14ac:dyDescent="0.25">
      <c r="A351" s="727"/>
      <c r="B351" s="309"/>
      <c r="C351" s="309"/>
      <c r="D351" s="309"/>
      <c r="E351" s="309"/>
      <c r="F351" s="309"/>
      <c r="G351" s="309"/>
      <c r="H351" s="309"/>
      <c r="I351" s="309"/>
      <c r="J351" s="309"/>
      <c r="K351" s="309"/>
      <c r="L351" s="309"/>
      <c r="M351" s="309"/>
      <c r="N351" s="309"/>
      <c r="O351" s="309"/>
      <c r="P351" s="309"/>
      <c r="Q351" s="309"/>
      <c r="R351" s="309"/>
      <c r="S351" s="309"/>
    </row>
    <row r="352" spans="1:19" ht="15" customHeight="1" x14ac:dyDescent="0.25">
      <c r="A352" s="727"/>
      <c r="B352" s="309"/>
      <c r="C352" s="309"/>
      <c r="D352" s="309"/>
      <c r="E352" s="309"/>
      <c r="F352" s="309"/>
      <c r="G352" s="309"/>
      <c r="H352" s="309"/>
      <c r="I352" s="309"/>
      <c r="J352" s="309"/>
      <c r="K352" s="309"/>
      <c r="L352" s="309"/>
      <c r="M352" s="309"/>
      <c r="N352" s="309"/>
      <c r="O352" s="309"/>
      <c r="P352" s="309"/>
      <c r="Q352" s="309"/>
      <c r="R352" s="309"/>
      <c r="S352" s="309"/>
    </row>
    <row r="353" spans="1:19" ht="15" customHeight="1" x14ac:dyDescent="0.25">
      <c r="A353" s="727"/>
      <c r="B353" s="309"/>
      <c r="C353" s="309"/>
      <c r="D353" s="309"/>
      <c r="E353" s="309"/>
      <c r="F353" s="309"/>
      <c r="G353" s="309"/>
      <c r="H353" s="309"/>
      <c r="I353" s="309"/>
      <c r="J353" s="309"/>
      <c r="K353" s="309"/>
      <c r="L353" s="309"/>
      <c r="M353" s="309"/>
      <c r="N353" s="309"/>
      <c r="O353" s="309"/>
      <c r="P353" s="309"/>
      <c r="Q353" s="309"/>
      <c r="R353" s="309"/>
      <c r="S353" s="309"/>
    </row>
    <row r="354" spans="1:19" ht="15" customHeight="1" x14ac:dyDescent="0.25">
      <c r="A354" s="727"/>
      <c r="B354" s="309"/>
      <c r="C354" s="309"/>
      <c r="D354" s="309"/>
      <c r="E354" s="309"/>
      <c r="F354" s="309"/>
      <c r="G354" s="309"/>
      <c r="H354" s="309"/>
      <c r="I354" s="309"/>
      <c r="J354" s="309"/>
      <c r="K354" s="309"/>
      <c r="L354" s="309"/>
      <c r="M354" s="309"/>
      <c r="N354" s="309"/>
      <c r="O354" s="309"/>
      <c r="P354" s="309"/>
      <c r="Q354" s="309"/>
      <c r="R354" s="309"/>
      <c r="S354" s="309"/>
    </row>
    <row r="355" spans="1:19" ht="15" customHeight="1" x14ac:dyDescent="0.25">
      <c r="A355" s="727"/>
      <c r="B355" s="309"/>
      <c r="C355" s="309"/>
      <c r="D355" s="309"/>
      <c r="E355" s="309"/>
      <c r="F355" s="309"/>
      <c r="G355" s="309"/>
      <c r="H355" s="309"/>
      <c r="I355" s="309"/>
      <c r="J355" s="309"/>
      <c r="K355" s="309"/>
      <c r="L355" s="309"/>
      <c r="M355" s="309"/>
      <c r="N355" s="309"/>
      <c r="O355" s="309"/>
      <c r="P355" s="309"/>
      <c r="Q355" s="309"/>
      <c r="R355" s="309"/>
      <c r="S355" s="309"/>
    </row>
    <row r="356" spans="1:19" ht="15" customHeight="1" x14ac:dyDescent="0.25">
      <c r="A356" s="727"/>
      <c r="B356" s="309"/>
      <c r="C356" s="309"/>
      <c r="D356" s="309"/>
      <c r="E356" s="309"/>
      <c r="F356" s="309"/>
      <c r="G356" s="309"/>
      <c r="H356" s="309"/>
      <c r="I356" s="309"/>
      <c r="J356" s="309"/>
      <c r="K356" s="309"/>
      <c r="L356" s="309"/>
      <c r="M356" s="309"/>
      <c r="N356" s="309"/>
      <c r="O356" s="309"/>
      <c r="P356" s="309"/>
      <c r="Q356" s="309"/>
      <c r="R356" s="309"/>
      <c r="S356" s="309"/>
    </row>
    <row r="357" spans="1:19" ht="15" customHeight="1" x14ac:dyDescent="0.25">
      <c r="A357" s="727"/>
      <c r="B357" s="309"/>
      <c r="C357" s="309"/>
      <c r="D357" s="309"/>
      <c r="E357" s="309"/>
      <c r="F357" s="309"/>
      <c r="G357" s="309"/>
      <c r="H357" s="309"/>
      <c r="I357" s="309"/>
      <c r="J357" s="309"/>
      <c r="K357" s="309"/>
      <c r="L357" s="309"/>
      <c r="M357" s="309"/>
      <c r="N357" s="309"/>
      <c r="O357" s="309"/>
      <c r="P357" s="309"/>
      <c r="Q357" s="309"/>
      <c r="R357" s="309"/>
      <c r="S357" s="309"/>
    </row>
    <row r="358" spans="1:19" ht="15" customHeight="1" x14ac:dyDescent="0.25">
      <c r="A358" s="727"/>
      <c r="B358" s="309"/>
      <c r="C358" s="309"/>
      <c r="D358" s="309"/>
      <c r="E358" s="309"/>
      <c r="F358" s="309"/>
      <c r="G358" s="309"/>
      <c r="H358" s="309"/>
      <c r="I358" s="309"/>
      <c r="J358" s="309"/>
      <c r="K358" s="309"/>
      <c r="L358" s="309"/>
      <c r="M358" s="309"/>
      <c r="N358" s="309"/>
      <c r="O358" s="309"/>
      <c r="P358" s="309"/>
      <c r="Q358" s="309"/>
      <c r="R358" s="309"/>
      <c r="S358" s="309"/>
    </row>
    <row r="359" spans="1:19" ht="15" customHeight="1" x14ac:dyDescent="0.25">
      <c r="A359" s="727"/>
      <c r="B359" s="309"/>
      <c r="C359" s="309"/>
      <c r="D359" s="309"/>
      <c r="E359" s="309"/>
      <c r="F359" s="309"/>
      <c r="G359" s="309"/>
      <c r="H359" s="309"/>
      <c r="I359" s="309"/>
      <c r="J359" s="309"/>
      <c r="K359" s="309"/>
      <c r="L359" s="309"/>
      <c r="M359" s="309"/>
      <c r="N359" s="309"/>
      <c r="O359" s="309"/>
      <c r="P359" s="309"/>
      <c r="Q359" s="309"/>
      <c r="R359" s="309"/>
      <c r="S359" s="309"/>
    </row>
    <row r="360" spans="1:19" ht="15" customHeight="1" x14ac:dyDescent="0.25">
      <c r="A360" s="727"/>
      <c r="B360" s="309"/>
      <c r="C360" s="309"/>
      <c r="D360" s="309"/>
      <c r="E360" s="309"/>
      <c r="F360" s="309"/>
      <c r="G360" s="309"/>
      <c r="H360" s="309"/>
      <c r="I360" s="309"/>
      <c r="J360" s="309"/>
      <c r="K360" s="309"/>
      <c r="L360" s="309"/>
      <c r="M360" s="309"/>
      <c r="N360" s="309"/>
      <c r="O360" s="309"/>
      <c r="P360" s="309"/>
      <c r="Q360" s="309"/>
      <c r="R360" s="309"/>
      <c r="S360" s="309"/>
    </row>
    <row r="361" spans="1:19" ht="15" customHeight="1" x14ac:dyDescent="0.25">
      <c r="A361" s="727"/>
      <c r="B361" s="309"/>
      <c r="C361" s="309"/>
      <c r="D361" s="309"/>
      <c r="E361" s="309"/>
      <c r="F361" s="309"/>
      <c r="G361" s="309"/>
      <c r="H361" s="309"/>
      <c r="I361" s="309"/>
      <c r="J361" s="309"/>
      <c r="K361" s="309"/>
      <c r="L361" s="309"/>
      <c r="M361" s="309"/>
      <c r="N361" s="309"/>
      <c r="O361" s="309"/>
      <c r="P361" s="309"/>
      <c r="Q361" s="309"/>
      <c r="R361" s="309"/>
      <c r="S361" s="309"/>
    </row>
    <row r="362" spans="1:19" ht="15" customHeight="1" x14ac:dyDescent="0.25">
      <c r="A362" s="727"/>
      <c r="B362" s="309"/>
      <c r="C362" s="309"/>
      <c r="D362" s="309"/>
      <c r="E362" s="309"/>
      <c r="F362" s="309"/>
      <c r="G362" s="309"/>
      <c r="H362" s="309"/>
      <c r="I362" s="309"/>
      <c r="J362" s="309"/>
      <c r="K362" s="309"/>
      <c r="L362" s="309"/>
      <c r="M362" s="309"/>
      <c r="N362" s="309"/>
      <c r="O362" s="309"/>
      <c r="P362" s="309"/>
      <c r="Q362" s="309"/>
      <c r="R362" s="309"/>
      <c r="S362" s="309"/>
    </row>
    <row r="363" spans="1:19" ht="15" customHeight="1" x14ac:dyDescent="0.25">
      <c r="A363" s="727"/>
      <c r="B363" s="309"/>
      <c r="C363" s="309"/>
      <c r="D363" s="309"/>
      <c r="E363" s="309"/>
      <c r="F363" s="309"/>
      <c r="G363" s="309"/>
      <c r="H363" s="309"/>
      <c r="I363" s="309"/>
      <c r="J363" s="309"/>
      <c r="K363" s="309"/>
      <c r="L363" s="309"/>
      <c r="M363" s="309"/>
      <c r="N363" s="309"/>
      <c r="O363" s="309"/>
      <c r="P363" s="309"/>
      <c r="Q363" s="309"/>
      <c r="R363" s="309"/>
      <c r="S363" s="309"/>
    </row>
    <row r="364" spans="1:19" ht="15" customHeight="1" x14ac:dyDescent="0.25">
      <c r="A364" s="727"/>
      <c r="B364" s="309"/>
      <c r="C364" s="309"/>
      <c r="D364" s="309"/>
      <c r="E364" s="309"/>
      <c r="F364" s="309"/>
      <c r="G364" s="309"/>
      <c r="H364" s="309"/>
      <c r="I364" s="309"/>
      <c r="J364" s="309"/>
      <c r="K364" s="309"/>
      <c r="L364" s="309"/>
      <c r="M364" s="309"/>
      <c r="N364" s="309"/>
      <c r="O364" s="309"/>
      <c r="P364" s="309"/>
      <c r="Q364" s="309"/>
      <c r="R364" s="309"/>
      <c r="S364" s="309"/>
    </row>
    <row r="365" spans="1:19" ht="15" customHeight="1" x14ac:dyDescent="0.25">
      <c r="A365" s="727"/>
      <c r="B365" s="309"/>
      <c r="C365" s="309"/>
      <c r="D365" s="309"/>
      <c r="E365" s="309"/>
      <c r="F365" s="309"/>
      <c r="G365" s="309"/>
      <c r="H365" s="309"/>
      <c r="I365" s="309"/>
      <c r="J365" s="309"/>
      <c r="K365" s="309"/>
      <c r="L365" s="309"/>
      <c r="M365" s="309"/>
      <c r="N365" s="309"/>
      <c r="O365" s="309"/>
      <c r="P365" s="309"/>
      <c r="Q365" s="309"/>
      <c r="R365" s="309"/>
      <c r="S365" s="309"/>
    </row>
    <row r="366" spans="1:19" ht="15" customHeight="1" x14ac:dyDescent="0.25">
      <c r="A366" s="727"/>
      <c r="B366" s="309"/>
      <c r="C366" s="309"/>
      <c r="D366" s="309"/>
      <c r="E366" s="309"/>
      <c r="F366" s="309"/>
      <c r="G366" s="309"/>
      <c r="H366" s="309"/>
      <c r="I366" s="309"/>
      <c r="J366" s="309"/>
      <c r="K366" s="309"/>
      <c r="L366" s="309"/>
      <c r="M366" s="309"/>
      <c r="N366" s="309"/>
      <c r="O366" s="309"/>
      <c r="P366" s="309"/>
      <c r="Q366" s="309"/>
      <c r="R366" s="309"/>
      <c r="S366" s="309"/>
    </row>
    <row r="367" spans="1:19" ht="15" customHeight="1" x14ac:dyDescent="0.25">
      <c r="A367" s="727"/>
      <c r="B367" s="309"/>
      <c r="C367" s="309"/>
      <c r="D367" s="309"/>
      <c r="E367" s="309"/>
      <c r="F367" s="309"/>
      <c r="G367" s="309"/>
      <c r="H367" s="309"/>
      <c r="I367" s="309"/>
      <c r="J367" s="309"/>
      <c r="K367" s="309"/>
      <c r="L367" s="309"/>
      <c r="M367" s="309"/>
      <c r="N367" s="309"/>
      <c r="O367" s="309"/>
      <c r="P367" s="309"/>
      <c r="Q367" s="309"/>
      <c r="R367" s="309"/>
      <c r="S367" s="309"/>
    </row>
    <row r="368" spans="1:19" ht="15" customHeight="1" x14ac:dyDescent="0.25">
      <c r="A368" s="727"/>
      <c r="B368" s="309"/>
      <c r="C368" s="309"/>
      <c r="D368" s="309"/>
      <c r="E368" s="309"/>
      <c r="F368" s="309"/>
      <c r="G368" s="309"/>
      <c r="H368" s="309"/>
      <c r="I368" s="309"/>
      <c r="J368" s="309"/>
      <c r="K368" s="309"/>
      <c r="L368" s="309"/>
      <c r="M368" s="309"/>
      <c r="N368" s="309"/>
      <c r="O368" s="309"/>
      <c r="P368" s="309"/>
      <c r="Q368" s="309"/>
      <c r="R368" s="309"/>
      <c r="S368" s="309"/>
    </row>
    <row r="369" spans="1:19" ht="15" customHeight="1" x14ac:dyDescent="0.25">
      <c r="A369" s="727"/>
      <c r="B369" s="309"/>
      <c r="C369" s="309"/>
      <c r="D369" s="309"/>
      <c r="E369" s="309"/>
      <c r="F369" s="309"/>
      <c r="G369" s="309"/>
      <c r="H369" s="309"/>
      <c r="I369" s="309"/>
      <c r="J369" s="309"/>
      <c r="K369" s="309"/>
      <c r="L369" s="309"/>
      <c r="M369" s="309"/>
      <c r="N369" s="309"/>
      <c r="O369" s="309"/>
      <c r="P369" s="309"/>
      <c r="Q369" s="309"/>
      <c r="R369" s="309"/>
      <c r="S369" s="309"/>
    </row>
    <row r="370" spans="1:19" ht="15" customHeight="1" x14ac:dyDescent="0.25">
      <c r="A370" s="727"/>
      <c r="B370" s="309"/>
      <c r="C370" s="309"/>
      <c r="D370" s="309"/>
      <c r="E370" s="309"/>
      <c r="F370" s="309"/>
      <c r="G370" s="309"/>
      <c r="H370" s="309"/>
      <c r="I370" s="309"/>
      <c r="J370" s="309"/>
      <c r="K370" s="309"/>
      <c r="L370" s="309"/>
      <c r="M370" s="309"/>
      <c r="N370" s="309"/>
      <c r="O370" s="309"/>
      <c r="P370" s="309"/>
      <c r="Q370" s="309"/>
      <c r="R370" s="309"/>
      <c r="S370" s="309"/>
    </row>
    <row r="371" spans="1:19" ht="15" customHeight="1" x14ac:dyDescent="0.25">
      <c r="A371" s="727"/>
      <c r="B371" s="309"/>
      <c r="C371" s="309"/>
      <c r="D371" s="309"/>
      <c r="E371" s="309"/>
      <c r="F371" s="309"/>
      <c r="G371" s="309"/>
      <c r="H371" s="309"/>
      <c r="I371" s="309"/>
      <c r="J371" s="309"/>
      <c r="K371" s="309"/>
      <c r="L371" s="309"/>
      <c r="M371" s="309"/>
      <c r="N371" s="309"/>
      <c r="O371" s="309"/>
      <c r="P371" s="309"/>
      <c r="Q371" s="309"/>
      <c r="R371" s="309"/>
      <c r="S371" s="309"/>
    </row>
    <row r="372" spans="1:19" ht="15" customHeight="1" x14ac:dyDescent="0.25">
      <c r="A372" s="727"/>
      <c r="B372" s="309"/>
      <c r="C372" s="309"/>
      <c r="D372" s="309"/>
      <c r="E372" s="309"/>
      <c r="F372" s="309"/>
      <c r="G372" s="309"/>
      <c r="H372" s="309"/>
      <c r="I372" s="309"/>
      <c r="J372" s="309"/>
      <c r="K372" s="309"/>
      <c r="L372" s="309"/>
      <c r="M372" s="309"/>
      <c r="N372" s="309"/>
      <c r="O372" s="309"/>
      <c r="P372" s="309"/>
      <c r="Q372" s="309"/>
      <c r="R372" s="309"/>
      <c r="S372" s="309"/>
    </row>
    <row r="373" spans="1:19" ht="15" customHeight="1" x14ac:dyDescent="0.25">
      <c r="A373" s="727"/>
      <c r="B373" s="309"/>
      <c r="C373" s="309"/>
      <c r="D373" s="309"/>
      <c r="E373" s="309"/>
      <c r="F373" s="309"/>
      <c r="G373" s="309"/>
      <c r="H373" s="309"/>
      <c r="I373" s="309"/>
      <c r="J373" s="309"/>
      <c r="K373" s="309"/>
      <c r="L373" s="309"/>
      <c r="M373" s="309"/>
      <c r="N373" s="309"/>
      <c r="O373" s="309"/>
      <c r="P373" s="309"/>
      <c r="Q373" s="309"/>
      <c r="R373" s="309"/>
      <c r="S373" s="309"/>
    </row>
    <row r="374" spans="1:19" ht="15" customHeight="1" x14ac:dyDescent="0.25">
      <c r="A374" s="727"/>
      <c r="B374" s="309"/>
      <c r="C374" s="309"/>
      <c r="D374" s="309"/>
      <c r="E374" s="309"/>
      <c r="F374" s="309"/>
      <c r="G374" s="309"/>
      <c r="H374" s="309"/>
      <c r="I374" s="309"/>
      <c r="J374" s="309"/>
      <c r="K374" s="309"/>
      <c r="L374" s="309"/>
      <c r="M374" s="309"/>
      <c r="N374" s="309"/>
      <c r="O374" s="309"/>
      <c r="P374" s="309"/>
      <c r="Q374" s="309"/>
      <c r="R374" s="309"/>
      <c r="S374" s="309"/>
    </row>
    <row r="375" spans="1:19" ht="15" customHeight="1" x14ac:dyDescent="0.25">
      <c r="A375" s="727"/>
      <c r="B375" s="309"/>
      <c r="C375" s="309"/>
      <c r="D375" s="309"/>
      <c r="E375" s="309"/>
      <c r="F375" s="309"/>
      <c r="G375" s="309"/>
      <c r="H375" s="309"/>
      <c r="I375" s="309"/>
      <c r="J375" s="309"/>
      <c r="K375" s="309"/>
      <c r="L375" s="309"/>
      <c r="M375" s="309"/>
      <c r="N375" s="309"/>
      <c r="O375" s="309"/>
      <c r="P375" s="309"/>
      <c r="Q375" s="309"/>
      <c r="R375" s="309"/>
      <c r="S375" s="309"/>
    </row>
    <row r="376" spans="1:19" ht="15" customHeight="1" x14ac:dyDescent="0.25">
      <c r="A376" s="727"/>
      <c r="B376" s="309"/>
      <c r="C376" s="309"/>
      <c r="D376" s="309"/>
      <c r="E376" s="309"/>
      <c r="F376" s="309"/>
      <c r="G376" s="309"/>
      <c r="H376" s="309"/>
      <c r="I376" s="309"/>
      <c r="J376" s="309"/>
      <c r="K376" s="309"/>
      <c r="L376" s="309"/>
      <c r="M376" s="309"/>
      <c r="N376" s="309"/>
      <c r="O376" s="309"/>
      <c r="P376" s="309"/>
      <c r="Q376" s="309"/>
      <c r="R376" s="309"/>
      <c r="S376" s="309"/>
    </row>
    <row r="377" spans="1:19" ht="15" customHeight="1" x14ac:dyDescent="0.25">
      <c r="A377" s="727"/>
      <c r="B377" s="309"/>
      <c r="C377" s="309"/>
      <c r="D377" s="309"/>
      <c r="E377" s="309"/>
      <c r="F377" s="309"/>
      <c r="G377" s="309"/>
      <c r="H377" s="309"/>
      <c r="I377" s="309"/>
      <c r="J377" s="309"/>
      <c r="K377" s="309"/>
      <c r="L377" s="309"/>
      <c r="M377" s="309"/>
      <c r="N377" s="309"/>
      <c r="O377" s="309"/>
      <c r="P377" s="309"/>
      <c r="Q377" s="309"/>
      <c r="R377" s="309"/>
      <c r="S377" s="309"/>
    </row>
    <row r="378" spans="1:19" ht="15" customHeight="1" x14ac:dyDescent="0.25">
      <c r="A378" s="727"/>
      <c r="B378" s="309"/>
      <c r="C378" s="309"/>
      <c r="D378" s="309"/>
      <c r="E378" s="309"/>
      <c r="F378" s="309"/>
      <c r="G378" s="309"/>
      <c r="H378" s="309"/>
      <c r="I378" s="309"/>
      <c r="J378" s="309"/>
      <c r="K378" s="309"/>
      <c r="L378" s="309"/>
      <c r="M378" s="309"/>
      <c r="N378" s="309"/>
      <c r="O378" s="309"/>
      <c r="P378" s="309"/>
      <c r="Q378" s="309"/>
      <c r="R378" s="309"/>
      <c r="S378" s="309"/>
    </row>
    <row r="379" spans="1:19" ht="15" customHeight="1" x14ac:dyDescent="0.25">
      <c r="A379" s="727"/>
      <c r="B379" s="309"/>
      <c r="C379" s="309"/>
      <c r="D379" s="309"/>
      <c r="E379" s="309"/>
      <c r="F379" s="309"/>
      <c r="G379" s="309"/>
      <c r="H379" s="309"/>
      <c r="I379" s="309"/>
      <c r="J379" s="309"/>
      <c r="K379" s="309"/>
      <c r="L379" s="309"/>
      <c r="M379" s="309"/>
      <c r="N379" s="309"/>
      <c r="O379" s="309"/>
      <c r="P379" s="309"/>
      <c r="Q379" s="309"/>
      <c r="R379" s="309"/>
      <c r="S379" s="309"/>
    </row>
    <row r="380" spans="1:19" ht="15" customHeight="1" x14ac:dyDescent="0.25">
      <c r="A380" s="727"/>
      <c r="B380" s="309"/>
      <c r="C380" s="309"/>
      <c r="D380" s="309"/>
      <c r="E380" s="309"/>
      <c r="F380" s="309"/>
      <c r="G380" s="309"/>
      <c r="H380" s="309"/>
      <c r="I380" s="309"/>
      <c r="J380" s="309"/>
      <c r="K380" s="309"/>
      <c r="L380" s="309"/>
      <c r="M380" s="309"/>
      <c r="N380" s="309"/>
      <c r="O380" s="309"/>
      <c r="P380" s="309"/>
      <c r="Q380" s="309"/>
      <c r="R380" s="309"/>
      <c r="S380" s="309"/>
    </row>
    <row r="381" spans="1:19" ht="15" customHeight="1" x14ac:dyDescent="0.25">
      <c r="A381" s="727"/>
      <c r="B381" s="309"/>
      <c r="C381" s="309"/>
      <c r="D381" s="309"/>
      <c r="E381" s="309"/>
      <c r="F381" s="309"/>
      <c r="G381" s="309"/>
      <c r="H381" s="309"/>
      <c r="I381" s="309"/>
      <c r="J381" s="309"/>
      <c r="K381" s="309"/>
      <c r="L381" s="309"/>
      <c r="M381" s="309"/>
      <c r="N381" s="309"/>
      <c r="O381" s="309"/>
      <c r="P381" s="309"/>
      <c r="Q381" s="309"/>
      <c r="R381" s="309"/>
      <c r="S381" s="309"/>
    </row>
    <row r="382" spans="1:19" ht="15" customHeight="1" x14ac:dyDescent="0.25">
      <c r="A382" s="727"/>
      <c r="B382" s="309"/>
      <c r="C382" s="309"/>
      <c r="D382" s="309"/>
      <c r="E382" s="309"/>
      <c r="F382" s="309"/>
      <c r="G382" s="309"/>
      <c r="H382" s="309"/>
      <c r="I382" s="309"/>
      <c r="J382" s="309"/>
      <c r="K382" s="309"/>
      <c r="L382" s="309"/>
      <c r="M382" s="309"/>
      <c r="N382" s="309"/>
      <c r="O382" s="309"/>
      <c r="P382" s="309"/>
      <c r="Q382" s="309"/>
      <c r="R382" s="309"/>
      <c r="S382" s="309"/>
    </row>
    <row r="383" spans="1:19" ht="15" customHeight="1" x14ac:dyDescent="0.25">
      <c r="A383" s="727"/>
      <c r="B383" s="309"/>
      <c r="C383" s="309"/>
      <c r="D383" s="309"/>
      <c r="E383" s="309"/>
      <c r="F383" s="309"/>
      <c r="G383" s="309"/>
      <c r="H383" s="309"/>
      <c r="I383" s="309"/>
      <c r="J383" s="309"/>
      <c r="K383" s="309"/>
      <c r="L383" s="309"/>
      <c r="M383" s="309"/>
      <c r="N383" s="309"/>
      <c r="O383" s="309"/>
      <c r="P383" s="309"/>
      <c r="Q383" s="309"/>
      <c r="R383" s="309"/>
      <c r="S383" s="309"/>
    </row>
    <row r="384" spans="1:19" ht="15" customHeight="1" x14ac:dyDescent="0.25">
      <c r="A384" s="727"/>
      <c r="B384" s="309"/>
      <c r="C384" s="309"/>
      <c r="D384" s="309"/>
      <c r="E384" s="309"/>
      <c r="F384" s="309"/>
      <c r="G384" s="309"/>
      <c r="H384" s="309"/>
      <c r="I384" s="309"/>
      <c r="J384" s="309"/>
      <c r="K384" s="309"/>
      <c r="L384" s="309"/>
      <c r="M384" s="309"/>
      <c r="N384" s="309"/>
      <c r="O384" s="309"/>
      <c r="P384" s="309"/>
      <c r="Q384" s="309"/>
      <c r="R384" s="309"/>
      <c r="S384" s="309"/>
    </row>
    <row r="385" spans="1:19" ht="15" customHeight="1" x14ac:dyDescent="0.25">
      <c r="A385" s="727"/>
      <c r="B385" s="309"/>
      <c r="C385" s="309"/>
      <c r="D385" s="309"/>
      <c r="E385" s="309"/>
      <c r="F385" s="309"/>
      <c r="G385" s="309"/>
      <c r="H385" s="309"/>
      <c r="I385" s="309"/>
      <c r="J385" s="309"/>
      <c r="K385" s="309"/>
      <c r="L385" s="309"/>
      <c r="M385" s="309"/>
      <c r="N385" s="309"/>
      <c r="O385" s="309"/>
      <c r="P385" s="309"/>
      <c r="Q385" s="309"/>
      <c r="R385" s="309"/>
      <c r="S385" s="309"/>
    </row>
    <row r="386" spans="1:19" ht="15" customHeight="1" x14ac:dyDescent="0.25">
      <c r="A386" s="727"/>
      <c r="B386" s="309"/>
      <c r="C386" s="309"/>
      <c r="D386" s="309"/>
      <c r="E386" s="309"/>
      <c r="F386" s="309"/>
      <c r="G386" s="309"/>
      <c r="H386" s="309"/>
      <c r="I386" s="309"/>
      <c r="J386" s="309"/>
      <c r="K386" s="309"/>
      <c r="L386" s="309"/>
      <c r="M386" s="309"/>
      <c r="N386" s="309"/>
      <c r="O386" s="309"/>
      <c r="P386" s="309"/>
      <c r="Q386" s="309"/>
      <c r="R386" s="309"/>
      <c r="S386" s="309"/>
    </row>
    <row r="387" spans="1:19" ht="15" customHeight="1" x14ac:dyDescent="0.25">
      <c r="A387" s="727"/>
      <c r="B387" s="309"/>
      <c r="C387" s="309"/>
      <c r="D387" s="309"/>
      <c r="E387" s="309"/>
      <c r="F387" s="309"/>
      <c r="G387" s="309"/>
      <c r="H387" s="309"/>
      <c r="I387" s="309"/>
      <c r="J387" s="309"/>
      <c r="K387" s="309"/>
      <c r="L387" s="309"/>
      <c r="M387" s="309"/>
      <c r="N387" s="309"/>
      <c r="O387" s="309"/>
      <c r="P387" s="309"/>
      <c r="Q387" s="309"/>
      <c r="R387" s="309"/>
      <c r="S387" s="309"/>
    </row>
    <row r="388" spans="1:19" ht="15" customHeight="1" x14ac:dyDescent="0.25">
      <c r="A388" s="727"/>
      <c r="B388" s="309"/>
      <c r="C388" s="309"/>
      <c r="D388" s="309"/>
      <c r="E388" s="309"/>
      <c r="F388" s="309"/>
      <c r="G388" s="309"/>
      <c r="H388" s="309"/>
      <c r="I388" s="309"/>
      <c r="J388" s="309"/>
      <c r="K388" s="309"/>
      <c r="L388" s="309"/>
      <c r="M388" s="309"/>
      <c r="N388" s="309"/>
      <c r="O388" s="309"/>
      <c r="P388" s="309"/>
      <c r="Q388" s="309"/>
      <c r="R388" s="309"/>
      <c r="S388" s="309"/>
    </row>
    <row r="389" spans="1:19" ht="15" customHeight="1" x14ac:dyDescent="0.25">
      <c r="A389" s="727"/>
      <c r="B389" s="309"/>
      <c r="C389" s="309"/>
      <c r="D389" s="309"/>
      <c r="E389" s="309"/>
      <c r="F389" s="309"/>
      <c r="G389" s="309"/>
      <c r="H389" s="309"/>
      <c r="I389" s="309"/>
      <c r="J389" s="309"/>
      <c r="K389" s="309"/>
      <c r="L389" s="309"/>
      <c r="M389" s="309"/>
      <c r="N389" s="309"/>
      <c r="O389" s="309"/>
      <c r="P389" s="309"/>
      <c r="Q389" s="309"/>
      <c r="R389" s="309"/>
      <c r="S389" s="309"/>
    </row>
    <row r="390" spans="1:19" ht="15" customHeight="1" x14ac:dyDescent="0.25">
      <c r="A390" s="317"/>
      <c r="B390" s="309"/>
      <c r="C390" s="309"/>
      <c r="D390" s="309"/>
      <c r="E390" s="309"/>
      <c r="F390" s="652"/>
      <c r="G390" s="309"/>
      <c r="H390" s="309"/>
      <c r="I390" s="309"/>
      <c r="J390" s="309"/>
      <c r="K390" s="309"/>
      <c r="L390" s="309"/>
      <c r="M390" s="309"/>
      <c r="N390" s="309"/>
      <c r="O390" s="309"/>
      <c r="P390" s="309"/>
      <c r="Q390" s="309"/>
      <c r="R390" s="309"/>
      <c r="S390" s="309"/>
    </row>
    <row r="391" spans="1:19" ht="15" customHeight="1" x14ac:dyDescent="0.25">
      <c r="A391" s="727"/>
      <c r="B391" s="309"/>
      <c r="C391" s="309"/>
      <c r="D391" s="309"/>
      <c r="E391" s="309"/>
      <c r="F391" s="309"/>
      <c r="G391" s="309"/>
      <c r="H391" s="309"/>
      <c r="I391" s="309"/>
      <c r="J391" s="309"/>
      <c r="K391" s="309"/>
      <c r="L391" s="309"/>
      <c r="M391" s="309"/>
      <c r="N391" s="309"/>
      <c r="O391" s="309"/>
      <c r="P391" s="309"/>
      <c r="Q391" s="309"/>
      <c r="R391" s="309"/>
      <c r="S391" s="309"/>
    </row>
    <row r="392" spans="1:19" ht="15" customHeight="1" x14ac:dyDescent="0.25">
      <c r="A392" s="727"/>
      <c r="B392" s="309"/>
      <c r="C392" s="309"/>
      <c r="D392" s="309"/>
      <c r="E392" s="309"/>
      <c r="F392" s="309"/>
      <c r="G392" s="309"/>
      <c r="H392" s="309"/>
      <c r="I392" s="309"/>
      <c r="J392" s="309"/>
      <c r="K392" s="309"/>
      <c r="L392" s="309"/>
      <c r="M392" s="309"/>
      <c r="N392" s="309"/>
      <c r="O392" s="309"/>
      <c r="P392" s="309"/>
      <c r="Q392" s="309"/>
      <c r="R392" s="309"/>
      <c r="S392" s="309"/>
    </row>
    <row r="393" spans="1:19" ht="15" customHeight="1" x14ac:dyDescent="0.25">
      <c r="A393" s="727"/>
      <c r="B393" s="309"/>
      <c r="C393" s="309"/>
      <c r="D393" s="309"/>
      <c r="E393" s="309"/>
      <c r="F393" s="309"/>
      <c r="G393" s="309"/>
      <c r="H393" s="309"/>
      <c r="I393" s="309"/>
      <c r="J393" s="309"/>
      <c r="K393" s="309"/>
      <c r="L393" s="309"/>
      <c r="M393" s="309"/>
      <c r="N393" s="309"/>
      <c r="O393" s="309"/>
      <c r="P393" s="309"/>
      <c r="Q393" s="309"/>
      <c r="R393" s="309"/>
      <c r="S393" s="309"/>
    </row>
    <row r="394" spans="1:19" ht="15" customHeight="1" x14ac:dyDescent="0.25">
      <c r="A394" s="317"/>
      <c r="B394" s="309"/>
      <c r="C394" s="309"/>
      <c r="D394" s="309"/>
      <c r="E394" s="652"/>
      <c r="F394" s="309"/>
      <c r="G394" s="309"/>
      <c r="H394" s="309"/>
      <c r="I394" s="309"/>
      <c r="J394" s="309"/>
      <c r="K394" s="309"/>
      <c r="L394" s="309"/>
      <c r="M394" s="309"/>
      <c r="N394" s="309"/>
      <c r="O394" s="309"/>
      <c r="P394" s="309"/>
      <c r="Q394" s="309"/>
      <c r="R394" s="309"/>
      <c r="S394" s="309"/>
    </row>
    <row r="395" spans="1:19" ht="15" customHeight="1" x14ac:dyDescent="0.25">
      <c r="A395" s="727"/>
      <c r="B395" s="309"/>
      <c r="C395" s="309"/>
      <c r="D395" s="309"/>
      <c r="E395" s="309"/>
      <c r="F395" s="309"/>
      <c r="G395" s="309"/>
      <c r="H395" s="309"/>
      <c r="I395" s="309"/>
      <c r="J395" s="309"/>
      <c r="K395" s="309"/>
      <c r="L395" s="309"/>
      <c r="M395" s="309"/>
      <c r="N395" s="309"/>
      <c r="O395" s="309"/>
      <c r="P395" s="309"/>
      <c r="Q395" s="309"/>
      <c r="R395" s="309"/>
      <c r="S395" s="309"/>
    </row>
    <row r="396" spans="1:19" ht="15" customHeight="1" x14ac:dyDescent="0.25">
      <c r="A396" s="727"/>
      <c r="B396" s="309"/>
      <c r="C396" s="309"/>
      <c r="D396" s="309"/>
      <c r="E396" s="309"/>
      <c r="F396" s="309"/>
      <c r="G396" s="309"/>
      <c r="H396" s="309"/>
      <c r="I396" s="309"/>
      <c r="J396" s="309"/>
      <c r="K396" s="309"/>
      <c r="L396" s="309"/>
      <c r="M396" s="309"/>
      <c r="N396" s="309"/>
      <c r="O396" s="309"/>
      <c r="P396" s="309"/>
      <c r="Q396" s="309"/>
      <c r="R396" s="309"/>
      <c r="S396" s="309"/>
    </row>
    <row r="397" spans="1:19" ht="15" customHeight="1" x14ac:dyDescent="0.25">
      <c r="A397" s="727"/>
      <c r="B397" s="309"/>
      <c r="C397" s="309"/>
      <c r="D397" s="309"/>
      <c r="E397" s="309"/>
      <c r="F397" s="309"/>
      <c r="G397" s="309"/>
      <c r="H397" s="309"/>
      <c r="I397" s="309"/>
      <c r="J397" s="309"/>
      <c r="K397" s="309"/>
      <c r="L397" s="309"/>
      <c r="M397" s="309"/>
      <c r="N397" s="309"/>
      <c r="O397" s="309"/>
      <c r="P397" s="309"/>
      <c r="Q397" s="309"/>
      <c r="R397" s="309"/>
      <c r="S397" s="309"/>
    </row>
    <row r="398" spans="1:19" ht="15" customHeight="1" x14ac:dyDescent="0.25">
      <c r="A398" s="727"/>
      <c r="B398" s="309"/>
      <c r="C398" s="309"/>
      <c r="D398" s="309"/>
      <c r="E398" s="309"/>
      <c r="F398" s="309"/>
      <c r="G398" s="309"/>
      <c r="H398" s="309"/>
      <c r="I398" s="309"/>
      <c r="J398" s="309"/>
      <c r="K398" s="309"/>
      <c r="L398" s="309"/>
      <c r="M398" s="309"/>
      <c r="N398" s="309"/>
      <c r="O398" s="309"/>
      <c r="P398" s="309"/>
      <c r="Q398" s="309"/>
      <c r="R398" s="309"/>
      <c r="S398" s="309"/>
    </row>
    <row r="399" spans="1:19" ht="15" customHeight="1" x14ac:dyDescent="0.25">
      <c r="A399" s="727"/>
      <c r="B399" s="309"/>
      <c r="C399" s="309"/>
      <c r="D399" s="309"/>
      <c r="E399" s="309"/>
      <c r="F399" s="309"/>
      <c r="G399" s="309"/>
      <c r="H399" s="309"/>
      <c r="I399" s="309"/>
      <c r="J399" s="309"/>
      <c r="K399" s="309"/>
      <c r="L399" s="309"/>
      <c r="M399" s="309"/>
      <c r="N399" s="309"/>
      <c r="O399" s="309"/>
      <c r="P399" s="309"/>
      <c r="Q399" s="309"/>
      <c r="R399" s="309"/>
      <c r="S399" s="309"/>
    </row>
    <row r="400" spans="1:19" ht="15" customHeight="1" x14ac:dyDescent="0.25">
      <c r="A400" s="317"/>
      <c r="B400" s="309"/>
      <c r="C400" s="309"/>
      <c r="D400" s="652"/>
      <c r="E400" s="309"/>
      <c r="F400" s="309"/>
      <c r="G400" s="309"/>
      <c r="H400" s="309"/>
      <c r="I400" s="309"/>
      <c r="J400" s="309"/>
      <c r="K400" s="309"/>
      <c r="L400" s="309"/>
      <c r="M400" s="309"/>
      <c r="N400" s="309"/>
      <c r="O400" s="309"/>
      <c r="P400" s="309"/>
      <c r="Q400" s="309"/>
      <c r="R400" s="309"/>
      <c r="S400" s="309"/>
    </row>
    <row r="401" spans="1:19" ht="15" customHeight="1" x14ac:dyDescent="0.25">
      <c r="A401" s="727"/>
      <c r="B401" s="309"/>
      <c r="C401" s="309"/>
      <c r="D401" s="309"/>
      <c r="E401" s="309"/>
      <c r="F401" s="309"/>
      <c r="G401" s="309"/>
      <c r="H401" s="309"/>
      <c r="I401" s="309"/>
      <c r="J401" s="309"/>
      <c r="K401" s="309"/>
      <c r="L401" s="309"/>
      <c r="M401" s="309"/>
      <c r="N401" s="309"/>
      <c r="O401" s="309"/>
      <c r="P401" s="309"/>
      <c r="Q401" s="309"/>
      <c r="R401" s="309"/>
      <c r="S401" s="309"/>
    </row>
    <row r="402" spans="1:19" ht="15" customHeight="1" x14ac:dyDescent="0.25">
      <c r="A402" s="317"/>
      <c r="B402" s="309"/>
      <c r="C402" s="652"/>
      <c r="D402" s="309"/>
      <c r="E402" s="309"/>
      <c r="F402" s="309"/>
      <c r="G402" s="309"/>
      <c r="H402" s="309"/>
      <c r="I402" s="309"/>
      <c r="J402" s="309"/>
      <c r="K402" s="309"/>
      <c r="L402" s="309"/>
      <c r="M402" s="309"/>
      <c r="N402" s="309"/>
      <c r="O402" s="309"/>
      <c r="P402" s="309"/>
      <c r="Q402" s="309"/>
      <c r="R402" s="309"/>
      <c r="S402" s="309"/>
    </row>
    <row r="403" spans="1:19" ht="15" customHeight="1" x14ac:dyDescent="0.25">
      <c r="A403" s="727"/>
      <c r="B403" s="309"/>
      <c r="C403" s="309"/>
      <c r="D403" s="309"/>
      <c r="E403" s="309"/>
      <c r="F403" s="309"/>
      <c r="G403" s="309"/>
      <c r="H403" s="309"/>
      <c r="I403" s="309"/>
      <c r="J403" s="309"/>
      <c r="K403" s="309"/>
      <c r="L403" s="309"/>
      <c r="M403" s="309"/>
      <c r="N403" s="309"/>
      <c r="O403" s="309"/>
      <c r="P403" s="309"/>
      <c r="Q403" s="309"/>
      <c r="R403" s="309"/>
      <c r="S403" s="309"/>
    </row>
    <row r="404" spans="1:19" ht="15" customHeight="1" x14ac:dyDescent="0.25">
      <c r="A404" s="727"/>
      <c r="B404" s="309"/>
      <c r="C404" s="309"/>
      <c r="D404" s="309"/>
      <c r="E404" s="309"/>
      <c r="F404" s="309"/>
      <c r="G404" s="309"/>
      <c r="H404" s="309"/>
      <c r="I404" s="309"/>
      <c r="J404" s="309"/>
      <c r="K404" s="309"/>
      <c r="L404" s="309"/>
      <c r="M404" s="309"/>
      <c r="N404" s="309"/>
      <c r="O404" s="309"/>
      <c r="P404" s="309"/>
      <c r="Q404" s="309"/>
      <c r="R404" s="309"/>
      <c r="S404" s="309"/>
    </row>
    <row r="405" spans="1:19" ht="15" customHeight="1" x14ac:dyDescent="0.25">
      <c r="A405" s="727"/>
      <c r="B405" s="309"/>
      <c r="C405" s="309"/>
      <c r="D405" s="309"/>
      <c r="E405" s="309"/>
      <c r="F405" s="309"/>
      <c r="G405" s="309"/>
      <c r="H405" s="309"/>
      <c r="I405" s="309"/>
      <c r="J405" s="309"/>
      <c r="K405" s="309"/>
      <c r="L405" s="309"/>
      <c r="M405" s="309"/>
      <c r="N405" s="309"/>
      <c r="O405" s="309"/>
      <c r="P405" s="309"/>
      <c r="Q405" s="309"/>
      <c r="R405" s="309"/>
      <c r="S405" s="309"/>
    </row>
    <row r="406" spans="1:19" ht="15" customHeight="1" x14ac:dyDescent="0.25">
      <c r="A406" s="727"/>
      <c r="B406" s="309"/>
      <c r="C406" s="309"/>
      <c r="D406" s="309"/>
      <c r="E406" s="309"/>
      <c r="F406" s="309"/>
      <c r="G406" s="309"/>
      <c r="H406" s="309"/>
      <c r="I406" s="309"/>
      <c r="J406" s="309"/>
      <c r="K406" s="309"/>
      <c r="L406" s="309"/>
      <c r="M406" s="309"/>
      <c r="N406" s="309"/>
      <c r="O406" s="309"/>
      <c r="P406" s="309"/>
      <c r="Q406" s="309"/>
      <c r="R406" s="309"/>
      <c r="S406" s="309"/>
    </row>
    <row r="407" spans="1:19" ht="15" customHeight="1" x14ac:dyDescent="0.25">
      <c r="A407" s="727"/>
      <c r="B407" s="309"/>
      <c r="C407" s="309"/>
      <c r="D407" s="309"/>
      <c r="E407" s="309"/>
      <c r="F407" s="309"/>
      <c r="G407" s="309"/>
      <c r="H407" s="309"/>
      <c r="I407" s="309"/>
      <c r="J407" s="309"/>
      <c r="K407" s="309"/>
      <c r="L407" s="309"/>
      <c r="M407" s="309"/>
      <c r="N407" s="309"/>
      <c r="O407" s="309"/>
      <c r="P407" s="309"/>
      <c r="Q407" s="309"/>
      <c r="R407" s="309"/>
      <c r="S407" s="309"/>
    </row>
    <row r="408" spans="1:19" ht="15" customHeight="1" x14ac:dyDescent="0.25">
      <c r="A408" s="317"/>
      <c r="B408" s="652"/>
      <c r="C408" s="309"/>
      <c r="D408" s="309"/>
      <c r="E408" s="309"/>
      <c r="F408" s="309"/>
      <c r="G408" s="309"/>
      <c r="H408" s="309"/>
      <c r="I408" s="309"/>
      <c r="J408" s="309"/>
      <c r="K408" s="309"/>
      <c r="L408" s="309"/>
      <c r="M408" s="309"/>
      <c r="N408" s="309"/>
      <c r="O408" s="309"/>
      <c r="P408" s="309"/>
      <c r="Q408" s="309"/>
      <c r="R408" s="309"/>
      <c r="S408" s="309"/>
    </row>
    <row r="409" spans="1:19" ht="15" customHeight="1" x14ac:dyDescent="0.25">
      <c r="A409" s="727"/>
      <c r="B409" s="309"/>
      <c r="C409" s="309"/>
      <c r="D409" s="309"/>
      <c r="E409" s="309"/>
      <c r="F409" s="309"/>
      <c r="G409" s="309"/>
      <c r="H409" s="309"/>
      <c r="I409" s="309"/>
      <c r="J409" s="309"/>
      <c r="K409" s="309"/>
      <c r="L409" s="309"/>
      <c r="M409" s="309"/>
      <c r="N409" s="309"/>
      <c r="O409" s="309"/>
      <c r="P409" s="309"/>
      <c r="Q409" s="309"/>
      <c r="R409" s="309"/>
      <c r="S409" s="309"/>
    </row>
    <row r="410" spans="1:19" ht="15" customHeight="1" x14ac:dyDescent="0.25">
      <c r="A410" s="727"/>
      <c r="B410" s="309"/>
      <c r="C410" s="309"/>
      <c r="D410" s="309"/>
      <c r="E410" s="309"/>
      <c r="F410" s="309"/>
      <c r="G410" s="309"/>
      <c r="H410" s="309"/>
      <c r="I410" s="309"/>
      <c r="J410" s="309"/>
      <c r="K410" s="309"/>
      <c r="L410" s="309"/>
      <c r="M410" s="309"/>
      <c r="N410" s="309"/>
      <c r="O410" s="309"/>
      <c r="P410" s="309"/>
      <c r="Q410" s="309"/>
      <c r="R410" s="309"/>
      <c r="S410" s="309"/>
    </row>
    <row r="411" spans="1:19" ht="15" customHeight="1" x14ac:dyDescent="0.25">
      <c r="A411" s="727"/>
      <c r="B411" s="309"/>
      <c r="C411" s="309"/>
      <c r="D411" s="309"/>
      <c r="E411" s="309"/>
      <c r="F411" s="309"/>
      <c r="G411" s="309"/>
      <c r="H411" s="309"/>
      <c r="I411" s="309"/>
      <c r="J411" s="309"/>
      <c r="K411" s="309"/>
      <c r="L411" s="309"/>
      <c r="M411" s="309"/>
      <c r="N411" s="309"/>
      <c r="O411" s="309"/>
      <c r="P411" s="309"/>
      <c r="Q411" s="309"/>
      <c r="R411" s="309"/>
      <c r="S411" s="309"/>
    </row>
    <row r="412" spans="1:19" ht="15" customHeight="1" x14ac:dyDescent="0.25">
      <c r="A412" s="727"/>
      <c r="B412" s="309"/>
      <c r="C412" s="309"/>
      <c r="D412" s="309"/>
      <c r="E412" s="309"/>
      <c r="F412" s="309"/>
      <c r="G412" s="309"/>
      <c r="H412" s="309"/>
      <c r="I412" s="309"/>
      <c r="J412" s="309"/>
      <c r="K412" s="309"/>
      <c r="L412" s="309"/>
      <c r="M412" s="309"/>
      <c r="N412" s="309"/>
      <c r="O412" s="309"/>
      <c r="P412" s="309"/>
      <c r="Q412" s="309"/>
      <c r="R412" s="309"/>
      <c r="S412" s="309"/>
    </row>
    <row r="413" spans="1:19" ht="15" customHeight="1" x14ac:dyDescent="0.25">
      <c r="A413" s="727"/>
      <c r="B413" s="309"/>
      <c r="C413" s="309"/>
      <c r="D413" s="309"/>
      <c r="E413" s="309"/>
      <c r="F413" s="309"/>
      <c r="G413" s="309"/>
      <c r="H413" s="309"/>
      <c r="I413" s="309"/>
      <c r="J413" s="309"/>
      <c r="K413" s="309"/>
      <c r="L413" s="309"/>
      <c r="M413" s="309"/>
      <c r="N413" s="309"/>
      <c r="O413" s="309"/>
      <c r="P413" s="309"/>
      <c r="Q413" s="309"/>
      <c r="R413" s="309"/>
      <c r="S413" s="309"/>
    </row>
    <row r="414" spans="1:19" ht="15" customHeight="1" x14ac:dyDescent="0.25">
      <c r="A414" s="727"/>
      <c r="B414" s="309"/>
      <c r="C414" s="309"/>
      <c r="D414" s="309"/>
      <c r="E414" s="309"/>
      <c r="F414" s="309"/>
      <c r="G414" s="309"/>
      <c r="H414" s="309"/>
      <c r="I414" s="309"/>
      <c r="J414" s="309"/>
      <c r="K414" s="309"/>
      <c r="L414" s="309"/>
      <c r="M414" s="309"/>
      <c r="N414" s="309"/>
      <c r="O414" s="309"/>
      <c r="P414" s="309"/>
      <c r="Q414" s="309"/>
      <c r="R414" s="309"/>
      <c r="S414" s="309"/>
    </row>
    <row r="415" spans="1:19" ht="15" customHeight="1" x14ac:dyDescent="0.25">
      <c r="A415" s="727"/>
      <c r="B415" s="309"/>
      <c r="C415" s="309"/>
      <c r="D415" s="309"/>
      <c r="E415" s="309"/>
      <c r="F415" s="309"/>
      <c r="G415" s="309"/>
      <c r="H415" s="309"/>
      <c r="I415" s="309"/>
      <c r="J415" s="309"/>
      <c r="K415" s="309"/>
      <c r="L415" s="309"/>
      <c r="M415" s="309"/>
      <c r="N415" s="309"/>
      <c r="O415" s="309"/>
      <c r="P415" s="309"/>
      <c r="Q415" s="309"/>
      <c r="R415" s="309"/>
      <c r="S415" s="309"/>
    </row>
    <row r="416" spans="1:19" ht="15" customHeight="1" x14ac:dyDescent="0.25">
      <c r="A416" s="727"/>
      <c r="B416" s="309"/>
      <c r="C416" s="309"/>
      <c r="D416" s="309"/>
      <c r="E416" s="309"/>
      <c r="F416" s="309"/>
      <c r="G416" s="309"/>
      <c r="H416" s="309"/>
      <c r="I416" s="309"/>
      <c r="J416" s="309"/>
      <c r="K416" s="309"/>
      <c r="L416" s="309"/>
      <c r="M416" s="309"/>
      <c r="N416" s="309"/>
      <c r="O416" s="309"/>
      <c r="P416" s="309"/>
      <c r="Q416" s="309"/>
      <c r="R416" s="309"/>
      <c r="S416" s="309"/>
    </row>
    <row r="417" spans="1:19" ht="15" customHeight="1" x14ac:dyDescent="0.25">
      <c r="A417" s="727"/>
      <c r="B417" s="309"/>
      <c r="C417" s="309"/>
      <c r="D417" s="309"/>
      <c r="E417" s="309"/>
      <c r="F417" s="309"/>
      <c r="G417" s="309"/>
      <c r="H417" s="309"/>
      <c r="I417" s="309"/>
      <c r="J417" s="309"/>
      <c r="K417" s="309"/>
      <c r="L417" s="309"/>
      <c r="M417" s="309"/>
      <c r="N417" s="309"/>
      <c r="O417" s="309"/>
      <c r="P417" s="309"/>
      <c r="Q417" s="309"/>
      <c r="R417" s="309"/>
      <c r="S417" s="309"/>
    </row>
    <row r="418" spans="1:19" ht="15" customHeight="1" x14ac:dyDescent="0.25">
      <c r="A418" s="727"/>
      <c r="B418" s="309"/>
      <c r="C418" s="309"/>
      <c r="D418" s="309"/>
      <c r="E418" s="309"/>
      <c r="F418" s="309"/>
      <c r="G418" s="309"/>
      <c r="H418" s="309"/>
      <c r="I418" s="309"/>
      <c r="J418" s="309"/>
      <c r="K418" s="309"/>
      <c r="L418" s="309"/>
      <c r="M418" s="309"/>
      <c r="N418" s="309"/>
      <c r="O418" s="309"/>
      <c r="P418" s="309"/>
      <c r="Q418" s="309"/>
      <c r="R418" s="309"/>
      <c r="S418" s="309"/>
    </row>
    <row r="419" spans="1:19" ht="15" customHeight="1" x14ac:dyDescent="0.25">
      <c r="A419" s="727"/>
      <c r="B419" s="309"/>
      <c r="C419" s="309"/>
      <c r="D419" s="309"/>
      <c r="E419" s="309"/>
      <c r="F419" s="309"/>
      <c r="G419" s="309"/>
      <c r="H419" s="309"/>
      <c r="I419" s="309"/>
      <c r="J419" s="309"/>
      <c r="K419" s="309"/>
      <c r="L419" s="309"/>
      <c r="M419" s="309"/>
      <c r="N419" s="309"/>
      <c r="O419" s="309"/>
      <c r="P419" s="309"/>
      <c r="Q419" s="309"/>
      <c r="R419" s="309"/>
      <c r="S419" s="309"/>
    </row>
    <row r="420" spans="1:19" ht="15" customHeight="1" x14ac:dyDescent="0.25">
      <c r="A420" s="727"/>
      <c r="B420" s="309"/>
      <c r="C420" s="309"/>
      <c r="D420" s="309"/>
      <c r="E420" s="309"/>
      <c r="F420" s="309"/>
      <c r="G420" s="309"/>
      <c r="H420" s="309"/>
      <c r="I420" s="309"/>
      <c r="J420" s="309"/>
      <c r="K420" s="309"/>
      <c r="L420" s="309"/>
      <c r="M420" s="309"/>
      <c r="N420" s="309"/>
      <c r="O420" s="309"/>
      <c r="P420" s="309"/>
      <c r="Q420" s="309"/>
      <c r="R420" s="309"/>
      <c r="S420" s="309"/>
    </row>
    <row r="421" spans="1:19" ht="15" customHeight="1" x14ac:dyDescent="0.25">
      <c r="A421" s="727"/>
      <c r="B421" s="309"/>
      <c r="C421" s="652"/>
      <c r="D421" s="309"/>
      <c r="E421" s="309"/>
      <c r="F421" s="309"/>
      <c r="G421" s="309"/>
      <c r="H421" s="309"/>
      <c r="I421" s="309"/>
      <c r="J421" s="309"/>
      <c r="K421" s="309"/>
      <c r="L421" s="309"/>
      <c r="M421" s="309"/>
      <c r="N421" s="309"/>
      <c r="O421" s="309"/>
      <c r="P421" s="309"/>
      <c r="Q421" s="309"/>
      <c r="R421" s="309"/>
      <c r="S421" s="309"/>
    </row>
    <row r="422" spans="1:19" ht="15" customHeight="1" x14ac:dyDescent="0.25">
      <c r="A422" s="727"/>
      <c r="B422" s="309"/>
      <c r="C422" s="309"/>
      <c r="D422" s="309"/>
      <c r="E422" s="309"/>
      <c r="F422" s="309"/>
      <c r="G422" s="309"/>
      <c r="H422" s="309"/>
      <c r="I422" s="309"/>
      <c r="J422" s="309"/>
      <c r="K422" s="309"/>
      <c r="L422" s="309"/>
      <c r="M422" s="309"/>
      <c r="N422" s="309"/>
      <c r="O422" s="309"/>
      <c r="P422" s="309"/>
      <c r="Q422" s="309"/>
      <c r="R422" s="309"/>
      <c r="S422" s="309"/>
    </row>
    <row r="423" spans="1:19" ht="15" customHeight="1" x14ac:dyDescent="0.25">
      <c r="A423" s="727"/>
      <c r="B423" s="309"/>
      <c r="C423" s="309"/>
      <c r="D423" s="309"/>
      <c r="E423" s="309"/>
      <c r="F423" s="309"/>
      <c r="G423" s="309"/>
      <c r="H423" s="309"/>
      <c r="I423" s="309"/>
      <c r="J423" s="309"/>
      <c r="K423" s="309"/>
      <c r="L423" s="309"/>
      <c r="M423" s="309"/>
      <c r="N423" s="309"/>
      <c r="O423" s="309"/>
      <c r="P423" s="309"/>
      <c r="Q423" s="309"/>
      <c r="R423" s="309"/>
      <c r="S423" s="309"/>
    </row>
    <row r="424" spans="1:19" ht="15" customHeight="1" x14ac:dyDescent="0.25">
      <c r="A424" s="727"/>
      <c r="B424" s="309"/>
      <c r="C424" s="309"/>
      <c r="D424" s="309"/>
      <c r="E424" s="309"/>
      <c r="F424" s="309"/>
      <c r="G424" s="309"/>
      <c r="H424" s="309"/>
      <c r="I424" s="309"/>
      <c r="J424" s="309"/>
      <c r="K424" s="309"/>
      <c r="L424" s="309"/>
      <c r="M424" s="309"/>
      <c r="N424" s="309"/>
      <c r="O424" s="309"/>
      <c r="P424" s="309"/>
      <c r="Q424" s="309"/>
      <c r="R424" s="309"/>
      <c r="S424" s="309"/>
    </row>
    <row r="425" spans="1:19" ht="15" customHeight="1" x14ac:dyDescent="0.25">
      <c r="A425" s="727"/>
      <c r="B425" s="309"/>
      <c r="C425" s="309"/>
      <c r="D425" s="309"/>
      <c r="E425" s="309"/>
      <c r="F425" s="309"/>
      <c r="G425" s="309"/>
      <c r="H425" s="309"/>
      <c r="I425" s="309"/>
      <c r="J425" s="309"/>
      <c r="K425" s="309"/>
      <c r="L425" s="309"/>
      <c r="M425" s="309"/>
      <c r="N425" s="309"/>
      <c r="O425" s="309"/>
      <c r="P425" s="309"/>
      <c r="Q425" s="309"/>
      <c r="R425" s="309"/>
      <c r="S425" s="309"/>
    </row>
    <row r="426" spans="1:19" ht="15" customHeight="1" x14ac:dyDescent="0.25">
      <c r="A426" s="727"/>
      <c r="B426" s="309"/>
      <c r="C426" s="309"/>
      <c r="D426" s="309"/>
      <c r="E426" s="309"/>
      <c r="F426" s="309"/>
      <c r="G426" s="309"/>
      <c r="H426" s="309"/>
      <c r="I426" s="309"/>
      <c r="J426" s="309"/>
      <c r="K426" s="309"/>
      <c r="L426" s="309"/>
      <c r="M426" s="309"/>
      <c r="N426" s="309"/>
      <c r="O426" s="309"/>
      <c r="P426" s="309"/>
      <c r="Q426" s="309"/>
      <c r="R426" s="309"/>
      <c r="S426" s="309"/>
    </row>
    <row r="427" spans="1:19" ht="15" customHeight="1" x14ac:dyDescent="0.25">
      <c r="A427" s="727"/>
      <c r="B427" s="309"/>
      <c r="C427" s="309"/>
      <c r="D427" s="317"/>
      <c r="E427" s="309"/>
      <c r="F427" s="309"/>
      <c r="G427" s="309"/>
      <c r="H427" s="309"/>
      <c r="I427" s="309"/>
      <c r="J427" s="309"/>
      <c r="K427" s="309"/>
      <c r="L427" s="309"/>
      <c r="M427" s="309"/>
      <c r="N427" s="309"/>
      <c r="O427" s="309"/>
      <c r="P427" s="309"/>
      <c r="Q427" s="309"/>
      <c r="R427" s="309"/>
      <c r="S427" s="309"/>
    </row>
    <row r="428" spans="1:19" ht="15" customHeight="1" x14ac:dyDescent="0.25">
      <c r="A428" s="727"/>
      <c r="B428" s="309"/>
      <c r="C428" s="309"/>
      <c r="D428" s="309"/>
      <c r="E428" s="309"/>
      <c r="F428" s="309"/>
      <c r="G428" s="309"/>
      <c r="H428" s="309"/>
      <c r="I428" s="309"/>
      <c r="J428" s="309"/>
      <c r="K428" s="309"/>
      <c r="L428" s="309"/>
      <c r="M428" s="309"/>
      <c r="N428" s="309"/>
      <c r="O428" s="309"/>
      <c r="P428" s="309"/>
      <c r="Q428" s="309"/>
      <c r="R428" s="309"/>
      <c r="S428" s="309"/>
    </row>
    <row r="429" spans="1:19" ht="15" customHeight="1" x14ac:dyDescent="0.25">
      <c r="A429" s="727"/>
      <c r="B429" s="309"/>
      <c r="C429" s="309"/>
      <c r="D429" s="309"/>
      <c r="E429" s="309"/>
      <c r="F429" s="309"/>
      <c r="G429" s="309"/>
      <c r="H429" s="309"/>
      <c r="I429" s="309"/>
      <c r="J429" s="309"/>
      <c r="K429" s="309"/>
      <c r="L429" s="309"/>
      <c r="M429" s="309"/>
      <c r="N429" s="309"/>
      <c r="O429" s="309"/>
      <c r="P429" s="309"/>
      <c r="Q429" s="309"/>
      <c r="R429" s="309"/>
      <c r="S429" s="309"/>
    </row>
    <row r="430" spans="1:19" ht="15" customHeight="1" x14ac:dyDescent="0.25">
      <c r="A430" s="727"/>
      <c r="B430" s="309"/>
      <c r="C430" s="309"/>
      <c r="D430" s="309"/>
      <c r="E430" s="309"/>
      <c r="F430" s="309"/>
      <c r="G430" s="309"/>
      <c r="H430" s="309"/>
      <c r="I430" s="309"/>
      <c r="J430" s="309"/>
      <c r="K430" s="309"/>
      <c r="L430" s="309"/>
      <c r="M430" s="309"/>
      <c r="N430" s="309"/>
      <c r="O430" s="309"/>
      <c r="P430" s="309"/>
      <c r="Q430" s="309"/>
      <c r="R430" s="309"/>
      <c r="S430" s="309"/>
    </row>
    <row r="431" spans="1:19" ht="15" customHeight="1" x14ac:dyDescent="0.25">
      <c r="A431" s="727"/>
      <c r="B431" s="309"/>
      <c r="C431" s="309"/>
      <c r="D431" s="309"/>
      <c r="E431" s="309"/>
      <c r="F431" s="309"/>
      <c r="G431" s="309"/>
      <c r="H431" s="309"/>
      <c r="I431" s="309"/>
      <c r="J431" s="309"/>
      <c r="K431" s="309"/>
      <c r="L431" s="309"/>
      <c r="M431" s="309"/>
      <c r="N431" s="309"/>
      <c r="O431" s="309"/>
      <c r="P431" s="309"/>
      <c r="Q431" s="309"/>
      <c r="R431" s="309"/>
      <c r="S431" s="309"/>
    </row>
    <row r="432" spans="1:19" ht="15" customHeight="1" x14ac:dyDescent="0.25">
      <c r="A432" s="727"/>
      <c r="B432" s="309"/>
      <c r="C432" s="309"/>
      <c r="D432" s="309"/>
      <c r="E432" s="309"/>
      <c r="F432" s="309"/>
      <c r="G432" s="309"/>
      <c r="H432" s="309"/>
      <c r="I432" s="309"/>
      <c r="J432" s="309"/>
      <c r="K432" s="309"/>
      <c r="L432" s="309"/>
      <c r="M432" s="309"/>
      <c r="N432" s="309"/>
      <c r="O432" s="309"/>
      <c r="P432" s="309"/>
      <c r="Q432" s="309"/>
      <c r="R432" s="309"/>
      <c r="S432" s="309"/>
    </row>
    <row r="433" spans="1:19" ht="15" customHeight="1" x14ac:dyDescent="0.25">
      <c r="A433" s="727"/>
      <c r="B433" s="309"/>
      <c r="C433" s="309"/>
      <c r="D433" s="309"/>
      <c r="E433" s="309"/>
      <c r="F433" s="309"/>
      <c r="G433" s="309"/>
      <c r="H433" s="309"/>
      <c r="I433" s="309"/>
      <c r="J433" s="309"/>
      <c r="K433" s="309"/>
      <c r="L433" s="309"/>
      <c r="M433" s="309"/>
      <c r="N433" s="309"/>
      <c r="O433" s="309"/>
      <c r="P433" s="309"/>
      <c r="Q433" s="309"/>
      <c r="R433" s="309"/>
      <c r="S433" s="309"/>
    </row>
    <row r="434" spans="1:19" ht="15" customHeight="1" x14ac:dyDescent="0.25">
      <c r="A434" s="727"/>
      <c r="B434" s="309"/>
      <c r="C434" s="309"/>
      <c r="D434" s="309"/>
      <c r="E434" s="309"/>
      <c r="F434" s="309"/>
      <c r="G434" s="309"/>
      <c r="H434" s="309"/>
      <c r="I434" s="309"/>
      <c r="J434" s="309"/>
      <c r="K434" s="309"/>
      <c r="L434" s="309"/>
      <c r="M434" s="309"/>
      <c r="N434" s="309"/>
      <c r="O434" s="309"/>
      <c r="P434" s="309"/>
      <c r="Q434" s="309"/>
      <c r="R434" s="309"/>
      <c r="S434" s="309"/>
    </row>
    <row r="435" spans="1:19" ht="15" customHeight="1" x14ac:dyDescent="0.25">
      <c r="A435" s="727"/>
      <c r="B435" s="309"/>
      <c r="C435" s="309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309"/>
      <c r="P435" s="309"/>
      <c r="Q435" s="309"/>
      <c r="R435" s="309"/>
      <c r="S435" s="309"/>
    </row>
    <row r="436" spans="1:19" ht="15" customHeight="1" x14ac:dyDescent="0.25">
      <c r="A436" s="727"/>
      <c r="B436" s="309"/>
      <c r="C436" s="309"/>
      <c r="D436" s="309"/>
      <c r="E436" s="309"/>
      <c r="F436" s="309"/>
      <c r="G436" s="309"/>
      <c r="H436" s="309"/>
      <c r="I436" s="309"/>
      <c r="J436" s="309"/>
      <c r="K436" s="309"/>
      <c r="L436" s="309"/>
      <c r="M436" s="309"/>
      <c r="N436" s="309"/>
      <c r="O436" s="309"/>
      <c r="P436" s="309"/>
      <c r="Q436" s="309"/>
      <c r="R436" s="309"/>
      <c r="S436" s="309"/>
    </row>
    <row r="437" spans="1:19" ht="15" customHeight="1" x14ac:dyDescent="0.25">
      <c r="A437" s="727"/>
      <c r="B437" s="309"/>
      <c r="C437" s="309"/>
      <c r="D437" s="309"/>
      <c r="E437" s="309"/>
      <c r="F437" s="309"/>
      <c r="G437" s="309"/>
      <c r="H437" s="309"/>
      <c r="I437" s="309"/>
      <c r="J437" s="309"/>
      <c r="K437" s="309"/>
      <c r="L437" s="309"/>
      <c r="M437" s="309"/>
      <c r="N437" s="309"/>
      <c r="O437" s="309"/>
      <c r="P437" s="309"/>
      <c r="Q437" s="309"/>
      <c r="R437" s="309"/>
      <c r="S437" s="309"/>
    </row>
    <row r="438" spans="1:19" ht="15" customHeight="1" x14ac:dyDescent="0.25">
      <c r="A438" s="727"/>
      <c r="B438" s="309"/>
      <c r="C438" s="309"/>
      <c r="D438" s="309"/>
      <c r="E438" s="309"/>
      <c r="F438" s="309"/>
      <c r="G438" s="309"/>
      <c r="H438" s="309"/>
      <c r="I438" s="309"/>
      <c r="J438" s="309"/>
      <c r="K438" s="309"/>
      <c r="L438" s="309"/>
      <c r="M438" s="309"/>
      <c r="N438" s="309"/>
      <c r="O438" s="309"/>
      <c r="P438" s="309"/>
      <c r="Q438" s="309"/>
      <c r="R438" s="309"/>
      <c r="S438" s="309"/>
    </row>
    <row r="439" spans="1:19" ht="15" customHeight="1" x14ac:dyDescent="0.25">
      <c r="A439" s="727"/>
      <c r="B439" s="309"/>
      <c r="C439" s="309"/>
      <c r="D439" s="309"/>
      <c r="E439" s="309"/>
      <c r="F439" s="309"/>
      <c r="G439" s="309"/>
      <c r="H439" s="309"/>
      <c r="I439" s="309"/>
      <c r="J439" s="309"/>
      <c r="K439" s="309"/>
      <c r="L439" s="309"/>
      <c r="M439" s="309"/>
      <c r="N439" s="309"/>
      <c r="O439" s="309"/>
      <c r="P439" s="309"/>
      <c r="Q439" s="309"/>
      <c r="R439" s="309"/>
      <c r="S439" s="309"/>
    </row>
    <row r="440" spans="1:19" ht="15" customHeight="1" x14ac:dyDescent="0.25">
      <c r="A440" s="317"/>
      <c r="B440" s="309"/>
      <c r="C440" s="309"/>
      <c r="D440" s="309"/>
      <c r="E440" s="309"/>
      <c r="F440" s="652"/>
      <c r="G440" s="309"/>
      <c r="H440" s="309"/>
      <c r="I440" s="309"/>
      <c r="J440" s="309"/>
      <c r="K440" s="309"/>
      <c r="L440" s="309"/>
      <c r="M440" s="309"/>
      <c r="N440" s="309"/>
      <c r="O440" s="309"/>
      <c r="P440" s="309"/>
      <c r="Q440" s="309"/>
      <c r="R440" s="309"/>
      <c r="S440" s="309"/>
    </row>
    <row r="441" spans="1:19" ht="15" customHeight="1" x14ac:dyDescent="0.25">
      <c r="A441" s="727"/>
      <c r="B441" s="309"/>
      <c r="C441" s="309"/>
      <c r="D441" s="309"/>
      <c r="E441" s="309"/>
      <c r="F441" s="309"/>
      <c r="G441" s="309"/>
      <c r="H441" s="309"/>
      <c r="I441" s="309"/>
      <c r="J441" s="309"/>
      <c r="K441" s="309"/>
      <c r="L441" s="309"/>
      <c r="M441" s="309"/>
      <c r="N441" s="309"/>
      <c r="O441" s="309"/>
      <c r="P441" s="309"/>
      <c r="Q441" s="309"/>
      <c r="R441" s="309"/>
      <c r="S441" s="309"/>
    </row>
    <row r="442" spans="1:19" ht="15" customHeight="1" x14ac:dyDescent="0.25">
      <c r="A442" s="727"/>
      <c r="B442" s="309"/>
      <c r="C442" s="309"/>
      <c r="D442" s="309"/>
      <c r="E442" s="309"/>
      <c r="F442" s="309"/>
      <c r="G442" s="309"/>
      <c r="H442" s="309"/>
      <c r="I442" s="309"/>
      <c r="J442" s="309"/>
      <c r="K442" s="309"/>
      <c r="L442" s="309"/>
      <c r="M442" s="309"/>
      <c r="N442" s="309"/>
      <c r="O442" s="309"/>
      <c r="P442" s="309"/>
      <c r="Q442" s="309"/>
      <c r="R442" s="309"/>
      <c r="S442" s="309"/>
    </row>
    <row r="443" spans="1:19" ht="15" customHeight="1" x14ac:dyDescent="0.25">
      <c r="A443" s="727"/>
      <c r="B443" s="309"/>
      <c r="C443" s="309"/>
      <c r="D443" s="309"/>
      <c r="E443" s="309"/>
      <c r="F443" s="309"/>
      <c r="G443" s="309"/>
      <c r="H443" s="309"/>
      <c r="I443" s="309"/>
      <c r="J443" s="309"/>
      <c r="K443" s="309"/>
      <c r="L443" s="309"/>
      <c r="M443" s="309"/>
      <c r="N443" s="309"/>
      <c r="O443" s="309"/>
      <c r="P443" s="309"/>
      <c r="Q443" s="309"/>
      <c r="R443" s="309"/>
      <c r="S443" s="309"/>
    </row>
    <row r="444" spans="1:19" ht="15" customHeight="1" x14ac:dyDescent="0.25">
      <c r="A444" s="317"/>
      <c r="B444" s="309"/>
      <c r="C444" s="309"/>
      <c r="D444" s="309"/>
      <c r="E444" s="652"/>
      <c r="F444" s="309"/>
      <c r="G444" s="309"/>
      <c r="H444" s="309"/>
      <c r="I444" s="309"/>
      <c r="J444" s="309"/>
      <c r="K444" s="309"/>
      <c r="L444" s="309"/>
      <c r="M444" s="309"/>
      <c r="N444" s="309"/>
      <c r="O444" s="309"/>
      <c r="P444" s="309"/>
      <c r="Q444" s="309"/>
      <c r="R444" s="309"/>
      <c r="S444" s="309"/>
    </row>
    <row r="445" spans="1:19" ht="15" customHeight="1" x14ac:dyDescent="0.25">
      <c r="A445" s="727"/>
      <c r="B445" s="309"/>
      <c r="C445" s="309"/>
      <c r="D445" s="309"/>
      <c r="E445" s="309"/>
      <c r="F445" s="309"/>
      <c r="G445" s="309"/>
      <c r="H445" s="309"/>
      <c r="I445" s="309"/>
      <c r="J445" s="309"/>
      <c r="K445" s="309"/>
      <c r="L445" s="309"/>
      <c r="M445" s="309"/>
      <c r="N445" s="309"/>
      <c r="O445" s="309"/>
      <c r="P445" s="309"/>
      <c r="Q445" s="309"/>
      <c r="R445" s="309"/>
      <c r="S445" s="309"/>
    </row>
    <row r="446" spans="1:19" ht="15" customHeight="1" x14ac:dyDescent="0.25">
      <c r="A446" s="727"/>
      <c r="B446" s="309"/>
      <c r="C446" s="309"/>
      <c r="D446" s="309"/>
      <c r="E446" s="309"/>
      <c r="F446" s="309"/>
      <c r="G446" s="309"/>
      <c r="H446" s="309"/>
      <c r="I446" s="309"/>
      <c r="J446" s="309"/>
      <c r="K446" s="309"/>
      <c r="L446" s="309"/>
      <c r="M446" s="309"/>
      <c r="N446" s="309"/>
      <c r="O446" s="309"/>
      <c r="P446" s="309"/>
      <c r="Q446" s="309"/>
      <c r="R446" s="309"/>
      <c r="S446" s="309"/>
    </row>
    <row r="447" spans="1:19" ht="15" customHeight="1" x14ac:dyDescent="0.25">
      <c r="A447" s="727"/>
      <c r="B447" s="309"/>
      <c r="C447" s="309"/>
      <c r="D447" s="309"/>
      <c r="E447" s="309"/>
      <c r="F447" s="309"/>
      <c r="G447" s="309"/>
      <c r="H447" s="309"/>
      <c r="I447" s="309"/>
      <c r="J447" s="309"/>
      <c r="K447" s="309"/>
      <c r="L447" s="309"/>
      <c r="M447" s="309"/>
      <c r="N447" s="309"/>
      <c r="O447" s="309"/>
      <c r="P447" s="309"/>
      <c r="Q447" s="309"/>
      <c r="R447" s="309"/>
      <c r="S447" s="309"/>
    </row>
    <row r="448" spans="1:19" ht="15" customHeight="1" x14ac:dyDescent="0.25">
      <c r="A448" s="727"/>
      <c r="B448" s="309"/>
      <c r="C448" s="309"/>
      <c r="D448" s="317"/>
      <c r="E448" s="309"/>
      <c r="F448" s="309"/>
      <c r="G448" s="309"/>
      <c r="H448" s="309"/>
      <c r="I448" s="309"/>
      <c r="J448" s="309"/>
      <c r="K448" s="309"/>
      <c r="L448" s="309"/>
      <c r="M448" s="309"/>
      <c r="N448" s="309"/>
      <c r="O448" s="309"/>
      <c r="P448" s="309"/>
      <c r="Q448" s="309"/>
      <c r="R448" s="309"/>
      <c r="S448" s="309"/>
    </row>
    <row r="449" spans="1:19" ht="15" customHeight="1" x14ac:dyDescent="0.25">
      <c r="A449" s="727"/>
      <c r="B449" s="309"/>
      <c r="C449" s="309"/>
      <c r="D449" s="309"/>
      <c r="E449" s="309"/>
      <c r="F449" s="309"/>
      <c r="G449" s="309"/>
      <c r="H449" s="309"/>
      <c r="I449" s="309"/>
      <c r="J449" s="309"/>
      <c r="K449" s="309"/>
      <c r="L449" s="309"/>
      <c r="M449" s="309"/>
      <c r="N449" s="309"/>
      <c r="O449" s="309"/>
      <c r="P449" s="309"/>
      <c r="Q449" s="309"/>
      <c r="R449" s="309"/>
      <c r="S449" s="309"/>
    </row>
    <row r="450" spans="1:19" ht="15" customHeight="1" x14ac:dyDescent="0.25">
      <c r="A450" s="727"/>
      <c r="B450" s="309"/>
      <c r="C450" s="309"/>
      <c r="D450" s="309"/>
      <c r="E450" s="309"/>
      <c r="F450" s="309"/>
      <c r="G450" s="309"/>
      <c r="H450" s="309"/>
      <c r="I450" s="309"/>
      <c r="J450" s="309"/>
      <c r="K450" s="309"/>
      <c r="L450" s="309"/>
      <c r="M450" s="309"/>
      <c r="N450" s="309"/>
      <c r="O450" s="309"/>
      <c r="P450" s="309"/>
      <c r="Q450" s="309"/>
      <c r="R450" s="309"/>
      <c r="S450" s="309"/>
    </row>
    <row r="451" spans="1:19" ht="15" customHeight="1" x14ac:dyDescent="0.25">
      <c r="A451" s="727"/>
      <c r="B451" s="309"/>
      <c r="C451" s="309"/>
      <c r="D451" s="317"/>
      <c r="E451" s="652"/>
      <c r="F451" s="309"/>
      <c r="G451" s="309"/>
      <c r="H451" s="309"/>
      <c r="I451" s="309"/>
      <c r="J451" s="309"/>
      <c r="K451" s="309"/>
      <c r="L451" s="309"/>
      <c r="M451" s="309"/>
      <c r="N451" s="309"/>
      <c r="O451" s="309"/>
      <c r="P451" s="309"/>
      <c r="Q451" s="309"/>
      <c r="R451" s="309"/>
      <c r="S451" s="309"/>
    </row>
    <row r="452" spans="1:19" ht="15" customHeight="1" x14ac:dyDescent="0.25">
      <c r="A452" s="317"/>
      <c r="B452" s="309"/>
      <c r="C452" s="309"/>
      <c r="D452" s="652"/>
      <c r="E452" s="652"/>
      <c r="F452" s="309"/>
      <c r="G452" s="309"/>
      <c r="H452" s="309"/>
      <c r="I452" s="309"/>
      <c r="J452" s="309"/>
      <c r="K452" s="309"/>
      <c r="L452" s="309"/>
      <c r="M452" s="309"/>
      <c r="N452" s="309"/>
      <c r="O452" s="309"/>
      <c r="P452" s="309"/>
      <c r="Q452" s="309"/>
      <c r="R452" s="309"/>
      <c r="S452" s="309"/>
    </row>
    <row r="453" spans="1:19" ht="15" customHeight="1" x14ac:dyDescent="0.25">
      <c r="A453" s="727"/>
      <c r="B453" s="309"/>
      <c r="C453" s="309"/>
      <c r="D453" s="317"/>
      <c r="E453" s="652"/>
      <c r="F453" s="309"/>
      <c r="G453" s="309"/>
      <c r="H453" s="309"/>
      <c r="I453" s="309"/>
      <c r="J453" s="309"/>
      <c r="K453" s="309"/>
      <c r="L453" s="309"/>
      <c r="M453" s="309"/>
      <c r="N453" s="309"/>
      <c r="O453" s="309"/>
      <c r="P453" s="309"/>
      <c r="Q453" s="309"/>
      <c r="R453" s="309"/>
      <c r="S453" s="309"/>
    </row>
    <row r="454" spans="1:19" ht="15" customHeight="1" x14ac:dyDescent="0.25">
      <c r="A454" s="727"/>
      <c r="B454" s="309"/>
      <c r="C454" s="309"/>
      <c r="D454" s="309"/>
      <c r="E454" s="309"/>
      <c r="F454" s="309"/>
      <c r="G454" s="309"/>
      <c r="H454" s="309"/>
      <c r="I454" s="309"/>
      <c r="J454" s="309"/>
      <c r="K454" s="309"/>
      <c r="L454" s="309"/>
      <c r="M454" s="309"/>
      <c r="N454" s="309"/>
      <c r="O454" s="309"/>
      <c r="P454" s="309"/>
      <c r="Q454" s="309"/>
      <c r="R454" s="309"/>
      <c r="S454" s="309"/>
    </row>
    <row r="455" spans="1:19" ht="15" customHeight="1" x14ac:dyDescent="0.25">
      <c r="A455" s="727"/>
      <c r="B455" s="309"/>
      <c r="C455" s="309"/>
      <c r="D455" s="309"/>
      <c r="E455" s="309"/>
      <c r="F455" s="309"/>
      <c r="G455" s="309"/>
      <c r="H455" s="309"/>
      <c r="I455" s="309"/>
      <c r="J455" s="309"/>
      <c r="K455" s="309"/>
      <c r="L455" s="309"/>
      <c r="M455" s="309"/>
      <c r="N455" s="309"/>
      <c r="O455" s="309"/>
      <c r="P455" s="309"/>
      <c r="Q455" s="309"/>
      <c r="R455" s="309"/>
      <c r="S455" s="309"/>
    </row>
    <row r="456" spans="1:19" ht="15" customHeight="1" x14ac:dyDescent="0.25">
      <c r="A456" s="727"/>
      <c r="B456" s="309"/>
      <c r="C456" s="309"/>
      <c r="D456" s="309"/>
      <c r="E456" s="309"/>
      <c r="F456" s="309"/>
      <c r="G456" s="309"/>
      <c r="H456" s="309"/>
      <c r="I456" s="309"/>
      <c r="J456" s="309"/>
      <c r="K456" s="309"/>
      <c r="L456" s="309"/>
      <c r="M456" s="309"/>
      <c r="N456" s="309"/>
      <c r="O456" s="309"/>
      <c r="P456" s="309"/>
      <c r="Q456" s="309"/>
      <c r="R456" s="309"/>
      <c r="S456" s="309"/>
    </row>
    <row r="457" spans="1:19" ht="15" customHeight="1" x14ac:dyDescent="0.25">
      <c r="A457" s="727"/>
      <c r="B457" s="309"/>
      <c r="C457" s="309"/>
      <c r="D457" s="309"/>
      <c r="E457" s="309"/>
      <c r="F457" s="309"/>
      <c r="G457" s="309"/>
      <c r="H457" s="309"/>
      <c r="I457" s="309"/>
      <c r="J457" s="309"/>
      <c r="K457" s="309"/>
      <c r="L457" s="309"/>
      <c r="M457" s="309"/>
      <c r="N457" s="309"/>
      <c r="O457" s="309"/>
      <c r="P457" s="309"/>
      <c r="Q457" s="309"/>
      <c r="R457" s="309"/>
      <c r="S457" s="309"/>
    </row>
    <row r="458" spans="1:19" ht="15" customHeight="1" x14ac:dyDescent="0.25">
      <c r="A458" s="727"/>
      <c r="B458" s="309"/>
      <c r="C458" s="309"/>
      <c r="D458" s="309"/>
      <c r="E458" s="309"/>
      <c r="F458" s="309"/>
      <c r="G458" s="309"/>
      <c r="H458" s="309"/>
      <c r="I458" s="309"/>
      <c r="J458" s="309"/>
      <c r="K458" s="309"/>
      <c r="L458" s="309"/>
      <c r="M458" s="309"/>
      <c r="N458" s="309"/>
      <c r="O458" s="309"/>
      <c r="P458" s="309"/>
      <c r="Q458" s="309"/>
      <c r="R458" s="309"/>
      <c r="S458" s="309"/>
    </row>
    <row r="459" spans="1:19" ht="15" customHeight="1" x14ac:dyDescent="0.25">
      <c r="A459" s="727"/>
      <c r="B459" s="309"/>
      <c r="C459" s="309"/>
      <c r="D459" s="309"/>
      <c r="E459" s="309"/>
      <c r="F459" s="309"/>
      <c r="G459" s="309"/>
      <c r="H459" s="309"/>
      <c r="I459" s="309"/>
      <c r="J459" s="309"/>
      <c r="K459" s="309"/>
      <c r="L459" s="309"/>
      <c r="M459" s="309"/>
      <c r="N459" s="309"/>
      <c r="O459" s="309"/>
      <c r="P459" s="309"/>
      <c r="Q459" s="309"/>
      <c r="R459" s="309"/>
      <c r="S459" s="309"/>
    </row>
    <row r="460" spans="1:19" ht="15" customHeight="1" x14ac:dyDescent="0.25">
      <c r="A460" s="727"/>
      <c r="B460" s="309"/>
      <c r="C460" s="309"/>
      <c r="D460" s="309"/>
      <c r="E460" s="309"/>
      <c r="F460" s="309"/>
      <c r="G460" s="309"/>
      <c r="H460" s="309"/>
      <c r="I460" s="309"/>
      <c r="J460" s="309"/>
      <c r="K460" s="309"/>
      <c r="L460" s="309"/>
      <c r="M460" s="309"/>
      <c r="N460" s="309"/>
      <c r="O460" s="309"/>
      <c r="P460" s="309"/>
      <c r="Q460" s="309"/>
      <c r="R460" s="309"/>
      <c r="S460" s="309"/>
    </row>
    <row r="461" spans="1:19" ht="15" customHeight="1" x14ac:dyDescent="0.25">
      <c r="A461" s="317"/>
      <c r="B461" s="652"/>
      <c r="C461" s="309"/>
      <c r="D461" s="309"/>
      <c r="E461" s="309"/>
      <c r="F461" s="309"/>
      <c r="G461" s="309"/>
      <c r="H461" s="309"/>
      <c r="I461" s="309"/>
      <c r="J461" s="309"/>
      <c r="K461" s="309"/>
      <c r="L461" s="309"/>
      <c r="M461" s="309"/>
      <c r="N461" s="309"/>
      <c r="O461" s="309"/>
      <c r="P461" s="309"/>
      <c r="Q461" s="309"/>
      <c r="R461" s="309"/>
      <c r="S461" s="309"/>
    </row>
    <row r="462" spans="1:19" ht="15" customHeight="1" x14ac:dyDescent="0.25">
      <c r="A462" s="727"/>
      <c r="B462" s="309"/>
      <c r="C462" s="309"/>
      <c r="D462" s="309"/>
      <c r="E462" s="309"/>
      <c r="F462" s="309"/>
      <c r="G462" s="309"/>
      <c r="H462" s="309"/>
      <c r="I462" s="309"/>
      <c r="J462" s="309"/>
      <c r="K462" s="309"/>
      <c r="L462" s="309"/>
      <c r="M462" s="309"/>
      <c r="N462" s="309"/>
      <c r="O462" s="309"/>
      <c r="P462" s="309"/>
      <c r="Q462" s="309"/>
      <c r="R462" s="309"/>
      <c r="S462" s="309"/>
    </row>
    <row r="463" spans="1:19" ht="15" customHeight="1" x14ac:dyDescent="0.25">
      <c r="A463" s="727"/>
      <c r="B463" s="309"/>
      <c r="C463" s="309"/>
      <c r="D463" s="309"/>
      <c r="E463" s="309"/>
      <c r="F463" s="309"/>
      <c r="G463" s="309"/>
      <c r="H463" s="309"/>
      <c r="I463" s="309"/>
      <c r="J463" s="309"/>
      <c r="K463" s="309"/>
      <c r="L463" s="309"/>
      <c r="M463" s="309"/>
      <c r="N463" s="309"/>
      <c r="O463" s="309"/>
      <c r="P463" s="309"/>
      <c r="Q463" s="309"/>
      <c r="R463" s="309"/>
      <c r="S463" s="309"/>
    </row>
    <row r="464" spans="1:19" ht="15" customHeight="1" x14ac:dyDescent="0.25">
      <c r="A464" s="727"/>
      <c r="B464" s="309"/>
      <c r="C464" s="309"/>
      <c r="D464" s="309"/>
      <c r="E464" s="309"/>
      <c r="F464" s="309"/>
      <c r="G464" s="309"/>
      <c r="H464" s="309"/>
      <c r="I464" s="309"/>
      <c r="J464" s="309"/>
      <c r="K464" s="309"/>
      <c r="L464" s="309"/>
      <c r="M464" s="309"/>
      <c r="N464" s="309"/>
      <c r="O464" s="309"/>
      <c r="P464" s="309"/>
      <c r="Q464" s="309"/>
      <c r="R464" s="309"/>
      <c r="S464" s="309"/>
    </row>
    <row r="465" spans="1:19" ht="15" customHeight="1" x14ac:dyDescent="0.25">
      <c r="A465" s="727"/>
      <c r="B465" s="309"/>
      <c r="C465" s="309"/>
      <c r="D465" s="309"/>
      <c r="E465" s="309"/>
      <c r="F465" s="309"/>
      <c r="G465" s="309"/>
      <c r="H465" s="309"/>
      <c r="I465" s="309"/>
      <c r="J465" s="309"/>
      <c r="K465" s="309"/>
      <c r="L465" s="309"/>
      <c r="M465" s="309"/>
      <c r="N465" s="309"/>
      <c r="O465" s="309"/>
      <c r="P465" s="309"/>
      <c r="Q465" s="309"/>
      <c r="R465" s="309"/>
      <c r="S465" s="309"/>
    </row>
    <row r="466" spans="1:19" ht="15" customHeight="1" x14ac:dyDescent="0.25">
      <c r="A466" s="727"/>
      <c r="B466" s="309"/>
      <c r="C466" s="309"/>
      <c r="D466" s="309"/>
      <c r="E466" s="309"/>
      <c r="F466" s="309"/>
      <c r="G466" s="309"/>
      <c r="H466" s="309"/>
      <c r="I466" s="309"/>
      <c r="J466" s="309"/>
      <c r="K466" s="309"/>
      <c r="L466" s="309"/>
      <c r="M466" s="309"/>
      <c r="N466" s="309"/>
      <c r="O466" s="309"/>
      <c r="P466" s="309"/>
      <c r="Q466" s="309"/>
      <c r="R466" s="309"/>
      <c r="S466" s="309"/>
    </row>
    <row r="467" spans="1:19" ht="15" customHeight="1" x14ac:dyDescent="0.25">
      <c r="A467" s="727"/>
      <c r="B467" s="309"/>
      <c r="C467" s="309"/>
      <c r="D467" s="309"/>
      <c r="E467" s="309"/>
      <c r="F467" s="309"/>
      <c r="G467" s="309"/>
      <c r="H467" s="309"/>
      <c r="I467" s="309"/>
      <c r="J467" s="309"/>
      <c r="K467" s="309"/>
      <c r="L467" s="309"/>
      <c r="M467" s="309"/>
      <c r="N467" s="309"/>
      <c r="O467" s="309"/>
      <c r="P467" s="309"/>
      <c r="Q467" s="309"/>
      <c r="R467" s="309"/>
      <c r="S467" s="309"/>
    </row>
    <row r="468" spans="1:19" ht="15" customHeight="1" x14ac:dyDescent="0.25">
      <c r="A468" s="727"/>
      <c r="B468" s="309"/>
      <c r="C468" s="309"/>
      <c r="D468" s="309"/>
      <c r="E468" s="309"/>
      <c r="F468" s="309"/>
      <c r="G468" s="309"/>
      <c r="H468" s="309"/>
      <c r="I468" s="309"/>
      <c r="J468" s="309"/>
      <c r="K468" s="309"/>
      <c r="L468" s="309"/>
      <c r="M468" s="309"/>
      <c r="N468" s="309"/>
      <c r="O468" s="309"/>
      <c r="P468" s="309"/>
      <c r="Q468" s="309"/>
      <c r="R468" s="309"/>
      <c r="S468" s="309"/>
    </row>
    <row r="469" spans="1:19" ht="15" customHeight="1" x14ac:dyDescent="0.25">
      <c r="A469" s="727"/>
      <c r="B469" s="309"/>
      <c r="C469" s="309"/>
      <c r="D469" s="309"/>
      <c r="E469" s="309"/>
      <c r="F469" s="309"/>
      <c r="G469" s="309"/>
      <c r="H469" s="309"/>
      <c r="I469" s="309"/>
      <c r="J469" s="309"/>
      <c r="K469" s="309"/>
      <c r="L469" s="309"/>
      <c r="M469" s="309"/>
      <c r="N469" s="309"/>
      <c r="O469" s="309"/>
      <c r="P469" s="309"/>
      <c r="Q469" s="309"/>
      <c r="R469" s="309"/>
      <c r="S469" s="309"/>
    </row>
    <row r="470" spans="1:19" ht="15" customHeight="1" x14ac:dyDescent="0.25">
      <c r="A470" s="727"/>
      <c r="B470" s="309"/>
      <c r="C470" s="309"/>
      <c r="D470" s="309"/>
      <c r="E470" s="309"/>
      <c r="F470" s="309"/>
      <c r="G470" s="309"/>
      <c r="H470" s="309"/>
      <c r="I470" s="309"/>
      <c r="J470" s="309"/>
      <c r="K470" s="309"/>
      <c r="L470" s="309"/>
      <c r="M470" s="309"/>
      <c r="N470" s="309"/>
      <c r="O470" s="309"/>
      <c r="P470" s="309"/>
      <c r="Q470" s="309"/>
      <c r="R470" s="309"/>
      <c r="S470" s="309"/>
    </row>
    <row r="471" spans="1:19" ht="15" customHeight="1" x14ac:dyDescent="0.25">
      <c r="A471" s="727"/>
      <c r="B471" s="309"/>
      <c r="C471" s="309"/>
      <c r="D471" s="309"/>
      <c r="E471" s="309"/>
      <c r="F471" s="309"/>
      <c r="G471" s="309"/>
      <c r="H471" s="309"/>
      <c r="I471" s="309"/>
      <c r="J471" s="309"/>
      <c r="K471" s="309"/>
      <c r="L471" s="309"/>
      <c r="M471" s="309"/>
      <c r="N471" s="309"/>
      <c r="O471" s="309"/>
      <c r="P471" s="309"/>
      <c r="Q471" s="309"/>
      <c r="R471" s="309"/>
      <c r="S471" s="309"/>
    </row>
    <row r="472" spans="1:19" ht="15" customHeight="1" x14ac:dyDescent="0.25">
      <c r="A472" s="727"/>
      <c r="B472" s="309"/>
      <c r="C472" s="309"/>
      <c r="D472" s="309"/>
      <c r="E472" s="309"/>
      <c r="F472" s="309"/>
      <c r="G472" s="309"/>
      <c r="H472" s="309"/>
      <c r="I472" s="309"/>
      <c r="J472" s="309"/>
      <c r="K472" s="309"/>
      <c r="L472" s="309"/>
      <c r="M472" s="309"/>
      <c r="N472" s="309"/>
      <c r="O472" s="309"/>
      <c r="P472" s="309"/>
      <c r="Q472" s="309"/>
      <c r="R472" s="309"/>
      <c r="S472" s="309"/>
    </row>
    <row r="473" spans="1:19" ht="15" customHeight="1" x14ac:dyDescent="0.25">
      <c r="A473" s="727"/>
      <c r="B473" s="309"/>
      <c r="C473" s="309"/>
      <c r="D473" s="309"/>
      <c r="E473" s="309"/>
      <c r="F473" s="309"/>
      <c r="G473" s="309"/>
      <c r="H473" s="309"/>
      <c r="I473" s="309"/>
      <c r="J473" s="309"/>
      <c r="K473" s="309"/>
      <c r="L473" s="309"/>
      <c r="M473" s="309"/>
      <c r="N473" s="309"/>
      <c r="O473" s="309"/>
      <c r="P473" s="309"/>
      <c r="Q473" s="309"/>
      <c r="R473" s="309"/>
      <c r="S473" s="309"/>
    </row>
    <row r="474" spans="1:19" ht="15" customHeight="1" x14ac:dyDescent="0.25">
      <c r="A474" s="727"/>
      <c r="B474" s="309"/>
      <c r="C474" s="309"/>
      <c r="D474" s="309"/>
      <c r="E474" s="309"/>
      <c r="F474" s="309"/>
      <c r="G474" s="309"/>
      <c r="H474" s="309"/>
      <c r="I474" s="309"/>
      <c r="J474" s="309"/>
      <c r="K474" s="309"/>
      <c r="L474" s="309"/>
      <c r="M474" s="309"/>
      <c r="N474" s="309"/>
      <c r="O474" s="309"/>
      <c r="P474" s="309"/>
      <c r="Q474" s="309"/>
      <c r="R474" s="309"/>
      <c r="S474" s="309"/>
    </row>
    <row r="475" spans="1:19" ht="15" customHeight="1" x14ac:dyDescent="0.25">
      <c r="A475" s="727"/>
      <c r="B475" s="309"/>
      <c r="C475" s="309"/>
      <c r="D475" s="309"/>
      <c r="E475" s="309"/>
      <c r="F475" s="309"/>
      <c r="G475" s="309"/>
      <c r="H475" s="309"/>
      <c r="I475" s="309"/>
      <c r="J475" s="309"/>
      <c r="K475" s="309"/>
      <c r="L475" s="309"/>
      <c r="M475" s="309"/>
      <c r="N475" s="309"/>
      <c r="O475" s="309"/>
      <c r="P475" s="309"/>
      <c r="Q475" s="309"/>
      <c r="R475" s="309"/>
      <c r="S475" s="309"/>
    </row>
    <row r="476" spans="1:19" ht="15" customHeight="1" x14ac:dyDescent="0.25">
      <c r="A476" s="727"/>
      <c r="B476" s="309"/>
      <c r="C476" s="309"/>
      <c r="D476" s="309"/>
      <c r="E476" s="309"/>
      <c r="F476" s="309"/>
      <c r="G476" s="309"/>
      <c r="H476" s="309"/>
      <c r="I476" s="309"/>
      <c r="J476" s="309"/>
      <c r="K476" s="309"/>
      <c r="L476" s="309"/>
      <c r="M476" s="309"/>
      <c r="N476" s="309"/>
      <c r="O476" s="309"/>
      <c r="P476" s="309"/>
      <c r="Q476" s="309"/>
      <c r="R476" s="309"/>
      <c r="S476" s="309"/>
    </row>
    <row r="477" spans="1:19" ht="15" customHeight="1" x14ac:dyDescent="0.25">
      <c r="A477" s="727"/>
      <c r="B477" s="309"/>
      <c r="C477" s="309"/>
      <c r="D477" s="309"/>
      <c r="E477" s="309"/>
      <c r="F477" s="309"/>
      <c r="G477" s="309"/>
      <c r="H477" s="309"/>
      <c r="I477" s="309"/>
      <c r="J477" s="309"/>
      <c r="K477" s="309"/>
      <c r="L477" s="309"/>
      <c r="M477" s="309"/>
      <c r="N477" s="309"/>
      <c r="O477" s="309"/>
      <c r="P477" s="309"/>
      <c r="Q477" s="309"/>
      <c r="R477" s="309"/>
      <c r="S477" s="309"/>
    </row>
    <row r="478" spans="1:19" ht="15" customHeight="1" x14ac:dyDescent="0.25">
      <c r="A478" s="727"/>
      <c r="B478" s="309"/>
      <c r="C478" s="309"/>
      <c r="D478" s="309"/>
      <c r="E478" s="309"/>
      <c r="F478" s="309"/>
      <c r="G478" s="309"/>
      <c r="H478" s="309"/>
      <c r="I478" s="309"/>
      <c r="J478" s="309"/>
      <c r="K478" s="309"/>
      <c r="L478" s="309"/>
      <c r="M478" s="309"/>
      <c r="N478" s="309"/>
      <c r="O478" s="309"/>
      <c r="P478" s="309"/>
      <c r="Q478" s="309"/>
      <c r="R478" s="309"/>
      <c r="S478" s="309"/>
    </row>
    <row r="479" spans="1:19" ht="15" customHeight="1" x14ac:dyDescent="0.25">
      <c r="A479" s="727"/>
      <c r="B479" s="309"/>
      <c r="C479" s="309"/>
      <c r="D479" s="309"/>
      <c r="E479" s="309"/>
      <c r="F479" s="309"/>
      <c r="G479" s="309"/>
      <c r="H479" s="309"/>
      <c r="I479" s="309"/>
      <c r="J479" s="309"/>
      <c r="K479" s="309"/>
      <c r="L479" s="309"/>
      <c r="M479" s="309"/>
      <c r="N479" s="309"/>
      <c r="O479" s="309"/>
      <c r="P479" s="309"/>
      <c r="Q479" s="309"/>
      <c r="R479" s="309"/>
      <c r="S479" s="309"/>
    </row>
    <row r="480" spans="1:19" ht="15" customHeight="1" x14ac:dyDescent="0.25">
      <c r="A480" s="727"/>
      <c r="B480" s="309"/>
      <c r="C480" s="309"/>
      <c r="D480" s="309"/>
      <c r="E480" s="309"/>
      <c r="F480" s="309"/>
      <c r="G480" s="309"/>
      <c r="H480" s="309"/>
      <c r="I480" s="309"/>
      <c r="J480" s="309"/>
      <c r="K480" s="309"/>
      <c r="L480" s="309"/>
      <c r="M480" s="309"/>
      <c r="N480" s="309"/>
      <c r="O480" s="309"/>
      <c r="P480" s="309"/>
      <c r="Q480" s="309"/>
      <c r="R480" s="309"/>
      <c r="S480" s="309"/>
    </row>
    <row r="481" spans="1:19" ht="15" customHeight="1" x14ac:dyDescent="0.25">
      <c r="A481" s="727"/>
      <c r="B481" s="309"/>
      <c r="C481" s="309"/>
      <c r="D481" s="309"/>
      <c r="E481" s="309"/>
      <c r="F481" s="309"/>
      <c r="G481" s="309"/>
      <c r="H481" s="309"/>
      <c r="I481" s="309"/>
      <c r="J481" s="309"/>
      <c r="K481" s="309"/>
      <c r="L481" s="309"/>
      <c r="M481" s="309"/>
      <c r="N481" s="309"/>
      <c r="O481" s="309"/>
      <c r="P481" s="309"/>
      <c r="Q481" s="309"/>
      <c r="R481" s="309"/>
      <c r="S481" s="309"/>
    </row>
    <row r="482" spans="1:19" ht="15" customHeight="1" x14ac:dyDescent="0.25">
      <c r="A482" s="727"/>
      <c r="B482" s="309"/>
      <c r="C482" s="309"/>
      <c r="D482" s="309"/>
      <c r="E482" s="309"/>
      <c r="F482" s="309"/>
      <c r="G482" s="309"/>
      <c r="H482" s="309"/>
      <c r="I482" s="309"/>
      <c r="J482" s="309"/>
      <c r="K482" s="309"/>
      <c r="L482" s="309"/>
      <c r="M482" s="309"/>
      <c r="N482" s="309"/>
      <c r="O482" s="309"/>
      <c r="P482" s="309"/>
      <c r="Q482" s="309"/>
      <c r="R482" s="309"/>
      <c r="S482" s="309"/>
    </row>
    <row r="483" spans="1:19" ht="15" customHeight="1" x14ac:dyDescent="0.25">
      <c r="A483" s="727"/>
      <c r="B483" s="309"/>
      <c r="C483" s="309"/>
      <c r="D483" s="309"/>
      <c r="E483" s="309"/>
      <c r="F483" s="309"/>
      <c r="G483" s="309"/>
      <c r="H483" s="309"/>
      <c r="I483" s="309"/>
      <c r="J483" s="309"/>
      <c r="K483" s="309"/>
      <c r="L483" s="309"/>
      <c r="M483" s="309"/>
      <c r="N483" s="309"/>
      <c r="O483" s="309"/>
      <c r="P483" s="309"/>
      <c r="Q483" s="309"/>
      <c r="R483" s="309"/>
      <c r="S483" s="309"/>
    </row>
    <row r="484" spans="1:19" ht="15" customHeight="1" x14ac:dyDescent="0.25">
      <c r="A484" s="727"/>
      <c r="B484" s="309"/>
      <c r="C484" s="309"/>
      <c r="D484" s="309"/>
      <c r="E484" s="309"/>
      <c r="F484" s="309"/>
      <c r="G484" s="309"/>
      <c r="H484" s="309"/>
      <c r="I484" s="309"/>
      <c r="J484" s="309"/>
      <c r="K484" s="309"/>
      <c r="L484" s="309"/>
      <c r="M484" s="309"/>
      <c r="N484" s="309"/>
      <c r="O484" s="309"/>
      <c r="P484" s="309"/>
      <c r="Q484" s="309"/>
      <c r="R484" s="309"/>
      <c r="S484" s="309"/>
    </row>
    <row r="485" spans="1:19" ht="15" customHeight="1" x14ac:dyDescent="0.25">
      <c r="A485" s="727"/>
      <c r="B485" s="309"/>
      <c r="C485" s="309"/>
      <c r="D485" s="309"/>
      <c r="E485" s="309"/>
      <c r="F485" s="309"/>
      <c r="G485" s="309"/>
      <c r="H485" s="309"/>
      <c r="I485" s="309"/>
      <c r="J485" s="309"/>
      <c r="K485" s="309"/>
      <c r="L485" s="309"/>
      <c r="M485" s="309"/>
      <c r="N485" s="309"/>
      <c r="O485" s="309"/>
      <c r="P485" s="309"/>
      <c r="Q485" s="309"/>
      <c r="R485" s="309"/>
      <c r="S485" s="309"/>
    </row>
    <row r="486" spans="1:19" ht="15" customHeight="1" x14ac:dyDescent="0.25">
      <c r="A486" s="727"/>
      <c r="B486" s="309"/>
      <c r="C486" s="309"/>
      <c r="D486" s="309"/>
      <c r="E486" s="309"/>
      <c r="F486" s="309"/>
      <c r="G486" s="309"/>
      <c r="H486" s="309"/>
      <c r="I486" s="309"/>
      <c r="J486" s="309"/>
      <c r="K486" s="309"/>
      <c r="L486" s="309"/>
      <c r="M486" s="309"/>
      <c r="N486" s="309"/>
      <c r="O486" s="309"/>
      <c r="P486" s="309"/>
      <c r="Q486" s="309"/>
      <c r="R486" s="309"/>
      <c r="S486" s="309"/>
    </row>
    <row r="487" spans="1:19" ht="15" customHeight="1" x14ac:dyDescent="0.25">
      <c r="A487" s="727"/>
      <c r="B487" s="309"/>
      <c r="C487" s="309"/>
      <c r="D487" s="309"/>
      <c r="E487" s="309"/>
      <c r="F487" s="309"/>
      <c r="G487" s="309"/>
      <c r="H487" s="309"/>
      <c r="I487" s="309"/>
      <c r="J487" s="309"/>
      <c r="K487" s="309"/>
      <c r="L487" s="309"/>
      <c r="M487" s="309"/>
      <c r="N487" s="309"/>
      <c r="O487" s="309"/>
      <c r="P487" s="309"/>
      <c r="Q487" s="309"/>
      <c r="R487" s="309"/>
      <c r="S487" s="309"/>
    </row>
    <row r="488" spans="1:19" ht="15" customHeight="1" x14ac:dyDescent="0.25">
      <c r="A488" s="727"/>
      <c r="B488" s="309"/>
      <c r="C488" s="309"/>
      <c r="D488" s="309"/>
      <c r="E488" s="309"/>
      <c r="F488" s="309"/>
      <c r="G488" s="309"/>
      <c r="H488" s="309"/>
      <c r="I488" s="309"/>
      <c r="J488" s="309"/>
      <c r="K488" s="309"/>
      <c r="L488" s="309"/>
      <c r="M488" s="309"/>
      <c r="N488" s="309"/>
      <c r="O488" s="309"/>
      <c r="P488" s="309"/>
      <c r="Q488" s="309"/>
      <c r="R488" s="309"/>
      <c r="S488" s="309"/>
    </row>
    <row r="489" spans="1:19" ht="15" customHeight="1" x14ac:dyDescent="0.25">
      <c r="A489" s="727"/>
      <c r="B489" s="309"/>
      <c r="C489" s="309"/>
      <c r="D489" s="309"/>
      <c r="E489" s="309"/>
      <c r="F489" s="309"/>
      <c r="G489" s="309"/>
      <c r="H489" s="309"/>
      <c r="I489" s="309"/>
      <c r="J489" s="309"/>
      <c r="K489" s="309"/>
      <c r="L489" s="309"/>
      <c r="M489" s="309"/>
      <c r="N489" s="309"/>
      <c r="O489" s="309"/>
      <c r="P489" s="309"/>
      <c r="Q489" s="309"/>
      <c r="R489" s="309"/>
      <c r="S489" s="309"/>
    </row>
    <row r="490" spans="1:19" ht="15" customHeight="1" x14ac:dyDescent="0.25">
      <c r="A490" s="727"/>
      <c r="B490" s="309"/>
      <c r="C490" s="309"/>
      <c r="D490" s="309"/>
      <c r="E490" s="309"/>
      <c r="F490" s="309"/>
      <c r="G490" s="309"/>
      <c r="H490" s="309"/>
      <c r="I490" s="309"/>
      <c r="J490" s="309"/>
      <c r="K490" s="309"/>
      <c r="L490" s="309"/>
      <c r="M490" s="309"/>
      <c r="N490" s="309"/>
      <c r="O490" s="309"/>
      <c r="P490" s="309"/>
      <c r="Q490" s="309"/>
      <c r="R490" s="309"/>
      <c r="S490" s="309"/>
    </row>
    <row r="491" spans="1:19" ht="15" customHeight="1" x14ac:dyDescent="0.25">
      <c r="A491" s="727"/>
      <c r="B491" s="309"/>
      <c r="C491" s="309"/>
      <c r="D491" s="309"/>
      <c r="E491" s="309"/>
      <c r="F491" s="309"/>
      <c r="G491" s="309"/>
      <c r="H491" s="309"/>
      <c r="I491" s="309"/>
      <c r="J491" s="309"/>
      <c r="K491" s="309"/>
      <c r="L491" s="309"/>
      <c r="M491" s="309"/>
      <c r="N491" s="309"/>
      <c r="O491" s="309"/>
      <c r="P491" s="309"/>
      <c r="Q491" s="309"/>
      <c r="R491" s="309"/>
      <c r="S491" s="309"/>
    </row>
    <row r="492" spans="1:19" ht="15" customHeight="1" x14ac:dyDescent="0.25">
      <c r="A492" s="727"/>
      <c r="B492" s="309"/>
      <c r="C492" s="309"/>
      <c r="D492" s="309"/>
      <c r="E492" s="309"/>
      <c r="F492" s="309"/>
      <c r="G492" s="309"/>
      <c r="H492" s="309"/>
      <c r="I492" s="309"/>
      <c r="J492" s="309"/>
      <c r="K492" s="309"/>
      <c r="L492" s="309"/>
      <c r="M492" s="309"/>
      <c r="N492" s="309"/>
      <c r="O492" s="309"/>
      <c r="P492" s="309"/>
      <c r="Q492" s="309"/>
      <c r="R492" s="309"/>
      <c r="S492" s="309"/>
    </row>
    <row r="493" spans="1:19" ht="15" customHeight="1" x14ac:dyDescent="0.25">
      <c r="A493" s="727"/>
      <c r="B493" s="309"/>
      <c r="C493" s="309"/>
      <c r="D493" s="309"/>
      <c r="E493" s="309"/>
      <c r="F493" s="309"/>
      <c r="G493" s="309"/>
      <c r="H493" s="309"/>
      <c r="I493" s="309"/>
      <c r="J493" s="309"/>
      <c r="K493" s="309"/>
      <c r="L493" s="309"/>
      <c r="M493" s="309"/>
      <c r="N493" s="309"/>
      <c r="O493" s="309"/>
      <c r="P493" s="309"/>
      <c r="Q493" s="309"/>
      <c r="R493" s="309"/>
      <c r="S493" s="309"/>
    </row>
    <row r="494" spans="1:19" ht="15" customHeight="1" x14ac:dyDescent="0.25">
      <c r="A494" s="727"/>
      <c r="B494" s="309"/>
      <c r="C494" s="309"/>
      <c r="D494" s="309"/>
      <c r="E494" s="309"/>
      <c r="F494" s="309"/>
      <c r="G494" s="309"/>
      <c r="H494" s="309"/>
      <c r="I494" s="309"/>
      <c r="J494" s="309"/>
      <c r="K494" s="309"/>
      <c r="L494" s="309"/>
      <c r="M494" s="309"/>
      <c r="N494" s="309"/>
      <c r="O494" s="309"/>
      <c r="P494" s="309"/>
      <c r="Q494" s="309"/>
      <c r="R494" s="309"/>
      <c r="S494" s="309"/>
    </row>
    <row r="495" spans="1:19" ht="15" customHeight="1" x14ac:dyDescent="0.25">
      <c r="A495" s="727"/>
      <c r="B495" s="309"/>
      <c r="C495" s="309"/>
      <c r="D495" s="309"/>
      <c r="E495" s="309"/>
      <c r="F495" s="309"/>
      <c r="G495" s="309"/>
      <c r="H495" s="309"/>
      <c r="I495" s="309"/>
      <c r="J495" s="309"/>
      <c r="K495" s="309"/>
      <c r="L495" s="309"/>
      <c r="M495" s="309"/>
      <c r="N495" s="309"/>
      <c r="O495" s="309"/>
      <c r="P495" s="309"/>
      <c r="Q495" s="309"/>
      <c r="R495" s="309"/>
      <c r="S495" s="309"/>
    </row>
    <row r="496" spans="1:19" ht="15" customHeight="1" x14ac:dyDescent="0.25">
      <c r="A496" s="727"/>
      <c r="B496" s="309"/>
      <c r="C496" s="309"/>
      <c r="D496" s="309"/>
      <c r="E496" s="309"/>
      <c r="F496" s="309"/>
      <c r="G496" s="309"/>
      <c r="H496" s="309"/>
      <c r="I496" s="309"/>
      <c r="J496" s="309"/>
      <c r="K496" s="309"/>
      <c r="L496" s="309"/>
      <c r="M496" s="309"/>
      <c r="N496" s="309"/>
      <c r="O496" s="309"/>
      <c r="P496" s="309"/>
      <c r="Q496" s="309"/>
      <c r="R496" s="309"/>
      <c r="S496" s="309"/>
    </row>
    <row r="497" spans="1:19" ht="15" customHeight="1" x14ac:dyDescent="0.25">
      <c r="A497" s="727"/>
      <c r="B497" s="309"/>
      <c r="C497" s="309"/>
      <c r="D497" s="309"/>
      <c r="E497" s="309"/>
      <c r="F497" s="309"/>
      <c r="G497" s="309"/>
      <c r="H497" s="309"/>
      <c r="I497" s="309"/>
      <c r="J497" s="309"/>
      <c r="K497" s="309"/>
      <c r="L497" s="309"/>
      <c r="M497" s="309"/>
      <c r="N497" s="309"/>
      <c r="O497" s="309"/>
      <c r="P497" s="309"/>
      <c r="Q497" s="309"/>
      <c r="R497" s="309"/>
      <c r="S497" s="309"/>
    </row>
    <row r="498" spans="1:19" ht="15" customHeight="1" x14ac:dyDescent="0.25">
      <c r="A498" s="727"/>
      <c r="B498" s="309"/>
      <c r="C498" s="309"/>
      <c r="D498" s="309"/>
      <c r="E498" s="309"/>
      <c r="F498" s="309"/>
      <c r="G498" s="309"/>
      <c r="H498" s="309"/>
      <c r="I498" s="309"/>
      <c r="J498" s="309"/>
      <c r="K498" s="309"/>
      <c r="L498" s="309"/>
      <c r="M498" s="309"/>
      <c r="N498" s="309"/>
      <c r="O498" s="309"/>
      <c r="P498" s="309"/>
      <c r="Q498" s="309"/>
      <c r="R498" s="309"/>
      <c r="S498" s="309"/>
    </row>
    <row r="499" spans="1:19" ht="15" customHeight="1" x14ac:dyDescent="0.25">
      <c r="A499" s="727"/>
      <c r="B499" s="309"/>
      <c r="C499" s="309"/>
      <c r="D499" s="309"/>
      <c r="E499" s="309"/>
      <c r="F499" s="309"/>
      <c r="G499" s="309"/>
      <c r="H499" s="309"/>
      <c r="I499" s="309"/>
      <c r="J499" s="309"/>
      <c r="K499" s="309"/>
      <c r="L499" s="309"/>
      <c r="M499" s="309"/>
      <c r="N499" s="309"/>
      <c r="O499" s="309"/>
      <c r="P499" s="309"/>
      <c r="Q499" s="309"/>
      <c r="R499" s="309"/>
      <c r="S499" s="309"/>
    </row>
    <row r="500" spans="1:19" ht="15" customHeight="1" x14ac:dyDescent="0.25">
      <c r="A500" s="727"/>
      <c r="B500" s="309"/>
      <c r="C500" s="309"/>
      <c r="D500" s="309"/>
      <c r="E500" s="309"/>
      <c r="F500" s="309"/>
      <c r="G500" s="309"/>
      <c r="H500" s="309"/>
      <c r="I500" s="309"/>
      <c r="J500" s="309"/>
      <c r="K500" s="309"/>
      <c r="L500" s="309"/>
      <c r="M500" s="309"/>
      <c r="N500" s="309"/>
      <c r="O500" s="309"/>
      <c r="P500" s="309"/>
      <c r="Q500" s="309"/>
      <c r="R500" s="309"/>
      <c r="S500" s="309"/>
    </row>
    <row r="501" spans="1:19" ht="15" customHeight="1" x14ac:dyDescent="0.25">
      <c r="A501" s="727"/>
      <c r="B501" s="309"/>
      <c r="C501" s="309"/>
      <c r="D501" s="309"/>
      <c r="E501" s="309"/>
      <c r="F501" s="309"/>
      <c r="G501" s="309"/>
      <c r="H501" s="309"/>
      <c r="I501" s="309"/>
      <c r="J501" s="309"/>
      <c r="K501" s="309"/>
      <c r="L501" s="309"/>
      <c r="M501" s="309"/>
      <c r="N501" s="309"/>
      <c r="O501" s="309"/>
      <c r="P501" s="309"/>
      <c r="Q501" s="309"/>
      <c r="R501" s="309"/>
      <c r="S501" s="309"/>
    </row>
    <row r="502" spans="1:19" ht="15" customHeight="1" x14ac:dyDescent="0.25">
      <c r="A502" s="727"/>
      <c r="B502" s="309"/>
      <c r="C502" s="309"/>
      <c r="D502" s="309"/>
      <c r="E502" s="309"/>
      <c r="F502" s="309"/>
      <c r="G502" s="309"/>
      <c r="H502" s="309"/>
      <c r="I502" s="309"/>
      <c r="J502" s="309"/>
      <c r="K502" s="309"/>
      <c r="L502" s="309"/>
      <c r="M502" s="309"/>
      <c r="N502" s="309"/>
      <c r="O502" s="309"/>
      <c r="P502" s="309"/>
      <c r="Q502" s="309"/>
      <c r="R502" s="309"/>
      <c r="S502" s="309"/>
    </row>
    <row r="503" spans="1:19" ht="15" customHeight="1" x14ac:dyDescent="0.25">
      <c r="A503" s="727"/>
      <c r="B503" s="309"/>
      <c r="C503" s="309"/>
      <c r="D503" s="309"/>
      <c r="E503" s="309"/>
      <c r="F503" s="309"/>
      <c r="G503" s="309"/>
      <c r="H503" s="309"/>
      <c r="I503" s="309"/>
      <c r="J503" s="309"/>
      <c r="K503" s="309"/>
      <c r="L503" s="309"/>
      <c r="M503" s="309"/>
      <c r="N503" s="309"/>
      <c r="O503" s="309"/>
      <c r="P503" s="309"/>
      <c r="Q503" s="309"/>
      <c r="R503" s="309"/>
      <c r="S503" s="309"/>
    </row>
    <row r="504" spans="1:19" ht="15" customHeight="1" x14ac:dyDescent="0.25">
      <c r="A504" s="727"/>
      <c r="B504" s="309"/>
      <c r="C504" s="309"/>
      <c r="D504" s="309"/>
      <c r="E504" s="309"/>
      <c r="F504" s="309"/>
      <c r="G504" s="309"/>
      <c r="H504" s="309"/>
      <c r="I504" s="309"/>
      <c r="J504" s="309"/>
      <c r="K504" s="309"/>
      <c r="L504" s="309"/>
      <c r="M504" s="309"/>
      <c r="N504" s="309"/>
      <c r="O504" s="309"/>
      <c r="P504" s="309"/>
      <c r="Q504" s="309"/>
      <c r="R504" s="309"/>
      <c r="S504" s="309"/>
    </row>
    <row r="505" spans="1:19" ht="15" customHeight="1" x14ac:dyDescent="0.25">
      <c r="A505" s="727"/>
      <c r="B505" s="309"/>
      <c r="C505" s="309"/>
      <c r="D505" s="309"/>
      <c r="E505" s="309"/>
      <c r="F505" s="309"/>
      <c r="G505" s="309"/>
      <c r="H505" s="309"/>
      <c r="I505" s="309"/>
      <c r="J505" s="309"/>
      <c r="K505" s="309"/>
      <c r="L505" s="309"/>
      <c r="M505" s="309"/>
      <c r="N505" s="309"/>
      <c r="O505" s="309"/>
      <c r="P505" s="309"/>
      <c r="Q505" s="309"/>
      <c r="R505" s="309"/>
      <c r="S505" s="309"/>
    </row>
    <row r="506" spans="1:19" ht="15" customHeight="1" x14ac:dyDescent="0.25">
      <c r="A506" s="727"/>
      <c r="B506" s="309"/>
      <c r="C506" s="309"/>
      <c r="D506" s="309"/>
      <c r="E506" s="309"/>
      <c r="F506" s="309"/>
      <c r="G506" s="309"/>
      <c r="H506" s="309"/>
      <c r="I506" s="309"/>
      <c r="J506" s="309"/>
      <c r="K506" s="309"/>
      <c r="L506" s="309"/>
      <c r="M506" s="309"/>
      <c r="N506" s="309"/>
      <c r="O506" s="309"/>
      <c r="P506" s="309"/>
      <c r="Q506" s="309"/>
      <c r="R506" s="309"/>
      <c r="S506" s="309"/>
    </row>
    <row r="507" spans="1:19" ht="15" customHeight="1" x14ac:dyDescent="0.25">
      <c r="A507" s="727"/>
      <c r="B507" s="309"/>
      <c r="C507" s="309"/>
      <c r="D507" s="309"/>
      <c r="E507" s="309"/>
      <c r="F507" s="309"/>
      <c r="G507" s="309"/>
      <c r="H507" s="309"/>
      <c r="I507" s="309"/>
      <c r="J507" s="309"/>
      <c r="K507" s="309"/>
      <c r="L507" s="309"/>
      <c r="M507" s="309"/>
      <c r="N507" s="309"/>
      <c r="O507" s="309"/>
      <c r="P507" s="309"/>
      <c r="Q507" s="309"/>
      <c r="R507" s="309"/>
      <c r="S507" s="309"/>
    </row>
    <row r="508" spans="1:19" ht="15" customHeight="1" x14ac:dyDescent="0.25">
      <c r="A508" s="727"/>
      <c r="B508" s="309"/>
      <c r="C508" s="309"/>
      <c r="D508" s="309"/>
      <c r="E508" s="309"/>
      <c r="F508" s="309"/>
      <c r="G508" s="309"/>
      <c r="H508" s="309"/>
      <c r="I508" s="309"/>
      <c r="J508" s="309"/>
      <c r="K508" s="309"/>
      <c r="L508" s="309"/>
      <c r="M508" s="309"/>
      <c r="N508" s="309"/>
      <c r="O508" s="309"/>
      <c r="P508" s="309"/>
      <c r="Q508" s="309"/>
      <c r="R508" s="309"/>
      <c r="S508" s="309"/>
    </row>
    <row r="509" spans="1:19" ht="15" customHeight="1" x14ac:dyDescent="0.25">
      <c r="A509" s="727"/>
      <c r="B509" s="309"/>
      <c r="C509" s="309"/>
      <c r="D509" s="309"/>
      <c r="E509" s="309"/>
      <c r="F509" s="309"/>
      <c r="G509" s="309"/>
      <c r="H509" s="309"/>
      <c r="I509" s="309"/>
      <c r="J509" s="309"/>
      <c r="K509" s="309"/>
      <c r="L509" s="309"/>
      <c r="M509" s="309"/>
      <c r="N509" s="309"/>
      <c r="O509" s="309"/>
      <c r="P509" s="309"/>
      <c r="Q509" s="309"/>
      <c r="R509" s="309"/>
      <c r="S509" s="309"/>
    </row>
    <row r="510" spans="1:19" ht="15" customHeight="1" x14ac:dyDescent="0.25">
      <c r="A510" s="727"/>
      <c r="B510" s="309"/>
      <c r="C510" s="309"/>
      <c r="D510" s="309"/>
      <c r="E510" s="309"/>
      <c r="F510" s="309"/>
      <c r="G510" s="309"/>
      <c r="H510" s="309"/>
      <c r="I510" s="309"/>
      <c r="J510" s="309"/>
      <c r="K510" s="309"/>
      <c r="L510" s="309"/>
      <c r="M510" s="309"/>
      <c r="N510" s="309"/>
      <c r="O510" s="309"/>
      <c r="P510" s="309"/>
      <c r="Q510" s="309"/>
      <c r="R510" s="309"/>
      <c r="S510" s="309"/>
    </row>
    <row r="511" spans="1:19" ht="15" customHeight="1" x14ac:dyDescent="0.25">
      <c r="A511" s="727"/>
      <c r="B511" s="309"/>
      <c r="C511" s="309"/>
      <c r="D511" s="309"/>
      <c r="E511" s="309"/>
      <c r="F511" s="309"/>
      <c r="G511" s="309"/>
      <c r="H511" s="309"/>
      <c r="I511" s="309"/>
      <c r="J511" s="309"/>
      <c r="K511" s="309"/>
      <c r="L511" s="309"/>
      <c r="M511" s="309"/>
      <c r="N511" s="309"/>
      <c r="O511" s="309"/>
      <c r="P511" s="309"/>
      <c r="Q511" s="309"/>
      <c r="R511" s="309"/>
      <c r="S511" s="309"/>
    </row>
    <row r="512" spans="1:19" ht="15" customHeight="1" x14ac:dyDescent="0.25">
      <c r="A512" s="727"/>
      <c r="B512" s="309"/>
      <c r="C512" s="309"/>
      <c r="D512" s="309"/>
      <c r="E512" s="309"/>
      <c r="F512" s="309"/>
      <c r="G512" s="309"/>
      <c r="H512" s="309"/>
      <c r="I512" s="309"/>
      <c r="J512" s="309"/>
      <c r="K512" s="309"/>
      <c r="L512" s="309"/>
      <c r="M512" s="309"/>
      <c r="N512" s="309"/>
      <c r="O512" s="309"/>
      <c r="P512" s="309"/>
      <c r="Q512" s="309"/>
      <c r="R512" s="309"/>
      <c r="S512" s="309"/>
    </row>
    <row r="513" spans="1:19" ht="15" customHeight="1" x14ac:dyDescent="0.25">
      <c r="A513" s="727"/>
      <c r="B513" s="309"/>
      <c r="C513" s="309"/>
      <c r="D513" s="309"/>
      <c r="E513" s="309"/>
      <c r="F513" s="309"/>
      <c r="G513" s="309"/>
      <c r="H513" s="309"/>
      <c r="I513" s="309"/>
      <c r="J513" s="309"/>
      <c r="K513" s="309"/>
      <c r="L513" s="309"/>
      <c r="M513" s="309"/>
      <c r="N513" s="309"/>
      <c r="O513" s="309"/>
      <c r="P513" s="309"/>
      <c r="Q513" s="309"/>
      <c r="R513" s="309"/>
      <c r="S513" s="309"/>
    </row>
    <row r="514" spans="1:19" ht="15" customHeight="1" x14ac:dyDescent="0.25">
      <c r="A514" s="727"/>
      <c r="B514" s="309"/>
      <c r="C514" s="309"/>
      <c r="D514" s="309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309"/>
      <c r="P514" s="309"/>
      <c r="Q514" s="309"/>
      <c r="R514" s="309"/>
      <c r="S514" s="309"/>
    </row>
    <row r="515" spans="1:19" ht="15" customHeight="1" x14ac:dyDescent="0.25">
      <c r="A515" s="727"/>
      <c r="B515" s="309"/>
      <c r="C515" s="309"/>
      <c r="D515" s="309"/>
      <c r="E515" s="309"/>
      <c r="F515" s="309"/>
      <c r="G515" s="309"/>
      <c r="H515" s="309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</row>
    <row r="516" spans="1:19" ht="15" customHeight="1" x14ac:dyDescent="0.25">
      <c r="A516" s="727"/>
      <c r="B516" s="309"/>
      <c r="C516" s="309"/>
      <c r="D516" s="309"/>
      <c r="E516" s="309"/>
      <c r="F516" s="309"/>
      <c r="G516" s="309"/>
      <c r="H516" s="309"/>
      <c r="I516" s="309"/>
      <c r="J516" s="309"/>
      <c r="K516" s="309"/>
      <c r="L516" s="309"/>
      <c r="M516" s="309"/>
      <c r="N516" s="309"/>
      <c r="O516" s="309"/>
      <c r="P516" s="309"/>
      <c r="Q516" s="309"/>
      <c r="R516" s="309"/>
      <c r="S516" s="309"/>
    </row>
    <row r="517" spans="1:19" ht="15" customHeight="1" x14ac:dyDescent="0.25">
      <c r="A517" s="727"/>
      <c r="B517" s="309"/>
      <c r="C517" s="309"/>
      <c r="D517" s="309"/>
      <c r="E517" s="309"/>
      <c r="F517" s="309"/>
      <c r="G517" s="309"/>
      <c r="H517" s="309"/>
      <c r="I517" s="309"/>
      <c r="J517" s="309"/>
      <c r="K517" s="309"/>
      <c r="L517" s="309"/>
      <c r="M517" s="309"/>
      <c r="N517" s="309"/>
      <c r="O517" s="309"/>
      <c r="P517" s="309"/>
      <c r="Q517" s="309"/>
      <c r="R517" s="309"/>
      <c r="S517" s="309"/>
    </row>
    <row r="518" spans="1:19" ht="15" customHeight="1" x14ac:dyDescent="0.25">
      <c r="A518" s="727"/>
      <c r="B518" s="309"/>
      <c r="C518" s="309"/>
      <c r="D518" s="309"/>
      <c r="E518" s="309"/>
      <c r="F518" s="309"/>
      <c r="G518" s="309"/>
      <c r="H518" s="309"/>
      <c r="I518" s="309"/>
      <c r="J518" s="309"/>
      <c r="K518" s="309"/>
      <c r="L518" s="309"/>
      <c r="M518" s="309"/>
      <c r="N518" s="309"/>
      <c r="O518" s="309"/>
      <c r="P518" s="309"/>
      <c r="Q518" s="309"/>
      <c r="R518" s="309"/>
      <c r="S518" s="309"/>
    </row>
    <row r="519" spans="1:19" ht="15" customHeight="1" x14ac:dyDescent="0.25">
      <c r="A519" s="727"/>
      <c r="B519" s="309"/>
      <c r="C519" s="309"/>
      <c r="D519" s="309"/>
      <c r="E519" s="309"/>
      <c r="F519" s="309"/>
      <c r="G519" s="309"/>
      <c r="H519" s="309"/>
      <c r="I519" s="309"/>
      <c r="J519" s="309"/>
      <c r="K519" s="309"/>
      <c r="L519" s="309"/>
      <c r="M519" s="309"/>
      <c r="N519" s="309"/>
      <c r="O519" s="309"/>
      <c r="P519" s="309"/>
      <c r="Q519" s="309"/>
      <c r="R519" s="309"/>
      <c r="S519" s="309"/>
    </row>
    <row r="520" spans="1:19" ht="15" customHeight="1" x14ac:dyDescent="0.25">
      <c r="A520" s="727"/>
      <c r="B520" s="309"/>
      <c r="C520" s="309"/>
      <c r="D520" s="309"/>
      <c r="E520" s="309"/>
      <c r="F520" s="652"/>
      <c r="G520" s="309"/>
      <c r="H520" s="309"/>
      <c r="I520" s="309"/>
      <c r="J520" s="309"/>
      <c r="K520" s="309"/>
      <c r="L520" s="309"/>
      <c r="M520" s="309"/>
      <c r="N520" s="309"/>
      <c r="O520" s="309"/>
      <c r="P520" s="309"/>
      <c r="Q520" s="309"/>
      <c r="R520" s="309"/>
      <c r="S520" s="309"/>
    </row>
    <row r="521" spans="1:19" ht="15" customHeight="1" x14ac:dyDescent="0.25">
      <c r="A521" s="727"/>
      <c r="B521" s="309"/>
      <c r="C521" s="309"/>
      <c r="D521" s="309"/>
      <c r="E521" s="309"/>
      <c r="F521" s="309"/>
      <c r="G521" s="317"/>
      <c r="H521" s="309"/>
      <c r="I521" s="309"/>
      <c r="J521" s="309"/>
      <c r="K521" s="309"/>
      <c r="L521" s="309"/>
      <c r="M521" s="309"/>
      <c r="N521" s="309"/>
      <c r="O521" s="309"/>
      <c r="P521" s="309"/>
      <c r="Q521" s="309"/>
      <c r="R521" s="309"/>
      <c r="S521" s="309"/>
    </row>
    <row r="522" spans="1:19" ht="15" customHeight="1" x14ac:dyDescent="0.25">
      <c r="A522" s="727"/>
      <c r="B522" s="309"/>
      <c r="C522" s="309"/>
      <c r="D522" s="309"/>
      <c r="E522" s="309"/>
      <c r="F522" s="309"/>
      <c r="G522" s="309"/>
      <c r="H522" s="309"/>
      <c r="I522" s="309"/>
      <c r="J522" s="309"/>
      <c r="K522" s="309"/>
      <c r="L522" s="309"/>
      <c r="M522" s="309"/>
      <c r="N522" s="309"/>
      <c r="O522" s="309"/>
      <c r="P522" s="309"/>
      <c r="Q522" s="309"/>
      <c r="R522" s="309"/>
      <c r="S522" s="309"/>
    </row>
    <row r="523" spans="1:19" ht="15" customHeight="1" x14ac:dyDescent="0.25">
      <c r="A523" s="727"/>
      <c r="B523" s="309"/>
      <c r="C523" s="309"/>
      <c r="D523" s="309"/>
      <c r="E523" s="309"/>
      <c r="F523" s="309"/>
      <c r="G523" s="309"/>
      <c r="H523" s="309"/>
      <c r="I523" s="309"/>
      <c r="J523" s="309"/>
      <c r="K523" s="309"/>
      <c r="L523" s="309"/>
      <c r="M523" s="309"/>
      <c r="N523" s="309"/>
      <c r="O523" s="309"/>
      <c r="P523" s="309"/>
      <c r="Q523" s="309"/>
      <c r="R523" s="309"/>
      <c r="S523" s="309"/>
    </row>
    <row r="524" spans="1:19" ht="15" customHeight="1" x14ac:dyDescent="0.25">
      <c r="A524" s="727"/>
      <c r="B524" s="309"/>
      <c r="C524" s="309"/>
      <c r="D524" s="309"/>
      <c r="E524" s="309"/>
      <c r="F524" s="309"/>
      <c r="G524" s="309"/>
      <c r="H524" s="309"/>
      <c r="I524" s="309"/>
      <c r="J524" s="309"/>
      <c r="K524" s="309"/>
      <c r="L524" s="309"/>
      <c r="M524" s="309"/>
      <c r="N524" s="309"/>
      <c r="O524" s="309"/>
      <c r="P524" s="309"/>
      <c r="Q524" s="309"/>
      <c r="R524" s="309"/>
      <c r="S524" s="309"/>
    </row>
    <row r="525" spans="1:19" ht="15" customHeight="1" x14ac:dyDescent="0.25">
      <c r="A525" s="727"/>
      <c r="B525" s="309"/>
      <c r="C525" s="309"/>
      <c r="D525" s="309"/>
      <c r="E525" s="309"/>
      <c r="F525" s="309"/>
      <c r="G525" s="309"/>
      <c r="H525" s="309"/>
      <c r="I525" s="309"/>
      <c r="J525" s="309"/>
      <c r="K525" s="309"/>
      <c r="L525" s="309"/>
      <c r="M525" s="309"/>
      <c r="N525" s="309"/>
      <c r="O525" s="309"/>
      <c r="P525" s="309"/>
      <c r="Q525" s="309"/>
      <c r="R525" s="309"/>
      <c r="S525" s="309"/>
    </row>
    <row r="526" spans="1:19" ht="15" customHeight="1" x14ac:dyDescent="0.25">
      <c r="A526" s="727"/>
      <c r="B526" s="309"/>
      <c r="C526" s="309"/>
      <c r="D526" s="309"/>
      <c r="E526" s="309"/>
      <c r="F526" s="309"/>
      <c r="G526" s="309"/>
      <c r="H526" s="309"/>
      <c r="I526" s="309"/>
      <c r="J526" s="309"/>
      <c r="K526" s="309"/>
      <c r="L526" s="309"/>
      <c r="M526" s="309"/>
      <c r="N526" s="309"/>
      <c r="O526" s="309"/>
      <c r="P526" s="309"/>
      <c r="Q526" s="309"/>
      <c r="R526" s="309"/>
      <c r="S526" s="309"/>
    </row>
    <row r="527" spans="1:19" ht="15" customHeight="1" x14ac:dyDescent="0.25">
      <c r="A527" s="727"/>
      <c r="B527" s="309"/>
      <c r="C527" s="309"/>
      <c r="D527" s="309"/>
      <c r="E527" s="309"/>
      <c r="F527" s="309"/>
      <c r="G527" s="309"/>
      <c r="H527" s="309"/>
      <c r="I527" s="309"/>
      <c r="J527" s="309"/>
      <c r="K527" s="309"/>
      <c r="L527" s="309"/>
      <c r="M527" s="309"/>
      <c r="N527" s="309"/>
      <c r="O527" s="309"/>
      <c r="P527" s="309"/>
      <c r="Q527" s="309"/>
      <c r="R527" s="309"/>
      <c r="S527" s="309"/>
    </row>
    <row r="528" spans="1:19" ht="15" customHeight="1" x14ac:dyDescent="0.25">
      <c r="A528" s="727"/>
      <c r="B528" s="309"/>
      <c r="C528" s="309"/>
      <c r="D528" s="309"/>
      <c r="E528" s="309"/>
      <c r="F528" s="309"/>
      <c r="G528" s="309"/>
      <c r="H528" s="309"/>
      <c r="I528" s="309"/>
      <c r="J528" s="309"/>
      <c r="K528" s="309"/>
      <c r="L528" s="309"/>
      <c r="M528" s="309"/>
      <c r="N528" s="309"/>
      <c r="O528" s="309"/>
      <c r="P528" s="309"/>
      <c r="Q528" s="309"/>
      <c r="R528" s="309"/>
      <c r="S528" s="309"/>
    </row>
    <row r="529" spans="1:19" ht="15" customHeight="1" x14ac:dyDescent="0.25">
      <c r="A529" s="727"/>
      <c r="B529" s="309"/>
      <c r="C529" s="309"/>
      <c r="D529" s="309"/>
      <c r="E529" s="309"/>
      <c r="F529" s="309"/>
      <c r="G529" s="309"/>
      <c r="H529" s="309"/>
      <c r="I529" s="309"/>
      <c r="J529" s="309"/>
      <c r="K529" s="309"/>
      <c r="L529" s="309"/>
      <c r="M529" s="309"/>
      <c r="N529" s="309"/>
      <c r="O529" s="309"/>
      <c r="P529" s="309"/>
      <c r="Q529" s="309"/>
      <c r="R529" s="309"/>
      <c r="S529" s="309"/>
    </row>
    <row r="530" spans="1:19" ht="15" customHeight="1" x14ac:dyDescent="0.25">
      <c r="A530" s="727"/>
      <c r="B530" s="309"/>
      <c r="C530" s="309"/>
      <c r="D530" s="309"/>
      <c r="E530" s="309"/>
      <c r="F530" s="309"/>
      <c r="G530" s="309"/>
      <c r="H530" s="309"/>
      <c r="I530" s="309"/>
      <c r="J530" s="309"/>
      <c r="K530" s="309"/>
      <c r="L530" s="309"/>
      <c r="M530" s="309"/>
      <c r="N530" s="309"/>
      <c r="O530" s="309"/>
      <c r="P530" s="309"/>
      <c r="Q530" s="309"/>
      <c r="R530" s="309"/>
      <c r="S530" s="309"/>
    </row>
    <row r="531" spans="1:19" ht="15" customHeight="1" x14ac:dyDescent="0.25">
      <c r="A531" s="727"/>
      <c r="B531" s="309"/>
      <c r="C531" s="309"/>
      <c r="D531" s="309"/>
      <c r="E531" s="309"/>
      <c r="F531" s="309"/>
      <c r="G531" s="309"/>
      <c r="H531" s="309"/>
      <c r="I531" s="309"/>
      <c r="J531" s="309"/>
      <c r="K531" s="309"/>
      <c r="L531" s="309"/>
      <c r="M531" s="309"/>
      <c r="N531" s="309"/>
      <c r="O531" s="309"/>
      <c r="P531" s="309"/>
      <c r="Q531" s="309"/>
      <c r="R531" s="309"/>
      <c r="S531" s="309"/>
    </row>
    <row r="532" spans="1:19" ht="15" customHeight="1" x14ac:dyDescent="0.25">
      <c r="A532" s="727"/>
      <c r="B532" s="309"/>
      <c r="C532" s="309"/>
      <c r="D532" s="309"/>
      <c r="E532" s="309"/>
      <c r="F532" s="309"/>
      <c r="G532" s="309"/>
      <c r="H532" s="309"/>
      <c r="I532" s="309"/>
      <c r="J532" s="309"/>
      <c r="K532" s="309"/>
      <c r="L532" s="309"/>
      <c r="M532" s="309"/>
      <c r="N532" s="309"/>
      <c r="O532" s="309"/>
      <c r="P532" s="309"/>
      <c r="Q532" s="309"/>
      <c r="R532" s="309"/>
      <c r="S532" s="309"/>
    </row>
    <row r="533" spans="1:19" ht="15" customHeight="1" x14ac:dyDescent="0.25">
      <c r="A533" s="317"/>
      <c r="B533" s="309"/>
      <c r="C533" s="309"/>
      <c r="D533" s="309"/>
      <c r="E533" s="652"/>
      <c r="F533" s="309"/>
      <c r="G533" s="309"/>
      <c r="H533" s="309"/>
      <c r="I533" s="309"/>
      <c r="J533" s="309"/>
      <c r="K533" s="309"/>
      <c r="L533" s="309"/>
      <c r="M533" s="309"/>
      <c r="N533" s="309"/>
      <c r="O533" s="309"/>
      <c r="P533" s="309"/>
      <c r="Q533" s="309"/>
      <c r="R533" s="309"/>
      <c r="S533" s="309"/>
    </row>
    <row r="534" spans="1:19" ht="15" customHeight="1" x14ac:dyDescent="0.25">
      <c r="A534" s="727"/>
      <c r="B534" s="309"/>
      <c r="C534" s="309"/>
      <c r="D534" s="309"/>
      <c r="E534" s="309"/>
      <c r="F534" s="309"/>
      <c r="G534" s="309"/>
      <c r="H534" s="309"/>
      <c r="I534" s="309"/>
      <c r="J534" s="309"/>
      <c r="K534" s="309"/>
      <c r="L534" s="309"/>
      <c r="M534" s="309"/>
      <c r="N534" s="309"/>
      <c r="O534" s="309"/>
      <c r="P534" s="309"/>
      <c r="Q534" s="309"/>
      <c r="R534" s="309"/>
      <c r="S534" s="309"/>
    </row>
    <row r="535" spans="1:19" ht="15" customHeight="1" x14ac:dyDescent="0.25">
      <c r="A535" s="727"/>
      <c r="B535" s="309"/>
      <c r="C535" s="309"/>
      <c r="D535" s="309"/>
      <c r="E535" s="309"/>
      <c r="F535" s="309"/>
      <c r="G535" s="309"/>
      <c r="H535" s="309"/>
      <c r="I535" s="309"/>
      <c r="J535" s="309"/>
      <c r="K535" s="309"/>
      <c r="L535" s="309"/>
      <c r="M535" s="309"/>
      <c r="N535" s="309"/>
      <c r="O535" s="309"/>
      <c r="P535" s="309"/>
      <c r="Q535" s="309"/>
      <c r="R535" s="309"/>
      <c r="S535" s="309"/>
    </row>
    <row r="536" spans="1:19" ht="15" customHeight="1" x14ac:dyDescent="0.25">
      <c r="A536" s="727"/>
      <c r="B536" s="309"/>
      <c r="C536" s="309"/>
      <c r="D536" s="309"/>
      <c r="E536" s="309"/>
      <c r="F536" s="309"/>
      <c r="G536" s="309"/>
      <c r="H536" s="309"/>
      <c r="I536" s="309"/>
      <c r="J536" s="309"/>
      <c r="K536" s="309"/>
      <c r="L536" s="309"/>
      <c r="M536" s="309"/>
      <c r="N536" s="309"/>
      <c r="O536" s="309"/>
      <c r="P536" s="309"/>
      <c r="Q536" s="309"/>
      <c r="R536" s="309"/>
      <c r="S536" s="309"/>
    </row>
    <row r="537" spans="1:19" ht="15" customHeight="1" x14ac:dyDescent="0.25">
      <c r="A537" s="727"/>
      <c r="B537" s="309"/>
      <c r="C537" s="309"/>
      <c r="D537" s="309"/>
      <c r="E537" s="309"/>
      <c r="F537" s="309"/>
      <c r="G537" s="309"/>
      <c r="H537" s="309"/>
      <c r="I537" s="309"/>
      <c r="J537" s="309"/>
      <c r="K537" s="309"/>
      <c r="L537" s="309"/>
      <c r="M537" s="309"/>
      <c r="N537" s="309"/>
      <c r="O537" s="309"/>
      <c r="P537" s="309"/>
      <c r="Q537" s="309"/>
      <c r="R537" s="309"/>
      <c r="S537" s="309"/>
    </row>
    <row r="538" spans="1:19" ht="15" customHeight="1" x14ac:dyDescent="0.25">
      <c r="A538" s="727"/>
      <c r="B538" s="309"/>
      <c r="C538" s="309"/>
      <c r="D538" s="309"/>
      <c r="E538" s="309"/>
      <c r="F538" s="309"/>
      <c r="G538" s="309"/>
      <c r="H538" s="309"/>
      <c r="I538" s="309"/>
      <c r="J538" s="309"/>
      <c r="K538" s="309"/>
      <c r="L538" s="309"/>
      <c r="M538" s="309"/>
      <c r="N538" s="309"/>
      <c r="O538" s="309"/>
      <c r="P538" s="309"/>
      <c r="Q538" s="309"/>
      <c r="R538" s="309"/>
      <c r="S538" s="309"/>
    </row>
    <row r="539" spans="1:19" ht="15" customHeight="1" x14ac:dyDescent="0.25">
      <c r="A539" s="727"/>
      <c r="B539" s="309"/>
      <c r="C539" s="309"/>
      <c r="D539" s="309"/>
      <c r="E539" s="309"/>
      <c r="F539" s="309"/>
      <c r="G539" s="309"/>
      <c r="H539" s="309"/>
      <c r="I539" s="309"/>
      <c r="J539" s="309"/>
      <c r="K539" s="309"/>
      <c r="L539" s="309"/>
      <c r="M539" s="309"/>
      <c r="N539" s="309"/>
      <c r="O539" s="309"/>
      <c r="P539" s="309"/>
      <c r="Q539" s="309"/>
      <c r="R539" s="309"/>
      <c r="S539" s="309"/>
    </row>
    <row r="540" spans="1:19" ht="15" customHeight="1" x14ac:dyDescent="0.25">
      <c r="A540" s="727"/>
      <c r="B540" s="309"/>
      <c r="C540" s="309"/>
      <c r="D540" s="309"/>
      <c r="E540" s="309"/>
      <c r="F540" s="309"/>
      <c r="G540" s="309"/>
      <c r="H540" s="309"/>
      <c r="I540" s="309"/>
      <c r="J540" s="309"/>
      <c r="K540" s="309"/>
      <c r="L540" s="309"/>
      <c r="M540" s="309"/>
      <c r="N540" s="309"/>
      <c r="O540" s="309"/>
      <c r="P540" s="309"/>
      <c r="Q540" s="309"/>
      <c r="R540" s="309"/>
      <c r="S540" s="309"/>
    </row>
    <row r="541" spans="1:19" ht="15" customHeight="1" x14ac:dyDescent="0.25">
      <c r="A541" s="727"/>
      <c r="B541" s="309"/>
      <c r="C541" s="652"/>
      <c r="D541" s="317"/>
      <c r="E541" s="309"/>
      <c r="F541" s="309"/>
      <c r="G541" s="309"/>
      <c r="H541" s="309"/>
      <c r="I541" s="309"/>
      <c r="J541" s="309"/>
      <c r="K541" s="309"/>
      <c r="L541" s="309"/>
      <c r="M541" s="309"/>
      <c r="N541" s="309"/>
      <c r="O541" s="309"/>
      <c r="P541" s="309"/>
      <c r="Q541" s="309"/>
      <c r="R541" s="309"/>
      <c r="S541" s="309"/>
    </row>
    <row r="542" spans="1:19" ht="15" customHeight="1" x14ac:dyDescent="0.25">
      <c r="A542" s="727"/>
      <c r="B542" s="309"/>
      <c r="C542" s="309"/>
      <c r="D542" s="309"/>
      <c r="E542" s="309"/>
      <c r="F542" s="309"/>
      <c r="G542" s="309"/>
      <c r="H542" s="309"/>
      <c r="I542" s="309"/>
      <c r="J542" s="309"/>
      <c r="K542" s="309"/>
      <c r="L542" s="309"/>
      <c r="M542" s="309"/>
      <c r="N542" s="309"/>
      <c r="O542" s="309"/>
      <c r="P542" s="309"/>
      <c r="Q542" s="309"/>
      <c r="R542" s="309"/>
      <c r="S542" s="309"/>
    </row>
    <row r="543" spans="1:19" ht="15" customHeight="1" x14ac:dyDescent="0.25">
      <c r="A543" s="727"/>
      <c r="B543" s="309"/>
      <c r="C543" s="309"/>
      <c r="D543" s="309"/>
      <c r="E543" s="309"/>
      <c r="F543" s="309"/>
      <c r="G543" s="309"/>
      <c r="H543" s="309"/>
      <c r="I543" s="309"/>
      <c r="J543" s="309"/>
      <c r="K543" s="309"/>
      <c r="L543" s="309"/>
      <c r="M543" s="309"/>
      <c r="N543" s="309"/>
      <c r="O543" s="309"/>
      <c r="P543" s="309"/>
      <c r="Q543" s="309"/>
      <c r="R543" s="309"/>
      <c r="S543" s="309"/>
    </row>
    <row r="544" spans="1:19" ht="15" customHeight="1" x14ac:dyDescent="0.25">
      <c r="A544" s="727"/>
      <c r="B544" s="309"/>
      <c r="C544" s="309"/>
      <c r="D544" s="309"/>
      <c r="E544" s="309"/>
      <c r="F544" s="309"/>
      <c r="G544" s="309"/>
      <c r="H544" s="309"/>
      <c r="I544" s="309"/>
      <c r="J544" s="309"/>
      <c r="K544" s="309"/>
      <c r="L544" s="309"/>
      <c r="M544" s="309"/>
      <c r="N544" s="309"/>
      <c r="O544" s="309"/>
      <c r="P544" s="309"/>
      <c r="Q544" s="309"/>
      <c r="R544" s="309"/>
      <c r="S544" s="309"/>
    </row>
    <row r="545" spans="1:19" ht="15" customHeight="1" x14ac:dyDescent="0.25">
      <c r="A545" s="727"/>
      <c r="B545" s="309"/>
      <c r="C545" s="309"/>
      <c r="D545" s="309"/>
      <c r="E545" s="309"/>
      <c r="F545" s="309"/>
      <c r="G545" s="309"/>
      <c r="H545" s="309"/>
      <c r="I545" s="309"/>
      <c r="J545" s="309"/>
      <c r="K545" s="309"/>
      <c r="L545" s="309"/>
      <c r="M545" s="309"/>
      <c r="N545" s="309"/>
      <c r="O545" s="309"/>
      <c r="P545" s="309"/>
      <c r="Q545" s="309"/>
      <c r="R545" s="309"/>
      <c r="S545" s="309"/>
    </row>
    <row r="546" spans="1:19" ht="15" customHeight="1" x14ac:dyDescent="0.25">
      <c r="A546" s="727"/>
      <c r="B546" s="309"/>
      <c r="C546" s="309"/>
      <c r="D546" s="309"/>
      <c r="E546" s="309"/>
      <c r="F546" s="309"/>
      <c r="G546" s="309"/>
      <c r="H546" s="309"/>
      <c r="I546" s="309"/>
      <c r="J546" s="309"/>
      <c r="K546" s="309"/>
      <c r="L546" s="309"/>
      <c r="M546" s="309"/>
      <c r="N546" s="309"/>
      <c r="O546" s="309"/>
      <c r="P546" s="309"/>
      <c r="Q546" s="309"/>
      <c r="R546" s="309"/>
      <c r="S546" s="309"/>
    </row>
    <row r="547" spans="1:19" ht="15" customHeight="1" x14ac:dyDescent="0.25">
      <c r="A547" s="727"/>
      <c r="B547" s="309"/>
      <c r="C547" s="309"/>
      <c r="D547" s="309"/>
      <c r="E547" s="309"/>
      <c r="F547" s="309"/>
      <c r="G547" s="309"/>
      <c r="H547" s="309"/>
      <c r="I547" s="309"/>
      <c r="J547" s="309"/>
      <c r="K547" s="309"/>
      <c r="L547" s="309"/>
      <c r="M547" s="309"/>
      <c r="N547" s="309"/>
      <c r="O547" s="309"/>
      <c r="P547" s="309"/>
      <c r="Q547" s="309"/>
      <c r="R547" s="309"/>
      <c r="S547" s="309"/>
    </row>
    <row r="548" spans="1:19" ht="15" customHeight="1" x14ac:dyDescent="0.25">
      <c r="A548" s="727"/>
      <c r="B548" s="309"/>
      <c r="C548" s="309"/>
      <c r="D548" s="309"/>
      <c r="E548" s="309"/>
      <c r="F548" s="309"/>
      <c r="G548" s="309"/>
      <c r="H548" s="309"/>
      <c r="I548" s="309"/>
      <c r="J548" s="309"/>
      <c r="K548" s="309"/>
      <c r="L548" s="309"/>
      <c r="M548" s="309"/>
      <c r="N548" s="309"/>
      <c r="O548" s="309"/>
      <c r="P548" s="309"/>
      <c r="Q548" s="309"/>
      <c r="R548" s="309"/>
      <c r="S548" s="309"/>
    </row>
    <row r="549" spans="1:19" ht="15" customHeight="1" x14ac:dyDescent="0.25">
      <c r="A549" s="727"/>
      <c r="B549" s="309"/>
      <c r="C549" s="309"/>
      <c r="D549" s="309"/>
      <c r="E549" s="309"/>
      <c r="F549" s="309"/>
      <c r="G549" s="309"/>
      <c r="H549" s="309"/>
      <c r="I549" s="309"/>
      <c r="J549" s="309"/>
      <c r="K549" s="309"/>
      <c r="L549" s="309"/>
      <c r="M549" s="309"/>
      <c r="N549" s="309"/>
      <c r="O549" s="309"/>
      <c r="P549" s="309"/>
      <c r="Q549" s="309"/>
      <c r="R549" s="309"/>
      <c r="S549" s="309"/>
    </row>
    <row r="550" spans="1:19" ht="15" customHeight="1" x14ac:dyDescent="0.25">
      <c r="A550" s="727"/>
      <c r="B550" s="309"/>
      <c r="C550" s="309"/>
      <c r="D550" s="309"/>
      <c r="E550" s="309"/>
      <c r="F550" s="309"/>
      <c r="G550" s="309"/>
      <c r="H550" s="309"/>
      <c r="I550" s="309"/>
      <c r="J550" s="309"/>
      <c r="K550" s="309"/>
      <c r="L550" s="309"/>
      <c r="M550" s="309"/>
      <c r="N550" s="309"/>
      <c r="O550" s="309"/>
      <c r="P550" s="309"/>
      <c r="Q550" s="309"/>
      <c r="R550" s="309"/>
      <c r="S550" s="309"/>
    </row>
    <row r="551" spans="1:19" ht="15" customHeight="1" x14ac:dyDescent="0.25">
      <c r="A551" s="727"/>
      <c r="B551" s="309"/>
      <c r="C551" s="309"/>
      <c r="D551" s="309"/>
      <c r="E551" s="309"/>
      <c r="F551" s="309"/>
      <c r="G551" s="309"/>
      <c r="H551" s="309"/>
      <c r="I551" s="309"/>
      <c r="J551" s="309"/>
      <c r="K551" s="309"/>
      <c r="L551" s="309"/>
      <c r="M551" s="309"/>
      <c r="N551" s="309"/>
      <c r="O551" s="309"/>
      <c r="P551" s="309"/>
      <c r="Q551" s="309"/>
      <c r="R551" s="309"/>
      <c r="S551" s="309"/>
    </row>
    <row r="552" spans="1:19" ht="15" customHeight="1" x14ac:dyDescent="0.25">
      <c r="A552" s="727"/>
      <c r="B552" s="309"/>
      <c r="C552" s="309"/>
      <c r="D552" s="309"/>
      <c r="E552" s="309"/>
      <c r="F552" s="309"/>
      <c r="G552" s="309"/>
      <c r="H552" s="309"/>
      <c r="I552" s="309"/>
      <c r="J552" s="309"/>
      <c r="K552" s="309"/>
      <c r="L552" s="309"/>
      <c r="M552" s="309"/>
      <c r="N552" s="309"/>
      <c r="O552" s="309"/>
      <c r="P552" s="309"/>
      <c r="Q552" s="309"/>
      <c r="R552" s="309"/>
      <c r="S552" s="309"/>
    </row>
    <row r="553" spans="1:19" ht="15" customHeight="1" x14ac:dyDescent="0.25">
      <c r="A553" s="727"/>
      <c r="B553" s="309"/>
      <c r="C553" s="309"/>
      <c r="D553" s="309"/>
      <c r="E553" s="309"/>
      <c r="F553" s="309"/>
      <c r="G553" s="309"/>
      <c r="H553" s="309"/>
      <c r="I553" s="309"/>
      <c r="J553" s="309"/>
      <c r="K553" s="309"/>
      <c r="L553" s="309"/>
      <c r="M553" s="309"/>
      <c r="N553" s="309"/>
      <c r="O553" s="309"/>
      <c r="P553" s="309"/>
      <c r="Q553" s="309"/>
      <c r="R553" s="309"/>
      <c r="S553" s="309"/>
    </row>
    <row r="554" spans="1:19" ht="15" customHeight="1" x14ac:dyDescent="0.25">
      <c r="A554" s="727"/>
      <c r="B554" s="309"/>
      <c r="C554" s="309"/>
      <c r="D554" s="309"/>
      <c r="E554" s="309"/>
      <c r="F554" s="309"/>
      <c r="G554" s="309"/>
      <c r="H554" s="309"/>
      <c r="I554" s="309"/>
      <c r="J554" s="309"/>
      <c r="K554" s="309"/>
      <c r="L554" s="309"/>
      <c r="M554" s="309"/>
      <c r="N554" s="309"/>
      <c r="O554" s="309"/>
      <c r="P554" s="309"/>
      <c r="Q554" s="309"/>
      <c r="R554" s="309"/>
      <c r="S554" s="309"/>
    </row>
    <row r="555" spans="1:19" ht="15" customHeight="1" x14ac:dyDescent="0.25">
      <c r="A555" s="727"/>
      <c r="B555" s="309"/>
      <c r="C555" s="309"/>
      <c r="D555" s="309"/>
      <c r="E555" s="309"/>
      <c r="F555" s="309"/>
      <c r="G555" s="309"/>
      <c r="H555" s="309"/>
      <c r="I555" s="309"/>
      <c r="J555" s="309"/>
      <c r="K555" s="309"/>
      <c r="L555" s="309"/>
      <c r="M555" s="309"/>
      <c r="N555" s="309"/>
      <c r="O555" s="309"/>
      <c r="P555" s="309"/>
      <c r="Q555" s="309"/>
      <c r="R555" s="309"/>
      <c r="S555" s="309"/>
    </row>
    <row r="556" spans="1:19" ht="15" customHeight="1" x14ac:dyDescent="0.25">
      <c r="A556" s="727"/>
      <c r="B556" s="652"/>
      <c r="C556" s="309"/>
      <c r="D556" s="309"/>
      <c r="E556" s="309"/>
      <c r="F556" s="309"/>
      <c r="G556" s="309"/>
      <c r="H556" s="309"/>
      <c r="I556" s="309"/>
      <c r="J556" s="309"/>
      <c r="K556" s="309"/>
      <c r="L556" s="309"/>
      <c r="M556" s="309"/>
      <c r="N556" s="309"/>
      <c r="O556" s="309"/>
      <c r="P556" s="309"/>
      <c r="Q556" s="309"/>
      <c r="R556" s="309"/>
      <c r="S556" s="309"/>
    </row>
    <row r="557" spans="1:19" ht="15" customHeight="1" x14ac:dyDescent="0.25">
      <c r="A557" s="727"/>
      <c r="B557" s="309"/>
      <c r="C557" s="309"/>
      <c r="D557" s="309"/>
      <c r="E557" s="309"/>
      <c r="F557" s="309"/>
      <c r="G557" s="309"/>
      <c r="H557" s="309"/>
      <c r="I557" s="309"/>
      <c r="J557" s="309"/>
      <c r="K557" s="309"/>
      <c r="L557" s="309"/>
      <c r="M557" s="309"/>
      <c r="N557" s="309"/>
      <c r="O557" s="309"/>
      <c r="P557" s="309"/>
      <c r="Q557" s="309"/>
      <c r="R557" s="309"/>
      <c r="S557" s="309"/>
    </row>
    <row r="558" spans="1:19" ht="15" customHeight="1" x14ac:dyDescent="0.25">
      <c r="A558" s="727"/>
      <c r="B558" s="309"/>
      <c r="C558" s="309"/>
      <c r="D558" s="309"/>
      <c r="E558" s="309"/>
      <c r="F558" s="309"/>
      <c r="G558" s="309"/>
      <c r="H558" s="309"/>
      <c r="I558" s="309"/>
      <c r="J558" s="309"/>
      <c r="K558" s="309"/>
      <c r="L558" s="309"/>
      <c r="M558" s="309"/>
      <c r="N558" s="309"/>
      <c r="O558" s="309"/>
      <c r="P558" s="309"/>
      <c r="Q558" s="309"/>
      <c r="R558" s="309"/>
      <c r="S558" s="309"/>
    </row>
    <row r="559" spans="1:19" ht="15" customHeight="1" x14ac:dyDescent="0.25">
      <c r="A559" s="727"/>
      <c r="B559" s="309"/>
      <c r="C559" s="317"/>
      <c r="D559" s="309"/>
      <c r="E559" s="309"/>
      <c r="F559" s="309"/>
      <c r="G559" s="309"/>
      <c r="H559" s="309"/>
      <c r="I559" s="309"/>
      <c r="J559" s="309"/>
      <c r="K559" s="309"/>
      <c r="L559" s="309"/>
      <c r="M559" s="309"/>
      <c r="N559" s="309"/>
      <c r="O559" s="309"/>
      <c r="P559" s="309"/>
      <c r="Q559" s="309"/>
      <c r="R559" s="309"/>
      <c r="S559" s="309"/>
    </row>
    <row r="560" spans="1:19" ht="15" customHeight="1" x14ac:dyDescent="0.25">
      <c r="A560" s="727"/>
      <c r="B560" s="309"/>
      <c r="C560" s="309"/>
      <c r="D560" s="309"/>
      <c r="E560" s="309"/>
      <c r="F560" s="309"/>
      <c r="G560" s="309"/>
      <c r="H560" s="309"/>
      <c r="I560" s="309"/>
      <c r="J560" s="309"/>
      <c r="K560" s="309"/>
      <c r="L560" s="309"/>
      <c r="M560" s="309"/>
      <c r="N560" s="309"/>
      <c r="O560" s="309"/>
      <c r="P560" s="309"/>
      <c r="Q560" s="309"/>
      <c r="R560" s="309"/>
      <c r="S560" s="309"/>
    </row>
    <row r="561" spans="1:19" ht="15" customHeight="1" x14ac:dyDescent="0.25">
      <c r="A561" s="727"/>
      <c r="B561" s="309"/>
      <c r="C561" s="309"/>
      <c r="D561" s="309"/>
      <c r="E561" s="309"/>
      <c r="F561" s="309"/>
      <c r="G561" s="309"/>
      <c r="H561" s="309"/>
      <c r="I561" s="309"/>
      <c r="J561" s="309"/>
      <c r="K561" s="309"/>
      <c r="L561" s="309"/>
      <c r="M561" s="309"/>
      <c r="N561" s="309"/>
      <c r="O561" s="309"/>
      <c r="P561" s="309"/>
      <c r="Q561" s="309"/>
      <c r="R561" s="309"/>
      <c r="S561" s="309"/>
    </row>
    <row r="562" spans="1:19" ht="15" customHeight="1" x14ac:dyDescent="0.25">
      <c r="A562" s="727"/>
      <c r="B562" s="309"/>
      <c r="C562" s="309"/>
      <c r="D562" s="309"/>
      <c r="E562" s="309"/>
      <c r="F562" s="309"/>
      <c r="G562" s="309"/>
      <c r="H562" s="309"/>
      <c r="I562" s="309"/>
      <c r="J562" s="309"/>
      <c r="K562" s="309"/>
      <c r="L562" s="309"/>
      <c r="M562" s="309"/>
      <c r="N562" s="309"/>
      <c r="O562" s="309"/>
      <c r="P562" s="309"/>
      <c r="Q562" s="309"/>
      <c r="R562" s="309"/>
      <c r="S562" s="309"/>
    </row>
    <row r="563" spans="1:19" ht="15" customHeight="1" x14ac:dyDescent="0.25">
      <c r="A563" s="727"/>
      <c r="B563" s="309"/>
      <c r="C563" s="309"/>
      <c r="D563" s="309"/>
      <c r="E563" s="309"/>
      <c r="F563" s="309"/>
      <c r="G563" s="309"/>
      <c r="H563" s="309"/>
      <c r="I563" s="309"/>
      <c r="J563" s="309"/>
      <c r="K563" s="309"/>
      <c r="L563" s="309"/>
      <c r="M563" s="309"/>
      <c r="N563" s="309"/>
      <c r="O563" s="309"/>
      <c r="P563" s="309"/>
      <c r="Q563" s="309"/>
      <c r="R563" s="309"/>
      <c r="S563" s="309"/>
    </row>
    <row r="564" spans="1:19" ht="15" customHeight="1" x14ac:dyDescent="0.25">
      <c r="A564" s="727"/>
      <c r="B564" s="309"/>
      <c r="C564" s="309"/>
      <c r="D564" s="309"/>
      <c r="E564" s="309"/>
      <c r="F564" s="309"/>
      <c r="G564" s="309"/>
      <c r="H564" s="309"/>
      <c r="I564" s="309"/>
      <c r="J564" s="309"/>
      <c r="K564" s="309"/>
      <c r="L564" s="309"/>
      <c r="M564" s="309"/>
      <c r="N564" s="309"/>
      <c r="O564" s="309"/>
      <c r="P564" s="309"/>
      <c r="Q564" s="309"/>
      <c r="R564" s="309"/>
      <c r="S564" s="309"/>
    </row>
    <row r="565" spans="1:19" ht="15" customHeight="1" x14ac:dyDescent="0.25">
      <c r="A565" s="727"/>
      <c r="B565" s="309"/>
      <c r="C565" s="309"/>
      <c r="D565" s="309"/>
      <c r="E565" s="309"/>
      <c r="F565" s="309"/>
      <c r="G565" s="309"/>
      <c r="H565" s="309"/>
      <c r="I565" s="309"/>
      <c r="J565" s="309"/>
      <c r="K565" s="309"/>
      <c r="L565" s="309"/>
      <c r="M565" s="309"/>
      <c r="N565" s="309"/>
      <c r="O565" s="309"/>
      <c r="P565" s="309"/>
      <c r="Q565" s="309"/>
      <c r="R565" s="309"/>
      <c r="S565" s="309"/>
    </row>
    <row r="566" spans="1:19" ht="15" customHeight="1" x14ac:dyDescent="0.25">
      <c r="A566" s="727"/>
      <c r="B566" s="309"/>
      <c r="C566" s="309"/>
      <c r="D566" s="309"/>
      <c r="E566" s="309"/>
      <c r="F566" s="309"/>
      <c r="G566" s="309"/>
      <c r="H566" s="309"/>
      <c r="I566" s="309"/>
      <c r="J566" s="309"/>
      <c r="K566" s="309"/>
      <c r="L566" s="309"/>
      <c r="M566" s="309"/>
      <c r="N566" s="309"/>
      <c r="O566" s="309"/>
      <c r="P566" s="309"/>
      <c r="Q566" s="309"/>
      <c r="R566" s="309"/>
      <c r="S566" s="309"/>
    </row>
    <row r="567" spans="1:19" ht="15" customHeight="1" x14ac:dyDescent="0.25">
      <c r="A567" s="727"/>
      <c r="B567" s="309"/>
      <c r="C567" s="309"/>
      <c r="D567" s="309"/>
      <c r="E567" s="309"/>
      <c r="F567" s="309"/>
      <c r="G567" s="309"/>
      <c r="H567" s="309"/>
      <c r="I567" s="309"/>
      <c r="J567" s="309"/>
      <c r="K567" s="309"/>
      <c r="L567" s="309"/>
      <c r="M567" s="309"/>
      <c r="N567" s="309"/>
      <c r="O567" s="309"/>
      <c r="P567" s="309"/>
      <c r="Q567" s="309"/>
      <c r="R567" s="309"/>
      <c r="S567" s="309"/>
    </row>
    <row r="568" spans="1:19" ht="15" customHeight="1" x14ac:dyDescent="0.25">
      <c r="A568" s="727"/>
      <c r="B568" s="309"/>
      <c r="C568" s="309"/>
      <c r="D568" s="309"/>
      <c r="E568" s="309"/>
      <c r="F568" s="309"/>
      <c r="G568" s="309"/>
      <c r="H568" s="309"/>
      <c r="I568" s="309"/>
      <c r="J568" s="309"/>
      <c r="K568" s="309"/>
      <c r="L568" s="309"/>
      <c r="M568" s="309"/>
      <c r="N568" s="309"/>
      <c r="O568" s="309"/>
      <c r="P568" s="309"/>
      <c r="Q568" s="309"/>
      <c r="R568" s="309"/>
      <c r="S568" s="309"/>
    </row>
    <row r="569" spans="1:19" ht="15" customHeight="1" x14ac:dyDescent="0.25">
      <c r="A569" s="727"/>
      <c r="B569" s="309"/>
      <c r="C569" s="309"/>
      <c r="D569" s="309"/>
      <c r="E569" s="309"/>
      <c r="F569" s="309"/>
      <c r="G569" s="309"/>
      <c r="H569" s="309"/>
      <c r="I569" s="309"/>
      <c r="J569" s="309"/>
      <c r="K569" s="309"/>
      <c r="L569" s="309"/>
      <c r="M569" s="309"/>
      <c r="N569" s="309"/>
      <c r="O569" s="309"/>
      <c r="P569" s="309"/>
      <c r="Q569" s="309"/>
      <c r="R569" s="309"/>
      <c r="S569" s="309"/>
    </row>
    <row r="570" spans="1:19" ht="15" customHeight="1" x14ac:dyDescent="0.25">
      <c r="A570" s="727"/>
      <c r="B570" s="309"/>
      <c r="C570" s="309"/>
      <c r="D570" s="309"/>
      <c r="E570" s="309"/>
      <c r="F570" s="309"/>
      <c r="G570" s="309"/>
      <c r="H570" s="309"/>
      <c r="I570" s="309"/>
      <c r="J570" s="309"/>
      <c r="K570" s="309"/>
      <c r="L570" s="309"/>
      <c r="M570" s="309"/>
      <c r="N570" s="309"/>
      <c r="O570" s="309"/>
      <c r="P570" s="309"/>
      <c r="Q570" s="309"/>
      <c r="R570" s="309"/>
      <c r="S570" s="309"/>
    </row>
    <row r="571" spans="1:19" ht="15" customHeight="1" x14ac:dyDescent="0.25">
      <c r="A571" s="727"/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</row>
    <row r="572" spans="1:19" ht="15" customHeight="1" x14ac:dyDescent="0.25">
      <c r="A572" s="727"/>
      <c r="B572" s="309"/>
      <c r="C572" s="309"/>
      <c r="D572" s="309"/>
      <c r="E572" s="309"/>
      <c r="F572" s="309"/>
      <c r="G572" s="309"/>
      <c r="H572" s="309"/>
      <c r="I572" s="309"/>
      <c r="J572" s="309"/>
      <c r="K572" s="309"/>
      <c r="L572" s="309"/>
      <c r="M572" s="309"/>
      <c r="N572" s="309"/>
      <c r="O572" s="309"/>
      <c r="P572" s="309"/>
      <c r="Q572" s="309"/>
      <c r="R572" s="309"/>
      <c r="S572" s="309"/>
    </row>
    <row r="573" spans="1:19" ht="15" customHeight="1" x14ac:dyDescent="0.25">
      <c r="A573" s="727"/>
      <c r="B573" s="309"/>
      <c r="C573" s="309"/>
      <c r="D573" s="309"/>
      <c r="E573" s="309"/>
      <c r="F573" s="309"/>
      <c r="G573" s="309"/>
      <c r="H573" s="309"/>
      <c r="I573" s="309"/>
      <c r="J573" s="309"/>
      <c r="K573" s="309"/>
      <c r="L573" s="309"/>
      <c r="M573" s="309"/>
      <c r="N573" s="309"/>
      <c r="O573" s="309"/>
      <c r="P573" s="309"/>
      <c r="Q573" s="309"/>
      <c r="R573" s="309"/>
      <c r="S573" s="309"/>
    </row>
    <row r="574" spans="1:19" ht="15" customHeight="1" x14ac:dyDescent="0.25">
      <c r="A574" s="727"/>
      <c r="B574" s="309"/>
      <c r="C574" s="309"/>
      <c r="D574" s="309"/>
      <c r="E574" s="309"/>
      <c r="F574" s="309"/>
      <c r="G574" s="309"/>
      <c r="H574" s="309"/>
      <c r="I574" s="309"/>
      <c r="J574" s="309"/>
      <c r="K574" s="309"/>
      <c r="L574" s="309"/>
      <c r="M574" s="309"/>
      <c r="N574" s="309"/>
      <c r="O574" s="309"/>
      <c r="P574" s="309"/>
      <c r="Q574" s="309"/>
      <c r="R574" s="309"/>
      <c r="S574" s="309"/>
    </row>
    <row r="575" spans="1:19" ht="15" customHeight="1" x14ac:dyDescent="0.25">
      <c r="A575" s="727"/>
      <c r="B575" s="309"/>
      <c r="C575" s="309"/>
      <c r="D575" s="309"/>
      <c r="E575" s="309"/>
      <c r="F575" s="309"/>
      <c r="G575" s="309"/>
      <c r="H575" s="309"/>
      <c r="I575" s="309"/>
      <c r="J575" s="309"/>
      <c r="K575" s="309"/>
      <c r="L575" s="309"/>
      <c r="M575" s="309"/>
      <c r="N575" s="309"/>
      <c r="O575" s="309"/>
      <c r="P575" s="309"/>
      <c r="Q575" s="309"/>
      <c r="R575" s="309"/>
      <c r="S575" s="309"/>
    </row>
    <row r="576" spans="1:19" ht="15" customHeight="1" x14ac:dyDescent="0.25">
      <c r="A576" s="727"/>
      <c r="B576" s="309"/>
      <c r="C576" s="309"/>
      <c r="D576" s="309"/>
      <c r="E576" s="309"/>
      <c r="F576" s="309"/>
      <c r="G576" s="309"/>
      <c r="H576" s="309"/>
      <c r="I576" s="309"/>
      <c r="J576" s="309"/>
      <c r="K576" s="309"/>
      <c r="L576" s="309"/>
      <c r="M576" s="309"/>
      <c r="N576" s="309"/>
      <c r="O576" s="309"/>
      <c r="P576" s="309"/>
      <c r="Q576" s="309"/>
      <c r="R576" s="309"/>
      <c r="S576" s="309"/>
    </row>
    <row r="577" spans="1:19" ht="15" customHeight="1" x14ac:dyDescent="0.25">
      <c r="A577" s="727"/>
      <c r="B577" s="309"/>
      <c r="C577" s="309"/>
      <c r="D577" s="309"/>
      <c r="E577" s="309"/>
      <c r="F577" s="309"/>
      <c r="G577" s="309"/>
      <c r="H577" s="309"/>
      <c r="I577" s="309"/>
      <c r="J577" s="309"/>
      <c r="K577" s="309"/>
      <c r="L577" s="309"/>
      <c r="M577" s="309"/>
      <c r="N577" s="309"/>
      <c r="O577" s="309"/>
      <c r="P577" s="309"/>
      <c r="Q577" s="309"/>
      <c r="R577" s="309"/>
      <c r="S577" s="309"/>
    </row>
    <row r="578" spans="1:19" ht="15" customHeight="1" x14ac:dyDescent="0.25">
      <c r="A578" s="727"/>
      <c r="B578" s="309"/>
      <c r="C578" s="309"/>
      <c r="D578" s="309"/>
      <c r="E578" s="309"/>
      <c r="F578" s="309"/>
      <c r="G578" s="309"/>
      <c r="H578" s="309"/>
      <c r="I578" s="309"/>
      <c r="J578" s="309"/>
      <c r="K578" s="309"/>
      <c r="L578" s="309"/>
      <c r="M578" s="309"/>
      <c r="N578" s="309"/>
      <c r="O578" s="309"/>
      <c r="P578" s="309"/>
      <c r="Q578" s="309"/>
      <c r="R578" s="309"/>
      <c r="S578" s="309"/>
    </row>
    <row r="579" spans="1:19" ht="15" customHeight="1" x14ac:dyDescent="0.25">
      <c r="A579" s="317"/>
      <c r="B579" s="309"/>
      <c r="C579" s="309"/>
      <c r="D579" s="652"/>
      <c r="E579" s="309"/>
      <c r="F579" s="652"/>
      <c r="G579" s="309"/>
      <c r="H579" s="309"/>
      <c r="I579" s="309"/>
      <c r="J579" s="309"/>
      <c r="K579" s="309"/>
      <c r="L579" s="309"/>
      <c r="M579" s="309"/>
      <c r="N579" s="309"/>
      <c r="O579" s="309"/>
      <c r="P579" s="309"/>
      <c r="Q579" s="309"/>
      <c r="R579" s="309"/>
      <c r="S579" s="309"/>
    </row>
    <row r="580" spans="1:19" ht="15" customHeight="1" x14ac:dyDescent="0.25">
      <c r="A580" s="727"/>
      <c r="B580" s="309"/>
      <c r="C580" s="309"/>
      <c r="D580" s="309"/>
      <c r="E580" s="309"/>
      <c r="F580" s="309"/>
      <c r="G580" s="309"/>
      <c r="H580" s="309"/>
      <c r="I580" s="309"/>
      <c r="J580" s="309"/>
      <c r="K580" s="309"/>
      <c r="L580" s="309"/>
      <c r="M580" s="309"/>
      <c r="N580" s="309"/>
      <c r="O580" s="309"/>
      <c r="P580" s="309"/>
      <c r="Q580" s="309"/>
      <c r="R580" s="309"/>
      <c r="S580" s="309"/>
    </row>
    <row r="581" spans="1:19" ht="15" customHeight="1" x14ac:dyDescent="0.25">
      <c r="A581" s="727"/>
      <c r="B581" s="309"/>
      <c r="C581" s="309"/>
      <c r="D581" s="309"/>
      <c r="E581" s="309"/>
      <c r="F581" s="309"/>
      <c r="G581" s="309"/>
      <c r="H581" s="309"/>
      <c r="I581" s="309"/>
      <c r="J581" s="309"/>
      <c r="K581" s="309"/>
      <c r="L581" s="309"/>
      <c r="M581" s="309"/>
      <c r="N581" s="309"/>
      <c r="O581" s="309"/>
      <c r="P581" s="309"/>
      <c r="Q581" s="309"/>
      <c r="R581" s="309"/>
      <c r="S581" s="309"/>
    </row>
    <row r="582" spans="1:19" ht="15" customHeight="1" x14ac:dyDescent="0.25">
      <c r="A582" s="727"/>
      <c r="B582" s="309"/>
      <c r="C582" s="309"/>
      <c r="D582" s="309"/>
      <c r="E582" s="309"/>
      <c r="F582" s="309"/>
      <c r="G582" s="309"/>
      <c r="H582" s="309"/>
      <c r="I582" s="309"/>
      <c r="J582" s="309"/>
      <c r="K582" s="309"/>
      <c r="L582" s="309"/>
      <c r="M582" s="309"/>
      <c r="N582" s="309"/>
      <c r="O582" s="309"/>
      <c r="P582" s="309"/>
      <c r="Q582" s="309"/>
      <c r="R582" s="309"/>
      <c r="S582" s="309"/>
    </row>
    <row r="583" spans="1:19" ht="15" customHeight="1" x14ac:dyDescent="0.25">
      <c r="A583" s="727"/>
      <c r="B583" s="309"/>
      <c r="C583" s="309"/>
      <c r="D583" s="309"/>
      <c r="E583" s="309"/>
      <c r="F583" s="309"/>
      <c r="G583" s="309"/>
      <c r="H583" s="309"/>
      <c r="I583" s="309"/>
      <c r="J583" s="309"/>
      <c r="K583" s="309"/>
      <c r="L583" s="309"/>
      <c r="M583" s="309"/>
      <c r="N583" s="309"/>
      <c r="O583" s="309"/>
      <c r="P583" s="309"/>
      <c r="Q583" s="309"/>
      <c r="R583" s="309"/>
      <c r="S583" s="309"/>
    </row>
    <row r="584" spans="1:19" ht="15" customHeight="1" x14ac:dyDescent="0.25">
      <c r="A584" s="727"/>
      <c r="B584" s="309"/>
      <c r="C584" s="309"/>
      <c r="D584" s="309"/>
      <c r="E584" s="309"/>
      <c r="F584" s="309"/>
      <c r="G584" s="309"/>
      <c r="H584" s="309"/>
      <c r="I584" s="309"/>
      <c r="J584" s="309"/>
      <c r="K584" s="309"/>
      <c r="L584" s="309"/>
      <c r="M584" s="309"/>
      <c r="N584" s="309"/>
      <c r="O584" s="309"/>
      <c r="P584" s="309"/>
      <c r="Q584" s="309"/>
      <c r="R584" s="309"/>
      <c r="S584" s="309"/>
    </row>
    <row r="585" spans="1:19" ht="15" customHeight="1" x14ac:dyDescent="0.25">
      <c r="A585" s="727"/>
      <c r="B585" s="309"/>
      <c r="C585" s="309"/>
      <c r="D585" s="309"/>
      <c r="E585" s="309"/>
      <c r="F585" s="309"/>
      <c r="G585" s="309"/>
      <c r="H585" s="309"/>
      <c r="I585" s="309"/>
      <c r="J585" s="309"/>
      <c r="K585" s="309"/>
      <c r="L585" s="309"/>
      <c r="M585" s="309"/>
      <c r="N585" s="309"/>
      <c r="O585" s="309"/>
      <c r="P585" s="309"/>
      <c r="Q585" s="309"/>
      <c r="R585" s="309"/>
      <c r="S585" s="309"/>
    </row>
    <row r="586" spans="1:19" ht="15" customHeight="1" x14ac:dyDescent="0.25">
      <c r="A586" s="727"/>
      <c r="B586" s="309"/>
      <c r="C586" s="309"/>
      <c r="D586" s="309"/>
      <c r="E586" s="309"/>
      <c r="F586" s="309"/>
      <c r="G586" s="309"/>
      <c r="H586" s="309"/>
      <c r="I586" s="309"/>
      <c r="J586" s="309"/>
      <c r="K586" s="309"/>
      <c r="L586" s="309"/>
      <c r="M586" s="309"/>
      <c r="N586" s="309"/>
      <c r="O586" s="309"/>
      <c r="P586" s="309"/>
      <c r="Q586" s="309"/>
      <c r="R586" s="309"/>
      <c r="S586" s="309"/>
    </row>
    <row r="587" spans="1:19" ht="15" customHeight="1" x14ac:dyDescent="0.25">
      <c r="A587" s="727"/>
      <c r="B587" s="309"/>
      <c r="C587" s="309"/>
      <c r="D587" s="309"/>
      <c r="E587" s="309"/>
      <c r="F587" s="309"/>
      <c r="G587" s="309"/>
      <c r="H587" s="309"/>
      <c r="I587" s="309"/>
      <c r="J587" s="309"/>
      <c r="K587" s="309"/>
      <c r="L587" s="309"/>
      <c r="M587" s="309"/>
      <c r="N587" s="309"/>
      <c r="O587" s="309"/>
      <c r="P587" s="309"/>
      <c r="Q587" s="309"/>
      <c r="R587" s="309"/>
      <c r="S587" s="309"/>
    </row>
    <row r="588" spans="1:19" ht="15" customHeight="1" x14ac:dyDescent="0.25">
      <c r="A588" s="727"/>
      <c r="B588" s="309"/>
      <c r="C588" s="309"/>
      <c r="D588" s="309"/>
      <c r="E588" s="309"/>
      <c r="F588" s="309"/>
      <c r="G588" s="309"/>
      <c r="H588" s="309"/>
      <c r="I588" s="309"/>
      <c r="J588" s="309"/>
      <c r="K588" s="309"/>
      <c r="L588" s="309"/>
      <c r="M588" s="309"/>
      <c r="N588" s="309"/>
      <c r="O588" s="309"/>
      <c r="P588" s="309"/>
      <c r="Q588" s="309"/>
      <c r="R588" s="309"/>
      <c r="S588" s="309"/>
    </row>
    <row r="589" spans="1:19" ht="15" customHeight="1" x14ac:dyDescent="0.25">
      <c r="A589" s="727"/>
      <c r="B589" s="309"/>
      <c r="C589" s="309"/>
      <c r="D589" s="309"/>
      <c r="E589" s="309"/>
      <c r="F589" s="309"/>
      <c r="G589" s="309"/>
      <c r="H589" s="309"/>
      <c r="I589" s="309"/>
      <c r="J589" s="309"/>
      <c r="K589" s="309"/>
      <c r="L589" s="309"/>
      <c r="M589" s="309"/>
      <c r="N589" s="309"/>
      <c r="O589" s="309"/>
      <c r="P589" s="309"/>
      <c r="Q589" s="309"/>
      <c r="R589" s="309"/>
      <c r="S589" s="309"/>
    </row>
    <row r="590" spans="1:19" ht="15" customHeight="1" x14ac:dyDescent="0.25">
      <c r="A590" s="727"/>
      <c r="B590" s="309"/>
      <c r="C590" s="309"/>
      <c r="D590" s="309"/>
      <c r="E590" s="309"/>
      <c r="F590" s="309"/>
      <c r="G590" s="309"/>
      <c r="H590" s="309"/>
      <c r="I590" s="309"/>
      <c r="J590" s="309"/>
      <c r="K590" s="309"/>
      <c r="L590" s="309"/>
      <c r="M590" s="309"/>
      <c r="N590" s="309"/>
      <c r="O590" s="309"/>
      <c r="P590" s="309"/>
      <c r="Q590" s="309"/>
      <c r="R590" s="309"/>
      <c r="S590" s="309"/>
    </row>
    <row r="591" spans="1:19" ht="15" customHeight="1" x14ac:dyDescent="0.25">
      <c r="A591" s="727"/>
      <c r="B591" s="309"/>
      <c r="C591" s="309"/>
      <c r="D591" s="309"/>
      <c r="E591" s="309"/>
      <c r="F591" s="309"/>
      <c r="G591" s="309"/>
      <c r="H591" s="309"/>
      <c r="I591" s="309"/>
      <c r="J591" s="309"/>
      <c r="K591" s="309"/>
      <c r="L591" s="309"/>
      <c r="M591" s="309"/>
      <c r="N591" s="309"/>
      <c r="O591" s="309"/>
      <c r="P591" s="309"/>
      <c r="Q591" s="309"/>
      <c r="R591" s="309"/>
      <c r="S591" s="309"/>
    </row>
    <row r="592" spans="1:19" ht="15" customHeight="1" x14ac:dyDescent="0.25">
      <c r="A592" s="727"/>
      <c r="B592" s="309"/>
      <c r="C592" s="309"/>
      <c r="D592" s="309"/>
      <c r="E592" s="309"/>
      <c r="F592" s="309"/>
      <c r="G592" s="309"/>
      <c r="H592" s="309"/>
      <c r="I592" s="309"/>
      <c r="J592" s="309"/>
      <c r="K592" s="309"/>
      <c r="L592" s="309"/>
      <c r="M592" s="309"/>
      <c r="N592" s="309"/>
      <c r="O592" s="309"/>
      <c r="P592" s="309"/>
      <c r="Q592" s="309"/>
      <c r="R592" s="309"/>
      <c r="S592" s="309"/>
    </row>
    <row r="593" spans="1:19" ht="15" customHeight="1" x14ac:dyDescent="0.25">
      <c r="A593" s="727"/>
      <c r="B593" s="309"/>
      <c r="C593" s="309"/>
      <c r="D593" s="309"/>
      <c r="E593" s="309"/>
      <c r="F593" s="309"/>
      <c r="G593" s="309"/>
      <c r="H593" s="309"/>
      <c r="I593" s="309"/>
      <c r="J593" s="309"/>
      <c r="K593" s="309"/>
      <c r="L593" s="309"/>
      <c r="M593" s="309"/>
      <c r="N593" s="309"/>
      <c r="O593" s="309"/>
      <c r="P593" s="309"/>
      <c r="Q593" s="309"/>
      <c r="R593" s="309"/>
      <c r="S593" s="309"/>
    </row>
    <row r="594" spans="1:19" ht="15" customHeight="1" x14ac:dyDescent="0.25">
      <c r="A594" s="727"/>
      <c r="B594" s="309"/>
      <c r="C594" s="309"/>
      <c r="D594" s="309"/>
      <c r="E594" s="309"/>
      <c r="F594" s="309"/>
      <c r="G594" s="309"/>
      <c r="H594" s="309"/>
      <c r="I594" s="309"/>
      <c r="J594" s="309"/>
      <c r="K594" s="309"/>
      <c r="L594" s="309"/>
      <c r="M594" s="309"/>
      <c r="N594" s="309"/>
      <c r="O594" s="309"/>
      <c r="P594" s="309"/>
      <c r="Q594" s="309"/>
      <c r="R594" s="309"/>
      <c r="S594" s="309"/>
    </row>
    <row r="595" spans="1:19" ht="15" customHeight="1" x14ac:dyDescent="0.25">
      <c r="A595" s="727"/>
      <c r="B595" s="309"/>
      <c r="C595" s="309"/>
      <c r="D595" s="309"/>
      <c r="E595" s="309"/>
      <c r="F595" s="309"/>
      <c r="G595" s="309"/>
      <c r="H595" s="309"/>
      <c r="I595" s="309"/>
      <c r="J595" s="309"/>
      <c r="K595" s="309"/>
      <c r="L595" s="309"/>
      <c r="M595" s="309"/>
      <c r="N595" s="309"/>
      <c r="O595" s="309"/>
      <c r="P595" s="309"/>
      <c r="Q595" s="309"/>
      <c r="R595" s="309"/>
      <c r="S595" s="309"/>
    </row>
    <row r="596" spans="1:19" ht="15" customHeight="1" x14ac:dyDescent="0.25">
      <c r="A596" s="727"/>
      <c r="B596" s="309"/>
      <c r="C596" s="309"/>
      <c r="D596" s="309"/>
      <c r="E596" s="309"/>
      <c r="F596" s="309"/>
      <c r="G596" s="309"/>
      <c r="H596" s="309"/>
      <c r="I596" s="309"/>
      <c r="J596" s="309"/>
      <c r="K596" s="309"/>
      <c r="L596" s="309"/>
      <c r="M596" s="309"/>
      <c r="N596" s="309"/>
      <c r="O596" s="309"/>
      <c r="P596" s="309"/>
      <c r="Q596" s="309"/>
      <c r="R596" s="309"/>
      <c r="S596" s="309"/>
    </row>
    <row r="597" spans="1:19" ht="15" customHeight="1" x14ac:dyDescent="0.25">
      <c r="A597" s="727"/>
      <c r="B597" s="309"/>
      <c r="C597" s="309"/>
      <c r="D597" s="309"/>
      <c r="E597" s="309"/>
      <c r="F597" s="309"/>
      <c r="G597" s="309"/>
      <c r="H597" s="309"/>
      <c r="I597" s="309"/>
      <c r="J597" s="309"/>
      <c r="K597" s="309"/>
      <c r="L597" s="309"/>
      <c r="M597" s="309"/>
      <c r="N597" s="309"/>
      <c r="O597" s="309"/>
      <c r="P597" s="309"/>
      <c r="Q597" s="309"/>
      <c r="R597" s="309"/>
      <c r="S597" s="309"/>
    </row>
    <row r="598" spans="1:19" ht="15" customHeight="1" x14ac:dyDescent="0.25">
      <c r="A598" s="727"/>
      <c r="B598" s="309"/>
      <c r="C598" s="309"/>
      <c r="D598" s="309"/>
      <c r="E598" s="309"/>
      <c r="F598" s="309"/>
      <c r="G598" s="309"/>
      <c r="H598" s="309"/>
      <c r="I598" s="309"/>
      <c r="J598" s="309"/>
      <c r="K598" s="309"/>
      <c r="L598" s="309"/>
      <c r="M598" s="309"/>
      <c r="N598" s="309"/>
      <c r="O598" s="309"/>
      <c r="P598" s="309"/>
      <c r="Q598" s="309"/>
      <c r="R598" s="309"/>
      <c r="S598" s="309"/>
    </row>
    <row r="599" spans="1:19" ht="15" customHeight="1" x14ac:dyDescent="0.25">
      <c r="A599" s="727"/>
      <c r="B599" s="309"/>
      <c r="C599" s="309"/>
      <c r="D599" s="309"/>
      <c r="E599" s="309"/>
      <c r="F599" s="309"/>
      <c r="G599" s="309"/>
      <c r="H599" s="309"/>
      <c r="I599" s="309"/>
      <c r="J599" s="309"/>
      <c r="K599" s="309"/>
      <c r="L599" s="309"/>
      <c r="M599" s="309"/>
      <c r="N599" s="309"/>
      <c r="O599" s="309"/>
      <c r="P599" s="309"/>
      <c r="Q599" s="309"/>
      <c r="R599" s="309"/>
      <c r="S599" s="309"/>
    </row>
    <row r="600" spans="1:19" ht="15" customHeight="1" x14ac:dyDescent="0.25">
      <c r="A600" s="727"/>
      <c r="B600" s="309"/>
      <c r="C600" s="309"/>
      <c r="D600" s="309"/>
      <c r="E600" s="309"/>
      <c r="F600" s="309"/>
      <c r="G600" s="309"/>
      <c r="H600" s="309"/>
      <c r="I600" s="309"/>
      <c r="J600" s="309"/>
      <c r="K600" s="309"/>
      <c r="L600" s="309"/>
      <c r="M600" s="309"/>
      <c r="N600" s="309"/>
      <c r="O600" s="309"/>
      <c r="P600" s="309"/>
      <c r="Q600" s="309"/>
      <c r="R600" s="309"/>
      <c r="S600" s="309"/>
    </row>
    <row r="601" spans="1:19" ht="15" customHeight="1" x14ac:dyDescent="0.25">
      <c r="A601" s="727"/>
      <c r="B601" s="309"/>
      <c r="C601" s="309"/>
      <c r="D601" s="309"/>
      <c r="E601" s="309"/>
      <c r="F601" s="309"/>
      <c r="G601" s="309"/>
      <c r="H601" s="309"/>
      <c r="I601" s="309"/>
      <c r="J601" s="309"/>
      <c r="K601" s="309"/>
      <c r="L601" s="309"/>
      <c r="M601" s="309"/>
      <c r="N601" s="309"/>
      <c r="O601" s="309"/>
      <c r="P601" s="309"/>
      <c r="Q601" s="309"/>
      <c r="R601" s="309"/>
      <c r="S601" s="309"/>
    </row>
    <row r="602" spans="1:19" ht="15" customHeight="1" x14ac:dyDescent="0.25">
      <c r="A602" s="727"/>
      <c r="B602" s="309"/>
      <c r="C602" s="309"/>
      <c r="D602" s="309"/>
      <c r="E602" s="309"/>
      <c r="F602" s="309"/>
      <c r="G602" s="309"/>
      <c r="H602" s="309"/>
      <c r="I602" s="309"/>
      <c r="J602" s="309"/>
      <c r="K602" s="309"/>
      <c r="L602" s="309"/>
      <c r="M602" s="309"/>
      <c r="N602" s="309"/>
      <c r="O602" s="309"/>
      <c r="P602" s="309"/>
      <c r="Q602" s="309"/>
      <c r="R602" s="309"/>
      <c r="S602" s="309"/>
    </row>
    <row r="603" spans="1:19" ht="15" customHeight="1" x14ac:dyDescent="0.25">
      <c r="A603" s="727"/>
      <c r="B603" s="309"/>
      <c r="C603" s="309"/>
      <c r="D603" s="309"/>
      <c r="E603" s="309"/>
      <c r="F603" s="309"/>
      <c r="G603" s="309"/>
      <c r="H603" s="309"/>
      <c r="I603" s="309"/>
      <c r="J603" s="309"/>
      <c r="K603" s="309"/>
      <c r="L603" s="309"/>
      <c r="M603" s="309"/>
      <c r="N603" s="309"/>
      <c r="O603" s="309"/>
      <c r="P603" s="309"/>
      <c r="Q603" s="309"/>
      <c r="R603" s="309"/>
      <c r="S603" s="309"/>
    </row>
    <row r="604" spans="1:19" ht="15" customHeight="1" x14ac:dyDescent="0.25">
      <c r="A604" s="727"/>
      <c r="B604" s="309"/>
      <c r="C604" s="309"/>
      <c r="D604" s="309"/>
      <c r="E604" s="309"/>
      <c r="F604" s="309"/>
      <c r="G604" s="309"/>
      <c r="H604" s="309"/>
      <c r="I604" s="309"/>
      <c r="J604" s="309"/>
      <c r="K604" s="309"/>
      <c r="L604" s="309"/>
      <c r="M604" s="309"/>
      <c r="N604" s="309"/>
      <c r="O604" s="309"/>
      <c r="P604" s="309"/>
      <c r="Q604" s="309"/>
      <c r="R604" s="309"/>
      <c r="S604" s="309"/>
    </row>
    <row r="605" spans="1:19" ht="15" customHeight="1" x14ac:dyDescent="0.25">
      <c r="A605" s="727"/>
      <c r="B605" s="309"/>
      <c r="C605" s="309"/>
      <c r="D605" s="309"/>
      <c r="E605" s="309"/>
      <c r="F605" s="309"/>
      <c r="G605" s="309"/>
      <c r="H605" s="309"/>
      <c r="I605" s="309"/>
      <c r="J605" s="309"/>
      <c r="K605" s="309"/>
      <c r="L605" s="309"/>
      <c r="M605" s="309"/>
      <c r="N605" s="309"/>
      <c r="O605" s="309"/>
      <c r="P605" s="309"/>
      <c r="Q605" s="309"/>
      <c r="R605" s="309"/>
      <c r="S605" s="309"/>
    </row>
    <row r="606" spans="1:19" ht="15" customHeight="1" x14ac:dyDescent="0.25">
      <c r="A606" s="727"/>
      <c r="B606" s="309"/>
      <c r="C606" s="309"/>
      <c r="D606" s="309"/>
      <c r="E606" s="309"/>
      <c r="F606" s="309"/>
      <c r="G606" s="309"/>
      <c r="H606" s="309"/>
      <c r="I606" s="309"/>
      <c r="J606" s="309"/>
      <c r="K606" s="309"/>
      <c r="L606" s="309"/>
      <c r="M606" s="309"/>
      <c r="N606" s="309"/>
      <c r="O606" s="309"/>
      <c r="P606" s="309"/>
      <c r="Q606" s="309"/>
      <c r="R606" s="309"/>
      <c r="S606" s="309"/>
    </row>
    <row r="607" spans="1:19" ht="15" customHeight="1" x14ac:dyDescent="0.25">
      <c r="A607" s="727"/>
      <c r="B607" s="309"/>
      <c r="C607" s="309"/>
      <c r="D607" s="309"/>
      <c r="E607" s="309"/>
      <c r="F607" s="309"/>
      <c r="G607" s="309"/>
      <c r="H607" s="309"/>
      <c r="I607" s="309"/>
      <c r="J607" s="309"/>
      <c r="K607" s="309"/>
      <c r="L607" s="309"/>
      <c r="M607" s="309"/>
      <c r="N607" s="309"/>
      <c r="O607" s="309"/>
      <c r="P607" s="309"/>
      <c r="Q607" s="309"/>
      <c r="R607" s="309"/>
      <c r="S607" s="309"/>
    </row>
    <row r="608" spans="1:19" ht="15" customHeight="1" x14ac:dyDescent="0.25">
      <c r="A608" s="727"/>
      <c r="B608" s="309"/>
      <c r="C608" s="309"/>
      <c r="D608" s="309"/>
      <c r="E608" s="309"/>
      <c r="F608" s="309"/>
      <c r="G608" s="309"/>
      <c r="H608" s="309"/>
      <c r="I608" s="309"/>
      <c r="J608" s="309"/>
      <c r="K608" s="309"/>
      <c r="L608" s="309"/>
      <c r="M608" s="309"/>
      <c r="N608" s="309"/>
      <c r="O608" s="309"/>
      <c r="P608" s="309"/>
      <c r="Q608" s="309"/>
      <c r="R608" s="309"/>
      <c r="S608" s="309"/>
    </row>
    <row r="609" spans="1:19" ht="15" customHeight="1" x14ac:dyDescent="0.25">
      <c r="A609" s="727"/>
      <c r="B609" s="309"/>
      <c r="C609" s="309"/>
      <c r="D609" s="309"/>
      <c r="E609" s="309"/>
      <c r="F609" s="309"/>
      <c r="G609" s="309"/>
      <c r="H609" s="309"/>
      <c r="I609" s="309"/>
      <c r="J609" s="309"/>
      <c r="K609" s="309"/>
      <c r="L609" s="309"/>
      <c r="M609" s="309"/>
      <c r="N609" s="309"/>
      <c r="O609" s="309"/>
      <c r="P609" s="309"/>
      <c r="Q609" s="309"/>
      <c r="R609" s="309"/>
      <c r="S609" s="309"/>
    </row>
    <row r="610" spans="1:19" ht="15" customHeight="1" x14ac:dyDescent="0.25">
      <c r="A610" s="727"/>
      <c r="B610" s="309"/>
      <c r="C610" s="309"/>
      <c r="D610" s="309"/>
      <c r="E610" s="309"/>
      <c r="F610" s="309"/>
      <c r="G610" s="309"/>
      <c r="H610" s="309"/>
      <c r="I610" s="309"/>
      <c r="J610" s="309"/>
      <c r="K610" s="309"/>
      <c r="L610" s="309"/>
      <c r="M610" s="309"/>
      <c r="N610" s="309"/>
      <c r="O610" s="309"/>
      <c r="P610" s="309"/>
      <c r="Q610" s="309"/>
      <c r="R610" s="309"/>
      <c r="S610" s="309"/>
    </row>
    <row r="611" spans="1:19" ht="15" customHeight="1" x14ac:dyDescent="0.25">
      <c r="A611" s="727"/>
      <c r="B611" s="309"/>
      <c r="C611" s="309"/>
      <c r="D611" s="309"/>
      <c r="E611" s="309"/>
      <c r="F611" s="309"/>
      <c r="G611" s="309"/>
      <c r="H611" s="309"/>
      <c r="I611" s="309"/>
      <c r="J611" s="309"/>
      <c r="K611" s="309"/>
      <c r="L611" s="309"/>
      <c r="M611" s="309"/>
      <c r="N611" s="309"/>
      <c r="O611" s="309"/>
      <c r="P611" s="309"/>
      <c r="Q611" s="309"/>
      <c r="R611" s="309"/>
      <c r="S611" s="309"/>
    </row>
    <row r="612" spans="1:19" ht="15" customHeight="1" x14ac:dyDescent="0.25">
      <c r="A612" s="727"/>
      <c r="B612" s="309"/>
      <c r="C612" s="309"/>
      <c r="D612" s="309"/>
      <c r="E612" s="309"/>
      <c r="F612" s="309"/>
      <c r="G612" s="309"/>
      <c r="H612" s="309"/>
      <c r="I612" s="309"/>
      <c r="J612" s="309"/>
      <c r="K612" s="309"/>
      <c r="L612" s="309"/>
      <c r="M612" s="309"/>
      <c r="N612" s="309"/>
      <c r="O612" s="309"/>
      <c r="P612" s="309"/>
      <c r="Q612" s="309"/>
      <c r="R612" s="309"/>
      <c r="S612" s="309"/>
    </row>
    <row r="613" spans="1:19" ht="15" customHeight="1" x14ac:dyDescent="0.25">
      <c r="A613" s="727"/>
      <c r="B613" s="309"/>
      <c r="C613" s="309"/>
      <c r="D613" s="309"/>
      <c r="E613" s="309"/>
      <c r="F613" s="309"/>
      <c r="G613" s="309"/>
      <c r="H613" s="309"/>
      <c r="I613" s="309"/>
      <c r="J613" s="309"/>
      <c r="K613" s="309"/>
      <c r="L613" s="309"/>
      <c r="M613" s="309"/>
      <c r="N613" s="309"/>
      <c r="O613" s="309"/>
      <c r="P613" s="309"/>
      <c r="Q613" s="309"/>
      <c r="R613" s="309"/>
      <c r="S613" s="309"/>
    </row>
    <row r="614" spans="1:19" ht="15" customHeight="1" x14ac:dyDescent="0.25">
      <c r="A614" s="727"/>
      <c r="B614" s="309"/>
      <c r="C614" s="309"/>
      <c r="D614" s="309"/>
      <c r="E614" s="309"/>
      <c r="F614" s="309"/>
      <c r="G614" s="309"/>
      <c r="H614" s="309"/>
      <c r="I614" s="309"/>
      <c r="J614" s="309"/>
      <c r="K614" s="309"/>
      <c r="L614" s="309"/>
      <c r="M614" s="309"/>
      <c r="N614" s="309"/>
      <c r="O614" s="309"/>
      <c r="P614" s="309"/>
      <c r="Q614" s="309"/>
      <c r="R614" s="309"/>
      <c r="S614" s="309"/>
    </row>
    <row r="615" spans="1:19" ht="15" customHeight="1" x14ac:dyDescent="0.25">
      <c r="A615" s="727"/>
      <c r="B615" s="309"/>
      <c r="C615" s="309"/>
      <c r="D615" s="309"/>
      <c r="E615" s="309"/>
      <c r="F615" s="309"/>
      <c r="G615" s="309"/>
      <c r="H615" s="309"/>
      <c r="I615" s="309"/>
      <c r="J615" s="309"/>
      <c r="K615" s="309"/>
      <c r="L615" s="309"/>
      <c r="M615" s="309"/>
      <c r="N615" s="309"/>
      <c r="O615" s="309"/>
      <c r="P615" s="309"/>
      <c r="Q615" s="309"/>
      <c r="R615" s="309"/>
      <c r="S615" s="309"/>
    </row>
    <row r="616" spans="1:19" ht="15" customHeight="1" x14ac:dyDescent="0.25">
      <c r="A616" s="727"/>
      <c r="B616" s="309"/>
      <c r="C616" s="309"/>
      <c r="D616" s="309"/>
      <c r="E616" s="309"/>
      <c r="F616" s="309"/>
      <c r="G616" s="309"/>
      <c r="H616" s="309"/>
      <c r="I616" s="309"/>
      <c r="J616" s="309"/>
      <c r="K616" s="309"/>
      <c r="L616" s="309"/>
      <c r="M616" s="309"/>
      <c r="N616" s="309"/>
      <c r="O616" s="309"/>
      <c r="P616" s="309"/>
      <c r="Q616" s="309"/>
      <c r="R616" s="309"/>
      <c r="S616" s="309"/>
    </row>
    <row r="617" spans="1:19" ht="15" customHeight="1" x14ac:dyDescent="0.25">
      <c r="A617" s="727"/>
      <c r="B617" s="309"/>
      <c r="C617" s="309"/>
      <c r="D617" s="309"/>
      <c r="E617" s="309"/>
      <c r="F617" s="309"/>
      <c r="G617" s="309"/>
      <c r="H617" s="309"/>
      <c r="I617" s="309"/>
      <c r="J617" s="309"/>
      <c r="K617" s="309"/>
      <c r="L617" s="309"/>
      <c r="M617" s="309"/>
      <c r="N617" s="309"/>
      <c r="O617" s="309"/>
      <c r="P617" s="309"/>
      <c r="Q617" s="309"/>
      <c r="R617" s="309"/>
      <c r="S617" s="309"/>
    </row>
    <row r="618" spans="1:19" ht="15" customHeight="1" x14ac:dyDescent="0.25">
      <c r="A618" s="727"/>
      <c r="B618" s="309"/>
      <c r="C618" s="309"/>
      <c r="D618" s="309"/>
      <c r="E618" s="309"/>
      <c r="F618" s="309"/>
      <c r="G618" s="309"/>
      <c r="H618" s="309"/>
      <c r="I618" s="309"/>
      <c r="J618" s="309"/>
      <c r="K618" s="309"/>
      <c r="L618" s="309"/>
      <c r="M618" s="309"/>
      <c r="N618" s="309"/>
      <c r="O618" s="309"/>
      <c r="P618" s="309"/>
      <c r="Q618" s="309"/>
      <c r="R618" s="309"/>
      <c r="S618" s="309"/>
    </row>
    <row r="619" spans="1:19" ht="15" customHeight="1" x14ac:dyDescent="0.25">
      <c r="A619" s="727"/>
      <c r="B619" s="309"/>
      <c r="C619" s="309"/>
      <c r="D619" s="309"/>
      <c r="E619" s="309"/>
      <c r="F619" s="309"/>
      <c r="G619" s="309"/>
      <c r="H619" s="309"/>
      <c r="I619" s="309"/>
      <c r="J619" s="309"/>
      <c r="K619" s="309"/>
      <c r="L619" s="309"/>
      <c r="M619" s="309"/>
      <c r="N619" s="309"/>
      <c r="O619" s="309"/>
      <c r="P619" s="309"/>
      <c r="Q619" s="309"/>
      <c r="R619" s="309"/>
      <c r="S619" s="309"/>
    </row>
    <row r="620" spans="1:19" ht="15" customHeight="1" x14ac:dyDescent="0.25">
      <c r="A620" s="727"/>
      <c r="B620" s="309"/>
      <c r="C620" s="309"/>
      <c r="D620" s="309"/>
      <c r="E620" s="309"/>
      <c r="F620" s="309"/>
      <c r="G620" s="309"/>
      <c r="H620" s="309"/>
      <c r="I620" s="309"/>
      <c r="J620" s="309"/>
      <c r="K620" s="309"/>
      <c r="L620" s="309"/>
      <c r="M620" s="309"/>
      <c r="N620" s="309"/>
      <c r="O620" s="309"/>
      <c r="P620" s="309"/>
      <c r="Q620" s="309"/>
      <c r="R620" s="309"/>
      <c r="S620" s="309"/>
    </row>
    <row r="621" spans="1:19" ht="15" customHeight="1" x14ac:dyDescent="0.25">
      <c r="A621" s="727"/>
      <c r="B621" s="309"/>
      <c r="C621" s="309"/>
      <c r="D621" s="309"/>
      <c r="E621" s="309"/>
      <c r="F621" s="309"/>
      <c r="G621" s="309"/>
      <c r="H621" s="309"/>
      <c r="I621" s="309"/>
      <c r="J621" s="309"/>
      <c r="K621" s="309"/>
      <c r="L621" s="309"/>
      <c r="M621" s="309"/>
      <c r="N621" s="309"/>
      <c r="O621" s="309"/>
      <c r="P621" s="309"/>
      <c r="Q621" s="309"/>
      <c r="R621" s="309"/>
      <c r="S621" s="309"/>
    </row>
    <row r="622" spans="1:19" ht="15" customHeight="1" x14ac:dyDescent="0.25">
      <c r="A622" s="727"/>
      <c r="B622" s="309"/>
      <c r="C622" s="309"/>
      <c r="D622" s="309"/>
      <c r="E622" s="309"/>
      <c r="F622" s="309"/>
      <c r="G622" s="309"/>
      <c r="H622" s="309"/>
      <c r="I622" s="309"/>
      <c r="J622" s="309"/>
      <c r="K622" s="309"/>
      <c r="L622" s="309"/>
      <c r="M622" s="309"/>
      <c r="N622" s="309"/>
      <c r="O622" s="309"/>
      <c r="P622" s="309"/>
      <c r="Q622" s="309"/>
      <c r="R622" s="309"/>
      <c r="S622" s="309"/>
    </row>
    <row r="623" spans="1:19" ht="15" customHeight="1" x14ac:dyDescent="0.25">
      <c r="A623" s="727"/>
      <c r="B623" s="309"/>
      <c r="C623" s="309"/>
      <c r="D623" s="309"/>
      <c r="E623" s="309"/>
      <c r="F623" s="309"/>
      <c r="G623" s="309"/>
      <c r="H623" s="309"/>
      <c r="I623" s="309"/>
      <c r="J623" s="309"/>
      <c r="K623" s="309"/>
      <c r="L623" s="309"/>
      <c r="M623" s="309"/>
      <c r="N623" s="309"/>
      <c r="O623" s="309"/>
      <c r="P623" s="309"/>
      <c r="Q623" s="309"/>
      <c r="R623" s="309"/>
      <c r="S623" s="309"/>
    </row>
    <row r="624" spans="1:19" ht="15" customHeight="1" x14ac:dyDescent="0.25">
      <c r="A624" s="727"/>
      <c r="B624" s="309"/>
      <c r="C624" s="309"/>
      <c r="D624" s="309"/>
      <c r="E624" s="309"/>
      <c r="F624" s="309"/>
      <c r="G624" s="309"/>
      <c r="H624" s="309"/>
      <c r="I624" s="309"/>
      <c r="J624" s="309"/>
      <c r="K624" s="309"/>
      <c r="L624" s="309"/>
      <c r="M624" s="309"/>
      <c r="N624" s="309"/>
      <c r="O624" s="309"/>
      <c r="P624" s="309"/>
      <c r="Q624" s="309"/>
      <c r="R624" s="309"/>
      <c r="S624" s="309"/>
    </row>
    <row r="625" spans="1:19" ht="15" customHeight="1" x14ac:dyDescent="0.25">
      <c r="A625" s="727"/>
      <c r="B625" s="309"/>
      <c r="C625" s="309"/>
      <c r="D625" s="309"/>
      <c r="E625" s="309"/>
      <c r="F625" s="309"/>
      <c r="G625" s="309"/>
      <c r="H625" s="309"/>
      <c r="I625" s="309"/>
      <c r="J625" s="309"/>
      <c r="K625" s="309"/>
      <c r="L625" s="309"/>
      <c r="M625" s="309"/>
      <c r="N625" s="309"/>
      <c r="O625" s="309"/>
      <c r="P625" s="309"/>
      <c r="Q625" s="309"/>
      <c r="R625" s="309"/>
      <c r="S625" s="309"/>
    </row>
    <row r="626" spans="1:19" ht="15" customHeight="1" x14ac:dyDescent="0.25">
      <c r="A626" s="727"/>
      <c r="B626" s="309"/>
      <c r="C626" s="309"/>
      <c r="D626" s="309"/>
      <c r="E626" s="309"/>
      <c r="F626" s="309"/>
      <c r="G626" s="309"/>
      <c r="H626" s="309"/>
      <c r="I626" s="309"/>
      <c r="J626" s="309"/>
      <c r="K626" s="309"/>
      <c r="L626" s="309"/>
      <c r="M626" s="309"/>
      <c r="N626" s="309"/>
      <c r="O626" s="309"/>
      <c r="P626" s="309"/>
      <c r="Q626" s="309"/>
      <c r="R626" s="309"/>
      <c r="S626" s="309"/>
    </row>
    <row r="627" spans="1:19" ht="15" customHeight="1" x14ac:dyDescent="0.25">
      <c r="A627" s="727"/>
      <c r="B627" s="309"/>
      <c r="C627" s="309"/>
      <c r="D627" s="309"/>
      <c r="E627" s="309"/>
      <c r="F627" s="309"/>
      <c r="G627" s="309"/>
      <c r="H627" s="309"/>
      <c r="I627" s="309"/>
      <c r="J627" s="309"/>
      <c r="K627" s="309"/>
      <c r="L627" s="309"/>
      <c r="M627" s="309"/>
      <c r="N627" s="309"/>
      <c r="O627" s="309"/>
      <c r="P627" s="309"/>
      <c r="Q627" s="309"/>
      <c r="R627" s="309"/>
      <c r="S627" s="309"/>
    </row>
    <row r="628" spans="1:19" ht="15" customHeight="1" x14ac:dyDescent="0.25">
      <c r="A628" s="727"/>
      <c r="B628" s="309"/>
      <c r="C628" s="309"/>
      <c r="D628" s="309"/>
      <c r="E628" s="309"/>
      <c r="F628" s="309"/>
      <c r="G628" s="309"/>
      <c r="H628" s="309"/>
      <c r="I628" s="309"/>
      <c r="J628" s="309"/>
      <c r="K628" s="309"/>
      <c r="L628" s="309"/>
      <c r="M628" s="309"/>
      <c r="N628" s="309"/>
      <c r="O628" s="309"/>
      <c r="P628" s="309"/>
      <c r="Q628" s="309"/>
      <c r="R628" s="309"/>
      <c r="S628" s="309"/>
    </row>
    <row r="629" spans="1:19" ht="15" customHeight="1" x14ac:dyDescent="0.25">
      <c r="A629" s="727"/>
      <c r="B629" s="309"/>
      <c r="C629" s="309"/>
      <c r="D629" s="309"/>
      <c r="E629" s="309"/>
      <c r="F629" s="309"/>
      <c r="G629" s="309"/>
      <c r="H629" s="309"/>
      <c r="I629" s="309"/>
      <c r="J629" s="309"/>
      <c r="K629" s="309"/>
      <c r="L629" s="309"/>
      <c r="M629" s="309"/>
      <c r="N629" s="309"/>
      <c r="O629" s="309"/>
      <c r="P629" s="309"/>
      <c r="Q629" s="309"/>
      <c r="R629" s="309"/>
      <c r="S629" s="309"/>
    </row>
    <row r="630" spans="1:19" ht="15" customHeight="1" x14ac:dyDescent="0.25">
      <c r="A630" s="727"/>
      <c r="B630" s="309"/>
      <c r="C630" s="309"/>
      <c r="D630" s="309"/>
      <c r="E630" s="309"/>
      <c r="F630" s="309"/>
      <c r="G630" s="309"/>
      <c r="H630" s="309"/>
      <c r="I630" s="309"/>
      <c r="J630" s="309"/>
      <c r="K630" s="309"/>
      <c r="L630" s="309"/>
      <c r="M630" s="309"/>
      <c r="N630" s="309"/>
      <c r="O630" s="309"/>
      <c r="P630" s="309"/>
      <c r="Q630" s="309"/>
      <c r="R630" s="309"/>
      <c r="S630" s="309"/>
    </row>
    <row r="631" spans="1:19" ht="15" customHeight="1" x14ac:dyDescent="0.25">
      <c r="A631" s="727"/>
      <c r="B631" s="309"/>
      <c r="C631" s="309"/>
      <c r="D631" s="309"/>
      <c r="E631" s="309"/>
      <c r="F631" s="309"/>
      <c r="G631" s="309"/>
      <c r="H631" s="309"/>
      <c r="I631" s="309"/>
      <c r="J631" s="309"/>
      <c r="K631" s="309"/>
      <c r="L631" s="309"/>
      <c r="M631" s="309"/>
      <c r="N631" s="309"/>
      <c r="O631" s="309"/>
      <c r="P631" s="309"/>
      <c r="Q631" s="309"/>
      <c r="R631" s="309"/>
      <c r="S631" s="309"/>
    </row>
    <row r="632" spans="1:19" ht="15" customHeight="1" x14ac:dyDescent="0.25">
      <c r="A632" s="727"/>
      <c r="B632" s="309"/>
      <c r="C632" s="309"/>
      <c r="D632" s="309"/>
      <c r="E632" s="309"/>
      <c r="F632" s="309"/>
      <c r="G632" s="309"/>
      <c r="H632" s="309"/>
      <c r="I632" s="309"/>
      <c r="J632" s="309"/>
      <c r="K632" s="309"/>
      <c r="L632" s="309"/>
      <c r="M632" s="309"/>
      <c r="N632" s="309"/>
      <c r="O632" s="309"/>
      <c r="P632" s="309"/>
      <c r="Q632" s="309"/>
      <c r="R632" s="309"/>
      <c r="S632" s="309"/>
    </row>
    <row r="633" spans="1:19" ht="15" customHeight="1" x14ac:dyDescent="0.25">
      <c r="A633" s="727"/>
      <c r="B633" s="309"/>
      <c r="C633" s="309"/>
      <c r="D633" s="309"/>
      <c r="E633" s="309"/>
      <c r="F633" s="309"/>
      <c r="G633" s="309"/>
      <c r="H633" s="309"/>
      <c r="I633" s="309"/>
      <c r="J633" s="309"/>
      <c r="K633" s="309"/>
      <c r="L633" s="309"/>
      <c r="M633" s="309"/>
      <c r="N633" s="309"/>
      <c r="O633" s="309"/>
      <c r="P633" s="309"/>
      <c r="Q633" s="309"/>
      <c r="R633" s="309"/>
      <c r="S633" s="309"/>
    </row>
    <row r="634" spans="1:19" ht="15" customHeight="1" x14ac:dyDescent="0.25">
      <c r="A634" s="727"/>
      <c r="B634" s="309"/>
      <c r="C634" s="309"/>
      <c r="D634" s="309"/>
      <c r="E634" s="309"/>
      <c r="F634" s="309"/>
      <c r="G634" s="309"/>
      <c r="H634" s="309"/>
      <c r="I634" s="309"/>
      <c r="J634" s="309"/>
      <c r="K634" s="309"/>
      <c r="L634" s="309"/>
      <c r="M634" s="309"/>
      <c r="N634" s="309"/>
      <c r="O634" s="309"/>
      <c r="P634" s="309"/>
      <c r="Q634" s="309"/>
      <c r="R634" s="309"/>
      <c r="S634" s="309"/>
    </row>
    <row r="635" spans="1:19" ht="15" customHeight="1" x14ac:dyDescent="0.25">
      <c r="A635" s="727"/>
      <c r="B635" s="309"/>
      <c r="C635" s="309"/>
      <c r="D635" s="309"/>
      <c r="E635" s="309"/>
      <c r="F635" s="309"/>
      <c r="G635" s="309"/>
      <c r="H635" s="309"/>
      <c r="I635" s="309"/>
      <c r="J635" s="309"/>
      <c r="K635" s="309"/>
      <c r="L635" s="309"/>
      <c r="M635" s="309"/>
      <c r="N635" s="309"/>
      <c r="O635" s="309"/>
      <c r="P635" s="309"/>
      <c r="Q635" s="309"/>
      <c r="R635" s="309"/>
      <c r="S635" s="309"/>
    </row>
    <row r="636" spans="1:19" ht="15" customHeight="1" x14ac:dyDescent="0.25">
      <c r="A636" s="727"/>
      <c r="B636" s="309"/>
      <c r="C636" s="309"/>
      <c r="D636" s="309"/>
      <c r="E636" s="309"/>
      <c r="F636" s="309"/>
      <c r="G636" s="309"/>
      <c r="H636" s="309"/>
      <c r="I636" s="309"/>
      <c r="J636" s="309"/>
      <c r="K636" s="309"/>
      <c r="L636" s="309"/>
      <c r="M636" s="309"/>
      <c r="N636" s="309"/>
      <c r="O636" s="309"/>
      <c r="P636" s="309"/>
      <c r="Q636" s="309"/>
      <c r="R636" s="309"/>
      <c r="S636" s="309"/>
    </row>
    <row r="637" spans="1:19" ht="15" customHeight="1" x14ac:dyDescent="0.25">
      <c r="A637" s="727"/>
      <c r="B637" s="309"/>
      <c r="C637" s="309"/>
      <c r="D637" s="309"/>
      <c r="E637" s="309"/>
      <c r="F637" s="309"/>
      <c r="G637" s="309"/>
      <c r="H637" s="309"/>
      <c r="I637" s="309"/>
      <c r="J637" s="309"/>
      <c r="K637" s="309"/>
      <c r="L637" s="309"/>
      <c r="M637" s="309"/>
      <c r="N637" s="309"/>
      <c r="O637" s="309"/>
      <c r="P637" s="309"/>
      <c r="Q637" s="309"/>
      <c r="R637" s="309"/>
      <c r="S637" s="309"/>
    </row>
    <row r="638" spans="1:19" ht="15" customHeight="1" x14ac:dyDescent="0.25">
      <c r="A638" s="727"/>
      <c r="B638" s="309"/>
      <c r="C638" s="309"/>
      <c r="D638" s="309"/>
      <c r="E638" s="309"/>
      <c r="F638" s="309"/>
      <c r="G638" s="309"/>
      <c r="H638" s="309"/>
      <c r="I638" s="309"/>
      <c r="J638" s="309"/>
      <c r="K638" s="309"/>
      <c r="L638" s="309"/>
      <c r="M638" s="309"/>
      <c r="N638" s="309"/>
      <c r="O638" s="309"/>
      <c r="P638" s="309"/>
      <c r="Q638" s="309"/>
      <c r="R638" s="309"/>
      <c r="S638" s="309"/>
    </row>
    <row r="639" spans="1:19" ht="15" customHeight="1" x14ac:dyDescent="0.25">
      <c r="A639" s="727"/>
      <c r="B639" s="309"/>
      <c r="C639" s="309"/>
      <c r="D639" s="309"/>
      <c r="E639" s="309"/>
      <c r="F639" s="309"/>
      <c r="G639" s="309"/>
      <c r="H639" s="309"/>
      <c r="I639" s="309"/>
      <c r="J639" s="309"/>
      <c r="K639" s="309"/>
      <c r="L639" s="309"/>
      <c r="M639" s="309"/>
      <c r="N639" s="309"/>
      <c r="O639" s="309"/>
      <c r="P639" s="309"/>
      <c r="Q639" s="309"/>
      <c r="R639" s="309"/>
      <c r="S639" s="309"/>
    </row>
    <row r="640" spans="1:19" ht="15" customHeight="1" x14ac:dyDescent="0.25">
      <c r="A640" s="727"/>
      <c r="B640" s="309"/>
      <c r="C640" s="309"/>
      <c r="D640" s="309"/>
      <c r="E640" s="309"/>
      <c r="F640" s="309"/>
      <c r="G640" s="309"/>
      <c r="H640" s="309"/>
      <c r="I640" s="309"/>
      <c r="J640" s="309"/>
      <c r="K640" s="309"/>
      <c r="L640" s="309"/>
      <c r="M640" s="309"/>
      <c r="N640" s="309"/>
      <c r="O640" s="309"/>
      <c r="P640" s="309"/>
      <c r="Q640" s="309"/>
      <c r="R640" s="309"/>
      <c r="S640" s="309"/>
    </row>
    <row r="641" spans="1:19" ht="15" customHeight="1" x14ac:dyDescent="0.25">
      <c r="A641" s="727"/>
      <c r="B641" s="309"/>
      <c r="C641" s="309"/>
      <c r="D641" s="309"/>
      <c r="E641" s="309"/>
      <c r="F641" s="309"/>
      <c r="G641" s="309"/>
      <c r="H641" s="309"/>
      <c r="I641" s="309"/>
      <c r="J641" s="309"/>
      <c r="K641" s="309"/>
      <c r="L641" s="309"/>
      <c r="M641" s="309"/>
      <c r="N641" s="309"/>
      <c r="O641" s="309"/>
      <c r="P641" s="309"/>
      <c r="Q641" s="309"/>
      <c r="R641" s="309"/>
      <c r="S641" s="309"/>
    </row>
    <row r="642" spans="1:19" ht="15" customHeight="1" x14ac:dyDescent="0.25">
      <c r="A642" s="727"/>
      <c r="B642" s="309"/>
      <c r="C642" s="309"/>
      <c r="D642" s="309"/>
      <c r="E642" s="309"/>
      <c r="F642" s="309"/>
      <c r="G642" s="309"/>
      <c r="H642" s="309"/>
      <c r="I642" s="309"/>
      <c r="J642" s="309"/>
      <c r="K642" s="309"/>
      <c r="L642" s="309"/>
      <c r="M642" s="309"/>
      <c r="N642" s="309"/>
      <c r="O642" s="309"/>
      <c r="P642" s="309"/>
      <c r="Q642" s="309"/>
      <c r="R642" s="309"/>
      <c r="S642" s="309"/>
    </row>
    <row r="643" spans="1:19" ht="15" customHeight="1" x14ac:dyDescent="0.25">
      <c r="A643" s="727"/>
      <c r="B643" s="309"/>
      <c r="C643" s="309"/>
      <c r="D643" s="309"/>
      <c r="E643" s="309"/>
      <c r="F643" s="309"/>
      <c r="G643" s="309"/>
      <c r="H643" s="309"/>
      <c r="I643" s="309"/>
      <c r="J643" s="309"/>
      <c r="K643" s="309"/>
      <c r="L643" s="309"/>
      <c r="M643" s="309"/>
      <c r="N643" s="309"/>
      <c r="O643" s="309"/>
      <c r="P643" s="309"/>
      <c r="Q643" s="309"/>
      <c r="R643" s="309"/>
      <c r="S643" s="309"/>
    </row>
    <row r="644" spans="1:19" ht="15" customHeight="1" x14ac:dyDescent="0.25">
      <c r="A644" s="727"/>
      <c r="B644" s="309"/>
      <c r="C644" s="309"/>
      <c r="D644" s="309"/>
      <c r="E644" s="309"/>
      <c r="F644" s="309"/>
      <c r="G644" s="309"/>
      <c r="H644" s="309"/>
      <c r="I644" s="309"/>
      <c r="J644" s="309"/>
      <c r="K644" s="309"/>
      <c r="L644" s="309"/>
      <c r="M644" s="309"/>
      <c r="N644" s="309"/>
      <c r="O644" s="309"/>
      <c r="P644" s="309"/>
      <c r="Q644" s="309"/>
      <c r="R644" s="309"/>
      <c r="S644" s="309"/>
    </row>
    <row r="645" spans="1:19" ht="15" customHeight="1" x14ac:dyDescent="0.25">
      <c r="A645" s="727"/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</row>
    <row r="646" spans="1:19" ht="15" customHeight="1" x14ac:dyDescent="0.25">
      <c r="A646" s="727"/>
      <c r="B646" s="309"/>
      <c r="C646" s="309"/>
      <c r="D646" s="309"/>
      <c r="E646" s="309"/>
      <c r="F646" s="309"/>
      <c r="G646" s="309"/>
      <c r="H646" s="309"/>
      <c r="I646" s="309"/>
      <c r="J646" s="309"/>
      <c r="K646" s="309"/>
      <c r="L646" s="309"/>
      <c r="M646" s="309"/>
      <c r="N646" s="309"/>
      <c r="O646" s="309"/>
      <c r="P646" s="309"/>
      <c r="Q646" s="309"/>
      <c r="R646" s="309"/>
      <c r="S646" s="309"/>
    </row>
    <row r="647" spans="1:19" ht="15" customHeight="1" x14ac:dyDescent="0.25">
      <c r="A647" s="727"/>
      <c r="B647" s="309"/>
      <c r="C647" s="309"/>
      <c r="D647" s="309"/>
      <c r="E647" s="309"/>
      <c r="F647" s="309"/>
      <c r="G647" s="309"/>
      <c r="H647" s="309"/>
      <c r="I647" s="309"/>
      <c r="J647" s="309"/>
      <c r="K647" s="309"/>
      <c r="L647" s="309"/>
      <c r="M647" s="309"/>
      <c r="N647" s="309"/>
      <c r="O647" s="309"/>
      <c r="P647" s="309"/>
      <c r="Q647" s="309"/>
      <c r="R647" s="309"/>
      <c r="S647" s="309"/>
    </row>
    <row r="648" spans="1:19" ht="15" customHeight="1" x14ac:dyDescent="0.25">
      <c r="A648" s="727"/>
      <c r="B648" s="309"/>
      <c r="C648" s="309"/>
      <c r="D648" s="309"/>
      <c r="E648" s="309"/>
      <c r="F648" s="309"/>
      <c r="G648" s="309"/>
      <c r="H648" s="309"/>
      <c r="I648" s="309"/>
      <c r="J648" s="309"/>
      <c r="K648" s="309"/>
      <c r="L648" s="309"/>
      <c r="M648" s="309"/>
      <c r="N648" s="309"/>
      <c r="O648" s="309"/>
      <c r="P648" s="309"/>
      <c r="Q648" s="309"/>
      <c r="R648" s="309"/>
      <c r="S648" s="309"/>
    </row>
    <row r="649" spans="1:19" ht="15" customHeight="1" x14ac:dyDescent="0.25">
      <c r="A649" s="727"/>
      <c r="B649" s="309"/>
      <c r="C649" s="309"/>
      <c r="D649" s="309"/>
      <c r="E649" s="309"/>
      <c r="F649" s="309"/>
      <c r="G649" s="309"/>
      <c r="H649" s="309"/>
      <c r="I649" s="309"/>
      <c r="J649" s="309"/>
      <c r="K649" s="309"/>
      <c r="L649" s="309"/>
      <c r="M649" s="309"/>
      <c r="N649" s="309"/>
      <c r="O649" s="309"/>
      <c r="P649" s="309"/>
      <c r="Q649" s="309"/>
      <c r="R649" s="309"/>
      <c r="S649" s="309"/>
    </row>
    <row r="650" spans="1:19" ht="15" customHeight="1" x14ac:dyDescent="0.25">
      <c r="A650" s="727"/>
      <c r="B650" s="309"/>
      <c r="C650" s="309"/>
      <c r="D650" s="309"/>
      <c r="E650" s="309"/>
      <c r="F650" s="309"/>
      <c r="G650" s="309"/>
      <c r="H650" s="309"/>
      <c r="I650" s="309"/>
      <c r="J650" s="309"/>
      <c r="K650" s="309"/>
      <c r="L650" s="309"/>
      <c r="M650" s="309"/>
      <c r="N650" s="309"/>
      <c r="O650" s="309"/>
      <c r="P650" s="309"/>
      <c r="Q650" s="309"/>
      <c r="R650" s="309"/>
      <c r="S650" s="309"/>
    </row>
    <row r="651" spans="1:19" ht="15" customHeight="1" x14ac:dyDescent="0.25">
      <c r="A651" s="727"/>
      <c r="B651" s="309"/>
      <c r="C651" s="309"/>
      <c r="D651" s="309"/>
      <c r="E651" s="309"/>
      <c r="F651" s="309"/>
      <c r="G651" s="309"/>
      <c r="H651" s="309"/>
      <c r="I651" s="309"/>
      <c r="J651" s="309"/>
      <c r="K651" s="309"/>
      <c r="L651" s="309"/>
      <c r="M651" s="309"/>
      <c r="N651" s="309"/>
      <c r="O651" s="309"/>
      <c r="P651" s="309"/>
      <c r="Q651" s="309"/>
      <c r="R651" s="309"/>
      <c r="S651" s="309"/>
    </row>
    <row r="652" spans="1:19" ht="15" customHeight="1" x14ac:dyDescent="0.25">
      <c r="A652" s="727"/>
      <c r="B652" s="309"/>
      <c r="C652" s="309"/>
      <c r="D652" s="309"/>
      <c r="E652" s="309"/>
      <c r="F652" s="309"/>
      <c r="G652" s="309"/>
      <c r="H652" s="309"/>
      <c r="I652" s="309"/>
      <c r="J652" s="309"/>
      <c r="K652" s="309"/>
      <c r="L652" s="309"/>
      <c r="M652" s="309"/>
      <c r="N652" s="309"/>
      <c r="O652" s="309"/>
      <c r="P652" s="309"/>
      <c r="Q652" s="309"/>
      <c r="R652" s="309"/>
      <c r="S652" s="309"/>
    </row>
    <row r="653" spans="1:19" ht="15" customHeight="1" x14ac:dyDescent="0.25">
      <c r="A653" s="727"/>
      <c r="B653" s="309"/>
      <c r="C653" s="309"/>
      <c r="D653" s="309"/>
      <c r="E653" s="309"/>
      <c r="F653" s="309"/>
      <c r="G653" s="309"/>
      <c r="H653" s="309"/>
      <c r="I653" s="309"/>
      <c r="J653" s="309"/>
      <c r="K653" s="309"/>
      <c r="L653" s="309"/>
      <c r="M653" s="309"/>
      <c r="N653" s="309"/>
      <c r="O653" s="309"/>
      <c r="P653" s="309"/>
      <c r="Q653" s="309"/>
      <c r="R653" s="309"/>
      <c r="S653" s="309"/>
    </row>
    <row r="654" spans="1:19" ht="15" customHeight="1" x14ac:dyDescent="0.25">
      <c r="A654" s="727"/>
      <c r="B654" s="309"/>
      <c r="C654" s="309"/>
      <c r="D654" s="309"/>
      <c r="E654" s="309"/>
      <c r="F654" s="309"/>
      <c r="G654" s="309"/>
      <c r="H654" s="309"/>
      <c r="I654" s="309"/>
      <c r="J654" s="309"/>
      <c r="K654" s="309"/>
      <c r="L654" s="309"/>
      <c r="M654" s="309"/>
      <c r="N654" s="309"/>
      <c r="O654" s="309"/>
      <c r="P654" s="309"/>
      <c r="Q654" s="309"/>
      <c r="R654" s="309"/>
      <c r="S654" s="309"/>
    </row>
    <row r="655" spans="1:19" ht="15" customHeight="1" x14ac:dyDescent="0.25">
      <c r="A655" s="727"/>
      <c r="B655" s="309"/>
      <c r="C655" s="309"/>
      <c r="D655" s="309"/>
      <c r="E655" s="309"/>
      <c r="F655" s="309"/>
      <c r="G655" s="309"/>
      <c r="H655" s="309"/>
      <c r="I655" s="309"/>
      <c r="J655" s="309"/>
      <c r="K655" s="309"/>
      <c r="L655" s="309"/>
      <c r="M655" s="309"/>
      <c r="N655" s="309"/>
      <c r="O655" s="309"/>
      <c r="P655" s="309"/>
      <c r="Q655" s="309"/>
      <c r="R655" s="309"/>
      <c r="S655" s="309"/>
    </row>
    <row r="656" spans="1:19" ht="15" customHeight="1" x14ac:dyDescent="0.25">
      <c r="A656" s="727"/>
      <c r="B656" s="309"/>
      <c r="C656" s="309"/>
      <c r="D656" s="309"/>
      <c r="E656" s="309"/>
      <c r="F656" s="309"/>
      <c r="G656" s="309"/>
      <c r="H656" s="309"/>
      <c r="I656" s="309"/>
      <c r="J656" s="309"/>
      <c r="K656" s="309"/>
      <c r="L656" s="309"/>
      <c r="M656" s="309"/>
      <c r="N656" s="309"/>
      <c r="O656" s="309"/>
      <c r="P656" s="309"/>
      <c r="Q656" s="309"/>
      <c r="R656" s="309"/>
      <c r="S656" s="309"/>
    </row>
    <row r="657" spans="1:19" ht="15" customHeight="1" x14ac:dyDescent="0.25">
      <c r="A657" s="727"/>
      <c r="B657" s="309"/>
      <c r="C657" s="309"/>
      <c r="D657" s="309"/>
      <c r="E657" s="309"/>
      <c r="F657" s="309"/>
      <c r="G657" s="309"/>
      <c r="H657" s="309"/>
      <c r="I657" s="309"/>
      <c r="J657" s="309"/>
      <c r="K657" s="309"/>
      <c r="L657" s="309"/>
      <c r="M657" s="309"/>
      <c r="N657" s="309"/>
      <c r="O657" s="309"/>
      <c r="P657" s="309"/>
      <c r="Q657" s="309"/>
      <c r="R657" s="309"/>
      <c r="S657" s="309"/>
    </row>
    <row r="658" spans="1:19" ht="15" customHeight="1" x14ac:dyDescent="0.25">
      <c r="A658" s="727"/>
      <c r="B658" s="309"/>
      <c r="C658" s="309"/>
      <c r="D658" s="309"/>
      <c r="E658" s="309"/>
      <c r="F658" s="309"/>
      <c r="G658" s="309"/>
      <c r="H658" s="309"/>
      <c r="I658" s="309"/>
      <c r="J658" s="309"/>
      <c r="K658" s="309"/>
      <c r="L658" s="309"/>
      <c r="M658" s="309"/>
      <c r="N658" s="309"/>
      <c r="O658" s="309"/>
      <c r="P658" s="309"/>
      <c r="Q658" s="309"/>
      <c r="R658" s="309"/>
      <c r="S658" s="309"/>
    </row>
    <row r="659" spans="1:19" ht="15" customHeight="1" x14ac:dyDescent="0.25">
      <c r="A659" s="727"/>
      <c r="B659" s="309"/>
      <c r="C659" s="309"/>
      <c r="D659" s="309"/>
      <c r="E659" s="309"/>
      <c r="F659" s="309"/>
      <c r="G659" s="309"/>
      <c r="H659" s="309"/>
      <c r="I659" s="309"/>
      <c r="J659" s="309"/>
      <c r="K659" s="309"/>
      <c r="L659" s="309"/>
      <c r="M659" s="309"/>
      <c r="N659" s="309"/>
      <c r="O659" s="309"/>
      <c r="P659" s="309"/>
      <c r="Q659" s="309"/>
      <c r="R659" s="309"/>
      <c r="S659" s="309"/>
    </row>
    <row r="660" spans="1:19" ht="15" customHeight="1" x14ac:dyDescent="0.25">
      <c r="A660" s="727"/>
      <c r="B660" s="309"/>
      <c r="C660" s="309"/>
      <c r="D660" s="309"/>
      <c r="E660" s="309"/>
      <c r="F660" s="309"/>
      <c r="G660" s="309"/>
      <c r="H660" s="309"/>
      <c r="I660" s="309"/>
      <c r="J660" s="309"/>
      <c r="K660" s="309"/>
      <c r="L660" s="309"/>
      <c r="M660" s="309"/>
      <c r="N660" s="309"/>
      <c r="O660" s="309"/>
      <c r="P660" s="309"/>
      <c r="Q660" s="309"/>
      <c r="R660" s="309"/>
      <c r="S660" s="309"/>
    </row>
    <row r="661" spans="1:19" ht="15" customHeight="1" x14ac:dyDescent="0.25">
      <c r="A661" s="727"/>
      <c r="B661" s="309"/>
      <c r="C661" s="309"/>
      <c r="D661" s="309"/>
      <c r="E661" s="309"/>
      <c r="F661" s="309"/>
      <c r="G661" s="309"/>
      <c r="H661" s="309"/>
      <c r="I661" s="309"/>
      <c r="J661" s="309"/>
      <c r="K661" s="309"/>
      <c r="L661" s="309"/>
      <c r="M661" s="309"/>
      <c r="N661" s="309"/>
      <c r="O661" s="309"/>
      <c r="P661" s="309"/>
      <c r="Q661" s="309"/>
      <c r="R661" s="309"/>
      <c r="S661" s="309"/>
    </row>
    <row r="662" spans="1:19" ht="15" customHeight="1" x14ac:dyDescent="0.25">
      <c r="A662" s="727"/>
      <c r="B662" s="309"/>
      <c r="C662" s="309"/>
      <c r="D662" s="309"/>
      <c r="E662" s="309"/>
      <c r="F662" s="309"/>
      <c r="G662" s="309"/>
      <c r="H662" s="309"/>
      <c r="I662" s="309"/>
      <c r="J662" s="309"/>
      <c r="K662" s="309"/>
      <c r="L662" s="309"/>
      <c r="M662" s="309"/>
      <c r="N662" s="309"/>
      <c r="O662" s="309"/>
      <c r="P662" s="309"/>
      <c r="Q662" s="309"/>
      <c r="R662" s="309"/>
      <c r="S662" s="309"/>
    </row>
    <row r="663" spans="1:19" ht="15" customHeight="1" x14ac:dyDescent="0.25">
      <c r="A663" s="727"/>
      <c r="B663" s="309"/>
      <c r="C663" s="309"/>
      <c r="D663" s="309"/>
      <c r="E663" s="309"/>
      <c r="F663" s="309"/>
      <c r="G663" s="309"/>
      <c r="H663" s="309"/>
      <c r="I663" s="309"/>
      <c r="J663" s="309"/>
      <c r="K663" s="309"/>
      <c r="L663" s="309"/>
      <c r="M663" s="309"/>
      <c r="N663" s="309"/>
      <c r="O663" s="309"/>
      <c r="P663" s="309"/>
      <c r="Q663" s="309"/>
      <c r="R663" s="309"/>
      <c r="S663" s="309"/>
    </row>
    <row r="664" spans="1:19" ht="15" customHeight="1" x14ac:dyDescent="0.25">
      <c r="A664" s="727"/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</row>
    <row r="665" spans="1:19" ht="15" customHeight="1" x14ac:dyDescent="0.25">
      <c r="A665" s="727"/>
      <c r="B665" s="309"/>
      <c r="C665" s="309"/>
      <c r="D665" s="309"/>
      <c r="E665" s="309"/>
      <c r="F665" s="309"/>
      <c r="G665" s="309"/>
      <c r="H665" s="309"/>
      <c r="I665" s="309"/>
      <c r="J665" s="309"/>
      <c r="K665" s="309"/>
      <c r="L665" s="309"/>
      <c r="M665" s="309"/>
      <c r="N665" s="309"/>
      <c r="O665" s="309"/>
      <c r="P665" s="309"/>
      <c r="Q665" s="309"/>
      <c r="R665" s="309"/>
      <c r="S665" s="309"/>
    </row>
    <row r="666" spans="1:19" ht="15" customHeight="1" x14ac:dyDescent="0.25">
      <c r="A666" s="727"/>
      <c r="B666" s="309"/>
      <c r="C666" s="309"/>
      <c r="D666" s="309"/>
      <c r="E666" s="309"/>
      <c r="F666" s="309"/>
      <c r="G666" s="309"/>
      <c r="H666" s="309"/>
      <c r="I666" s="309"/>
      <c r="J666" s="309"/>
      <c r="K666" s="309"/>
      <c r="L666" s="309"/>
      <c r="M666" s="309"/>
      <c r="N666" s="309"/>
      <c r="O666" s="309"/>
      <c r="P666" s="309"/>
      <c r="Q666" s="309"/>
      <c r="R666" s="309"/>
      <c r="S666" s="309"/>
    </row>
    <row r="667" spans="1:19" ht="15" customHeight="1" x14ac:dyDescent="0.25">
      <c r="A667" s="727"/>
      <c r="B667" s="309"/>
      <c r="C667" s="309"/>
      <c r="D667" s="309"/>
      <c r="E667" s="309"/>
      <c r="F667" s="309"/>
      <c r="G667" s="309"/>
      <c r="H667" s="309"/>
      <c r="I667" s="309"/>
      <c r="J667" s="309"/>
      <c r="K667" s="309"/>
      <c r="L667" s="309"/>
      <c r="M667" s="309"/>
      <c r="N667" s="309"/>
      <c r="O667" s="309"/>
      <c r="P667" s="309"/>
      <c r="Q667" s="309"/>
      <c r="R667" s="309"/>
      <c r="S667" s="309"/>
    </row>
    <row r="668" spans="1:19" ht="15" customHeight="1" x14ac:dyDescent="0.25">
      <c r="A668" s="727"/>
      <c r="B668" s="309"/>
      <c r="C668" s="309"/>
      <c r="D668" s="309"/>
      <c r="E668" s="309"/>
      <c r="F668" s="309"/>
      <c r="G668" s="309"/>
      <c r="H668" s="309"/>
      <c r="I668" s="309"/>
      <c r="J668" s="309"/>
      <c r="K668" s="309"/>
      <c r="L668" s="309"/>
      <c r="M668" s="309"/>
      <c r="N668" s="309"/>
      <c r="O668" s="309"/>
      <c r="P668" s="309"/>
      <c r="Q668" s="309"/>
      <c r="R668" s="309"/>
      <c r="S668" s="309"/>
    </row>
    <row r="669" spans="1:19" ht="15" customHeight="1" x14ac:dyDescent="0.25">
      <c r="A669" s="727"/>
      <c r="B669" s="309"/>
      <c r="C669" s="309"/>
      <c r="D669" s="309"/>
      <c r="E669" s="309"/>
      <c r="F669" s="309"/>
      <c r="G669" s="309"/>
      <c r="H669" s="309"/>
      <c r="I669" s="309"/>
      <c r="J669" s="309"/>
      <c r="K669" s="309"/>
      <c r="L669" s="309"/>
      <c r="M669" s="309"/>
      <c r="N669" s="309"/>
      <c r="O669" s="309"/>
      <c r="P669" s="309"/>
      <c r="Q669" s="309"/>
      <c r="R669" s="309"/>
      <c r="S669" s="309"/>
    </row>
    <row r="670" spans="1:19" ht="15" customHeight="1" x14ac:dyDescent="0.25">
      <c r="A670" s="727"/>
      <c r="B670" s="309"/>
      <c r="C670" s="309"/>
      <c r="D670" s="309"/>
      <c r="E670" s="309"/>
      <c r="F670" s="309"/>
      <c r="G670" s="309"/>
      <c r="H670" s="309"/>
      <c r="I670" s="309"/>
      <c r="J670" s="309"/>
      <c r="K670" s="309"/>
      <c r="L670" s="309"/>
      <c r="M670" s="309"/>
      <c r="N670" s="309"/>
      <c r="O670" s="309"/>
      <c r="P670" s="309"/>
      <c r="Q670" s="309"/>
      <c r="R670" s="309"/>
      <c r="S670" s="309"/>
    </row>
    <row r="671" spans="1:19" ht="15" customHeight="1" x14ac:dyDescent="0.25">
      <c r="A671" s="727"/>
      <c r="B671" s="309"/>
      <c r="C671" s="309"/>
      <c r="D671" s="309"/>
      <c r="E671" s="309"/>
      <c r="F671" s="309"/>
      <c r="G671" s="309"/>
      <c r="H671" s="309"/>
      <c r="I671" s="309"/>
      <c r="J671" s="309"/>
      <c r="K671" s="309"/>
      <c r="L671" s="309"/>
      <c r="M671" s="309"/>
      <c r="N671" s="309"/>
      <c r="O671" s="309"/>
      <c r="P671" s="309"/>
      <c r="Q671" s="309"/>
      <c r="R671" s="309"/>
      <c r="S671" s="309"/>
    </row>
    <row r="672" spans="1:19" ht="15" customHeight="1" x14ac:dyDescent="0.25">
      <c r="A672" s="727"/>
      <c r="B672" s="309"/>
      <c r="C672" s="309"/>
      <c r="D672" s="309"/>
      <c r="E672" s="309"/>
      <c r="F672" s="652"/>
      <c r="G672" s="309"/>
      <c r="H672" s="309"/>
      <c r="I672" s="309"/>
      <c r="J672" s="309"/>
      <c r="K672" s="309"/>
      <c r="L672" s="309"/>
      <c r="M672" s="309"/>
      <c r="N672" s="309"/>
      <c r="O672" s="309"/>
      <c r="P672" s="309"/>
      <c r="Q672" s="309"/>
      <c r="R672" s="309"/>
      <c r="S672" s="309"/>
    </row>
    <row r="673" spans="1:19" ht="15" customHeight="1" x14ac:dyDescent="0.25">
      <c r="A673" s="727"/>
      <c r="B673" s="309"/>
      <c r="C673" s="309"/>
      <c r="D673" s="309"/>
      <c r="E673" s="309"/>
      <c r="F673" s="309"/>
      <c r="G673" s="309"/>
      <c r="H673" s="309"/>
      <c r="I673" s="309"/>
      <c r="J673" s="309"/>
      <c r="K673" s="309"/>
      <c r="L673" s="309"/>
      <c r="M673" s="309"/>
      <c r="N673" s="309"/>
      <c r="O673" s="309"/>
      <c r="P673" s="309"/>
      <c r="Q673" s="309"/>
      <c r="R673" s="309"/>
      <c r="S673" s="309"/>
    </row>
    <row r="674" spans="1:19" ht="15" customHeight="1" x14ac:dyDescent="0.25">
      <c r="A674" s="727"/>
      <c r="B674" s="309"/>
      <c r="C674" s="309"/>
      <c r="D674" s="309"/>
      <c r="E674" s="309"/>
      <c r="F674" s="309"/>
      <c r="G674" s="309"/>
      <c r="H674" s="309"/>
      <c r="I674" s="309"/>
      <c r="J674" s="309"/>
      <c r="K674" s="309"/>
      <c r="L674" s="309"/>
      <c r="M674" s="309"/>
      <c r="N674" s="309"/>
      <c r="O674" s="309"/>
      <c r="P674" s="309"/>
      <c r="Q674" s="309"/>
      <c r="R674" s="309"/>
      <c r="S674" s="309"/>
    </row>
    <row r="675" spans="1:19" ht="15" customHeight="1" x14ac:dyDescent="0.25">
      <c r="A675" s="727"/>
      <c r="B675" s="309"/>
      <c r="C675" s="309"/>
      <c r="D675" s="309"/>
      <c r="E675" s="309"/>
      <c r="F675" s="317"/>
      <c r="G675" s="309"/>
      <c r="H675" s="309"/>
      <c r="I675" s="309"/>
      <c r="J675" s="309"/>
      <c r="K675" s="309"/>
      <c r="L675" s="309"/>
      <c r="M675" s="309"/>
      <c r="N675" s="309"/>
      <c r="O675" s="309"/>
      <c r="P675" s="309"/>
      <c r="Q675" s="309"/>
      <c r="R675" s="309"/>
      <c r="S675" s="309"/>
    </row>
    <row r="676" spans="1:19" ht="15" customHeight="1" x14ac:dyDescent="0.25">
      <c r="A676" s="727"/>
      <c r="B676" s="309"/>
      <c r="C676" s="309"/>
      <c r="D676" s="309"/>
      <c r="E676" s="309"/>
      <c r="F676" s="309"/>
      <c r="G676" s="309"/>
      <c r="H676" s="309"/>
      <c r="I676" s="309"/>
      <c r="J676" s="309"/>
      <c r="K676" s="309"/>
      <c r="L676" s="309"/>
      <c r="M676" s="309"/>
      <c r="N676" s="309"/>
      <c r="O676" s="309"/>
      <c r="P676" s="309"/>
      <c r="Q676" s="309"/>
      <c r="R676" s="309"/>
      <c r="S676" s="309"/>
    </row>
    <row r="677" spans="1:19" ht="15" customHeight="1" x14ac:dyDescent="0.25">
      <c r="A677" s="727"/>
      <c r="B677" s="309"/>
      <c r="C677" s="309"/>
      <c r="D677" s="309"/>
      <c r="E677" s="309"/>
      <c r="F677" s="309"/>
      <c r="G677" s="309"/>
      <c r="H677" s="309"/>
      <c r="I677" s="309"/>
      <c r="J677" s="309"/>
      <c r="K677" s="309"/>
      <c r="L677" s="309"/>
      <c r="M677" s="309"/>
      <c r="N677" s="309"/>
      <c r="O677" s="309"/>
      <c r="P677" s="309"/>
      <c r="Q677" s="309"/>
      <c r="R677" s="309"/>
      <c r="S677" s="309"/>
    </row>
    <row r="678" spans="1:19" ht="15" customHeight="1" x14ac:dyDescent="0.25">
      <c r="A678" s="727"/>
      <c r="B678" s="309"/>
      <c r="C678" s="309"/>
      <c r="D678" s="309"/>
      <c r="E678" s="309"/>
      <c r="F678" s="309"/>
      <c r="G678" s="309"/>
      <c r="H678" s="309"/>
      <c r="I678" s="309"/>
      <c r="J678" s="309"/>
      <c r="K678" s="309"/>
      <c r="L678" s="309"/>
      <c r="M678" s="309"/>
      <c r="N678" s="309"/>
      <c r="O678" s="309"/>
      <c r="P678" s="309"/>
      <c r="Q678" s="309"/>
      <c r="R678" s="309"/>
      <c r="S678" s="309"/>
    </row>
    <row r="679" spans="1:19" ht="15" customHeight="1" x14ac:dyDescent="0.25">
      <c r="A679" s="727"/>
      <c r="B679" s="309"/>
      <c r="C679" s="309"/>
      <c r="D679" s="309"/>
      <c r="E679" s="309"/>
      <c r="F679" s="309"/>
      <c r="G679" s="309"/>
      <c r="H679" s="309"/>
      <c r="I679" s="309"/>
      <c r="J679" s="309"/>
      <c r="K679" s="309"/>
      <c r="L679" s="309"/>
      <c r="M679" s="309"/>
      <c r="N679" s="309"/>
      <c r="O679" s="309"/>
      <c r="P679" s="309"/>
      <c r="Q679" s="309"/>
      <c r="R679" s="309"/>
      <c r="S679" s="309"/>
    </row>
    <row r="680" spans="1:19" ht="15" customHeight="1" x14ac:dyDescent="0.25">
      <c r="A680" s="727"/>
      <c r="B680" s="309"/>
      <c r="C680" s="309"/>
      <c r="D680" s="309"/>
      <c r="E680" s="309"/>
      <c r="F680" s="309"/>
      <c r="G680" s="309"/>
      <c r="H680" s="309"/>
      <c r="I680" s="309"/>
      <c r="J680" s="309"/>
      <c r="K680" s="309"/>
      <c r="L680" s="309"/>
      <c r="M680" s="309"/>
      <c r="N680" s="309"/>
      <c r="O680" s="309"/>
      <c r="P680" s="309"/>
      <c r="Q680" s="309"/>
      <c r="R680" s="309"/>
      <c r="S680" s="309"/>
    </row>
    <row r="681" spans="1:19" ht="15" customHeight="1" x14ac:dyDescent="0.25">
      <c r="A681" s="727"/>
      <c r="B681" s="309"/>
      <c r="C681" s="309"/>
      <c r="D681" s="309"/>
      <c r="E681" s="309"/>
      <c r="F681" s="309"/>
      <c r="G681" s="309"/>
      <c r="H681" s="309"/>
      <c r="I681" s="309"/>
      <c r="J681" s="309"/>
      <c r="K681" s="309"/>
      <c r="L681" s="309"/>
      <c r="M681" s="309"/>
      <c r="N681" s="309"/>
      <c r="O681" s="309"/>
      <c r="P681" s="309"/>
      <c r="Q681" s="309"/>
      <c r="R681" s="309"/>
      <c r="S681" s="309"/>
    </row>
    <row r="682" spans="1:19" ht="15" customHeight="1" x14ac:dyDescent="0.25">
      <c r="A682" s="727"/>
      <c r="B682" s="309"/>
      <c r="C682" s="309"/>
      <c r="D682" s="309"/>
      <c r="E682" s="652"/>
      <c r="F682" s="317"/>
      <c r="G682" s="309"/>
      <c r="H682" s="309"/>
      <c r="I682" s="309"/>
      <c r="J682" s="309"/>
      <c r="K682" s="309"/>
      <c r="L682" s="309"/>
      <c r="M682" s="309"/>
      <c r="N682" s="309"/>
      <c r="O682" s="309"/>
      <c r="P682" s="309"/>
      <c r="Q682" s="309"/>
      <c r="R682" s="309"/>
      <c r="S682" s="309"/>
    </row>
    <row r="683" spans="1:19" ht="15" customHeight="1" x14ac:dyDescent="0.25">
      <c r="A683" s="727"/>
      <c r="B683" s="309"/>
      <c r="C683" s="309"/>
      <c r="D683" s="309"/>
      <c r="E683" s="309"/>
      <c r="F683" s="309"/>
      <c r="G683" s="309"/>
      <c r="H683" s="309"/>
      <c r="I683" s="309"/>
      <c r="J683" s="309"/>
      <c r="K683" s="309"/>
      <c r="L683" s="309"/>
      <c r="M683" s="309"/>
      <c r="N683" s="309"/>
      <c r="O683" s="309"/>
      <c r="P683" s="309"/>
      <c r="Q683" s="309"/>
      <c r="R683" s="309"/>
      <c r="S683" s="309"/>
    </row>
    <row r="684" spans="1:19" ht="15" customHeight="1" x14ac:dyDescent="0.25">
      <c r="A684" s="727"/>
      <c r="B684" s="309"/>
      <c r="C684" s="309"/>
      <c r="D684" s="309"/>
      <c r="E684" s="309"/>
      <c r="F684" s="309"/>
      <c r="G684" s="309"/>
      <c r="H684" s="309"/>
      <c r="I684" s="309"/>
      <c r="J684" s="309"/>
      <c r="K684" s="309"/>
      <c r="L684" s="309"/>
      <c r="M684" s="309"/>
      <c r="N684" s="309"/>
      <c r="O684" s="309"/>
      <c r="P684" s="309"/>
      <c r="Q684" s="309"/>
      <c r="R684" s="309"/>
      <c r="S684" s="309"/>
    </row>
    <row r="685" spans="1:19" ht="15" customHeight="1" x14ac:dyDescent="0.25">
      <c r="A685" s="727"/>
      <c r="B685" s="309"/>
      <c r="C685" s="309"/>
      <c r="D685" s="309"/>
      <c r="E685" s="309"/>
      <c r="F685" s="309"/>
      <c r="G685" s="309"/>
      <c r="H685" s="309"/>
      <c r="I685" s="309"/>
      <c r="J685" s="309"/>
      <c r="K685" s="309"/>
      <c r="L685" s="309"/>
      <c r="M685" s="309"/>
      <c r="N685" s="309"/>
      <c r="O685" s="309"/>
      <c r="P685" s="309"/>
      <c r="Q685" s="309"/>
      <c r="R685" s="309"/>
      <c r="S685" s="309"/>
    </row>
    <row r="686" spans="1:19" ht="15" customHeight="1" x14ac:dyDescent="0.25">
      <c r="A686" s="727"/>
      <c r="B686" s="309"/>
      <c r="C686" s="309"/>
      <c r="D686" s="309"/>
      <c r="E686" s="309"/>
      <c r="F686" s="309"/>
      <c r="G686" s="309"/>
      <c r="H686" s="309"/>
      <c r="I686" s="309"/>
      <c r="J686" s="309"/>
      <c r="K686" s="309"/>
      <c r="L686" s="309"/>
      <c r="M686" s="309"/>
      <c r="N686" s="309"/>
      <c r="O686" s="309"/>
      <c r="P686" s="309"/>
      <c r="Q686" s="309"/>
      <c r="R686" s="309"/>
      <c r="S686" s="309"/>
    </row>
    <row r="687" spans="1:19" ht="15" customHeight="1" x14ac:dyDescent="0.25">
      <c r="A687" s="727"/>
      <c r="B687" s="309"/>
      <c r="C687" s="309"/>
      <c r="D687" s="309"/>
      <c r="E687" s="309"/>
      <c r="F687" s="309"/>
      <c r="G687" s="309"/>
      <c r="H687" s="309"/>
      <c r="I687" s="309"/>
      <c r="J687" s="309"/>
      <c r="K687" s="309"/>
      <c r="L687" s="309"/>
      <c r="M687" s="309"/>
      <c r="N687" s="309"/>
      <c r="O687" s="309"/>
      <c r="P687" s="309"/>
      <c r="Q687" s="309"/>
      <c r="R687" s="309"/>
      <c r="S687" s="309"/>
    </row>
    <row r="688" spans="1:19" ht="15" customHeight="1" x14ac:dyDescent="0.25">
      <c r="A688" s="727"/>
      <c r="B688" s="309"/>
      <c r="C688" s="309"/>
      <c r="D688" s="309"/>
      <c r="E688" s="309"/>
      <c r="F688" s="309"/>
      <c r="G688" s="309"/>
      <c r="H688" s="309"/>
      <c r="I688" s="309"/>
      <c r="J688" s="309"/>
      <c r="K688" s="309"/>
      <c r="L688" s="309"/>
      <c r="M688" s="309"/>
      <c r="N688" s="309"/>
      <c r="O688" s="309"/>
      <c r="P688" s="309"/>
      <c r="Q688" s="309"/>
      <c r="R688" s="309"/>
      <c r="S688" s="309"/>
    </row>
    <row r="689" spans="1:19" ht="15" customHeight="1" x14ac:dyDescent="0.25">
      <c r="A689" s="727"/>
      <c r="B689" s="309"/>
      <c r="C689" s="309"/>
      <c r="D689" s="309"/>
      <c r="E689" s="309"/>
      <c r="F689" s="309"/>
      <c r="G689" s="309"/>
      <c r="H689" s="309"/>
      <c r="I689" s="309"/>
      <c r="J689" s="309"/>
      <c r="K689" s="309"/>
      <c r="L689" s="309"/>
      <c r="M689" s="309"/>
      <c r="N689" s="309"/>
      <c r="O689" s="309"/>
      <c r="P689" s="309"/>
      <c r="Q689" s="309"/>
      <c r="R689" s="309"/>
      <c r="S689" s="309"/>
    </row>
    <row r="690" spans="1:19" ht="15" customHeight="1" x14ac:dyDescent="0.25">
      <c r="A690" s="727"/>
      <c r="B690" s="309"/>
      <c r="C690" s="309"/>
      <c r="D690" s="309"/>
      <c r="E690" s="309"/>
      <c r="F690" s="309"/>
      <c r="G690" s="309"/>
      <c r="H690" s="309"/>
      <c r="I690" s="309"/>
      <c r="J690" s="309"/>
      <c r="K690" s="309"/>
      <c r="L690" s="309"/>
      <c r="M690" s="309"/>
      <c r="N690" s="309"/>
      <c r="O690" s="309"/>
      <c r="P690" s="309"/>
      <c r="Q690" s="309"/>
      <c r="R690" s="309"/>
      <c r="S690" s="309"/>
    </row>
    <row r="691" spans="1:19" ht="15" customHeight="1" x14ac:dyDescent="0.25">
      <c r="A691" s="727"/>
      <c r="B691" s="309"/>
      <c r="C691" s="309"/>
      <c r="D691" s="309"/>
      <c r="E691" s="309"/>
      <c r="F691" s="309"/>
      <c r="G691" s="309"/>
      <c r="H691" s="309"/>
      <c r="I691" s="309"/>
      <c r="J691" s="309"/>
      <c r="K691" s="309"/>
      <c r="L691" s="309"/>
      <c r="M691" s="309"/>
      <c r="N691" s="309"/>
      <c r="O691" s="309"/>
      <c r="P691" s="309"/>
      <c r="Q691" s="309"/>
      <c r="R691" s="309"/>
      <c r="S691" s="309"/>
    </row>
    <row r="692" spans="1:19" ht="15" customHeight="1" x14ac:dyDescent="0.25">
      <c r="A692" s="727"/>
      <c r="B692" s="309"/>
      <c r="C692" s="309"/>
      <c r="D692" s="309"/>
      <c r="E692" s="309"/>
      <c r="F692" s="309"/>
      <c r="G692" s="309"/>
      <c r="H692" s="309"/>
      <c r="I692" s="309"/>
      <c r="J692" s="309"/>
      <c r="K692" s="309"/>
      <c r="L692" s="309"/>
      <c r="M692" s="309"/>
      <c r="N692" s="309"/>
      <c r="O692" s="309"/>
      <c r="P692" s="309"/>
      <c r="Q692" s="309"/>
      <c r="R692" s="309"/>
      <c r="S692" s="309"/>
    </row>
    <row r="693" spans="1:19" ht="15" customHeight="1" x14ac:dyDescent="0.25">
      <c r="A693" s="727"/>
      <c r="B693" s="309"/>
      <c r="C693" s="309"/>
      <c r="D693" s="309"/>
      <c r="E693" s="309"/>
      <c r="F693" s="309"/>
      <c r="G693" s="309"/>
      <c r="H693" s="309"/>
      <c r="I693" s="309"/>
      <c r="J693" s="309"/>
      <c r="K693" s="309"/>
      <c r="L693" s="309"/>
      <c r="M693" s="309"/>
      <c r="N693" s="309"/>
      <c r="O693" s="309"/>
      <c r="P693" s="309"/>
      <c r="Q693" s="309"/>
      <c r="R693" s="309"/>
      <c r="S693" s="309"/>
    </row>
    <row r="694" spans="1:19" ht="15" customHeight="1" x14ac:dyDescent="0.25">
      <c r="A694" s="727"/>
      <c r="B694" s="309"/>
      <c r="C694" s="309"/>
      <c r="D694" s="309"/>
      <c r="E694" s="309"/>
      <c r="F694" s="309"/>
      <c r="G694" s="309"/>
      <c r="H694" s="309"/>
      <c r="I694" s="309"/>
      <c r="J694" s="309"/>
      <c r="K694" s="309"/>
      <c r="L694" s="309"/>
      <c r="M694" s="309"/>
      <c r="N694" s="309"/>
      <c r="O694" s="309"/>
      <c r="P694" s="309"/>
      <c r="Q694" s="309"/>
      <c r="R694" s="309"/>
      <c r="S694" s="309"/>
    </row>
    <row r="695" spans="1:19" ht="15" customHeight="1" x14ac:dyDescent="0.25">
      <c r="A695" s="727"/>
      <c r="B695" s="309"/>
      <c r="C695" s="309"/>
      <c r="D695" s="309"/>
      <c r="E695" s="309"/>
      <c r="F695" s="309"/>
      <c r="G695" s="309"/>
      <c r="H695" s="309"/>
      <c r="I695" s="309"/>
      <c r="J695" s="309"/>
      <c r="K695" s="309"/>
      <c r="L695" s="309"/>
      <c r="M695" s="309"/>
      <c r="N695" s="309"/>
      <c r="O695" s="309"/>
      <c r="P695" s="309"/>
      <c r="Q695" s="309"/>
      <c r="R695" s="309"/>
      <c r="S695" s="309"/>
    </row>
    <row r="696" spans="1:19" ht="15" customHeight="1" x14ac:dyDescent="0.25">
      <c r="A696" s="727"/>
      <c r="B696" s="309"/>
      <c r="C696" s="309"/>
      <c r="D696" s="309"/>
      <c r="E696" s="309"/>
      <c r="F696" s="309"/>
      <c r="G696" s="309"/>
      <c r="H696" s="309"/>
      <c r="I696" s="309"/>
      <c r="J696" s="309"/>
      <c r="K696" s="309"/>
      <c r="L696" s="309"/>
      <c r="M696" s="309"/>
      <c r="N696" s="309"/>
      <c r="O696" s="309"/>
      <c r="P696" s="309"/>
      <c r="Q696" s="309"/>
      <c r="R696" s="309"/>
      <c r="S696" s="309"/>
    </row>
    <row r="697" spans="1:19" ht="15" customHeight="1" x14ac:dyDescent="0.25">
      <c r="A697" s="727"/>
      <c r="B697" s="309"/>
      <c r="C697" s="309"/>
      <c r="D697" s="309"/>
      <c r="E697" s="309"/>
      <c r="F697" s="309"/>
      <c r="G697" s="309"/>
      <c r="H697" s="309"/>
      <c r="I697" s="309"/>
      <c r="J697" s="309"/>
      <c r="K697" s="309"/>
      <c r="L697" s="309"/>
      <c r="M697" s="309"/>
      <c r="N697" s="309"/>
      <c r="O697" s="309"/>
      <c r="P697" s="309"/>
      <c r="Q697" s="309"/>
      <c r="R697" s="309"/>
      <c r="S697" s="309"/>
    </row>
    <row r="698" spans="1:19" ht="15" customHeight="1" x14ac:dyDescent="0.25">
      <c r="A698" s="727"/>
      <c r="B698" s="309"/>
      <c r="C698" s="309"/>
      <c r="D698" s="309"/>
      <c r="E698" s="309"/>
      <c r="F698" s="309"/>
      <c r="G698" s="309"/>
      <c r="H698" s="309"/>
      <c r="I698" s="309"/>
      <c r="J698" s="309"/>
      <c r="K698" s="309"/>
      <c r="L698" s="309"/>
      <c r="M698" s="309"/>
      <c r="N698" s="309"/>
      <c r="O698" s="309"/>
      <c r="P698" s="309"/>
      <c r="Q698" s="309"/>
      <c r="R698" s="309"/>
      <c r="S698" s="309"/>
    </row>
    <row r="699" spans="1:19" ht="15" customHeight="1" x14ac:dyDescent="0.25">
      <c r="A699" s="727"/>
      <c r="B699" s="309"/>
      <c r="C699" s="309"/>
      <c r="D699" s="309"/>
      <c r="E699" s="309"/>
      <c r="F699" s="309"/>
      <c r="G699" s="309"/>
      <c r="H699" s="309"/>
      <c r="I699" s="309"/>
      <c r="J699" s="309"/>
      <c r="K699" s="309"/>
      <c r="L699" s="309"/>
      <c r="M699" s="309"/>
      <c r="N699" s="309"/>
      <c r="O699" s="309"/>
      <c r="P699" s="309"/>
      <c r="Q699" s="309"/>
      <c r="R699" s="309"/>
      <c r="S699" s="309"/>
    </row>
    <row r="700" spans="1:19" ht="15" customHeight="1" x14ac:dyDescent="0.25">
      <c r="A700" s="727"/>
      <c r="B700" s="309"/>
      <c r="C700" s="309"/>
      <c r="D700" s="309"/>
      <c r="E700" s="309"/>
      <c r="F700" s="309"/>
      <c r="G700" s="309"/>
      <c r="H700" s="309"/>
      <c r="I700" s="309"/>
      <c r="J700" s="309"/>
      <c r="K700" s="309"/>
      <c r="L700" s="309"/>
      <c r="M700" s="309"/>
      <c r="N700" s="309"/>
      <c r="O700" s="309"/>
      <c r="P700" s="309"/>
      <c r="Q700" s="309"/>
      <c r="R700" s="309"/>
      <c r="S700" s="309"/>
    </row>
    <row r="701" spans="1:19" ht="15" customHeight="1" x14ac:dyDescent="0.25">
      <c r="A701" s="727"/>
      <c r="B701" s="309"/>
      <c r="C701" s="309"/>
      <c r="D701" s="652"/>
      <c r="E701" s="309"/>
      <c r="F701" s="317"/>
      <c r="G701" s="309"/>
      <c r="H701" s="309"/>
      <c r="I701" s="309"/>
      <c r="J701" s="309"/>
      <c r="K701" s="309"/>
      <c r="L701" s="309"/>
      <c r="M701" s="309"/>
      <c r="N701" s="309"/>
      <c r="O701" s="309"/>
      <c r="P701" s="309"/>
      <c r="Q701" s="309"/>
      <c r="R701" s="309"/>
      <c r="S701" s="309"/>
    </row>
    <row r="702" spans="1:19" ht="15" customHeight="1" x14ac:dyDescent="0.25">
      <c r="A702" s="727"/>
      <c r="B702" s="309"/>
      <c r="C702" s="309"/>
      <c r="D702" s="309"/>
      <c r="E702" s="309"/>
      <c r="F702" s="309"/>
      <c r="G702" s="309"/>
      <c r="H702" s="309"/>
      <c r="I702" s="309"/>
      <c r="J702" s="309"/>
      <c r="K702" s="309"/>
      <c r="L702" s="309"/>
      <c r="M702" s="309"/>
      <c r="N702" s="309"/>
      <c r="O702" s="309"/>
      <c r="P702" s="309"/>
      <c r="Q702" s="309"/>
      <c r="R702" s="309"/>
      <c r="S702" s="309"/>
    </row>
    <row r="703" spans="1:19" ht="15" customHeight="1" x14ac:dyDescent="0.25">
      <c r="A703" s="727"/>
      <c r="B703" s="309"/>
      <c r="C703" s="309"/>
      <c r="D703" s="309"/>
      <c r="E703" s="309"/>
      <c r="F703" s="309"/>
      <c r="G703" s="309"/>
      <c r="H703" s="309"/>
      <c r="I703" s="309"/>
      <c r="J703" s="309"/>
      <c r="K703" s="309"/>
      <c r="L703" s="309"/>
      <c r="M703" s="309"/>
      <c r="N703" s="309"/>
      <c r="O703" s="309"/>
      <c r="P703" s="309"/>
      <c r="Q703" s="309"/>
      <c r="R703" s="309"/>
      <c r="S703" s="309"/>
    </row>
    <row r="704" spans="1:19" ht="15" customHeight="1" x14ac:dyDescent="0.25">
      <c r="A704" s="727"/>
      <c r="B704" s="309"/>
      <c r="C704" s="309"/>
      <c r="D704" s="309"/>
      <c r="E704" s="309"/>
      <c r="F704" s="309"/>
      <c r="G704" s="309"/>
      <c r="H704" s="309"/>
      <c r="I704" s="309"/>
      <c r="J704" s="309"/>
      <c r="K704" s="309"/>
      <c r="L704" s="309"/>
      <c r="M704" s="309"/>
      <c r="N704" s="309"/>
      <c r="O704" s="309"/>
      <c r="P704" s="309"/>
      <c r="Q704" s="309"/>
      <c r="R704" s="309"/>
      <c r="S704" s="309"/>
    </row>
    <row r="705" spans="1:20" ht="15" customHeight="1" x14ac:dyDescent="0.25">
      <c r="A705" s="727"/>
      <c r="B705" s="309"/>
      <c r="C705" s="309"/>
      <c r="D705" s="309"/>
      <c r="E705" s="309"/>
      <c r="F705" s="309"/>
      <c r="G705" s="309"/>
      <c r="H705" s="309"/>
      <c r="I705" s="309"/>
      <c r="J705" s="309"/>
      <c r="K705" s="309"/>
      <c r="L705" s="309"/>
      <c r="M705" s="309"/>
      <c r="N705" s="309"/>
      <c r="O705" s="309"/>
      <c r="P705" s="309"/>
      <c r="Q705" s="309"/>
      <c r="R705" s="309"/>
      <c r="S705" s="309"/>
    </row>
    <row r="706" spans="1:20" ht="15" customHeight="1" x14ac:dyDescent="0.25">
      <c r="A706" s="727"/>
      <c r="B706" s="309"/>
      <c r="C706" s="309"/>
      <c r="D706" s="309"/>
      <c r="E706" s="309"/>
      <c r="F706" s="309"/>
      <c r="G706" s="309"/>
      <c r="H706" s="309"/>
      <c r="I706" s="309"/>
      <c r="J706" s="309"/>
      <c r="K706" s="309"/>
      <c r="L706" s="309"/>
      <c r="M706" s="309"/>
      <c r="N706" s="309"/>
      <c r="O706" s="309"/>
      <c r="P706" s="309"/>
      <c r="Q706" s="309"/>
      <c r="R706" s="309"/>
      <c r="S706" s="309"/>
    </row>
    <row r="707" spans="1:20" ht="15" customHeight="1" x14ac:dyDescent="0.25">
      <c r="A707" s="727"/>
      <c r="B707" s="309"/>
      <c r="C707" s="309"/>
      <c r="D707" s="309"/>
      <c r="E707" s="309"/>
      <c r="F707" s="309"/>
      <c r="G707" s="309"/>
      <c r="H707" s="309"/>
      <c r="I707" s="309"/>
      <c r="J707" s="309"/>
      <c r="K707" s="309"/>
      <c r="L707" s="309"/>
      <c r="M707" s="309"/>
      <c r="N707" s="309"/>
      <c r="O707" s="309"/>
      <c r="P707" s="309"/>
      <c r="Q707" s="309"/>
      <c r="R707" s="309"/>
      <c r="S707" s="309"/>
    </row>
    <row r="708" spans="1:20" ht="15" customHeight="1" x14ac:dyDescent="0.25">
      <c r="A708" s="727"/>
      <c r="B708" s="309"/>
      <c r="C708" s="309"/>
      <c r="D708" s="309"/>
      <c r="E708" s="309"/>
      <c r="F708" s="309"/>
      <c r="G708" s="309"/>
      <c r="H708" s="309"/>
      <c r="I708" s="309"/>
      <c r="J708" s="309"/>
      <c r="K708" s="309"/>
      <c r="L708" s="309"/>
      <c r="M708" s="309"/>
      <c r="N708" s="309"/>
      <c r="O708" s="309"/>
      <c r="P708" s="309"/>
      <c r="Q708" s="309"/>
      <c r="R708" s="309"/>
      <c r="S708" s="309"/>
    </row>
    <row r="709" spans="1:20" ht="15" customHeight="1" x14ac:dyDescent="0.25">
      <c r="A709" s="727"/>
      <c r="B709" s="309"/>
      <c r="C709" s="309"/>
      <c r="D709" s="309"/>
      <c r="E709" s="309"/>
      <c r="F709" s="309"/>
      <c r="G709" s="309"/>
      <c r="H709" s="309"/>
      <c r="I709" s="309"/>
      <c r="J709" s="309"/>
      <c r="K709" s="309"/>
      <c r="L709" s="309"/>
      <c r="M709" s="309"/>
      <c r="N709" s="309"/>
      <c r="O709" s="309"/>
      <c r="P709" s="309"/>
      <c r="Q709" s="309"/>
      <c r="R709" s="309"/>
      <c r="S709" s="309"/>
    </row>
    <row r="710" spans="1:20" ht="15" customHeight="1" x14ac:dyDescent="0.25">
      <c r="A710" s="727"/>
      <c r="B710" s="309"/>
      <c r="C710" s="309"/>
      <c r="D710" s="309"/>
      <c r="E710" s="309"/>
      <c r="F710" s="309"/>
      <c r="G710" s="309"/>
      <c r="H710" s="309"/>
      <c r="I710" s="309"/>
      <c r="J710" s="309"/>
      <c r="K710" s="309"/>
      <c r="L710" s="309"/>
      <c r="M710" s="309"/>
      <c r="N710" s="309"/>
      <c r="O710" s="309"/>
      <c r="P710" s="309"/>
      <c r="Q710" s="309"/>
      <c r="R710" s="309"/>
      <c r="S710" s="309"/>
    </row>
    <row r="711" spans="1:20" ht="15" customHeight="1" x14ac:dyDescent="0.25">
      <c r="A711" s="727"/>
      <c r="B711" s="309"/>
      <c r="C711" s="309"/>
      <c r="D711" s="309"/>
      <c r="E711" s="309"/>
      <c r="F711" s="309"/>
      <c r="G711" s="309"/>
      <c r="H711" s="309"/>
      <c r="I711" s="309"/>
      <c r="J711" s="309"/>
      <c r="K711" s="309"/>
      <c r="L711" s="309"/>
      <c r="M711" s="309"/>
      <c r="N711" s="309"/>
      <c r="O711" s="309"/>
      <c r="P711" s="309"/>
      <c r="Q711" s="309"/>
      <c r="R711" s="309"/>
      <c r="S711" s="309"/>
    </row>
    <row r="712" spans="1:20" ht="15" customHeight="1" x14ac:dyDescent="0.25">
      <c r="A712" s="727"/>
      <c r="B712" s="309"/>
      <c r="C712" s="652"/>
      <c r="D712" s="317"/>
      <c r="E712" s="309"/>
      <c r="F712" s="309"/>
      <c r="G712" s="309"/>
      <c r="H712" s="309"/>
      <c r="I712" s="309"/>
      <c r="J712" s="309"/>
      <c r="K712" s="309"/>
      <c r="L712" s="309"/>
      <c r="M712" s="309"/>
      <c r="N712" s="309"/>
      <c r="O712" s="309"/>
      <c r="P712" s="309"/>
      <c r="Q712" s="309"/>
      <c r="R712" s="309"/>
      <c r="S712" s="309"/>
    </row>
    <row r="713" spans="1:20" ht="15" customHeight="1" x14ac:dyDescent="0.25">
      <c r="A713" s="727"/>
      <c r="B713" s="309"/>
      <c r="C713" s="309"/>
      <c r="D713" s="309"/>
      <c r="E713" s="309"/>
      <c r="F713" s="309"/>
      <c r="G713" s="309"/>
      <c r="H713" s="309"/>
      <c r="I713" s="309"/>
      <c r="J713" s="309"/>
      <c r="K713" s="309"/>
      <c r="L713" s="309"/>
      <c r="M713" s="309"/>
      <c r="N713" s="309"/>
      <c r="O713" s="309"/>
      <c r="P713" s="309"/>
      <c r="Q713" s="309"/>
      <c r="R713" s="309"/>
      <c r="S713" s="309"/>
    </row>
    <row r="714" spans="1:20" ht="15" customHeight="1" x14ac:dyDescent="0.25">
      <c r="A714" s="727"/>
      <c r="B714" s="309"/>
      <c r="C714" s="309"/>
      <c r="D714" s="309"/>
      <c r="E714" s="309"/>
      <c r="F714" s="309"/>
      <c r="G714" s="309"/>
      <c r="H714" s="309"/>
      <c r="I714" s="309"/>
      <c r="J714" s="309"/>
      <c r="K714" s="309"/>
      <c r="L714" s="309"/>
      <c r="M714" s="309"/>
      <c r="N714" s="309"/>
      <c r="O714" s="309"/>
      <c r="P714" s="309"/>
      <c r="Q714" s="309"/>
      <c r="R714" s="309"/>
      <c r="S714" s="309"/>
    </row>
    <row r="715" spans="1:20" ht="15" customHeight="1" x14ac:dyDescent="0.25">
      <c r="A715" s="727"/>
      <c r="B715" s="309"/>
      <c r="C715" s="309"/>
      <c r="D715" s="309"/>
      <c r="E715" s="309"/>
      <c r="F715" s="309"/>
      <c r="G715" s="309"/>
      <c r="H715" s="309"/>
      <c r="I715" s="309"/>
      <c r="J715" s="309"/>
      <c r="K715" s="309"/>
      <c r="L715" s="309"/>
      <c r="M715" s="309"/>
      <c r="N715" s="309"/>
      <c r="O715" s="309"/>
      <c r="P715" s="309"/>
      <c r="Q715" s="309"/>
      <c r="R715" s="309"/>
      <c r="S715" s="309"/>
    </row>
    <row r="716" spans="1:20" ht="15" customHeight="1" x14ac:dyDescent="0.25">
      <c r="A716" s="727"/>
      <c r="B716" s="309"/>
      <c r="C716" s="309"/>
      <c r="D716" s="309"/>
      <c r="E716" s="309"/>
      <c r="F716" s="309"/>
      <c r="G716" s="309"/>
      <c r="H716" s="309"/>
      <c r="I716" s="309"/>
      <c r="J716" s="309"/>
      <c r="K716" s="309"/>
      <c r="L716" s="309"/>
      <c r="M716" s="309"/>
      <c r="N716" s="309"/>
      <c r="O716" s="309"/>
      <c r="P716" s="309"/>
      <c r="Q716" s="309"/>
      <c r="R716" s="309"/>
      <c r="S716" s="309"/>
    </row>
    <row r="717" spans="1:20" ht="15" customHeight="1" x14ac:dyDescent="0.25">
      <c r="A717" s="727"/>
      <c r="B717" s="309"/>
      <c r="C717" s="309"/>
      <c r="D717" s="309"/>
      <c r="E717" s="309"/>
      <c r="F717" s="309"/>
      <c r="G717" s="309"/>
      <c r="H717" s="309"/>
      <c r="I717" s="309"/>
      <c r="J717" s="309"/>
      <c r="K717" s="309"/>
      <c r="L717" s="309"/>
      <c r="M717" s="309"/>
      <c r="N717" s="309"/>
      <c r="O717" s="309"/>
      <c r="P717" s="309"/>
      <c r="Q717" s="309"/>
      <c r="R717" s="309"/>
      <c r="S717" s="309"/>
    </row>
    <row r="718" spans="1:20" ht="15" customHeight="1" x14ac:dyDescent="0.25">
      <c r="A718" s="727"/>
      <c r="B718" s="309"/>
      <c r="C718" s="309"/>
      <c r="D718" s="309"/>
      <c r="E718" s="309"/>
      <c r="F718" s="309"/>
      <c r="G718" s="309"/>
      <c r="H718" s="309"/>
      <c r="I718" s="309"/>
      <c r="J718" s="309"/>
      <c r="K718" s="309"/>
      <c r="L718" s="309"/>
      <c r="M718" s="309"/>
      <c r="N718" s="309"/>
      <c r="O718" s="309"/>
      <c r="P718" s="309"/>
      <c r="Q718" s="309"/>
      <c r="R718" s="309"/>
      <c r="S718" s="309"/>
    </row>
    <row r="719" spans="1:20" ht="15" customHeight="1" x14ac:dyDescent="0.25">
      <c r="A719" s="727"/>
      <c r="B719" s="309"/>
      <c r="C719" s="309"/>
      <c r="D719" s="309"/>
      <c r="E719" s="309"/>
      <c r="F719" s="309"/>
      <c r="G719" s="309"/>
      <c r="H719" s="309"/>
      <c r="I719" s="309"/>
      <c r="J719" s="309"/>
      <c r="K719" s="309"/>
      <c r="L719" s="309"/>
      <c r="M719" s="309"/>
      <c r="N719" s="309"/>
      <c r="O719" s="309"/>
      <c r="P719" s="309"/>
      <c r="Q719" s="309"/>
      <c r="R719" s="309"/>
      <c r="S719" s="309"/>
      <c r="T719" s="873"/>
    </row>
    <row r="720" spans="1:20" ht="15" customHeight="1" x14ac:dyDescent="0.25">
      <c r="A720" s="727"/>
      <c r="B720" s="309"/>
      <c r="C720" s="309"/>
      <c r="D720" s="309"/>
      <c r="E720" s="309"/>
      <c r="F720" s="309"/>
      <c r="G720" s="309"/>
      <c r="H720" s="309"/>
      <c r="I720" s="309"/>
      <c r="J720" s="309"/>
      <c r="K720" s="309"/>
      <c r="L720" s="309"/>
      <c r="M720" s="309"/>
      <c r="N720" s="309"/>
      <c r="O720" s="309"/>
      <c r="P720" s="309"/>
      <c r="Q720" s="309"/>
      <c r="R720" s="309"/>
      <c r="S720" s="309"/>
      <c r="T720" s="873"/>
    </row>
    <row r="721" spans="1:20" ht="15" customHeight="1" x14ac:dyDescent="0.25">
      <c r="A721" s="727"/>
      <c r="B721" s="309"/>
      <c r="C721" s="309"/>
      <c r="D721" s="309"/>
      <c r="E721" s="309"/>
      <c r="F721" s="309"/>
      <c r="G721" s="309"/>
      <c r="H721" s="309"/>
      <c r="I721" s="309"/>
      <c r="J721" s="309"/>
      <c r="K721" s="309"/>
      <c r="L721" s="309"/>
      <c r="M721" s="309"/>
      <c r="N721" s="309"/>
      <c r="O721" s="309"/>
      <c r="P721" s="309"/>
      <c r="Q721" s="309"/>
      <c r="R721" s="309"/>
      <c r="S721" s="309"/>
      <c r="T721" s="873"/>
    </row>
    <row r="722" spans="1:20" ht="15" customHeight="1" x14ac:dyDescent="0.25">
      <c r="A722" s="727"/>
      <c r="B722" s="652"/>
      <c r="C722" s="317"/>
      <c r="D722" s="309"/>
      <c r="E722" s="309"/>
      <c r="F722" s="309"/>
      <c r="G722" s="309"/>
      <c r="H722" s="309"/>
      <c r="I722" s="309"/>
      <c r="J722" s="309"/>
      <c r="K722" s="309"/>
      <c r="L722" s="309"/>
      <c r="M722" s="309"/>
      <c r="N722" s="309"/>
      <c r="O722" s="309"/>
      <c r="P722" s="309"/>
      <c r="Q722" s="309"/>
      <c r="R722" s="309"/>
      <c r="S722" s="309"/>
    </row>
    <row r="723" spans="1:20" ht="15" customHeight="1" x14ac:dyDescent="0.25">
      <c r="A723" s="727"/>
      <c r="B723" s="309"/>
      <c r="C723" s="309"/>
      <c r="D723" s="309"/>
      <c r="E723" s="309"/>
      <c r="F723" s="309"/>
      <c r="G723" s="309"/>
      <c r="H723" s="309"/>
      <c r="I723" s="309"/>
      <c r="J723" s="309"/>
      <c r="K723" s="309"/>
      <c r="L723" s="309"/>
      <c r="M723" s="309"/>
      <c r="N723" s="309"/>
      <c r="O723" s="309"/>
      <c r="P723" s="309"/>
      <c r="Q723" s="309"/>
      <c r="R723" s="309"/>
      <c r="S723" s="309"/>
    </row>
    <row r="724" spans="1:20" ht="15" customHeight="1" x14ac:dyDescent="0.25">
      <c r="A724" s="727"/>
      <c r="B724" s="309"/>
      <c r="C724" s="309"/>
      <c r="D724" s="309"/>
      <c r="E724" s="309"/>
      <c r="F724" s="309"/>
      <c r="G724" s="309"/>
      <c r="H724" s="309"/>
      <c r="I724" s="309"/>
      <c r="J724" s="309"/>
      <c r="K724" s="309"/>
      <c r="L724" s="309"/>
      <c r="M724" s="309"/>
      <c r="N724" s="309"/>
      <c r="O724" s="309"/>
      <c r="P724" s="309"/>
      <c r="Q724" s="309"/>
      <c r="R724" s="309"/>
      <c r="S724" s="309"/>
    </row>
    <row r="725" spans="1:20" ht="15" customHeight="1" x14ac:dyDescent="0.25">
      <c r="A725" s="727"/>
      <c r="B725" s="309"/>
      <c r="C725" s="309"/>
      <c r="D725" s="309"/>
      <c r="E725" s="309"/>
      <c r="F725" s="309"/>
      <c r="G725" s="309"/>
      <c r="H725" s="309"/>
      <c r="I725" s="309"/>
      <c r="J725" s="309"/>
      <c r="K725" s="309"/>
      <c r="L725" s="309"/>
      <c r="M725" s="309"/>
      <c r="N725" s="309"/>
      <c r="O725" s="309"/>
      <c r="P725" s="309"/>
      <c r="Q725" s="309"/>
      <c r="R725" s="309"/>
      <c r="S725" s="309"/>
    </row>
    <row r="726" spans="1:20" ht="15" customHeight="1" x14ac:dyDescent="0.25">
      <c r="A726" s="727"/>
      <c r="B726" s="309"/>
      <c r="C726" s="309"/>
      <c r="D726" s="309"/>
      <c r="E726" s="309"/>
      <c r="F726" s="309"/>
      <c r="G726" s="309"/>
      <c r="H726" s="309"/>
      <c r="I726" s="309"/>
      <c r="J726" s="309"/>
      <c r="K726" s="309"/>
      <c r="L726" s="309"/>
      <c r="M726" s="309"/>
      <c r="N726" s="309"/>
      <c r="O726" s="309"/>
      <c r="P726" s="309"/>
      <c r="Q726" s="309"/>
      <c r="R726" s="309"/>
      <c r="S726" s="309"/>
    </row>
    <row r="727" spans="1:20" ht="15" customHeight="1" x14ac:dyDescent="0.25">
      <c r="A727" s="727"/>
      <c r="B727" s="309"/>
      <c r="C727" s="309"/>
      <c r="D727" s="309"/>
      <c r="E727" s="309"/>
      <c r="F727" s="309"/>
      <c r="G727" s="309"/>
      <c r="H727" s="309"/>
      <c r="I727" s="309"/>
      <c r="J727" s="309"/>
      <c r="K727" s="309"/>
      <c r="L727" s="309"/>
      <c r="M727" s="309"/>
      <c r="N727" s="309"/>
      <c r="O727" s="309"/>
      <c r="P727" s="309"/>
      <c r="Q727" s="309"/>
      <c r="R727" s="309"/>
      <c r="S727" s="309"/>
    </row>
    <row r="728" spans="1:20" ht="15" customHeight="1" x14ac:dyDescent="0.25">
      <c r="A728" s="727"/>
      <c r="B728" s="309"/>
      <c r="C728" s="309"/>
      <c r="D728" s="309"/>
      <c r="E728" s="309"/>
      <c r="F728" s="309"/>
      <c r="G728" s="309"/>
      <c r="H728" s="309"/>
      <c r="I728" s="309"/>
      <c r="J728" s="309"/>
      <c r="K728" s="309"/>
      <c r="L728" s="309"/>
      <c r="M728" s="309"/>
      <c r="N728" s="309"/>
      <c r="O728" s="309"/>
      <c r="P728" s="309"/>
      <c r="Q728" s="309"/>
      <c r="R728" s="309"/>
      <c r="S728" s="309"/>
    </row>
    <row r="729" spans="1:20" ht="15" customHeight="1" x14ac:dyDescent="0.25">
      <c r="A729" s="727"/>
      <c r="B729" s="309"/>
      <c r="C729" s="309"/>
      <c r="D729" s="309"/>
      <c r="E729" s="309"/>
      <c r="F729" s="309"/>
      <c r="G729" s="309"/>
      <c r="H729" s="309"/>
      <c r="I729" s="309"/>
      <c r="J729" s="309"/>
      <c r="K729" s="309"/>
      <c r="L729" s="309"/>
      <c r="M729" s="309"/>
      <c r="N729" s="309"/>
      <c r="O729" s="309"/>
      <c r="P729" s="309"/>
      <c r="Q729" s="309"/>
      <c r="R729" s="309"/>
      <c r="S729" s="309"/>
    </row>
    <row r="730" spans="1:20" ht="15" customHeight="1" x14ac:dyDescent="0.25">
      <c r="A730" s="727"/>
      <c r="B730" s="309"/>
      <c r="C730" s="309"/>
      <c r="D730" s="309"/>
      <c r="E730" s="309"/>
      <c r="F730" s="309"/>
      <c r="G730" s="309"/>
      <c r="H730" s="309"/>
      <c r="I730" s="309"/>
      <c r="J730" s="309"/>
      <c r="K730" s="309"/>
      <c r="L730" s="309"/>
      <c r="M730" s="309"/>
      <c r="N730" s="309"/>
      <c r="O730" s="309"/>
      <c r="P730" s="309"/>
      <c r="Q730" s="309"/>
      <c r="R730" s="309"/>
      <c r="S730" s="309"/>
    </row>
    <row r="731" spans="1:20" ht="15" customHeight="1" x14ac:dyDescent="0.25">
      <c r="A731" s="727"/>
      <c r="B731" s="309"/>
      <c r="C731" s="309"/>
      <c r="D731" s="309"/>
      <c r="E731" s="309"/>
      <c r="F731" s="309"/>
      <c r="G731" s="309"/>
      <c r="H731" s="309"/>
      <c r="I731" s="309"/>
      <c r="J731" s="309"/>
      <c r="K731" s="309"/>
      <c r="L731" s="309"/>
      <c r="M731" s="309"/>
      <c r="N731" s="309"/>
      <c r="O731" s="309"/>
      <c r="P731" s="309"/>
      <c r="Q731" s="309"/>
      <c r="R731" s="309"/>
      <c r="S731" s="309"/>
    </row>
    <row r="732" spans="1:20" ht="15" customHeight="1" x14ac:dyDescent="0.25">
      <c r="A732" s="727"/>
      <c r="B732" s="309"/>
      <c r="C732" s="309"/>
      <c r="D732" s="309"/>
      <c r="E732" s="309"/>
      <c r="F732" s="309"/>
      <c r="G732" s="309"/>
      <c r="H732" s="309"/>
      <c r="I732" s="309"/>
      <c r="J732" s="309"/>
      <c r="K732" s="309"/>
      <c r="L732" s="309"/>
      <c r="M732" s="309"/>
      <c r="N732" s="309"/>
      <c r="O732" s="309"/>
      <c r="P732" s="309"/>
      <c r="Q732" s="309"/>
      <c r="R732" s="309"/>
      <c r="S732" s="309"/>
    </row>
    <row r="733" spans="1:20" ht="15" customHeight="1" x14ac:dyDescent="0.25">
      <c r="A733" s="727"/>
      <c r="B733" s="309"/>
      <c r="C733" s="309"/>
      <c r="D733" s="309"/>
      <c r="E733" s="309"/>
      <c r="F733" s="309"/>
      <c r="G733" s="309"/>
      <c r="H733" s="309"/>
      <c r="I733" s="309"/>
      <c r="J733" s="309"/>
      <c r="K733" s="309"/>
      <c r="L733" s="309"/>
      <c r="M733" s="309"/>
      <c r="N733" s="309"/>
      <c r="O733" s="309"/>
      <c r="P733" s="309"/>
      <c r="Q733" s="309"/>
      <c r="R733" s="309"/>
      <c r="S733" s="309"/>
    </row>
    <row r="734" spans="1:20" ht="15" customHeight="1" x14ac:dyDescent="0.25">
      <c r="A734" s="727"/>
      <c r="B734" s="309"/>
      <c r="C734" s="309"/>
      <c r="D734" s="309"/>
      <c r="E734" s="309"/>
      <c r="F734" s="309"/>
      <c r="G734" s="309"/>
      <c r="H734" s="309"/>
      <c r="I734" s="309"/>
      <c r="J734" s="309"/>
      <c r="K734" s="309"/>
      <c r="L734" s="309"/>
      <c r="M734" s="309"/>
      <c r="N734" s="309"/>
      <c r="O734" s="309"/>
      <c r="P734" s="309"/>
      <c r="Q734" s="309"/>
      <c r="R734" s="309"/>
      <c r="S734" s="309"/>
    </row>
    <row r="735" spans="1:20" ht="15" customHeight="1" x14ac:dyDescent="0.25">
      <c r="A735" s="727"/>
      <c r="B735" s="309"/>
      <c r="C735" s="309"/>
      <c r="D735" s="309"/>
      <c r="E735" s="309"/>
      <c r="F735" s="309"/>
      <c r="G735" s="309"/>
      <c r="H735" s="309"/>
      <c r="I735" s="309"/>
      <c r="J735" s="309"/>
      <c r="K735" s="309"/>
      <c r="L735" s="309"/>
      <c r="M735" s="309"/>
      <c r="N735" s="309"/>
      <c r="O735" s="309"/>
      <c r="P735" s="309"/>
      <c r="Q735" s="309"/>
      <c r="R735" s="309"/>
      <c r="S735" s="309"/>
    </row>
    <row r="736" spans="1:20" ht="15" customHeight="1" x14ac:dyDescent="0.25">
      <c r="A736" s="727"/>
      <c r="B736" s="309"/>
      <c r="C736" s="309"/>
      <c r="D736" s="309"/>
      <c r="E736" s="309"/>
      <c r="F736" s="309"/>
      <c r="G736" s="309"/>
      <c r="H736" s="309"/>
      <c r="I736" s="309"/>
      <c r="J736" s="309"/>
      <c r="K736" s="309"/>
      <c r="L736" s="309"/>
      <c r="M736" s="309"/>
      <c r="N736" s="309"/>
      <c r="O736" s="309"/>
      <c r="P736" s="309"/>
      <c r="Q736" s="309"/>
      <c r="R736" s="309"/>
      <c r="S736" s="309"/>
    </row>
    <row r="737" spans="1:19" ht="15" customHeight="1" x14ac:dyDescent="0.25">
      <c r="A737" s="727"/>
      <c r="B737" s="309"/>
      <c r="C737" s="309"/>
      <c r="D737" s="309"/>
      <c r="E737" s="309"/>
      <c r="F737" s="309"/>
      <c r="G737" s="309"/>
      <c r="H737" s="309"/>
      <c r="I737" s="309"/>
      <c r="J737" s="309"/>
      <c r="K737" s="309"/>
      <c r="L737" s="309"/>
      <c r="M737" s="309"/>
      <c r="N737" s="309"/>
      <c r="O737" s="309"/>
      <c r="P737" s="309"/>
      <c r="Q737" s="309"/>
      <c r="R737" s="309"/>
      <c r="S737" s="309"/>
    </row>
    <row r="738" spans="1:19" ht="15" customHeight="1" x14ac:dyDescent="0.25">
      <c r="A738" s="727"/>
      <c r="B738" s="309"/>
      <c r="C738" s="309"/>
      <c r="D738" s="309"/>
      <c r="E738" s="309"/>
      <c r="F738" s="309"/>
      <c r="G738" s="309"/>
      <c r="H738" s="309"/>
      <c r="I738" s="309"/>
      <c r="J738" s="309"/>
      <c r="K738" s="309"/>
      <c r="L738" s="309"/>
      <c r="M738" s="309"/>
      <c r="N738" s="309"/>
      <c r="O738" s="309"/>
      <c r="P738" s="309"/>
      <c r="Q738" s="309"/>
      <c r="R738" s="309"/>
      <c r="S738" s="309"/>
    </row>
    <row r="739" spans="1:19" ht="15" customHeight="1" x14ac:dyDescent="0.25">
      <c r="A739" s="727"/>
      <c r="B739" s="309"/>
      <c r="C739" s="309"/>
      <c r="D739" s="309"/>
      <c r="E739" s="309"/>
      <c r="F739" s="309"/>
      <c r="G739" s="309"/>
      <c r="H739" s="309"/>
      <c r="I739" s="309"/>
      <c r="J739" s="309"/>
      <c r="K739" s="309"/>
      <c r="L739" s="309"/>
      <c r="M739" s="309"/>
      <c r="N739" s="309"/>
      <c r="O739" s="309"/>
      <c r="P739" s="309"/>
      <c r="Q739" s="309"/>
      <c r="R739" s="309"/>
      <c r="S739" s="309"/>
    </row>
    <row r="740" spans="1:19" ht="15" customHeight="1" x14ac:dyDescent="0.25">
      <c r="A740" s="727"/>
      <c r="B740" s="309"/>
      <c r="C740" s="309"/>
      <c r="D740" s="309"/>
      <c r="E740" s="309"/>
      <c r="F740" s="309"/>
      <c r="G740" s="309"/>
      <c r="H740" s="309"/>
      <c r="I740" s="309"/>
      <c r="J740" s="309"/>
      <c r="K740" s="309"/>
      <c r="L740" s="309"/>
      <c r="M740" s="309"/>
      <c r="N740" s="309"/>
      <c r="O740" s="309"/>
      <c r="P740" s="309"/>
      <c r="Q740" s="309"/>
      <c r="R740" s="309"/>
      <c r="S740" s="309"/>
    </row>
    <row r="741" spans="1:19" ht="15" customHeight="1" x14ac:dyDescent="0.25">
      <c r="A741" s="727"/>
      <c r="B741" s="309"/>
      <c r="C741" s="309"/>
      <c r="D741" s="309"/>
      <c r="E741" s="309"/>
      <c r="F741" s="309"/>
      <c r="G741" s="309"/>
      <c r="H741" s="309"/>
      <c r="I741" s="309"/>
      <c r="J741" s="309"/>
      <c r="K741" s="309"/>
      <c r="L741" s="309"/>
      <c r="M741" s="309"/>
      <c r="N741" s="309"/>
      <c r="O741" s="309"/>
      <c r="P741" s="309"/>
      <c r="Q741" s="309"/>
      <c r="R741" s="309"/>
      <c r="S741" s="309"/>
    </row>
    <row r="742" spans="1:19" ht="15" customHeight="1" x14ac:dyDescent="0.25">
      <c r="A742" s="727"/>
      <c r="B742" s="309"/>
      <c r="C742" s="309"/>
      <c r="D742" s="309"/>
      <c r="E742" s="309"/>
      <c r="F742" s="309"/>
      <c r="G742" s="309"/>
      <c r="H742" s="309"/>
      <c r="I742" s="309"/>
      <c r="J742" s="309"/>
      <c r="K742" s="309"/>
      <c r="L742" s="309"/>
      <c r="M742" s="309"/>
      <c r="N742" s="309"/>
      <c r="O742" s="309"/>
      <c r="P742" s="309"/>
      <c r="Q742" s="309"/>
      <c r="R742" s="309"/>
      <c r="S742" s="309"/>
    </row>
    <row r="743" spans="1:19" ht="15" customHeight="1" x14ac:dyDescent="0.25">
      <c r="A743" s="727"/>
      <c r="B743" s="309"/>
      <c r="C743" s="309"/>
      <c r="D743" s="309"/>
      <c r="E743" s="309"/>
      <c r="F743" s="309"/>
      <c r="G743" s="309"/>
      <c r="H743" s="309"/>
      <c r="I743" s="309"/>
      <c r="J743" s="309"/>
      <c r="K743" s="309"/>
      <c r="L743" s="309"/>
      <c r="M743" s="309"/>
      <c r="N743" s="309"/>
      <c r="O743" s="309"/>
      <c r="P743" s="309"/>
      <c r="Q743" s="309"/>
      <c r="R743" s="309"/>
      <c r="S743" s="309"/>
    </row>
    <row r="744" spans="1:19" ht="15" customHeight="1" x14ac:dyDescent="0.25">
      <c r="A744" s="727"/>
      <c r="B744" s="309"/>
      <c r="C744" s="309"/>
      <c r="D744" s="309"/>
      <c r="E744" s="309"/>
      <c r="F744" s="309"/>
      <c r="G744" s="309"/>
      <c r="H744" s="309"/>
      <c r="I744" s="309"/>
      <c r="J744" s="309"/>
      <c r="K744" s="309"/>
      <c r="L744" s="309"/>
      <c r="M744" s="309"/>
      <c r="N744" s="309"/>
      <c r="O744" s="309"/>
      <c r="P744" s="309"/>
      <c r="Q744" s="309"/>
      <c r="R744" s="309"/>
      <c r="S744" s="309"/>
    </row>
    <row r="745" spans="1:19" ht="15" customHeight="1" x14ac:dyDescent="0.25">
      <c r="A745" s="727"/>
      <c r="B745" s="309"/>
      <c r="C745" s="309"/>
      <c r="D745" s="309"/>
      <c r="E745" s="309"/>
      <c r="F745" s="309"/>
      <c r="G745" s="309"/>
      <c r="H745" s="309"/>
      <c r="I745" s="309"/>
      <c r="J745" s="309"/>
      <c r="K745" s="309"/>
      <c r="L745" s="309"/>
      <c r="M745" s="309"/>
      <c r="N745" s="309"/>
      <c r="O745" s="309"/>
      <c r="P745" s="309"/>
      <c r="Q745" s="309"/>
      <c r="R745" s="309"/>
      <c r="S745" s="309"/>
    </row>
    <row r="746" spans="1:19" ht="15" customHeight="1" x14ac:dyDescent="0.25">
      <c r="A746" s="727"/>
      <c r="B746" s="309"/>
      <c r="C746" s="309"/>
      <c r="D746" s="309"/>
      <c r="E746" s="309"/>
      <c r="F746" s="309"/>
      <c r="G746" s="309"/>
      <c r="H746" s="309"/>
      <c r="I746" s="309"/>
      <c r="J746" s="309"/>
      <c r="K746" s="309"/>
      <c r="L746" s="309"/>
      <c r="M746" s="309"/>
      <c r="N746" s="309"/>
      <c r="O746" s="309"/>
      <c r="P746" s="309"/>
      <c r="Q746" s="309"/>
      <c r="R746" s="309"/>
      <c r="S746" s="309"/>
    </row>
    <row r="747" spans="1:19" ht="15" customHeight="1" x14ac:dyDescent="0.25">
      <c r="A747" s="727"/>
      <c r="B747" s="309"/>
      <c r="C747" s="309"/>
      <c r="D747" s="309"/>
      <c r="E747" s="309"/>
      <c r="F747" s="309"/>
      <c r="G747" s="309"/>
      <c r="H747" s="309"/>
      <c r="I747" s="309"/>
      <c r="J747" s="309"/>
      <c r="K747" s="309"/>
      <c r="L747" s="309"/>
      <c r="M747" s="309"/>
      <c r="N747" s="309"/>
      <c r="O747" s="309"/>
      <c r="P747" s="309"/>
      <c r="Q747" s="309"/>
      <c r="R747" s="309"/>
      <c r="S747" s="309"/>
    </row>
    <row r="748" spans="1:19" ht="15" customHeight="1" x14ac:dyDescent="0.25">
      <c r="A748" s="727"/>
      <c r="B748" s="309"/>
      <c r="C748" s="309"/>
      <c r="D748" s="309"/>
      <c r="E748" s="309"/>
      <c r="F748" s="309"/>
      <c r="G748" s="309"/>
      <c r="H748" s="309"/>
      <c r="I748" s="309"/>
      <c r="J748" s="309"/>
      <c r="K748" s="309"/>
      <c r="L748" s="309"/>
      <c r="M748" s="309"/>
      <c r="N748" s="309"/>
      <c r="O748" s="309"/>
      <c r="P748" s="309"/>
      <c r="Q748" s="309"/>
      <c r="R748" s="309"/>
      <c r="S748" s="309"/>
    </row>
    <row r="749" spans="1:19" ht="15" customHeight="1" x14ac:dyDescent="0.25">
      <c r="A749" s="727"/>
      <c r="B749" s="309"/>
      <c r="C749" s="309"/>
      <c r="D749" s="309"/>
      <c r="E749" s="309"/>
      <c r="F749" s="309"/>
      <c r="G749" s="309"/>
      <c r="H749" s="309"/>
      <c r="I749" s="309"/>
      <c r="J749" s="309"/>
      <c r="K749" s="309"/>
      <c r="L749" s="309"/>
      <c r="M749" s="309"/>
      <c r="N749" s="309"/>
      <c r="O749" s="309"/>
      <c r="P749" s="309"/>
      <c r="Q749" s="309"/>
      <c r="R749" s="309"/>
      <c r="S749" s="309"/>
    </row>
    <row r="750" spans="1:19" ht="15" customHeight="1" x14ac:dyDescent="0.25">
      <c r="A750" s="727"/>
      <c r="B750" s="309"/>
      <c r="C750" s="309"/>
      <c r="D750" s="309"/>
      <c r="E750" s="309"/>
      <c r="F750" s="309"/>
      <c r="G750" s="309"/>
      <c r="H750" s="309"/>
      <c r="I750" s="309"/>
      <c r="J750" s="309"/>
      <c r="K750" s="309"/>
      <c r="L750" s="309"/>
      <c r="M750" s="309"/>
      <c r="N750" s="309"/>
      <c r="O750" s="309"/>
      <c r="P750" s="309"/>
      <c r="Q750" s="309"/>
      <c r="R750" s="309"/>
      <c r="S750" s="309"/>
    </row>
    <row r="751" spans="1:19" ht="15" customHeight="1" x14ac:dyDescent="0.25">
      <c r="A751" s="727"/>
      <c r="B751" s="309"/>
      <c r="C751" s="309"/>
      <c r="D751" s="309"/>
      <c r="E751" s="309"/>
      <c r="F751" s="309"/>
      <c r="G751" s="309"/>
      <c r="H751" s="309"/>
      <c r="I751" s="309"/>
      <c r="J751" s="309"/>
      <c r="K751" s="309"/>
      <c r="L751" s="309"/>
      <c r="M751" s="309"/>
      <c r="N751" s="309"/>
      <c r="O751" s="309"/>
      <c r="P751" s="309"/>
      <c r="Q751" s="309"/>
      <c r="R751" s="309"/>
      <c r="S751" s="309"/>
    </row>
    <row r="752" spans="1:19" ht="15" customHeight="1" x14ac:dyDescent="0.25">
      <c r="A752" s="727"/>
      <c r="B752" s="309"/>
      <c r="C752" s="309"/>
      <c r="D752" s="309"/>
      <c r="E752" s="309"/>
      <c r="F752" s="309"/>
      <c r="G752" s="309"/>
      <c r="H752" s="309"/>
      <c r="I752" s="309"/>
      <c r="J752" s="309"/>
      <c r="K752" s="309"/>
      <c r="L752" s="309"/>
      <c r="M752" s="309"/>
      <c r="N752" s="309"/>
      <c r="O752" s="309"/>
      <c r="P752" s="309"/>
      <c r="Q752" s="309"/>
      <c r="R752" s="309"/>
      <c r="S752" s="309"/>
    </row>
    <row r="753" spans="1:19" ht="15" customHeight="1" x14ac:dyDescent="0.25">
      <c r="A753" s="309"/>
      <c r="B753" s="309"/>
      <c r="C753" s="309"/>
      <c r="D753" s="309"/>
      <c r="E753" s="309"/>
      <c r="F753" s="309"/>
      <c r="G753" s="309"/>
      <c r="H753" s="309"/>
      <c r="I753" s="309"/>
      <c r="J753" s="309"/>
      <c r="K753" s="309"/>
      <c r="L753" s="309"/>
      <c r="M753" s="309"/>
      <c r="N753" s="309"/>
      <c r="O753" s="309"/>
      <c r="P753" s="309"/>
      <c r="Q753" s="309"/>
      <c r="R753" s="309"/>
      <c r="S753" s="309"/>
    </row>
    <row r="754" spans="1:19" ht="15" customHeight="1" x14ac:dyDescent="0.25">
      <c r="A754" s="309"/>
      <c r="B754" s="309"/>
      <c r="C754" s="309"/>
      <c r="D754" s="309"/>
      <c r="E754" s="309"/>
      <c r="F754" s="309"/>
      <c r="G754" s="309"/>
      <c r="H754" s="309"/>
      <c r="I754" s="309"/>
      <c r="J754" s="309"/>
      <c r="K754" s="309"/>
      <c r="L754" s="309"/>
      <c r="M754" s="309"/>
      <c r="N754" s="309"/>
      <c r="O754" s="309"/>
      <c r="P754" s="309"/>
      <c r="Q754" s="309"/>
      <c r="R754" s="309"/>
      <c r="S754" s="309"/>
    </row>
    <row r="755" spans="1:19" ht="15" customHeight="1" x14ac:dyDescent="0.25">
      <c r="A755" s="309"/>
      <c r="B755" s="309"/>
      <c r="C755" s="309"/>
      <c r="D755" s="309"/>
      <c r="E755" s="309"/>
      <c r="F755" s="309"/>
      <c r="G755" s="309"/>
      <c r="H755" s="309"/>
      <c r="I755" s="309"/>
      <c r="J755" s="309"/>
      <c r="K755" s="309"/>
      <c r="L755" s="309"/>
      <c r="M755" s="309"/>
      <c r="N755" s="309"/>
      <c r="O755" s="309"/>
      <c r="P755" s="309"/>
      <c r="Q755" s="309"/>
      <c r="R755" s="309"/>
      <c r="S755" s="309"/>
    </row>
    <row r="756" spans="1:19" ht="15" customHeight="1" x14ac:dyDescent="0.25">
      <c r="A756" s="309"/>
      <c r="B756" s="309"/>
      <c r="C756" s="309"/>
      <c r="D756" s="309"/>
      <c r="E756" s="309"/>
      <c r="F756" s="309"/>
      <c r="G756" s="309"/>
      <c r="H756" s="309"/>
      <c r="I756" s="309"/>
      <c r="J756" s="309"/>
      <c r="K756" s="309"/>
      <c r="L756" s="309"/>
      <c r="M756" s="309"/>
      <c r="N756" s="309"/>
      <c r="O756" s="309"/>
      <c r="P756" s="309"/>
      <c r="Q756" s="309"/>
      <c r="R756" s="309"/>
      <c r="S756" s="309"/>
    </row>
    <row r="757" spans="1:19" ht="15" customHeight="1" x14ac:dyDescent="0.25">
      <c r="A757" s="309"/>
      <c r="B757" s="309"/>
      <c r="C757" s="309"/>
      <c r="D757" s="309"/>
      <c r="E757" s="309"/>
      <c r="F757" s="309"/>
      <c r="G757" s="309"/>
      <c r="H757" s="309"/>
      <c r="I757" s="309"/>
      <c r="J757" s="309"/>
      <c r="K757" s="309"/>
      <c r="L757" s="309"/>
      <c r="M757" s="309"/>
      <c r="N757" s="309"/>
      <c r="O757" s="309"/>
      <c r="P757" s="309"/>
      <c r="Q757" s="309"/>
      <c r="R757" s="309"/>
      <c r="S757" s="309"/>
    </row>
    <row r="758" spans="1:19" ht="15" customHeight="1" x14ac:dyDescent="0.25">
      <c r="A758" s="309"/>
      <c r="B758" s="309"/>
      <c r="C758" s="309"/>
      <c r="D758" s="309"/>
      <c r="E758" s="309"/>
      <c r="F758" s="309"/>
      <c r="G758" s="309"/>
      <c r="H758" s="309"/>
      <c r="I758" s="309"/>
      <c r="J758" s="309"/>
      <c r="K758" s="309"/>
      <c r="L758" s="309"/>
      <c r="M758" s="309"/>
      <c r="N758" s="309"/>
      <c r="O758" s="309"/>
      <c r="P758" s="309"/>
      <c r="Q758" s="309"/>
      <c r="R758" s="309"/>
      <c r="S758" s="309"/>
    </row>
  </sheetData>
  <sheetProtection sheet="1" objects="1" scenarios="1"/>
  <mergeCells count="5">
    <mergeCell ref="C4:Q4"/>
    <mergeCell ref="Y15:Y16"/>
    <mergeCell ref="Z15:Z16"/>
    <mergeCell ref="AA15:AA16"/>
    <mergeCell ref="C16:Q16"/>
  </mergeCells>
  <pageMargins left="0.7" right="0.7" top="0.75" bottom="0.75" header="0.3" footer="0.3"/>
  <pageSetup paperSize="9" orientation="portrait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11265" r:id="rId4">
          <objectPr defaultSize="0" autoPict="0" r:id="rId5">
            <anchor moveWithCells="1">
              <from>
                <xdr:col>18</xdr:col>
                <xdr:colOff>9525</xdr:colOff>
                <xdr:row>0</xdr:row>
                <xdr:rowOff>123825</xdr:rowOff>
              </from>
              <to>
                <xdr:col>27</xdr:col>
                <xdr:colOff>114300</xdr:colOff>
                <xdr:row>6</xdr:row>
                <xdr:rowOff>0</xdr:rowOff>
              </to>
            </anchor>
          </objectPr>
        </oleObject>
      </mc:Choice>
      <mc:Fallback>
        <oleObject progId="Equation.3" shapeId="11265" r:id="rId4"/>
      </mc:Fallback>
    </mc:AlternateContent>
    <mc:AlternateContent xmlns:mc="http://schemas.openxmlformats.org/markup-compatibility/2006">
      <mc:Choice Requires="x14">
        <oleObject progId="Equation.3" shapeId="11266" r:id="rId6">
          <objectPr defaultSize="0" autoPict="0" r:id="rId7">
            <anchor moveWithCells="1">
              <from>
                <xdr:col>18</xdr:col>
                <xdr:colOff>57150</xdr:colOff>
                <xdr:row>19</xdr:row>
                <xdr:rowOff>0</xdr:rowOff>
              </from>
              <to>
                <xdr:col>28</xdr:col>
                <xdr:colOff>66675</xdr:colOff>
                <xdr:row>24</xdr:row>
                <xdr:rowOff>142875</xdr:rowOff>
              </to>
            </anchor>
          </objectPr>
        </oleObject>
      </mc:Choice>
      <mc:Fallback>
        <oleObject progId="Equation.3" shapeId="11266" r:id="rId6"/>
      </mc:Fallback>
    </mc:AlternateContent>
    <mc:AlternateContent xmlns:mc="http://schemas.openxmlformats.org/markup-compatibility/2006">
      <mc:Choice Requires="x14">
        <oleObject progId="Equation.3" shapeId="11267" r:id="rId8">
          <objectPr defaultSize="0" autoPict="0" r:id="rId9">
            <anchor moveWithCells="1">
              <from>
                <xdr:col>51</xdr:col>
                <xdr:colOff>295275</xdr:colOff>
                <xdr:row>14</xdr:row>
                <xdr:rowOff>161925</xdr:rowOff>
              </from>
              <to>
                <xdr:col>61</xdr:col>
                <xdr:colOff>161925</xdr:colOff>
                <xdr:row>20</xdr:row>
                <xdr:rowOff>0</xdr:rowOff>
              </to>
            </anchor>
          </objectPr>
        </oleObject>
      </mc:Choice>
      <mc:Fallback>
        <oleObject progId="Equation.3" shapeId="11267" r:id="rId8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L166"/>
  <sheetViews>
    <sheetView zoomScale="55" zoomScaleNormal="55" workbookViewId="0">
      <selection activeCell="CH115" sqref="CH115"/>
    </sheetView>
  </sheetViews>
  <sheetFormatPr baseColWidth="10" defaultColWidth="6.7109375" defaultRowHeight="15" customHeight="1" x14ac:dyDescent="0.25"/>
  <cols>
    <col min="1" max="23" width="6.7109375" style="552"/>
    <col min="24" max="28" width="6.7109375" style="552" customWidth="1"/>
    <col min="29" max="29" width="6.7109375" style="552" hidden="1" customWidth="1"/>
    <col min="30" max="34" width="6.7109375" style="552" customWidth="1"/>
    <col min="35" max="35" width="7.42578125" style="552" bestFit="1" customWidth="1"/>
    <col min="36" max="36" width="6.7109375" style="552"/>
    <col min="37" max="37" width="0" style="552" hidden="1" customWidth="1"/>
    <col min="38" max="67" width="6.7109375" style="552"/>
    <col min="68" max="68" width="6.7109375" style="552" customWidth="1"/>
    <col min="69" max="87" width="6.7109375" style="552"/>
    <col min="88" max="88" width="6.7109375" style="552" customWidth="1"/>
    <col min="89" max="91" width="6.7109375" style="552"/>
    <col min="92" max="92" width="6.7109375" style="552" hidden="1" customWidth="1"/>
    <col min="93" max="93" width="6.7109375" style="552"/>
    <col min="94" max="95" width="6.7109375" style="552" hidden="1" customWidth="1"/>
    <col min="96" max="96" width="6.7109375" style="552"/>
    <col min="97" max="98" width="6.7109375" style="552" hidden="1" customWidth="1"/>
    <col min="99" max="99" width="6.7109375" style="552"/>
    <col min="100" max="101" width="6.7109375" style="552" hidden="1" customWidth="1"/>
    <col min="102" max="102" width="6.7109375" style="552"/>
    <col min="103" max="103" width="6.7109375" style="552" hidden="1" customWidth="1"/>
    <col min="104" max="106" width="6.7109375" style="552"/>
    <col min="107" max="107" width="6.7109375" style="552" hidden="1" customWidth="1"/>
    <col min="108" max="108" width="6.7109375" style="552"/>
    <col min="109" max="110" width="0" style="552" hidden="1" customWidth="1"/>
    <col min="111" max="111" width="6.7109375" style="552"/>
    <col min="112" max="112" width="0" style="552" hidden="1" customWidth="1"/>
    <col min="113" max="114" width="6.7109375" style="552"/>
    <col min="115" max="127" width="6.7109375" style="558"/>
    <col min="128" max="128" width="6.7109375" style="558" hidden="1" customWidth="1"/>
    <col min="129" max="129" width="6.7109375" style="558"/>
    <col min="130" max="130" width="6.7109375" style="558" hidden="1" customWidth="1"/>
    <col min="131" max="131" width="0" style="558" hidden="1" customWidth="1"/>
    <col min="132" max="132" width="6.7109375" style="558"/>
    <col min="133" max="133" width="0" style="558" hidden="1" customWidth="1"/>
    <col min="134" max="138" width="6.7109375" style="552"/>
    <col min="139" max="139" width="0" style="552" hidden="1" customWidth="1"/>
    <col min="140" max="140" width="6.7109375" style="552"/>
    <col min="141" max="141" width="0" style="552" hidden="1" customWidth="1"/>
    <col min="143" max="16384" width="6.7109375" style="552"/>
  </cols>
  <sheetData>
    <row r="1" spans="1:141" s="562" customFormat="1" ht="15" customHeight="1" x14ac:dyDescent="0.25">
      <c r="BX1" s="553" t="s">
        <v>227</v>
      </c>
      <c r="BY1" s="553"/>
      <c r="BZ1" s="553"/>
      <c r="CM1" s="940">
        <v>6</v>
      </c>
      <c r="CN1" s="170" t="s">
        <v>175</v>
      </c>
      <c r="CO1" s="941"/>
      <c r="CP1" s="942" t="s">
        <v>228</v>
      </c>
      <c r="CQ1" s="943">
        <f>$CD$30*(CQ2-$CD$20)</f>
        <v>2.250308004884634</v>
      </c>
      <c r="CR1" s="944">
        <f>$CD$30*(CR2-$CD$20)</f>
        <v>2.6512333012042681</v>
      </c>
      <c r="CS1" s="945">
        <f>$CD$30*(CS2-$CD$20)</f>
        <v>3.0521585975239023</v>
      </c>
      <c r="CT1" s="941"/>
      <c r="CU1" s="561"/>
      <c r="CV1" s="830"/>
      <c r="CW1" s="830"/>
      <c r="CX1" s="830"/>
      <c r="CY1" s="830"/>
      <c r="CZ1" s="830"/>
      <c r="DA1" s="830"/>
      <c r="DB1" s="830"/>
      <c r="DC1" s="830"/>
      <c r="DD1" s="830"/>
      <c r="DE1" s="830"/>
      <c r="DF1" s="560"/>
      <c r="DG1" s="560"/>
      <c r="DH1" s="560"/>
      <c r="DI1" s="560"/>
      <c r="DJ1" s="560"/>
      <c r="DK1" s="560"/>
      <c r="DL1" s="561"/>
      <c r="DM1" s="561"/>
      <c r="DN1" s="561"/>
      <c r="DO1" s="561"/>
      <c r="DP1" s="561"/>
      <c r="DQ1" s="561"/>
      <c r="DR1" s="561"/>
      <c r="DS1" s="561"/>
      <c r="DT1" s="561"/>
      <c r="DU1" s="561"/>
      <c r="DV1" s="561"/>
      <c r="DW1" s="561"/>
      <c r="DX1" s="561"/>
      <c r="DY1" s="561"/>
      <c r="EA1" s="1255" t="s">
        <v>251</v>
      </c>
      <c r="EB1" s="1254"/>
      <c r="EC1" s="1254"/>
      <c r="ED1" s="1254"/>
      <c r="EE1" s="561"/>
      <c r="EG1" s="565"/>
      <c r="EH1" s="565" t="s">
        <v>329</v>
      </c>
      <c r="EI1" s="566">
        <f>$CD$28-DX128</f>
        <v>0.51732920745574429</v>
      </c>
      <c r="EJ1" s="946">
        <f>$CD$28-DY128</f>
        <v>0.40745596546592644</v>
      </c>
      <c r="EK1" s="947">
        <f>$CD$28-DZ128</f>
        <v>0.31889083939706708</v>
      </c>
    </row>
    <row r="2" spans="1:141" ht="15" customHeight="1" x14ac:dyDescent="0.25">
      <c r="U2" s="948"/>
      <c r="V2" s="948"/>
      <c r="AC2" s="440"/>
      <c r="AD2" s="440"/>
      <c r="AE2" s="440"/>
      <c r="AF2" s="435"/>
      <c r="AG2" s="435"/>
      <c r="AH2" s="435"/>
      <c r="BC2" s="558"/>
      <c r="BD2" s="558"/>
      <c r="BE2" s="558"/>
      <c r="BF2" s="558"/>
      <c r="CL2" s="558"/>
      <c r="CM2" s="569" t="s">
        <v>230</v>
      </c>
      <c r="CN2" s="570">
        <v>4.1500000000000004</v>
      </c>
      <c r="CO2" s="571">
        <f>$CD$19</f>
        <v>4.2</v>
      </c>
      <c r="CP2" s="571">
        <v>4.25</v>
      </c>
      <c r="CQ2" s="570">
        <f>$CN$2</f>
        <v>4.1500000000000004</v>
      </c>
      <c r="CR2" s="571">
        <f>$CO$2</f>
        <v>4.2</v>
      </c>
      <c r="CS2" s="572">
        <f>$CP$2</f>
        <v>4.25</v>
      </c>
      <c r="CT2" s="570">
        <f>$CN$2</f>
        <v>4.1500000000000004</v>
      </c>
      <c r="CU2" s="571">
        <f>$CO$2</f>
        <v>4.2</v>
      </c>
      <c r="CV2" s="572">
        <f>$CP$2</f>
        <v>4.25</v>
      </c>
      <c r="CW2" s="570">
        <f>$CN$2</f>
        <v>4.1500000000000004</v>
      </c>
      <c r="CX2" s="571">
        <f>$CO$2</f>
        <v>4.2</v>
      </c>
      <c r="CY2" s="572">
        <f>$CP$2</f>
        <v>4.25</v>
      </c>
      <c r="CZ2" s="560"/>
      <c r="DA2" s="560"/>
      <c r="DB2" s="560"/>
      <c r="DC2" s="570">
        <f>$CN$2</f>
        <v>4.1500000000000004</v>
      </c>
      <c r="DD2" s="571">
        <f>$CO$2</f>
        <v>4.2</v>
      </c>
      <c r="DE2" s="572">
        <f>$CP$2</f>
        <v>4.25</v>
      </c>
      <c r="DF2" s="570">
        <f>$CN$2</f>
        <v>4.1500000000000004</v>
      </c>
      <c r="DG2" s="571">
        <f>$CO$2</f>
        <v>4.2</v>
      </c>
      <c r="DH2" s="572">
        <f>$CP$2</f>
        <v>4.25</v>
      </c>
      <c r="DI2" s="573"/>
      <c r="DJ2" s="560"/>
      <c r="DK2" s="560"/>
      <c r="DL2" s="1210" t="s">
        <v>231</v>
      </c>
      <c r="DM2" s="1211"/>
      <c r="DN2" s="1212"/>
      <c r="DO2" s="1279" t="s">
        <v>231</v>
      </c>
      <c r="DP2" s="1280"/>
      <c r="DQ2" s="1281"/>
      <c r="DR2" s="1210" t="s">
        <v>231</v>
      </c>
      <c r="DS2" s="1211"/>
      <c r="DT2" s="1212"/>
      <c r="DX2" s="1210" t="s">
        <v>232</v>
      </c>
      <c r="DY2" s="1211"/>
      <c r="DZ2" s="1212"/>
      <c r="EA2" s="331"/>
      <c r="EB2" s="331"/>
      <c r="EC2" s="331"/>
      <c r="ED2" s="558"/>
      <c r="EE2" s="558"/>
      <c r="EI2" s="1210" t="s">
        <v>232</v>
      </c>
      <c r="EJ2" s="1211"/>
      <c r="EK2" s="1212"/>
    </row>
    <row r="3" spans="1:141" ht="15" customHeight="1" x14ac:dyDescent="0.25">
      <c r="A3" s="435"/>
      <c r="B3" s="1274" t="s">
        <v>330</v>
      </c>
      <c r="C3" s="1275"/>
      <c r="D3" s="1275"/>
      <c r="E3" s="1275"/>
      <c r="F3" s="1275"/>
      <c r="G3" s="1275"/>
      <c r="H3" s="1275"/>
      <c r="I3" s="1275"/>
      <c r="J3" s="1275"/>
      <c r="K3" s="1275"/>
      <c r="L3" s="1275"/>
      <c r="M3" s="1275"/>
      <c r="N3" s="1275"/>
      <c r="O3" s="1275"/>
      <c r="P3" s="1275"/>
      <c r="Q3" s="1275"/>
      <c r="R3" s="1275"/>
      <c r="S3" s="1276"/>
      <c r="T3" s="948"/>
      <c r="U3" s="1277" t="s">
        <v>237</v>
      </c>
      <c r="W3" s="949" t="s">
        <v>331</v>
      </c>
      <c r="X3" s="588">
        <f>$B$6</f>
        <v>1.5</v>
      </c>
      <c r="Y3" s="589">
        <f>$B$7</f>
        <v>4</v>
      </c>
      <c r="Z3" s="589">
        <f>$B$8</f>
        <v>8</v>
      </c>
      <c r="AA3" s="950">
        <f>$B$9</f>
        <v>16</v>
      </c>
      <c r="AC3" s="949" t="s">
        <v>331</v>
      </c>
      <c r="AD3" s="588">
        <f>$B$6</f>
        <v>1.5</v>
      </c>
      <c r="AE3" s="589">
        <f>$B$7</f>
        <v>4</v>
      </c>
      <c r="AF3" s="589">
        <f>$B$8</f>
        <v>8</v>
      </c>
      <c r="AG3" s="950">
        <f>$B$9</f>
        <v>16</v>
      </c>
      <c r="AJ3" s="949" t="s">
        <v>331</v>
      </c>
      <c r="AK3" s="951">
        <v>0</v>
      </c>
      <c r="AL3" s="588">
        <f>$B$6</f>
        <v>1.5</v>
      </c>
      <c r="AM3" s="589">
        <f>$B$7</f>
        <v>4</v>
      </c>
      <c r="AN3" s="589">
        <f>$B$8</f>
        <v>8</v>
      </c>
      <c r="AO3" s="950">
        <f>$B$9</f>
        <v>16</v>
      </c>
      <c r="AS3" s="949" t="s">
        <v>331</v>
      </c>
      <c r="AT3" s="588">
        <f>$B$6</f>
        <v>1.5</v>
      </c>
      <c r="AU3" s="589">
        <f>$B$7</f>
        <v>4</v>
      </c>
      <c r="AV3" s="589">
        <f>$B$8</f>
        <v>8</v>
      </c>
      <c r="AW3" s="950">
        <f>$B$9</f>
        <v>16</v>
      </c>
      <c r="BB3" s="588">
        <f>$B$6</f>
        <v>1.5</v>
      </c>
      <c r="BC3" s="589">
        <f>$B$7</f>
        <v>4</v>
      </c>
      <c r="BD3" s="589">
        <f>$B$8</f>
        <v>8</v>
      </c>
      <c r="BE3" s="950">
        <f>$B$9</f>
        <v>16</v>
      </c>
      <c r="BG3" s="558"/>
      <c r="BH3" s="558"/>
      <c r="BI3" s="558"/>
      <c r="BJ3" s="952">
        <v>6</v>
      </c>
      <c r="BK3" s="588">
        <f>$B$6</f>
        <v>1.5</v>
      </c>
      <c r="BL3" s="589">
        <f>$B$7</f>
        <v>4</v>
      </c>
      <c r="BM3" s="589">
        <f>$B$8</f>
        <v>8</v>
      </c>
      <c r="BN3" s="950">
        <f>$B$9</f>
        <v>16</v>
      </c>
      <c r="CL3" s="558"/>
      <c r="CM3" s="579" t="s">
        <v>234</v>
      </c>
      <c r="CN3" s="580">
        <f>$CD$37*$CD$27/(CN$2-$CD$20)</f>
        <v>0.37886259339671813</v>
      </c>
      <c r="CO3" s="581">
        <f>$CD$37*$CD$27/(CO$2-$CD$20)</f>
        <v>0.32157016369880781</v>
      </c>
      <c r="CP3" s="582">
        <f>$CD$37*$CD$27/(CP$2-$CD$20)</f>
        <v>0.27932936622744109</v>
      </c>
      <c r="CQ3" s="583">
        <f>$CD$36*$CD$30</f>
        <v>6.2063235870280106E-2</v>
      </c>
      <c r="CR3" s="584">
        <f>$CD$36*$CD$30</f>
        <v>6.2063235870280106E-2</v>
      </c>
      <c r="CS3" s="585">
        <f>$CD$36*$CD$30</f>
        <v>6.2063235870280106E-2</v>
      </c>
      <c r="CT3" s="586"/>
      <c r="CU3" s="586"/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1210" t="s">
        <v>231</v>
      </c>
      <c r="DG3" s="1211"/>
      <c r="DH3" s="1212"/>
      <c r="DI3" s="563"/>
      <c r="DJ3" s="953"/>
      <c r="DK3" s="587"/>
      <c r="DL3" s="588">
        <f>$B$6</f>
        <v>1.5</v>
      </c>
      <c r="DM3" s="589">
        <f>$B$7</f>
        <v>4</v>
      </c>
      <c r="DN3" s="589">
        <f>$B$8</f>
        <v>8</v>
      </c>
      <c r="DO3" s="590">
        <f>$DL$3</f>
        <v>1.5</v>
      </c>
      <c r="DP3" s="591">
        <f>$DM$3</f>
        <v>4</v>
      </c>
      <c r="DQ3" s="592">
        <f>$DN$3</f>
        <v>8</v>
      </c>
      <c r="DR3" s="590">
        <f>$DL$3</f>
        <v>1.5</v>
      </c>
      <c r="DS3" s="591">
        <f>$DM$3</f>
        <v>4</v>
      </c>
      <c r="DT3" s="592">
        <f>$DN$3</f>
        <v>8</v>
      </c>
      <c r="DX3" s="590">
        <v>3.1</v>
      </c>
      <c r="DY3" s="591">
        <f>CD22</f>
        <v>3</v>
      </c>
      <c r="DZ3" s="592">
        <v>2.9</v>
      </c>
      <c r="EA3" s="590">
        <f>$DX$3</f>
        <v>3.1</v>
      </c>
      <c r="EB3" s="590">
        <f>$DY$3</f>
        <v>3</v>
      </c>
      <c r="EC3" s="954">
        <f>$DZ$3</f>
        <v>2.9</v>
      </c>
      <c r="ED3" s="558"/>
      <c r="EE3" s="558"/>
      <c r="EG3" s="558"/>
      <c r="EI3" s="590">
        <f>$DX$3</f>
        <v>3.1</v>
      </c>
      <c r="EJ3" s="590">
        <f>$DY$3</f>
        <v>3</v>
      </c>
      <c r="EK3" s="954">
        <f>$DZ$3</f>
        <v>2.9</v>
      </c>
    </row>
    <row r="4" spans="1:141" ht="15" customHeight="1" x14ac:dyDescent="0.25">
      <c r="B4" s="955" t="s">
        <v>332</v>
      </c>
      <c r="C4" s="956">
        <v>0</v>
      </c>
      <c r="D4" s="957">
        <v>500</v>
      </c>
      <c r="E4" s="957">
        <v>1000</v>
      </c>
      <c r="F4" s="957">
        <v>1500</v>
      </c>
      <c r="G4" s="957">
        <v>2000</v>
      </c>
      <c r="H4" s="957">
        <v>2500</v>
      </c>
      <c r="I4" s="957">
        <v>3000</v>
      </c>
      <c r="J4" s="957">
        <v>3500</v>
      </c>
      <c r="K4" s="957">
        <v>4000</v>
      </c>
      <c r="L4" s="957">
        <v>4500</v>
      </c>
      <c r="M4" s="957">
        <v>5000</v>
      </c>
      <c r="N4" s="957">
        <v>5500</v>
      </c>
      <c r="O4" s="957">
        <v>6000</v>
      </c>
      <c r="P4" s="957">
        <v>6500</v>
      </c>
      <c r="Q4" s="957">
        <v>7000</v>
      </c>
      <c r="R4" s="957">
        <v>7500</v>
      </c>
      <c r="S4" s="958">
        <v>8000</v>
      </c>
      <c r="T4" s="948"/>
      <c r="U4" s="1278"/>
      <c r="W4" s="949" t="s">
        <v>56</v>
      </c>
      <c r="X4" s="1279" t="s">
        <v>246</v>
      </c>
      <c r="Y4" s="1280"/>
      <c r="Z4" s="1280"/>
      <c r="AA4" s="1281"/>
      <c r="AD4" s="1279" t="s">
        <v>333</v>
      </c>
      <c r="AE4" s="1280"/>
      <c r="AF4" s="1280"/>
      <c r="AG4" s="1281"/>
      <c r="AJ4" s="959" t="s">
        <v>56</v>
      </c>
      <c r="AK4" s="1251" t="s">
        <v>334</v>
      </c>
      <c r="AL4" s="1252"/>
      <c r="AM4" s="1252"/>
      <c r="AN4" s="1252"/>
      <c r="AO4" s="1253"/>
      <c r="AS4" s="959" t="s">
        <v>56</v>
      </c>
      <c r="AT4" s="1210" t="s">
        <v>333</v>
      </c>
      <c r="AU4" s="1211"/>
      <c r="AV4" s="1211"/>
      <c r="AW4" s="1212"/>
      <c r="AX4" s="960" t="s">
        <v>335</v>
      </c>
      <c r="AY4" s="960" t="s">
        <v>232</v>
      </c>
      <c r="AZ4" s="961" t="s">
        <v>336</v>
      </c>
      <c r="BF4" s="962"/>
      <c r="BG4" s="962"/>
      <c r="BH4" s="962"/>
      <c r="BI4" s="962"/>
      <c r="BJ4" s="963" t="s">
        <v>160</v>
      </c>
      <c r="BK4" s="1279" t="s">
        <v>333</v>
      </c>
      <c r="BL4" s="1280"/>
      <c r="BM4" s="1280"/>
      <c r="BN4" s="1281"/>
      <c r="BO4" s="427" t="s">
        <v>232</v>
      </c>
      <c r="BP4" s="331"/>
      <c r="CK4" s="601" t="s">
        <v>237</v>
      </c>
      <c r="CL4" s="428" t="s">
        <v>238</v>
      </c>
      <c r="CM4" s="428" t="s">
        <v>239</v>
      </c>
      <c r="CN4" s="1223" t="s">
        <v>240</v>
      </c>
      <c r="CO4" s="1224"/>
      <c r="CP4" s="1225"/>
      <c r="CQ4" s="1210" t="s">
        <v>241</v>
      </c>
      <c r="CR4" s="1211"/>
      <c r="CS4" s="1212"/>
      <c r="CT4" s="1210" t="s">
        <v>242</v>
      </c>
      <c r="CU4" s="1211"/>
      <c r="CV4" s="1212"/>
      <c r="CW4" s="1210" t="s">
        <v>243</v>
      </c>
      <c r="CX4" s="1211"/>
      <c r="CY4" s="1212"/>
      <c r="CZ4" s="428" t="s">
        <v>335</v>
      </c>
      <c r="DA4" s="331"/>
      <c r="DB4" s="428" t="s">
        <v>239</v>
      </c>
      <c r="DC4" s="1210" t="s">
        <v>231</v>
      </c>
      <c r="DD4" s="1211"/>
      <c r="DE4" s="1212"/>
      <c r="DF4" s="1211" t="s">
        <v>244</v>
      </c>
      <c r="DG4" s="1211"/>
      <c r="DH4" s="1212"/>
      <c r="DI4" s="428" t="s">
        <v>245</v>
      </c>
      <c r="DJ4" s="508"/>
      <c r="DK4" s="428" t="s">
        <v>239</v>
      </c>
      <c r="DL4" s="1210" t="s">
        <v>246</v>
      </c>
      <c r="DM4" s="1211"/>
      <c r="DN4" s="1212"/>
      <c r="DO4" s="1223" t="s">
        <v>247</v>
      </c>
      <c r="DP4" s="1224"/>
      <c r="DQ4" s="1225"/>
      <c r="DR4" s="1210" t="s">
        <v>247</v>
      </c>
      <c r="DS4" s="1211"/>
      <c r="DT4" s="1211"/>
      <c r="DU4" s="428" t="s">
        <v>248</v>
      </c>
      <c r="DV4" s="331"/>
      <c r="DW4" s="428" t="s">
        <v>255</v>
      </c>
      <c r="DX4" s="1210" t="s">
        <v>250</v>
      </c>
      <c r="DY4" s="1211"/>
      <c r="DZ4" s="1212"/>
      <c r="ED4" s="429" t="s">
        <v>164</v>
      </c>
      <c r="EE4" s="430" t="s">
        <v>335</v>
      </c>
      <c r="EF4" s="431" t="s">
        <v>252</v>
      </c>
      <c r="EG4" s="331"/>
      <c r="EH4" s="428" t="s">
        <v>255</v>
      </c>
      <c r="EI4" s="1210" t="s">
        <v>253</v>
      </c>
      <c r="EJ4" s="1211"/>
      <c r="EK4" s="1212"/>
    </row>
    <row r="5" spans="1:141" ht="15" customHeight="1" x14ac:dyDescent="0.25">
      <c r="B5" s="964" t="s">
        <v>337</v>
      </c>
      <c r="C5" s="965"/>
      <c r="D5" s="966"/>
      <c r="E5" s="966"/>
      <c r="F5" s="966"/>
      <c r="G5" s="966"/>
      <c r="H5" s="966"/>
      <c r="I5" s="966"/>
      <c r="J5" s="966"/>
      <c r="K5" s="966"/>
      <c r="L5" s="966"/>
      <c r="M5" s="966"/>
      <c r="N5" s="966"/>
      <c r="O5" s="966"/>
      <c r="P5" s="966"/>
      <c r="Q5" s="966"/>
      <c r="R5" s="966"/>
      <c r="S5" s="967"/>
      <c r="T5" s="948"/>
      <c r="U5" s="968">
        <v>0</v>
      </c>
      <c r="W5" s="609">
        <f t="shared" ref="W5:W68" si="0">(U5/$U$126)*$K$26</f>
        <v>0</v>
      </c>
      <c r="X5" s="617">
        <f>$K$25</f>
        <v>3.8693606857010856</v>
      </c>
      <c r="Y5" s="622">
        <f>$K$25</f>
        <v>3.8693606857010856</v>
      </c>
      <c r="Z5" s="622">
        <f>$K$25</f>
        <v>3.8693606857010856</v>
      </c>
      <c r="AA5" s="622">
        <f>$K$25</f>
        <v>3.8693606857010856</v>
      </c>
      <c r="AB5" s="969">
        <f t="shared" ref="AB5:AB68" si="1">IF(W5&lt;$K$26,1000000,-1000000)</f>
        <v>1000000</v>
      </c>
      <c r="AC5" s="970">
        <f t="shared" ref="AC5:AC68" si="2">$K$25</f>
        <v>3.8693606857010856</v>
      </c>
      <c r="AD5" s="622">
        <f>AT5</f>
        <v>4.2</v>
      </c>
      <c r="AE5" s="622">
        <f t="shared" ref="AE5:AG20" si="3">AU5</f>
        <v>4.2</v>
      </c>
      <c r="AF5" s="622">
        <f t="shared" si="3"/>
        <v>4.2</v>
      </c>
      <c r="AG5" s="623">
        <f t="shared" si="3"/>
        <v>4.2</v>
      </c>
      <c r="AH5" s="616">
        <f t="shared" ref="AH5:AH68" si="4">$C$31</f>
        <v>3</v>
      </c>
      <c r="AI5" s="895">
        <f>IF(W5&lt;$C$25,-1000000,1000000)</f>
        <v>-1000000</v>
      </c>
      <c r="AJ5" s="617">
        <f t="shared" ref="AJ5:AJ68" si="5">$W5</f>
        <v>0</v>
      </c>
      <c r="AK5" s="616">
        <f>($K$31)*((EXP(-(($AJ5)/($K$27)))-EXP(-1))/(1-EXP(-1)))</f>
        <v>0.33063931429891458</v>
      </c>
      <c r="AL5" s="622">
        <f>$C$28-$K$25</f>
        <v>0.33063931429891458</v>
      </c>
      <c r="AM5" s="622">
        <f>$C$28-$K$25</f>
        <v>0.33063931429891458</v>
      </c>
      <c r="AN5" s="622">
        <f>$C$28-$K$25</f>
        <v>0.33063931429891458</v>
      </c>
      <c r="AO5" s="623">
        <f>$C$28-$K$25</f>
        <v>0.33063931429891458</v>
      </c>
      <c r="AP5" s="901">
        <v>0</v>
      </c>
      <c r="AQ5" s="768">
        <f t="shared" ref="AQ5:AQ68" si="6">IF(AJ5&lt;$K$26,1000000,-1000000)</f>
        <v>1000000</v>
      </c>
      <c r="AR5" s="938"/>
      <c r="AS5" s="616">
        <f t="shared" ref="AS5:AS68" si="7">$W5</f>
        <v>0</v>
      </c>
      <c r="AT5" s="617">
        <f t="shared" ref="AT5:AW36" si="8">X5+AL5</f>
        <v>4.2</v>
      </c>
      <c r="AU5" s="622">
        <f t="shared" si="8"/>
        <v>4.2</v>
      </c>
      <c r="AV5" s="622">
        <f t="shared" si="8"/>
        <v>4.2</v>
      </c>
      <c r="AW5" s="623">
        <f t="shared" si="8"/>
        <v>4.2</v>
      </c>
      <c r="AX5" s="969">
        <f t="shared" ref="AX5:AX68" si="9">IF(W5&lt;$K$26,1000000,-1000000)</f>
        <v>1000000</v>
      </c>
      <c r="AY5" s="622">
        <f t="shared" ref="AY5:AY68" si="10">$C$31</f>
        <v>3</v>
      </c>
      <c r="AZ5" s="623">
        <f t="shared" ref="AZ5:AZ68" si="11">$K$25</f>
        <v>3.8693606857010856</v>
      </c>
      <c r="BB5" s="971">
        <f>$C$28</f>
        <v>4.2</v>
      </c>
      <c r="BC5" s="972">
        <f>$C$28</f>
        <v>4.2</v>
      </c>
      <c r="BD5" s="972">
        <f>$C$28</f>
        <v>4.2</v>
      </c>
      <c r="BE5" s="518">
        <f>$C$28</f>
        <v>4.2</v>
      </c>
      <c r="BF5" s="973">
        <f t="shared" ref="BF5:BI36" si="12">IF(BB$3*$BJ5&lt;$K$26,BB5,-1000000)</f>
        <v>4.2</v>
      </c>
      <c r="BG5" s="974">
        <f t="shared" si="12"/>
        <v>4.2</v>
      </c>
      <c r="BH5" s="974">
        <f t="shared" si="12"/>
        <v>4.2</v>
      </c>
      <c r="BI5" s="970">
        <f t="shared" si="12"/>
        <v>4.2</v>
      </c>
      <c r="BJ5" s="625">
        <f t="shared" ref="BJ5:BJ68" si="13">(U5/$U$126)*$BJ$3</f>
        <v>0</v>
      </c>
      <c r="BK5" s="973">
        <f t="shared" ref="BK5:BN36" si="14">IF(BF5&gt;0,BF5,-1000000)</f>
        <v>4.2</v>
      </c>
      <c r="BL5" s="974">
        <f t="shared" si="14"/>
        <v>4.2</v>
      </c>
      <c r="BM5" s="974">
        <f t="shared" si="14"/>
        <v>4.2</v>
      </c>
      <c r="BN5" s="974">
        <f t="shared" si="14"/>
        <v>4.2</v>
      </c>
      <c r="BO5" s="973">
        <f t="shared" ref="BO5:BO68" si="15">$C$31</f>
        <v>3</v>
      </c>
      <c r="BP5" s="768">
        <f>IF(BJ5&lt;$C$27,-1000000,IF(BJ5=$C$27,0,1000000))</f>
        <v>-1000000</v>
      </c>
      <c r="CK5" s="608">
        <v>0</v>
      </c>
      <c r="CL5" s="609">
        <f t="shared" ref="CL5:CL68" si="16">($CK5/$CK$126)*$CD$27</f>
        <v>0</v>
      </c>
      <c r="CM5" s="609">
        <f>($CK5/$CK$126)*$CM$1</f>
        <v>0</v>
      </c>
      <c r="CN5" s="610">
        <f t="shared" ref="CN5:CP24" si="17">$CD$27*(1-EXP(-$CM5/CN$3))</f>
        <v>0</v>
      </c>
      <c r="CO5" s="611">
        <f t="shared" si="17"/>
        <v>0</v>
      </c>
      <c r="CP5" s="612">
        <f t="shared" si="17"/>
        <v>0</v>
      </c>
      <c r="CQ5" s="611">
        <f t="shared" ref="CQ5:CS24" si="18">--$CD$30*((CQ$2-$CD$20)+($CD$22-CQ$2)*EXP(-$CM5/$CI$13))</f>
        <v>-6.9709738104669841</v>
      </c>
      <c r="CR5" s="611">
        <f t="shared" si="18"/>
        <v>-6.9709738104669841</v>
      </c>
      <c r="CS5" s="611">
        <f t="shared" si="18"/>
        <v>-6.9709738104669841</v>
      </c>
      <c r="CT5" s="610">
        <f t="shared" ref="CT5:CV68" si="19">CN5+CQ5</f>
        <v>-6.9709738104669841</v>
      </c>
      <c r="CU5" s="611">
        <f t="shared" si="19"/>
        <v>-6.9709738104669841</v>
      </c>
      <c r="CV5" s="612">
        <f t="shared" si="19"/>
        <v>-6.9709738104669841</v>
      </c>
      <c r="CW5" s="613">
        <f>CT5</f>
        <v>-6.9709738104669841</v>
      </c>
      <c r="CX5" s="613">
        <f t="shared" ref="CX5:CY5" si="20">CU5</f>
        <v>-6.9709738104669841</v>
      </c>
      <c r="CY5" s="613">
        <f t="shared" si="20"/>
        <v>-6.9709738104669841</v>
      </c>
      <c r="CZ5" s="609">
        <f t="shared" ref="CZ5:CZ68" si="21">$CD$27</f>
        <v>8.5058990739490348</v>
      </c>
      <c r="DA5" s="609"/>
      <c r="DB5" s="609">
        <f>$CM5</f>
        <v>0</v>
      </c>
      <c r="DC5" s="610">
        <f t="shared" ref="DC5:DE36" si="22">((CQ$2-$CD$20)/$CD$37)*EXP(-$CM5/CN$3)-(($CD$22-CQ$2)/$CD$35)*EXP(-$CM5/CQ$3)</f>
        <v>264.04778379937534</v>
      </c>
      <c r="DD5" s="611">
        <f t="shared" si="22"/>
        <v>278.55198548004756</v>
      </c>
      <c r="DE5" s="612">
        <f t="shared" si="22"/>
        <v>293.05618716071973</v>
      </c>
      <c r="DF5" s="611"/>
      <c r="DG5" s="611"/>
      <c r="DH5" s="611"/>
      <c r="DI5" s="614">
        <f t="shared" ref="DI5:DI68" si="23">$CD$32</f>
        <v>8</v>
      </c>
      <c r="DJ5" s="615"/>
      <c r="DK5" s="616">
        <f>$CM5</f>
        <v>0</v>
      </c>
      <c r="DL5" s="611">
        <f t="shared" ref="DL5:DN24" si="24">IF((DL$3*$DK5)&gt;$CD$27,1000000,($CD$20+($CD$35*DL$3)/(1-(DL$3*$DK5)/($CD$27))))</f>
        <v>3.8765006857010857</v>
      </c>
      <c r="DM5" s="611">
        <f t="shared" si="24"/>
        <v>3.8884006857010855</v>
      </c>
      <c r="DN5" s="611">
        <f t="shared" si="24"/>
        <v>3.9074406857010855</v>
      </c>
      <c r="DO5" s="610">
        <f t="shared" ref="DO5:DQ24" si="25">($CD$24-$CD$20)+($CD$22-$CD$24)*EXP(-$DK5/$CI$13)+$CD$36*DO$3</f>
        <v>-0.85775068570108548</v>
      </c>
      <c r="DP5" s="611">
        <f t="shared" si="25"/>
        <v>-0.83840068570108528</v>
      </c>
      <c r="DQ5" s="612">
        <f t="shared" si="25"/>
        <v>-0.80744068570108507</v>
      </c>
      <c r="DR5" s="611">
        <f t="shared" ref="DR5:DT68" si="26">(DL5+DO5)</f>
        <v>3.0187500000000003</v>
      </c>
      <c r="DS5" s="611">
        <f t="shared" si="26"/>
        <v>3.0500000000000003</v>
      </c>
      <c r="DT5" s="611">
        <f t="shared" si="26"/>
        <v>3.1000000000000005</v>
      </c>
      <c r="DU5" s="609">
        <f>$CD$24</f>
        <v>4.2</v>
      </c>
      <c r="DV5" s="611"/>
      <c r="DW5" s="646">
        <f t="shared" ref="DW5:DW68" si="27">($CK5/$CK$126)*$B$9</f>
        <v>0</v>
      </c>
      <c r="DX5" s="621">
        <f t="shared" ref="DX5:DZ24" si="28">$CD$27*((1-($CD$35*$DW5)/($CD$20-DX$3))/(1+(($CD$36*$DW5)/($CD$20-DX$3))))</f>
        <v>8.5058990739490348</v>
      </c>
      <c r="DY5" s="621">
        <f t="shared" si="28"/>
        <v>8.5058990739490348</v>
      </c>
      <c r="DZ5" s="621">
        <f t="shared" si="28"/>
        <v>8.5058990739490348</v>
      </c>
      <c r="EA5" s="617">
        <f t="shared" ref="EA5:EC36" si="29">DX5+EI5</f>
        <v>11.157132375153303</v>
      </c>
      <c r="EB5" s="622">
        <f t="shared" si="29"/>
        <v>11.157132375153303</v>
      </c>
      <c r="EC5" s="623">
        <f t="shared" si="29"/>
        <v>11.157132375153303</v>
      </c>
      <c r="ED5" s="610">
        <f>$CD$28</f>
        <v>8</v>
      </c>
      <c r="EE5" s="611">
        <f>$CD$27</f>
        <v>8.5058990739490348</v>
      </c>
      <c r="EF5" s="624">
        <f>IF(DW5&lt;$CD$32,1000000,-1000000)</f>
        <v>1000000</v>
      </c>
      <c r="EG5" s="902"/>
      <c r="EH5" s="625">
        <f t="shared" ref="EH5:EH68" si="30">DW5</f>
        <v>0</v>
      </c>
      <c r="EI5" s="617">
        <f t="shared" ref="EI5:EK24" si="31">$CD$29-($CD$29-EI$1)*((1-EXP(-$DW5/$CD$32))/(1-EXP(-1)))</f>
        <v>2.6512333012042681</v>
      </c>
      <c r="EJ5" s="975">
        <f t="shared" si="31"/>
        <v>2.6512333012042681</v>
      </c>
      <c r="EK5" s="623">
        <f t="shared" si="31"/>
        <v>2.6512333012042681</v>
      </c>
    </row>
    <row r="6" spans="1:141" ht="15" customHeight="1" x14ac:dyDescent="0.25">
      <c r="B6" s="976">
        <v>1.5</v>
      </c>
      <c r="C6" s="977">
        <v>4.18</v>
      </c>
      <c r="D6" s="978">
        <v>4.0999999999999996</v>
      </c>
      <c r="E6" s="978">
        <v>4.0199999999999996</v>
      </c>
      <c r="F6" s="978">
        <v>3.97</v>
      </c>
      <c r="G6" s="978">
        <v>3.92</v>
      </c>
      <c r="H6" s="978">
        <v>3.87</v>
      </c>
      <c r="I6" s="978">
        <v>3.84</v>
      </c>
      <c r="J6" s="978">
        <v>3.8</v>
      </c>
      <c r="K6" s="978">
        <v>3.78</v>
      </c>
      <c r="L6" s="978">
        <v>3.75</v>
      </c>
      <c r="M6" s="979">
        <v>3.72</v>
      </c>
      <c r="N6" s="978">
        <v>3.71</v>
      </c>
      <c r="O6" s="978">
        <v>3.7</v>
      </c>
      <c r="P6" s="978">
        <v>3.68</v>
      </c>
      <c r="Q6" s="978">
        <v>3.65</v>
      </c>
      <c r="R6" s="978">
        <v>3.61</v>
      </c>
      <c r="S6" s="980">
        <v>3.35</v>
      </c>
      <c r="T6" s="948"/>
      <c r="U6" s="981">
        <v>0</v>
      </c>
      <c r="W6" s="609">
        <f t="shared" si="0"/>
        <v>0</v>
      </c>
      <c r="X6" s="610">
        <f t="shared" ref="X6:AA25" si="32">$K$25-($M$28*X$3)/(1-$W6/$K$26)</f>
        <v>3.8622206857010855</v>
      </c>
      <c r="Y6" s="611">
        <f t="shared" si="32"/>
        <v>3.8503206857010857</v>
      </c>
      <c r="Z6" s="611">
        <f t="shared" si="32"/>
        <v>3.8312806857010857</v>
      </c>
      <c r="AA6" s="611">
        <f t="shared" si="32"/>
        <v>3.7932006857010858</v>
      </c>
      <c r="AB6" s="982">
        <f t="shared" si="1"/>
        <v>1000000</v>
      </c>
      <c r="AC6" s="919">
        <f t="shared" si="2"/>
        <v>3.8693606857010856</v>
      </c>
      <c r="AD6" s="611">
        <f t="shared" ref="AD6:AG21" si="33">AT6</f>
        <v>4.1812500000000004</v>
      </c>
      <c r="AE6" s="611">
        <f t="shared" si="3"/>
        <v>4.1500000000000004</v>
      </c>
      <c r="AF6" s="611">
        <f t="shared" si="3"/>
        <v>4.0999999999999996</v>
      </c>
      <c r="AG6" s="612">
        <f t="shared" si="3"/>
        <v>3.9999999999999991</v>
      </c>
      <c r="AH6" s="609">
        <f t="shared" si="4"/>
        <v>3</v>
      </c>
      <c r="AI6" s="895">
        <f t="shared" ref="AI6:AI69" si="34">IF(W6&lt;$C$25,-1000000,1000000)</f>
        <v>-1000000</v>
      </c>
      <c r="AJ6" s="610">
        <f t="shared" si="5"/>
        <v>0</v>
      </c>
      <c r="AK6" s="609">
        <f t="shared" ref="AK6:AK69" si="35">($K$31)*((EXP(-(($AJ6)/($K$27)))-EXP(-1))/(1-EXP(-1)))</f>
        <v>0.33063931429891458</v>
      </c>
      <c r="AL6" s="611">
        <f t="shared" ref="AL6:AO25" si="36">$AK6-$M$30*AL$3</f>
        <v>0.31902931429891446</v>
      </c>
      <c r="AM6" s="611">
        <f t="shared" si="36"/>
        <v>0.29967931429891431</v>
      </c>
      <c r="AN6" s="611">
        <f t="shared" si="36"/>
        <v>0.26871931429891405</v>
      </c>
      <c r="AO6" s="612">
        <f t="shared" si="36"/>
        <v>0.20679931429891352</v>
      </c>
      <c r="AP6" s="902">
        <v>0</v>
      </c>
      <c r="AQ6" s="783">
        <f t="shared" si="6"/>
        <v>1000000</v>
      </c>
      <c r="AR6" s="983"/>
      <c r="AS6" s="609">
        <f t="shared" si="7"/>
        <v>0</v>
      </c>
      <c r="AT6" s="610">
        <f t="shared" si="8"/>
        <v>4.1812500000000004</v>
      </c>
      <c r="AU6" s="611">
        <f t="shared" si="8"/>
        <v>4.1500000000000004</v>
      </c>
      <c r="AV6" s="611">
        <f t="shared" si="8"/>
        <v>4.0999999999999996</v>
      </c>
      <c r="AW6" s="612">
        <f t="shared" si="8"/>
        <v>3.9999999999999991</v>
      </c>
      <c r="AX6" s="982">
        <f t="shared" si="9"/>
        <v>1000000</v>
      </c>
      <c r="AY6" s="611">
        <f t="shared" si="10"/>
        <v>3</v>
      </c>
      <c r="AZ6" s="612">
        <f t="shared" si="11"/>
        <v>3.8693606857010856</v>
      </c>
      <c r="BB6" s="984">
        <f t="shared" ref="BB6:BB69" si="37">$K$25+$K$31*(1-(1-EXP(-(BA$4*$BJ6)/($K$27)))/(1-EXP(-1)))-($M$28/(1-(BB$3*$BJ6)/($K$26))+$M$30)*BB$3</f>
        <v>4.1812500000000004</v>
      </c>
      <c r="BC6" s="985">
        <f t="shared" ref="BC6:BE25" si="38">$K$25+$K$31*(1-(1-EXP(-(BB$3*$BJ6)/($K$27)))/(1-EXP(-1)))-($M$28/(1-(BC$3*$BJ6)/($K$26))+$M$30)*BC$3</f>
        <v>4.1500000000000004</v>
      </c>
      <c r="BD6" s="985">
        <f t="shared" si="38"/>
        <v>4.0999999999999996</v>
      </c>
      <c r="BE6" s="528">
        <f t="shared" si="38"/>
        <v>3.9999999999999991</v>
      </c>
      <c r="BF6" s="913">
        <f t="shared" si="12"/>
        <v>4.1812500000000004</v>
      </c>
      <c r="BG6" s="317">
        <f t="shared" si="12"/>
        <v>4.1500000000000004</v>
      </c>
      <c r="BH6" s="317">
        <f t="shared" si="12"/>
        <v>4.0999999999999996</v>
      </c>
      <c r="BI6" s="919">
        <f t="shared" si="12"/>
        <v>3.9999999999999991</v>
      </c>
      <c r="BJ6" s="646">
        <f t="shared" si="13"/>
        <v>0</v>
      </c>
      <c r="BK6" s="913">
        <f t="shared" si="14"/>
        <v>4.1812500000000004</v>
      </c>
      <c r="BL6" s="317">
        <f t="shared" si="14"/>
        <v>4.1500000000000004</v>
      </c>
      <c r="BM6" s="317">
        <f t="shared" si="14"/>
        <v>4.0999999999999996</v>
      </c>
      <c r="BN6" s="317">
        <f t="shared" si="14"/>
        <v>3.9999999999999991</v>
      </c>
      <c r="BO6" s="913">
        <f t="shared" si="15"/>
        <v>3</v>
      </c>
      <c r="BP6" s="783">
        <f t="shared" ref="BP6:BP69" si="39">IF(BJ6&lt;$C$27,-1000000,IF(BJ6=$C$27,0,1000000))</f>
        <v>-1000000</v>
      </c>
      <c r="CK6" s="642">
        <v>0</v>
      </c>
      <c r="CL6" s="609">
        <f t="shared" si="16"/>
        <v>0</v>
      </c>
      <c r="CM6" s="609">
        <f t="shared" ref="CM6:CM69" si="40">($CK6/$CK$126)*$CM$1</f>
        <v>0</v>
      </c>
      <c r="CN6" s="610">
        <f t="shared" si="17"/>
        <v>0</v>
      </c>
      <c r="CO6" s="611">
        <f t="shared" si="17"/>
        <v>0</v>
      </c>
      <c r="CP6" s="612">
        <f t="shared" si="17"/>
        <v>0</v>
      </c>
      <c r="CQ6" s="611">
        <f t="shared" si="18"/>
        <v>-6.9709738104669841</v>
      </c>
      <c r="CR6" s="611">
        <f t="shared" si="18"/>
        <v>-6.9709738104669841</v>
      </c>
      <c r="CS6" s="611">
        <f t="shared" si="18"/>
        <v>-6.9709738104669841</v>
      </c>
      <c r="CT6" s="610">
        <f t="shared" si="19"/>
        <v>-6.9709738104669841</v>
      </c>
      <c r="CU6" s="611">
        <f>CO6+CR6</f>
        <v>-6.9709738104669841</v>
      </c>
      <c r="CV6" s="612">
        <f t="shared" si="19"/>
        <v>-6.9709738104669841</v>
      </c>
      <c r="CW6" s="613">
        <f t="shared" ref="CW6:CY21" si="41">IF((CW5+$CD$32*($CM6-$CM5))&lt;CT6,(CW5+$CD$32*($CM6-$CM5)),CT6)</f>
        <v>-6.9709738104669841</v>
      </c>
      <c r="CX6" s="613">
        <f t="shared" si="41"/>
        <v>-6.9709738104669841</v>
      </c>
      <c r="CY6" s="613">
        <f t="shared" si="41"/>
        <v>-6.9709738104669841</v>
      </c>
      <c r="CZ6" s="609">
        <f t="shared" si="21"/>
        <v>8.5058990739490348</v>
      </c>
      <c r="DA6" s="609"/>
      <c r="DB6" s="609">
        <f t="shared" ref="DB6:DB69" si="42">$CM6</f>
        <v>0</v>
      </c>
      <c r="DC6" s="610">
        <f t="shared" si="22"/>
        <v>264.04778379937534</v>
      </c>
      <c r="DD6" s="611">
        <f t="shared" si="22"/>
        <v>278.55198548004756</v>
      </c>
      <c r="DE6" s="612">
        <f t="shared" si="22"/>
        <v>293.05618716071973</v>
      </c>
      <c r="DF6" s="611"/>
      <c r="DG6" s="611"/>
      <c r="DH6" s="611"/>
      <c r="DI6" s="614">
        <f t="shared" si="23"/>
        <v>8</v>
      </c>
      <c r="DJ6" s="615"/>
      <c r="DK6" s="609">
        <f t="shared" ref="DK6:DK69" si="43">$CM6</f>
        <v>0</v>
      </c>
      <c r="DL6" s="611">
        <f t="shared" si="24"/>
        <v>3.8765006857010857</v>
      </c>
      <c r="DM6" s="611">
        <f t="shared" si="24"/>
        <v>3.8884006857010855</v>
      </c>
      <c r="DN6" s="611">
        <f t="shared" si="24"/>
        <v>3.9074406857010855</v>
      </c>
      <c r="DO6" s="610">
        <f t="shared" si="25"/>
        <v>-0.85775068570108548</v>
      </c>
      <c r="DP6" s="611">
        <f t="shared" si="25"/>
        <v>-0.83840068570108528</v>
      </c>
      <c r="DQ6" s="612">
        <f t="shared" si="25"/>
        <v>-0.80744068570108507</v>
      </c>
      <c r="DR6" s="611">
        <f t="shared" si="26"/>
        <v>3.0187500000000003</v>
      </c>
      <c r="DS6" s="611">
        <f t="shared" si="26"/>
        <v>3.0500000000000003</v>
      </c>
      <c r="DT6" s="611">
        <f t="shared" si="26"/>
        <v>3.1000000000000005</v>
      </c>
      <c r="DU6" s="609">
        <f t="shared" ref="DU6:DU69" si="44">$CD$24</f>
        <v>4.2</v>
      </c>
      <c r="DV6" s="611"/>
      <c r="DW6" s="646">
        <f t="shared" si="27"/>
        <v>0</v>
      </c>
      <c r="DX6" s="621">
        <f t="shared" si="28"/>
        <v>8.5058990739490348</v>
      </c>
      <c r="DY6" s="621">
        <f t="shared" si="28"/>
        <v>8.5058990739490348</v>
      </c>
      <c r="DZ6" s="621">
        <f t="shared" si="28"/>
        <v>8.5058990739490348</v>
      </c>
      <c r="EA6" s="610">
        <f t="shared" si="29"/>
        <v>11.157132375153303</v>
      </c>
      <c r="EB6" s="611">
        <f t="shared" si="29"/>
        <v>11.157132375153303</v>
      </c>
      <c r="EC6" s="612">
        <f t="shared" si="29"/>
        <v>11.157132375153303</v>
      </c>
      <c r="ED6" s="610">
        <f t="shared" ref="ED6:ED69" si="45">$CD$28</f>
        <v>8</v>
      </c>
      <c r="EE6" s="611">
        <f t="shared" ref="EE6:EE69" si="46">$CD$27</f>
        <v>8.5058990739490348</v>
      </c>
      <c r="EF6" s="645">
        <f t="shared" ref="EF6:EF69" si="47">IF(DW6&lt;$CD$32,1000000,-1000000)</f>
        <v>1000000</v>
      </c>
      <c r="EG6" s="902"/>
      <c r="EH6" s="646">
        <f t="shared" si="30"/>
        <v>0</v>
      </c>
      <c r="EI6" s="610">
        <f t="shared" si="31"/>
        <v>2.6512333012042681</v>
      </c>
      <c r="EJ6" s="986">
        <f t="shared" si="31"/>
        <v>2.6512333012042681</v>
      </c>
      <c r="EK6" s="612">
        <f t="shared" si="31"/>
        <v>2.6512333012042681</v>
      </c>
    </row>
    <row r="7" spans="1:141" ht="15" customHeight="1" x14ac:dyDescent="0.25">
      <c r="B7" s="987">
        <v>4</v>
      </c>
      <c r="C7" s="988">
        <v>4.1500000000000004</v>
      </c>
      <c r="D7" s="989">
        <v>4.05</v>
      </c>
      <c r="E7" s="989">
        <v>3.97</v>
      </c>
      <c r="F7" s="989">
        <v>3.92</v>
      </c>
      <c r="G7" s="989">
        <v>3.87</v>
      </c>
      <c r="H7" s="989">
        <v>3.84</v>
      </c>
      <c r="I7" s="989">
        <v>3.79</v>
      </c>
      <c r="J7" s="989">
        <v>3.75</v>
      </c>
      <c r="K7" s="989">
        <v>3.74</v>
      </c>
      <c r="L7" s="989">
        <v>3.7</v>
      </c>
      <c r="M7" s="990">
        <v>3.68</v>
      </c>
      <c r="N7" s="989">
        <v>3.68</v>
      </c>
      <c r="O7" s="989">
        <v>3.65</v>
      </c>
      <c r="P7" s="989">
        <v>3.62</v>
      </c>
      <c r="Q7" s="989">
        <v>3.59</v>
      </c>
      <c r="R7" s="989">
        <v>3.55</v>
      </c>
      <c r="S7" s="991">
        <v>3.3</v>
      </c>
      <c r="T7" s="948"/>
      <c r="U7" s="992">
        <f>U6+1</f>
        <v>1</v>
      </c>
      <c r="W7" s="609">
        <f t="shared" si="0"/>
        <v>7.0882492282908618E-2</v>
      </c>
      <c r="X7" s="610">
        <f t="shared" si="32"/>
        <v>3.8621606857010855</v>
      </c>
      <c r="Y7" s="611">
        <f t="shared" si="32"/>
        <v>3.8501606857010855</v>
      </c>
      <c r="Z7" s="611">
        <f t="shared" si="32"/>
        <v>3.8309606857010854</v>
      </c>
      <c r="AA7" s="611">
        <f t="shared" si="32"/>
        <v>3.7925606857010856</v>
      </c>
      <c r="AB7" s="982">
        <f t="shared" si="1"/>
        <v>1000000</v>
      </c>
      <c r="AC7" s="919">
        <f t="shared" si="2"/>
        <v>3.8693606857010856</v>
      </c>
      <c r="AD7" s="611">
        <f t="shared" si="33"/>
        <v>4.1673908299203619</v>
      </c>
      <c r="AE7" s="611">
        <f t="shared" si="3"/>
        <v>4.1360408299203621</v>
      </c>
      <c r="AF7" s="611">
        <f t="shared" si="3"/>
        <v>4.0858808299203613</v>
      </c>
      <c r="AG7" s="612">
        <f t="shared" si="3"/>
        <v>3.9855608299203613</v>
      </c>
      <c r="AH7" s="609">
        <f t="shared" si="4"/>
        <v>3</v>
      </c>
      <c r="AI7" s="895">
        <f t="shared" si="34"/>
        <v>-1000000</v>
      </c>
      <c r="AJ7" s="610">
        <f t="shared" si="5"/>
        <v>7.0882492282908618E-2</v>
      </c>
      <c r="AK7" s="609">
        <f t="shared" si="35"/>
        <v>0.31684014421927675</v>
      </c>
      <c r="AL7" s="611">
        <f t="shared" si="36"/>
        <v>0.30523014421927663</v>
      </c>
      <c r="AM7" s="611">
        <f t="shared" si="36"/>
        <v>0.28588014421927649</v>
      </c>
      <c r="AN7" s="611">
        <f t="shared" si="36"/>
        <v>0.25492014421927622</v>
      </c>
      <c r="AO7" s="612">
        <f t="shared" si="36"/>
        <v>0.19300014421927569</v>
      </c>
      <c r="AP7" s="902">
        <v>0</v>
      </c>
      <c r="AQ7" s="783">
        <f t="shared" si="6"/>
        <v>1000000</v>
      </c>
      <c r="AR7" s="983"/>
      <c r="AS7" s="609">
        <f t="shared" si="7"/>
        <v>7.0882492282908618E-2</v>
      </c>
      <c r="AT7" s="610">
        <f t="shared" si="8"/>
        <v>4.1673908299203619</v>
      </c>
      <c r="AU7" s="611">
        <f t="shared" si="8"/>
        <v>4.1360408299203621</v>
      </c>
      <c r="AV7" s="611">
        <f t="shared" si="8"/>
        <v>4.0858808299203613</v>
      </c>
      <c r="AW7" s="612">
        <f t="shared" si="8"/>
        <v>3.9855608299203613</v>
      </c>
      <c r="AX7" s="982">
        <f t="shared" si="9"/>
        <v>1000000</v>
      </c>
      <c r="AY7" s="611">
        <f t="shared" si="10"/>
        <v>3</v>
      </c>
      <c r="AZ7" s="612">
        <f t="shared" si="11"/>
        <v>3.8693606857010856</v>
      </c>
      <c r="BB7" s="984">
        <f t="shared" si="37"/>
        <v>4.1811864836424562</v>
      </c>
      <c r="BC7" s="985">
        <f t="shared" si="38"/>
        <v>4.1349520592792981</v>
      </c>
      <c r="BD7" s="985">
        <f t="shared" si="38"/>
        <v>4.0601142983694087</v>
      </c>
      <c r="BE7" s="528">
        <f t="shared" si="38"/>
        <v>3.9188417911318583</v>
      </c>
      <c r="BF7" s="913">
        <f t="shared" si="12"/>
        <v>4.1811864836424562</v>
      </c>
      <c r="BG7" s="317">
        <f t="shared" si="12"/>
        <v>4.1349520592792981</v>
      </c>
      <c r="BH7" s="317">
        <f t="shared" si="12"/>
        <v>4.0601142983694087</v>
      </c>
      <c r="BI7" s="919">
        <f t="shared" si="12"/>
        <v>3.9188417911318583</v>
      </c>
      <c r="BJ7" s="646">
        <f t="shared" si="13"/>
        <v>0.05</v>
      </c>
      <c r="BK7" s="913">
        <f t="shared" si="14"/>
        <v>4.1811864836424562</v>
      </c>
      <c r="BL7" s="317">
        <f t="shared" si="14"/>
        <v>4.1349520592792981</v>
      </c>
      <c r="BM7" s="317">
        <f t="shared" si="14"/>
        <v>4.0601142983694087</v>
      </c>
      <c r="BN7" s="317">
        <f t="shared" si="14"/>
        <v>3.9188417911318583</v>
      </c>
      <c r="BO7" s="913">
        <f t="shared" si="15"/>
        <v>3</v>
      </c>
      <c r="BP7" s="783">
        <f t="shared" si="39"/>
        <v>-1000000</v>
      </c>
      <c r="CK7" s="642">
        <f>CK6+1</f>
        <v>1</v>
      </c>
      <c r="CL7" s="609">
        <f t="shared" si="16"/>
        <v>7.0882492282908618E-2</v>
      </c>
      <c r="CM7" s="609">
        <f t="shared" si="40"/>
        <v>0.05</v>
      </c>
      <c r="CN7" s="610">
        <f t="shared" si="17"/>
        <v>1.0516369729954236</v>
      </c>
      <c r="CO7" s="611">
        <f t="shared" si="17"/>
        <v>1.2248651880239709</v>
      </c>
      <c r="CP7" s="612">
        <f t="shared" si="17"/>
        <v>1.3940677846780134</v>
      </c>
      <c r="CQ7" s="611">
        <f t="shared" si="18"/>
        <v>-1.8698195771248729</v>
      </c>
      <c r="CR7" s="611">
        <f t="shared" si="18"/>
        <v>-1.648030262631738</v>
      </c>
      <c r="CS7" s="611">
        <f t="shared" si="18"/>
        <v>-1.426240948138604</v>
      </c>
      <c r="CT7" s="610">
        <f t="shared" si="19"/>
        <v>-0.81818260412944932</v>
      </c>
      <c r="CU7" s="611">
        <f t="shared" si="19"/>
        <v>-0.42316507460776709</v>
      </c>
      <c r="CV7" s="612">
        <f t="shared" si="19"/>
        <v>-3.2173163460590626E-2</v>
      </c>
      <c r="CW7" s="613">
        <f t="shared" si="41"/>
        <v>-6.5709738104669837</v>
      </c>
      <c r="CX7" s="613">
        <f t="shared" si="41"/>
        <v>-6.5709738104669837</v>
      </c>
      <c r="CY7" s="613">
        <f t="shared" si="41"/>
        <v>-6.5709738104669837</v>
      </c>
      <c r="CZ7" s="609">
        <f t="shared" si="21"/>
        <v>8.5058990739490348</v>
      </c>
      <c r="DA7" s="609"/>
      <c r="DB7" s="609">
        <f t="shared" si="42"/>
        <v>0.05</v>
      </c>
      <c r="DC7" s="610">
        <f t="shared" si="22"/>
        <v>127.62229150539847</v>
      </c>
      <c r="DD7" s="611">
        <f t="shared" si="22"/>
        <v>135.28239617981274</v>
      </c>
      <c r="DE7" s="612">
        <f t="shared" si="22"/>
        <v>142.79398733204317</v>
      </c>
      <c r="DF7" s="611">
        <f t="shared" ref="DF7:DH22" si="48">(CW7-CW6)/($DB7-$DB6)</f>
        <v>8.0000000000000071</v>
      </c>
      <c r="DG7" s="611">
        <f t="shared" si="48"/>
        <v>8.0000000000000071</v>
      </c>
      <c r="DH7" s="611">
        <f t="shared" si="48"/>
        <v>8.0000000000000071</v>
      </c>
      <c r="DI7" s="614">
        <f t="shared" si="23"/>
        <v>8</v>
      </c>
      <c r="DJ7" s="615"/>
      <c r="DK7" s="609">
        <f t="shared" si="43"/>
        <v>0.05</v>
      </c>
      <c r="DL7" s="611">
        <f t="shared" si="24"/>
        <v>3.8765642020586299</v>
      </c>
      <c r="DM7" s="611">
        <f t="shared" si="24"/>
        <v>3.8888591550330744</v>
      </c>
      <c r="DN7" s="611">
        <f t="shared" si="24"/>
        <v>3.9093198109974949</v>
      </c>
      <c r="DO7" s="610">
        <f t="shared" si="25"/>
        <v>-0.19391834627299923</v>
      </c>
      <c r="DP7" s="611">
        <f t="shared" si="25"/>
        <v>-0.17456834627299905</v>
      </c>
      <c r="DQ7" s="612">
        <f t="shared" si="25"/>
        <v>-0.14360834627299879</v>
      </c>
      <c r="DR7" s="611">
        <f t="shared" si="26"/>
        <v>3.6826458557856308</v>
      </c>
      <c r="DS7" s="611">
        <f t="shared" si="26"/>
        <v>3.7142908087600754</v>
      </c>
      <c r="DT7" s="611">
        <f t="shared" si="26"/>
        <v>3.7657114647244962</v>
      </c>
      <c r="DU7" s="609">
        <f t="shared" si="44"/>
        <v>4.2</v>
      </c>
      <c r="DV7" s="611"/>
      <c r="DW7" s="646">
        <f t="shared" si="27"/>
        <v>0.13333333333333333</v>
      </c>
      <c r="DX7" s="621">
        <f t="shared" si="28"/>
        <v>8.4874974214934689</v>
      </c>
      <c r="DY7" s="621">
        <f t="shared" si="28"/>
        <v>8.4896115996980726</v>
      </c>
      <c r="DZ7" s="621">
        <f t="shared" si="28"/>
        <v>8.4912900412703323</v>
      </c>
      <c r="EA7" s="610">
        <f t="shared" si="29"/>
        <v>11.082933878470547</v>
      </c>
      <c r="EB7" s="611">
        <f t="shared" si="29"/>
        <v>11.082175115859298</v>
      </c>
      <c r="EC7" s="612">
        <f t="shared" si="29"/>
        <v>11.081537776437603</v>
      </c>
      <c r="ED7" s="610">
        <f t="shared" si="45"/>
        <v>8</v>
      </c>
      <c r="EE7" s="611">
        <f t="shared" si="46"/>
        <v>8.5058990739490348</v>
      </c>
      <c r="EF7" s="645">
        <f t="shared" si="47"/>
        <v>1000000</v>
      </c>
      <c r="EG7" s="902"/>
      <c r="EH7" s="646">
        <f t="shared" si="30"/>
        <v>0.13333333333333333</v>
      </c>
      <c r="EI7" s="610">
        <f t="shared" si="31"/>
        <v>2.5954364569770774</v>
      </c>
      <c r="EJ7" s="986">
        <f t="shared" si="31"/>
        <v>2.5925635161612259</v>
      </c>
      <c r="EK7" s="612">
        <f t="shared" si="31"/>
        <v>2.5902477351672708</v>
      </c>
    </row>
    <row r="8" spans="1:141" ht="15" customHeight="1" x14ac:dyDescent="0.25">
      <c r="B8" s="993">
        <v>8</v>
      </c>
      <c r="C8" s="994">
        <v>4.0999999999999996</v>
      </c>
      <c r="D8" s="995">
        <v>3.97</v>
      </c>
      <c r="E8" s="995">
        <v>3.9</v>
      </c>
      <c r="F8" s="995">
        <v>3.85</v>
      </c>
      <c r="G8" s="995">
        <v>3.82</v>
      </c>
      <c r="H8" s="995">
        <v>3.76</v>
      </c>
      <c r="I8" s="995">
        <v>3.72</v>
      </c>
      <c r="J8" s="995">
        <v>3.68</v>
      </c>
      <c r="K8" s="995">
        <v>3.65</v>
      </c>
      <c r="L8" s="995">
        <v>3.64</v>
      </c>
      <c r="M8" s="996">
        <v>3.6</v>
      </c>
      <c r="N8" s="995">
        <v>3.58</v>
      </c>
      <c r="O8" s="995">
        <v>3.55</v>
      </c>
      <c r="P8" s="995">
        <v>3.54</v>
      </c>
      <c r="Q8" s="995">
        <v>3.48</v>
      </c>
      <c r="R8" s="995">
        <v>3.4</v>
      </c>
      <c r="S8" s="997">
        <v>3</v>
      </c>
      <c r="T8" s="948"/>
      <c r="U8" s="992">
        <f t="shared" ref="U8:U71" si="49">U7+1</f>
        <v>2</v>
      </c>
      <c r="W8" s="609">
        <f t="shared" si="0"/>
        <v>0.14176498456581724</v>
      </c>
      <c r="X8" s="610">
        <f t="shared" si="32"/>
        <v>3.8620996687519331</v>
      </c>
      <c r="Y8" s="611">
        <f t="shared" si="32"/>
        <v>3.849997973836679</v>
      </c>
      <c r="Z8" s="611">
        <f t="shared" si="32"/>
        <v>3.8306352619722719</v>
      </c>
      <c r="AA8" s="611">
        <f t="shared" si="32"/>
        <v>3.7919098382434586</v>
      </c>
      <c r="AB8" s="982">
        <f t="shared" si="1"/>
        <v>1000000</v>
      </c>
      <c r="AC8" s="919">
        <f t="shared" si="2"/>
        <v>3.8693606857010856</v>
      </c>
      <c r="AD8" s="611">
        <f t="shared" si="33"/>
        <v>4.1538946847801945</v>
      </c>
      <c r="AE8" s="611">
        <f t="shared" si="3"/>
        <v>4.1224429898649406</v>
      </c>
      <c r="AF8" s="611">
        <f t="shared" si="3"/>
        <v>4.0721202780005328</v>
      </c>
      <c r="AG8" s="612">
        <f t="shared" si="3"/>
        <v>3.9714748542717193</v>
      </c>
      <c r="AH8" s="609">
        <f t="shared" si="4"/>
        <v>3</v>
      </c>
      <c r="AI8" s="895">
        <f t="shared" si="34"/>
        <v>-1000000</v>
      </c>
      <c r="AJ8" s="610">
        <f t="shared" si="5"/>
        <v>0.14176498456581724</v>
      </c>
      <c r="AK8" s="609">
        <f t="shared" si="35"/>
        <v>0.30340501602826181</v>
      </c>
      <c r="AL8" s="611">
        <f t="shared" si="36"/>
        <v>0.29179501602826169</v>
      </c>
      <c r="AM8" s="611">
        <f t="shared" si="36"/>
        <v>0.27244501602826154</v>
      </c>
      <c r="AN8" s="611">
        <f t="shared" si="36"/>
        <v>0.24148501602826128</v>
      </c>
      <c r="AO8" s="612">
        <f t="shared" si="36"/>
        <v>0.17956501602826075</v>
      </c>
      <c r="AP8" s="902">
        <v>0</v>
      </c>
      <c r="AQ8" s="783">
        <f t="shared" si="6"/>
        <v>1000000</v>
      </c>
      <c r="AR8" s="983"/>
      <c r="AS8" s="609">
        <f t="shared" si="7"/>
        <v>0.14176498456581724</v>
      </c>
      <c r="AT8" s="610">
        <f t="shared" si="8"/>
        <v>4.1538946847801945</v>
      </c>
      <c r="AU8" s="611">
        <f t="shared" si="8"/>
        <v>4.1224429898649406</v>
      </c>
      <c r="AV8" s="611">
        <f t="shared" si="8"/>
        <v>4.0721202780005328</v>
      </c>
      <c r="AW8" s="612">
        <f t="shared" si="8"/>
        <v>3.9714748542717193</v>
      </c>
      <c r="AX8" s="982">
        <f t="shared" si="9"/>
        <v>1000000</v>
      </c>
      <c r="AY8" s="611">
        <f t="shared" si="10"/>
        <v>3</v>
      </c>
      <c r="AZ8" s="612">
        <f t="shared" si="11"/>
        <v>3.8693606857010856</v>
      </c>
      <c r="BB8" s="984">
        <f t="shared" si="37"/>
        <v>4.1811218270780293</v>
      </c>
      <c r="BC8" s="985">
        <f t="shared" si="38"/>
        <v>4.1202884290988031</v>
      </c>
      <c r="BD8" s="985">
        <f t="shared" si="38"/>
        <v>4.0227951260649606</v>
      </c>
      <c r="BE8" s="528">
        <f t="shared" si="38"/>
        <v>3.8461101012056238</v>
      </c>
      <c r="BF8" s="913">
        <f t="shared" si="12"/>
        <v>4.1811218270780293</v>
      </c>
      <c r="BG8" s="317">
        <f t="shared" si="12"/>
        <v>4.1202884290988031</v>
      </c>
      <c r="BH8" s="317">
        <f t="shared" si="12"/>
        <v>4.0227951260649606</v>
      </c>
      <c r="BI8" s="919">
        <f t="shared" si="12"/>
        <v>3.8461101012056238</v>
      </c>
      <c r="BJ8" s="646">
        <f t="shared" si="13"/>
        <v>0.1</v>
      </c>
      <c r="BK8" s="913">
        <f t="shared" si="14"/>
        <v>4.1811218270780293</v>
      </c>
      <c r="BL8" s="317">
        <f t="shared" si="14"/>
        <v>4.1202884290988031</v>
      </c>
      <c r="BM8" s="317">
        <f t="shared" si="14"/>
        <v>4.0227951260649606</v>
      </c>
      <c r="BN8" s="317">
        <f t="shared" si="14"/>
        <v>3.8461101012056238</v>
      </c>
      <c r="BO8" s="913">
        <f t="shared" si="15"/>
        <v>3</v>
      </c>
      <c r="BP8" s="783">
        <f t="shared" si="39"/>
        <v>-1000000</v>
      </c>
      <c r="BY8" s="171" t="s">
        <v>258</v>
      </c>
      <c r="CK8" s="642">
        <f t="shared" ref="CK8:CK71" si="50">CK7+1</f>
        <v>2</v>
      </c>
      <c r="CL8" s="609">
        <f t="shared" si="16"/>
        <v>0.14176498456581724</v>
      </c>
      <c r="CM8" s="609">
        <f t="shared" si="40"/>
        <v>0.1</v>
      </c>
      <c r="CN8" s="610">
        <f t="shared" si="17"/>
        <v>1.9732535550414485</v>
      </c>
      <c r="CO8" s="611">
        <f t="shared" si="17"/>
        <v>2.2733475250653883</v>
      </c>
      <c r="CP8" s="612">
        <f t="shared" si="17"/>
        <v>2.5596559023177496</v>
      </c>
      <c r="CQ8" s="611">
        <f t="shared" si="18"/>
        <v>0.40940869913142308</v>
      </c>
      <c r="CR8" s="611">
        <f t="shared" si="18"/>
        <v>0.73029489520091795</v>
      </c>
      <c r="CS8" s="611">
        <f t="shared" si="18"/>
        <v>1.0511810912704125</v>
      </c>
      <c r="CT8" s="610">
        <f t="shared" si="19"/>
        <v>2.3826622541728715</v>
      </c>
      <c r="CU8" s="611">
        <f t="shared" si="19"/>
        <v>3.0036424202663063</v>
      </c>
      <c r="CV8" s="612">
        <f t="shared" si="19"/>
        <v>3.6108369935881619</v>
      </c>
      <c r="CW8" s="613">
        <f t="shared" si="41"/>
        <v>-6.1709738104669833</v>
      </c>
      <c r="CX8" s="613">
        <f t="shared" si="41"/>
        <v>-6.1709738104669833</v>
      </c>
      <c r="CY8" s="613">
        <f t="shared" si="41"/>
        <v>-6.1709738104669833</v>
      </c>
      <c r="CZ8" s="609">
        <f t="shared" si="21"/>
        <v>8.5058990739490348</v>
      </c>
      <c r="DA8" s="609"/>
      <c r="DB8" s="609">
        <f t="shared" si="42"/>
        <v>0.1</v>
      </c>
      <c r="DC8" s="610">
        <f t="shared" si="22"/>
        <v>65.474156263522687</v>
      </c>
      <c r="DD8" s="611">
        <f t="shared" si="22"/>
        <v>69.710011987904267</v>
      </c>
      <c r="DE8" s="612">
        <f t="shared" si="22"/>
        <v>73.712974674573218</v>
      </c>
      <c r="DF8" s="611">
        <f t="shared" si="48"/>
        <v>8.0000000000000071</v>
      </c>
      <c r="DG8" s="611">
        <f t="shared" si="48"/>
        <v>8.0000000000000071</v>
      </c>
      <c r="DH8" s="611">
        <f t="shared" si="48"/>
        <v>8.0000000000000071</v>
      </c>
      <c r="DI8" s="614">
        <f t="shared" si="23"/>
        <v>8</v>
      </c>
      <c r="DJ8" s="615"/>
      <c r="DK8" s="609">
        <f t="shared" si="43"/>
        <v>0.1</v>
      </c>
      <c r="DL8" s="611">
        <f t="shared" si="24"/>
        <v>3.8766288586230564</v>
      </c>
      <c r="DM8" s="611">
        <f t="shared" si="24"/>
        <v>3.8893402483492903</v>
      </c>
      <c r="DN8" s="611">
        <f t="shared" si="24"/>
        <v>3.9113940206341873</v>
      </c>
      <c r="DO8" s="610">
        <f t="shared" si="25"/>
        <v>0.10268618076294882</v>
      </c>
      <c r="DP8" s="611">
        <f t="shared" si="25"/>
        <v>0.12203618076294898</v>
      </c>
      <c r="DQ8" s="612">
        <f t="shared" si="25"/>
        <v>0.15299618076294924</v>
      </c>
      <c r="DR8" s="611">
        <f t="shared" si="26"/>
        <v>3.9793150393860053</v>
      </c>
      <c r="DS8" s="611">
        <f t="shared" si="26"/>
        <v>4.0113764291122394</v>
      </c>
      <c r="DT8" s="611">
        <f t="shared" si="26"/>
        <v>4.0643902013971367</v>
      </c>
      <c r="DU8" s="609">
        <f t="shared" si="44"/>
        <v>4.2</v>
      </c>
      <c r="DV8" s="611"/>
      <c r="DW8" s="646">
        <f t="shared" si="27"/>
        <v>0.26666666666666666</v>
      </c>
      <c r="DX8" s="621">
        <f t="shared" si="28"/>
        <v>8.4691450039293592</v>
      </c>
      <c r="DY8" s="621">
        <f t="shared" si="28"/>
        <v>8.4733627029024046</v>
      </c>
      <c r="DZ8" s="621">
        <f t="shared" si="28"/>
        <v>8.4767120486134573</v>
      </c>
      <c r="EA8" s="610">
        <f t="shared" si="29"/>
        <v>11.009706857395663</v>
      </c>
      <c r="EB8" s="611">
        <f t="shared" si="29"/>
        <v>11.008226160271947</v>
      </c>
      <c r="EC8" s="612">
        <f t="shared" si="29"/>
        <v>11.006982220488188</v>
      </c>
      <c r="ED8" s="610">
        <f t="shared" si="45"/>
        <v>8</v>
      </c>
      <c r="EE8" s="611">
        <f t="shared" si="46"/>
        <v>8.5058990739490348</v>
      </c>
      <c r="EF8" s="645">
        <f t="shared" si="47"/>
        <v>1000000</v>
      </c>
      <c r="EG8" s="902"/>
      <c r="EH8" s="646">
        <f t="shared" si="30"/>
        <v>0.26666666666666666</v>
      </c>
      <c r="EI8" s="610">
        <f t="shared" si="31"/>
        <v>2.5405618534663033</v>
      </c>
      <c r="EJ8" s="986">
        <f t="shared" si="31"/>
        <v>2.5348634573695432</v>
      </c>
      <c r="EK8" s="612">
        <f t="shared" si="31"/>
        <v>2.5302701718747307</v>
      </c>
    </row>
    <row r="9" spans="1:141" ht="15" customHeight="1" x14ac:dyDescent="0.25">
      <c r="B9" s="998">
        <v>16</v>
      </c>
      <c r="C9" s="999">
        <v>4.05</v>
      </c>
      <c r="D9" s="1000">
        <v>3.86</v>
      </c>
      <c r="E9" s="1000">
        <v>3.8</v>
      </c>
      <c r="F9" s="1000">
        <v>3.73</v>
      </c>
      <c r="G9" s="1000">
        <v>3.68</v>
      </c>
      <c r="H9" s="1000">
        <v>3.64</v>
      </c>
      <c r="I9" s="1000">
        <v>3.59</v>
      </c>
      <c r="J9" s="1000">
        <v>3.55</v>
      </c>
      <c r="K9" s="1000">
        <v>3.52</v>
      </c>
      <c r="L9" s="1000">
        <v>3.48</v>
      </c>
      <c r="M9" s="1001">
        <v>3.45</v>
      </c>
      <c r="N9" s="1000">
        <v>3.4</v>
      </c>
      <c r="O9" s="1000">
        <v>3.34</v>
      </c>
      <c r="P9" s="1000">
        <v>3.25</v>
      </c>
      <c r="Q9" s="1000">
        <v>3</v>
      </c>
      <c r="R9" s="1000">
        <v>0</v>
      </c>
      <c r="S9" s="1002">
        <v>0</v>
      </c>
      <c r="T9" s="948"/>
      <c r="U9" s="992">
        <f t="shared" si="49"/>
        <v>3</v>
      </c>
      <c r="W9" s="609">
        <f t="shared" si="0"/>
        <v>0.21264747684872587</v>
      </c>
      <c r="X9" s="610">
        <f t="shared" si="32"/>
        <v>3.8620376087780088</v>
      </c>
      <c r="Y9" s="611">
        <f t="shared" si="32"/>
        <v>3.8498324805728803</v>
      </c>
      <c r="Z9" s="611">
        <f t="shared" si="32"/>
        <v>3.8303042754446754</v>
      </c>
      <c r="AA9" s="611">
        <f t="shared" si="32"/>
        <v>3.7912478651882653</v>
      </c>
      <c r="AB9" s="982">
        <f t="shared" si="1"/>
        <v>1000000</v>
      </c>
      <c r="AC9" s="919">
        <f t="shared" si="2"/>
        <v>3.8693606857010856</v>
      </c>
      <c r="AD9" s="611">
        <f t="shared" si="33"/>
        <v>4.140751934556981</v>
      </c>
      <c r="AE9" s="611">
        <f t="shared" si="3"/>
        <v>4.1091968063518527</v>
      </c>
      <c r="AF9" s="611">
        <f t="shared" si="3"/>
        <v>4.0587086012236471</v>
      </c>
      <c r="AG9" s="612">
        <f t="shared" si="3"/>
        <v>3.9577321909672367</v>
      </c>
      <c r="AH9" s="609">
        <f t="shared" si="4"/>
        <v>3</v>
      </c>
      <c r="AI9" s="895">
        <f t="shared" si="34"/>
        <v>-1000000</v>
      </c>
      <c r="AJ9" s="610">
        <f t="shared" si="5"/>
        <v>0.21264747684872587</v>
      </c>
      <c r="AK9" s="609">
        <f t="shared" si="35"/>
        <v>0.29032432577897238</v>
      </c>
      <c r="AL9" s="611">
        <f t="shared" si="36"/>
        <v>0.27871432577897226</v>
      </c>
      <c r="AM9" s="611">
        <f t="shared" si="36"/>
        <v>0.25936432577897212</v>
      </c>
      <c r="AN9" s="611">
        <f t="shared" si="36"/>
        <v>0.22840432577897185</v>
      </c>
      <c r="AO9" s="612">
        <f t="shared" si="36"/>
        <v>0.16648432577897132</v>
      </c>
      <c r="AP9" s="902">
        <v>0</v>
      </c>
      <c r="AQ9" s="783">
        <f t="shared" si="6"/>
        <v>1000000</v>
      </c>
      <c r="AR9" s="983"/>
      <c r="AS9" s="609">
        <f t="shared" si="7"/>
        <v>0.21264747684872587</v>
      </c>
      <c r="AT9" s="610">
        <f t="shared" si="8"/>
        <v>4.140751934556981</v>
      </c>
      <c r="AU9" s="611">
        <f t="shared" si="8"/>
        <v>4.1091968063518527</v>
      </c>
      <c r="AV9" s="611">
        <f t="shared" si="8"/>
        <v>4.0587086012236471</v>
      </c>
      <c r="AW9" s="612">
        <f t="shared" si="8"/>
        <v>3.9577321909672367</v>
      </c>
      <c r="AX9" s="982">
        <f t="shared" si="9"/>
        <v>1000000</v>
      </c>
      <c r="AY9" s="611">
        <f t="shared" si="10"/>
        <v>3</v>
      </c>
      <c r="AZ9" s="612">
        <f t="shared" si="11"/>
        <v>3.8693606857010856</v>
      </c>
      <c r="BB9" s="984">
        <f t="shared" si="37"/>
        <v>4.181055999326202</v>
      </c>
      <c r="BC9" s="985">
        <f t="shared" si="38"/>
        <v>4.1059960421064474</v>
      </c>
      <c r="BD9" s="985">
        <f t="shared" si="38"/>
        <v>3.9878097774157992</v>
      </c>
      <c r="BE9" s="528">
        <f t="shared" si="38"/>
        <v>3.7796482755892979</v>
      </c>
      <c r="BF9" s="913">
        <f t="shared" si="12"/>
        <v>4.181055999326202</v>
      </c>
      <c r="BG9" s="317">
        <f t="shared" si="12"/>
        <v>4.1059960421064474</v>
      </c>
      <c r="BH9" s="317">
        <f t="shared" si="12"/>
        <v>3.9878097774157992</v>
      </c>
      <c r="BI9" s="919">
        <f t="shared" si="12"/>
        <v>3.7796482755892979</v>
      </c>
      <c r="BJ9" s="646">
        <f t="shared" si="13"/>
        <v>0.15000000000000002</v>
      </c>
      <c r="BK9" s="913">
        <f t="shared" si="14"/>
        <v>4.181055999326202</v>
      </c>
      <c r="BL9" s="317">
        <f t="shared" si="14"/>
        <v>4.1059960421064474</v>
      </c>
      <c r="BM9" s="317">
        <f t="shared" si="14"/>
        <v>3.9878097774157992</v>
      </c>
      <c r="BN9" s="317">
        <f t="shared" si="14"/>
        <v>3.7796482755892979</v>
      </c>
      <c r="BO9" s="913">
        <f t="shared" si="15"/>
        <v>3</v>
      </c>
      <c r="BP9" s="783">
        <f t="shared" si="39"/>
        <v>-1000000</v>
      </c>
      <c r="CK9" s="642">
        <f t="shared" si="50"/>
        <v>3</v>
      </c>
      <c r="CL9" s="609">
        <f t="shared" si="16"/>
        <v>0.21264747684872587</v>
      </c>
      <c r="CM9" s="609">
        <f t="shared" si="40"/>
        <v>0.15000000000000002</v>
      </c>
      <c r="CN9" s="610">
        <f t="shared" si="17"/>
        <v>2.7809249721873104</v>
      </c>
      <c r="CO9" s="611">
        <f t="shared" si="17"/>
        <v>3.1708464676725447</v>
      </c>
      <c r="CP9" s="612">
        <f t="shared" si="17"/>
        <v>3.5342108521667193</v>
      </c>
      <c r="CQ9" s="611">
        <f t="shared" si="18"/>
        <v>1.427782443122835</v>
      </c>
      <c r="CR9" s="611">
        <f t="shared" si="18"/>
        <v>1.792945758496304</v>
      </c>
      <c r="CS9" s="611">
        <f t="shared" si="18"/>
        <v>2.158109073869773</v>
      </c>
      <c r="CT9" s="610">
        <f t="shared" si="19"/>
        <v>4.2087074153101458</v>
      </c>
      <c r="CU9" s="611">
        <f t="shared" si="19"/>
        <v>4.9637922261688487</v>
      </c>
      <c r="CV9" s="612">
        <f t="shared" si="19"/>
        <v>5.6923199260364923</v>
      </c>
      <c r="CW9" s="613">
        <f t="shared" si="41"/>
        <v>-5.770973810466983</v>
      </c>
      <c r="CX9" s="613">
        <f t="shared" si="41"/>
        <v>-5.770973810466983</v>
      </c>
      <c r="CY9" s="613">
        <f t="shared" si="41"/>
        <v>-5.770973810466983</v>
      </c>
      <c r="CZ9" s="609">
        <f t="shared" si="21"/>
        <v>8.5058990739490348</v>
      </c>
      <c r="DA9" s="609"/>
      <c r="DB9" s="609">
        <f t="shared" si="42"/>
        <v>0.15000000000000002</v>
      </c>
      <c r="DC9" s="610">
        <f t="shared" si="22"/>
        <v>36.661036479214268</v>
      </c>
      <c r="DD9" s="611">
        <f t="shared" si="22"/>
        <v>39.077678783853209</v>
      </c>
      <c r="DE9" s="612">
        <f t="shared" si="22"/>
        <v>41.222665205627635</v>
      </c>
      <c r="DF9" s="611">
        <f t="shared" si="48"/>
        <v>8.0000000000000036</v>
      </c>
      <c r="DG9" s="611">
        <f t="shared" si="48"/>
        <v>8.0000000000000036</v>
      </c>
      <c r="DH9" s="611">
        <f t="shared" si="48"/>
        <v>8.0000000000000036</v>
      </c>
      <c r="DI9" s="614">
        <f t="shared" si="23"/>
        <v>8</v>
      </c>
      <c r="DJ9" s="615"/>
      <c r="DK9" s="609">
        <f t="shared" si="43"/>
        <v>0.15000000000000002</v>
      </c>
      <c r="DL9" s="611">
        <f t="shared" si="24"/>
        <v>3.8766946863748837</v>
      </c>
      <c r="DM9" s="611">
        <f t="shared" si="24"/>
        <v>3.8898456826449048</v>
      </c>
      <c r="DN9" s="611">
        <f t="shared" si="24"/>
        <v>3.9136953573763269</v>
      </c>
      <c r="DO9" s="610">
        <f t="shared" si="25"/>
        <v>0.23521097690953488</v>
      </c>
      <c r="DP9" s="611">
        <f t="shared" si="25"/>
        <v>0.25456097690953505</v>
      </c>
      <c r="DQ9" s="612">
        <f t="shared" si="25"/>
        <v>0.28552097690953532</v>
      </c>
      <c r="DR9" s="611">
        <f t="shared" si="26"/>
        <v>4.1119056632844186</v>
      </c>
      <c r="DS9" s="611">
        <f t="shared" si="26"/>
        <v>4.1444066595544395</v>
      </c>
      <c r="DT9" s="611">
        <f t="shared" si="26"/>
        <v>4.1992163342858619</v>
      </c>
      <c r="DU9" s="609">
        <f t="shared" si="44"/>
        <v>4.2</v>
      </c>
      <c r="DV9" s="611"/>
      <c r="DW9" s="646">
        <f t="shared" si="27"/>
        <v>0.4</v>
      </c>
      <c r="DX9" s="621">
        <f t="shared" si="28"/>
        <v>8.4508416239236723</v>
      </c>
      <c r="DY9" s="621">
        <f t="shared" si="28"/>
        <v>8.4571522466660607</v>
      </c>
      <c r="DZ9" s="621">
        <f t="shared" si="28"/>
        <v>8.4621649971566235</v>
      </c>
      <c r="EA9" s="610">
        <f t="shared" si="29"/>
        <v>10.93743587129735</v>
      </c>
      <c r="EB9" s="611">
        <f t="shared" si="29"/>
        <v>10.935269343330155</v>
      </c>
      <c r="EC9" s="612">
        <f t="shared" si="29"/>
        <v>10.933448947663361</v>
      </c>
      <c r="ED9" s="610">
        <f t="shared" si="45"/>
        <v>8</v>
      </c>
      <c r="EE9" s="611">
        <f t="shared" si="46"/>
        <v>8.5058990739490348</v>
      </c>
      <c r="EF9" s="645">
        <f t="shared" si="47"/>
        <v>1000000</v>
      </c>
      <c r="EG9" s="902"/>
      <c r="EH9" s="646">
        <f t="shared" si="30"/>
        <v>0.4</v>
      </c>
      <c r="EI9" s="610">
        <f t="shared" si="31"/>
        <v>2.4865942473736777</v>
      </c>
      <c r="EJ9" s="986">
        <f t="shared" si="31"/>
        <v>2.4781170966640942</v>
      </c>
      <c r="EK9" s="612">
        <f t="shared" si="31"/>
        <v>2.4712839505067383</v>
      </c>
    </row>
    <row r="10" spans="1:141" ht="15" customHeight="1" x14ac:dyDescent="0.25">
      <c r="B10" s="478"/>
      <c r="T10" s="948"/>
      <c r="U10" s="992">
        <f t="shared" si="49"/>
        <v>4</v>
      </c>
      <c r="W10" s="609">
        <f t="shared" si="0"/>
        <v>0.28352996913163447</v>
      </c>
      <c r="X10" s="610">
        <f t="shared" si="32"/>
        <v>3.8619744788045338</v>
      </c>
      <c r="Y10" s="611">
        <f t="shared" si="32"/>
        <v>3.8496641339769475</v>
      </c>
      <c r="Z10" s="611">
        <f t="shared" si="32"/>
        <v>3.8299675822528099</v>
      </c>
      <c r="AA10" s="611">
        <f t="shared" si="32"/>
        <v>3.7905744788045337</v>
      </c>
      <c r="AB10" s="982">
        <f t="shared" si="1"/>
        <v>1000000</v>
      </c>
      <c r="AC10" s="919">
        <f t="shared" si="2"/>
        <v>3.8693606857010856</v>
      </c>
      <c r="AD10" s="611">
        <f t="shared" si="33"/>
        <v>4.1279532016949316</v>
      </c>
      <c r="AE10" s="611">
        <f t="shared" si="3"/>
        <v>4.0962928568673451</v>
      </c>
      <c r="AF10" s="611">
        <f t="shared" si="3"/>
        <v>4.0456363051432076</v>
      </c>
      <c r="AG10" s="612">
        <f t="shared" si="3"/>
        <v>3.9443232016949308</v>
      </c>
      <c r="AH10" s="609">
        <f t="shared" si="4"/>
        <v>3</v>
      </c>
      <c r="AI10" s="895">
        <f t="shared" si="34"/>
        <v>-1000000</v>
      </c>
      <c r="AJ10" s="610">
        <f t="shared" si="5"/>
        <v>0.28352996913163447</v>
      </c>
      <c r="AK10" s="609">
        <f t="shared" si="35"/>
        <v>0.2775887228903981</v>
      </c>
      <c r="AL10" s="611">
        <f t="shared" si="36"/>
        <v>0.26597872289039798</v>
      </c>
      <c r="AM10" s="611">
        <f t="shared" si="36"/>
        <v>0.24662872289039783</v>
      </c>
      <c r="AN10" s="611">
        <f t="shared" si="36"/>
        <v>0.21566872289039757</v>
      </c>
      <c r="AO10" s="612">
        <f t="shared" si="36"/>
        <v>0.15374872289039704</v>
      </c>
      <c r="AP10" s="902">
        <v>0</v>
      </c>
      <c r="AQ10" s="783">
        <f t="shared" si="6"/>
        <v>1000000</v>
      </c>
      <c r="AR10" s="983"/>
      <c r="AS10" s="609">
        <f t="shared" si="7"/>
        <v>0.28352996913163447</v>
      </c>
      <c r="AT10" s="610">
        <f t="shared" si="8"/>
        <v>4.1279532016949316</v>
      </c>
      <c r="AU10" s="611">
        <f t="shared" si="8"/>
        <v>4.0962928568673451</v>
      </c>
      <c r="AV10" s="611">
        <f t="shared" si="8"/>
        <v>4.0456363051432076</v>
      </c>
      <c r="AW10" s="612">
        <f t="shared" si="8"/>
        <v>3.9443232016949308</v>
      </c>
      <c r="AX10" s="982">
        <f t="shared" si="9"/>
        <v>1000000</v>
      </c>
      <c r="AY10" s="611">
        <f t="shared" si="10"/>
        <v>3</v>
      </c>
      <c r="AZ10" s="612">
        <f t="shared" si="11"/>
        <v>3.8693606857010856</v>
      </c>
      <c r="BB10" s="984">
        <f t="shared" si="37"/>
        <v>4.1809889682738364</v>
      </c>
      <c r="BC10" s="985">
        <f t="shared" si="38"/>
        <v>4.0920619692856546</v>
      </c>
      <c r="BD10" s="985">
        <f t="shared" si="38"/>
        <v>3.9549327033530894</v>
      </c>
      <c r="BE10" s="528">
        <f t="shared" si="38"/>
        <v>3.7170665920650854</v>
      </c>
      <c r="BF10" s="913">
        <f t="shared" si="12"/>
        <v>4.1809889682738364</v>
      </c>
      <c r="BG10" s="317">
        <f t="shared" si="12"/>
        <v>4.0920619692856546</v>
      </c>
      <c r="BH10" s="317">
        <f t="shared" si="12"/>
        <v>3.9549327033530894</v>
      </c>
      <c r="BI10" s="919">
        <f t="shared" si="12"/>
        <v>3.7170665920650854</v>
      </c>
      <c r="BJ10" s="646">
        <f t="shared" si="13"/>
        <v>0.2</v>
      </c>
      <c r="BK10" s="913">
        <f t="shared" si="14"/>
        <v>4.1809889682738364</v>
      </c>
      <c r="BL10" s="317">
        <f t="shared" si="14"/>
        <v>4.0920619692856546</v>
      </c>
      <c r="BM10" s="317">
        <f t="shared" si="14"/>
        <v>3.9549327033530894</v>
      </c>
      <c r="BN10" s="317">
        <f t="shared" si="14"/>
        <v>3.7170665920650854</v>
      </c>
      <c r="BO10" s="913">
        <f t="shared" si="15"/>
        <v>3</v>
      </c>
      <c r="BP10" s="783">
        <f t="shared" si="39"/>
        <v>-1000000</v>
      </c>
      <c r="CK10" s="642">
        <f t="shared" si="50"/>
        <v>4</v>
      </c>
      <c r="CL10" s="609">
        <f t="shared" si="16"/>
        <v>0.28352996913163447</v>
      </c>
      <c r="CM10" s="609">
        <f t="shared" si="40"/>
        <v>0.2</v>
      </c>
      <c r="CN10" s="610">
        <f t="shared" si="17"/>
        <v>3.4887389707442797</v>
      </c>
      <c r="CO10" s="611">
        <f t="shared" si="17"/>
        <v>3.9391039037052011</v>
      </c>
      <c r="CP10" s="612">
        <f t="shared" si="17"/>
        <v>4.3490418682878689</v>
      </c>
      <c r="CQ10" s="611">
        <f t="shared" si="18"/>
        <v>1.8827983330426148</v>
      </c>
      <c r="CR10" s="611">
        <f t="shared" si="18"/>
        <v>2.2677449479778131</v>
      </c>
      <c r="CS10" s="611">
        <f t="shared" si="18"/>
        <v>2.6526915629130117</v>
      </c>
      <c r="CT10" s="610">
        <f t="shared" si="19"/>
        <v>5.3715373037868943</v>
      </c>
      <c r="CU10" s="611">
        <f t="shared" si="19"/>
        <v>6.2068488516830147</v>
      </c>
      <c r="CV10" s="612">
        <f t="shared" si="19"/>
        <v>7.001733431200881</v>
      </c>
      <c r="CW10" s="613">
        <f t="shared" si="41"/>
        <v>-5.3709738104669835</v>
      </c>
      <c r="CX10" s="613">
        <f t="shared" si="41"/>
        <v>-5.3709738104669835</v>
      </c>
      <c r="CY10" s="613">
        <f t="shared" si="41"/>
        <v>-5.3709738104669835</v>
      </c>
      <c r="CZ10" s="609">
        <f t="shared" si="21"/>
        <v>8.5058990739490348</v>
      </c>
      <c r="DA10" s="609"/>
      <c r="DB10" s="609">
        <f t="shared" si="42"/>
        <v>0.2</v>
      </c>
      <c r="DC10" s="610">
        <f t="shared" si="22"/>
        <v>22.871406340662993</v>
      </c>
      <c r="DD10" s="611">
        <f t="shared" si="22"/>
        <v>24.248906839509146</v>
      </c>
      <c r="DE10" s="612">
        <f t="shared" si="22"/>
        <v>25.347557100273235</v>
      </c>
      <c r="DF10" s="611">
        <f t="shared" si="48"/>
        <v>7.9999999999999911</v>
      </c>
      <c r="DG10" s="611">
        <f t="shared" si="48"/>
        <v>7.9999999999999911</v>
      </c>
      <c r="DH10" s="611">
        <f t="shared" si="48"/>
        <v>7.9999999999999911</v>
      </c>
      <c r="DI10" s="614">
        <f t="shared" si="23"/>
        <v>8</v>
      </c>
      <c r="DJ10" s="615"/>
      <c r="DK10" s="609">
        <f t="shared" si="43"/>
        <v>0.2</v>
      </c>
      <c r="DL10" s="611">
        <f t="shared" si="24"/>
        <v>3.8767617174272497</v>
      </c>
      <c r="DM10" s="611">
        <f t="shared" si="24"/>
        <v>3.8903773531676364</v>
      </c>
      <c r="DN10" s="611">
        <f t="shared" si="24"/>
        <v>3.9162632878485506</v>
      </c>
      <c r="DO10" s="610">
        <f t="shared" si="25"/>
        <v>0.29442390184093886</v>
      </c>
      <c r="DP10" s="611">
        <f t="shared" si="25"/>
        <v>0.31377390184093901</v>
      </c>
      <c r="DQ10" s="612">
        <f t="shared" si="25"/>
        <v>0.34473390184093927</v>
      </c>
      <c r="DR10" s="611">
        <f t="shared" si="26"/>
        <v>4.1711856192681882</v>
      </c>
      <c r="DS10" s="611">
        <f t="shared" si="26"/>
        <v>4.2041512550085756</v>
      </c>
      <c r="DT10" s="611">
        <f t="shared" si="26"/>
        <v>4.2609971896894896</v>
      </c>
      <c r="DU10" s="609">
        <f t="shared" si="44"/>
        <v>4.2</v>
      </c>
      <c r="DV10" s="611"/>
      <c r="DW10" s="646">
        <f t="shared" si="27"/>
        <v>0.53333333333333333</v>
      </c>
      <c r="DX10" s="621">
        <f t="shared" si="28"/>
        <v>8.4325870851965039</v>
      </c>
      <c r="DY10" s="621">
        <f t="shared" si="28"/>
        <v>8.4409800947400324</v>
      </c>
      <c r="DZ10" s="621">
        <f t="shared" si="28"/>
        <v>8.447648788497089</v>
      </c>
      <c r="EA10" s="610">
        <f t="shared" si="29"/>
        <v>10.866105732546995</v>
      </c>
      <c r="EB10" s="611">
        <f t="shared" si="29"/>
        <v>10.863288765542054</v>
      </c>
      <c r="EC10" s="612">
        <f t="shared" si="29"/>
        <v>10.860921474119603</v>
      </c>
      <c r="ED10" s="610">
        <f t="shared" si="45"/>
        <v>8</v>
      </c>
      <c r="EE10" s="611">
        <f t="shared" si="46"/>
        <v>8.5058990739490348</v>
      </c>
      <c r="EF10" s="645">
        <f t="shared" si="47"/>
        <v>1000000</v>
      </c>
      <c r="EG10" s="902"/>
      <c r="EH10" s="646">
        <f t="shared" si="30"/>
        <v>0.53333333333333333</v>
      </c>
      <c r="EI10" s="610">
        <f t="shared" si="31"/>
        <v>2.4335186473504908</v>
      </c>
      <c r="EJ10" s="986">
        <f t="shared" si="31"/>
        <v>2.4223086708020207</v>
      </c>
      <c r="EK10" s="612">
        <f t="shared" si="31"/>
        <v>2.4132726856225153</v>
      </c>
    </row>
    <row r="11" spans="1:141" ht="15" customHeight="1" x14ac:dyDescent="0.25">
      <c r="B11" s="1003" t="s">
        <v>338</v>
      </c>
      <c r="C11" s="1004">
        <f>$C$4</f>
        <v>0</v>
      </c>
      <c r="D11" s="483">
        <f>$D$4/1000</f>
        <v>0.5</v>
      </c>
      <c r="E11" s="483">
        <f>$E$4/1000</f>
        <v>1</v>
      </c>
      <c r="F11" s="483">
        <f>$F$4/1000</f>
        <v>1.5</v>
      </c>
      <c r="G11" s="483">
        <f>$G$4/1000</f>
        <v>2</v>
      </c>
      <c r="H11" s="483">
        <f>$H$4/1000</f>
        <v>2.5</v>
      </c>
      <c r="I11" s="483">
        <f>$I$4/1000</f>
        <v>3</v>
      </c>
      <c r="J11" s="483">
        <f>$J$4/1000</f>
        <v>3.5</v>
      </c>
      <c r="K11" s="483">
        <f>$K$4/1000</f>
        <v>4</v>
      </c>
      <c r="L11" s="483">
        <f>$L$4/1000</f>
        <v>4.5</v>
      </c>
      <c r="M11" s="483">
        <f>$M$4/1000</f>
        <v>5</v>
      </c>
      <c r="N11" s="483">
        <f>$N$4/1000</f>
        <v>5.5</v>
      </c>
      <c r="O11" s="483">
        <f>$O$4/1000</f>
        <v>6</v>
      </c>
      <c r="P11" s="483">
        <f>$P$4/1000</f>
        <v>6.5</v>
      </c>
      <c r="Q11" s="483">
        <f>$Q$4/1000</f>
        <v>7</v>
      </c>
      <c r="R11" s="483">
        <f>$R$4/1000</f>
        <v>7.5</v>
      </c>
      <c r="S11" s="1005">
        <f>$S$4/1000</f>
        <v>8</v>
      </c>
      <c r="T11" s="948"/>
      <c r="U11" s="992">
        <f t="shared" si="49"/>
        <v>5</v>
      </c>
      <c r="W11" s="609">
        <f t="shared" si="0"/>
        <v>0.35441246141454308</v>
      </c>
      <c r="X11" s="610">
        <f t="shared" si="32"/>
        <v>3.8619102509184771</v>
      </c>
      <c r="Y11" s="611">
        <f t="shared" si="32"/>
        <v>3.8494928596141289</v>
      </c>
      <c r="Z11" s="611">
        <f t="shared" si="32"/>
        <v>3.8296250335271727</v>
      </c>
      <c r="AA11" s="611">
        <f t="shared" si="32"/>
        <v>3.7898893813532597</v>
      </c>
      <c r="AB11" s="982">
        <f t="shared" si="1"/>
        <v>1000000</v>
      </c>
      <c r="AC11" s="919">
        <f t="shared" si="2"/>
        <v>3.8693606857010856</v>
      </c>
      <c r="AD11" s="611">
        <f t="shared" si="33"/>
        <v>4.1154893543817375</v>
      </c>
      <c r="AE11" s="611">
        <f t="shared" si="3"/>
        <v>4.0837219630773891</v>
      </c>
      <c r="AF11" s="611">
        <f t="shared" si="3"/>
        <v>4.0328941369904321</v>
      </c>
      <c r="AG11" s="612">
        <f t="shared" si="3"/>
        <v>3.9312384848165189</v>
      </c>
      <c r="AH11" s="609">
        <f t="shared" si="4"/>
        <v>3</v>
      </c>
      <c r="AI11" s="895">
        <f t="shared" si="34"/>
        <v>-1000000</v>
      </c>
      <c r="AJ11" s="610">
        <f t="shared" si="5"/>
        <v>0.35441246141454308</v>
      </c>
      <c r="AK11" s="609">
        <f t="shared" si="35"/>
        <v>0.26518910346326019</v>
      </c>
      <c r="AL11" s="611">
        <f t="shared" si="36"/>
        <v>0.25357910346326007</v>
      </c>
      <c r="AM11" s="611">
        <f t="shared" si="36"/>
        <v>0.23422910346325992</v>
      </c>
      <c r="AN11" s="611">
        <f t="shared" si="36"/>
        <v>0.20326910346325966</v>
      </c>
      <c r="AO11" s="612">
        <f t="shared" si="36"/>
        <v>0.14134910346325913</v>
      </c>
      <c r="AP11" s="902">
        <v>0</v>
      </c>
      <c r="AQ11" s="783">
        <f t="shared" si="6"/>
        <v>1000000</v>
      </c>
      <c r="AR11" s="983"/>
      <c r="AS11" s="609">
        <f t="shared" si="7"/>
        <v>0.35441246141454308</v>
      </c>
      <c r="AT11" s="610">
        <f t="shared" si="8"/>
        <v>4.1154893543817375</v>
      </c>
      <c r="AU11" s="611">
        <f t="shared" si="8"/>
        <v>4.0837219630773891</v>
      </c>
      <c r="AV11" s="611">
        <f t="shared" si="8"/>
        <v>4.0328941369904321</v>
      </c>
      <c r="AW11" s="612">
        <f t="shared" si="8"/>
        <v>3.9312384848165189</v>
      </c>
      <c r="AX11" s="982">
        <f t="shared" si="9"/>
        <v>1000000</v>
      </c>
      <c r="AY11" s="611">
        <f t="shared" si="10"/>
        <v>3</v>
      </c>
      <c r="AZ11" s="612">
        <f t="shared" si="11"/>
        <v>3.8693606857010856</v>
      </c>
      <c r="BB11" s="984">
        <f t="shared" si="37"/>
        <v>4.1809207006229387</v>
      </c>
      <c r="BC11" s="985">
        <f t="shared" si="38"/>
        <v>4.078473387376623</v>
      </c>
      <c r="BD11" s="985">
        <f t="shared" si="38"/>
        <v>3.9239421697790142</v>
      </c>
      <c r="BE11" s="528">
        <f t="shared" si="38"/>
        <v>3.6553285856194164</v>
      </c>
      <c r="BF11" s="913">
        <f t="shared" si="12"/>
        <v>4.1809207006229387</v>
      </c>
      <c r="BG11" s="317">
        <f t="shared" si="12"/>
        <v>4.078473387376623</v>
      </c>
      <c r="BH11" s="317">
        <f t="shared" si="12"/>
        <v>3.9239421697790142</v>
      </c>
      <c r="BI11" s="919">
        <f t="shared" si="12"/>
        <v>3.6553285856194164</v>
      </c>
      <c r="BJ11" s="646">
        <f t="shared" si="13"/>
        <v>0.25</v>
      </c>
      <c r="BK11" s="913">
        <f t="shared" si="14"/>
        <v>4.1809207006229387</v>
      </c>
      <c r="BL11" s="317">
        <f t="shared" si="14"/>
        <v>4.078473387376623</v>
      </c>
      <c r="BM11" s="317">
        <f t="shared" si="14"/>
        <v>3.9239421697790142</v>
      </c>
      <c r="BN11" s="317">
        <f t="shared" si="14"/>
        <v>3.6553285856194164</v>
      </c>
      <c r="BO11" s="913">
        <f t="shared" si="15"/>
        <v>3</v>
      </c>
      <c r="BP11" s="783">
        <f t="shared" si="39"/>
        <v>-1000000</v>
      </c>
      <c r="CK11" s="642">
        <f t="shared" si="50"/>
        <v>5</v>
      </c>
      <c r="CL11" s="609">
        <f t="shared" si="16"/>
        <v>0.35441246141454308</v>
      </c>
      <c r="CM11" s="609">
        <f t="shared" si="40"/>
        <v>0.25</v>
      </c>
      <c r="CN11" s="610">
        <f t="shared" si="17"/>
        <v>4.1090415417126014</v>
      </c>
      <c r="CO11" s="611">
        <f t="shared" si="17"/>
        <v>4.5967308489859757</v>
      </c>
      <c r="CP11" s="612">
        <f t="shared" si="17"/>
        <v>5.0303267819152868</v>
      </c>
      <c r="CQ11" s="611">
        <f t="shared" si="18"/>
        <v>2.0861023373937284</v>
      </c>
      <c r="CR11" s="611">
        <f t="shared" si="18"/>
        <v>2.4798882568659315</v>
      </c>
      <c r="CS11" s="611">
        <f t="shared" si="18"/>
        <v>2.8736741763381346</v>
      </c>
      <c r="CT11" s="610">
        <f t="shared" si="19"/>
        <v>6.1951438791063298</v>
      </c>
      <c r="CU11" s="611">
        <f t="shared" si="19"/>
        <v>7.0766191058519077</v>
      </c>
      <c r="CV11" s="612">
        <f t="shared" si="19"/>
        <v>7.9040009582534214</v>
      </c>
      <c r="CW11" s="613">
        <f t="shared" si="41"/>
        <v>-4.9709738104669832</v>
      </c>
      <c r="CX11" s="613">
        <f t="shared" si="41"/>
        <v>-4.9709738104669832</v>
      </c>
      <c r="CY11" s="613">
        <f t="shared" si="41"/>
        <v>-4.9709738104669832</v>
      </c>
      <c r="CZ11" s="609">
        <f t="shared" si="21"/>
        <v>8.5058990739490348</v>
      </c>
      <c r="DA11" s="609"/>
      <c r="DB11" s="609">
        <f t="shared" si="42"/>
        <v>0.25</v>
      </c>
      <c r="DC11" s="610">
        <f t="shared" si="22"/>
        <v>15.907586418952215</v>
      </c>
      <c r="DD11" s="611">
        <f t="shared" si="22"/>
        <v>16.645724251934332</v>
      </c>
      <c r="DE11" s="612">
        <f t="shared" si="22"/>
        <v>17.118833162622259</v>
      </c>
      <c r="DF11" s="611">
        <f t="shared" si="48"/>
        <v>8.0000000000000089</v>
      </c>
      <c r="DG11" s="611">
        <f t="shared" si="48"/>
        <v>8.0000000000000089</v>
      </c>
      <c r="DH11" s="611">
        <f t="shared" si="48"/>
        <v>8.0000000000000089</v>
      </c>
      <c r="DI11" s="614">
        <f t="shared" si="23"/>
        <v>8</v>
      </c>
      <c r="DJ11" s="615"/>
      <c r="DK11" s="609">
        <f t="shared" si="43"/>
        <v>0.25</v>
      </c>
      <c r="DL11" s="611">
        <f t="shared" si="24"/>
        <v>3.8768299850781469</v>
      </c>
      <c r="DM11" s="611">
        <f t="shared" si="24"/>
        <v>3.8909373571660781</v>
      </c>
      <c r="DN11" s="611">
        <f t="shared" si="24"/>
        <v>3.9191469847282194</v>
      </c>
      <c r="DO11" s="610">
        <f t="shared" si="25"/>
        <v>0.3208806147043482</v>
      </c>
      <c r="DP11" s="611">
        <f t="shared" si="25"/>
        <v>0.34023061470434834</v>
      </c>
      <c r="DQ11" s="612">
        <f t="shared" si="25"/>
        <v>0.37119061470434861</v>
      </c>
      <c r="DR11" s="611">
        <f t="shared" si="26"/>
        <v>4.1977105997824955</v>
      </c>
      <c r="DS11" s="611">
        <f t="shared" si="26"/>
        <v>4.2311679718704269</v>
      </c>
      <c r="DT11" s="611">
        <f t="shared" si="26"/>
        <v>4.2903375994325677</v>
      </c>
      <c r="DU11" s="609">
        <f t="shared" si="44"/>
        <v>4.2</v>
      </c>
      <c r="DV11" s="611"/>
      <c r="DW11" s="646">
        <f t="shared" si="27"/>
        <v>0.66666666666666663</v>
      </c>
      <c r="DX11" s="621">
        <f t="shared" si="28"/>
        <v>8.4143811925140835</v>
      </c>
      <c r="DY11" s="621">
        <f t="shared" si="28"/>
        <v>8.4248461115184377</v>
      </c>
      <c r="DZ11" s="621">
        <f t="shared" si="28"/>
        <v>8.4331633246489428</v>
      </c>
      <c r="EA11" s="610">
        <f t="shared" si="29"/>
        <v>10.795701502347317</v>
      </c>
      <c r="EB11" s="611">
        <f t="shared" si="29"/>
        <v>10.792268788602389</v>
      </c>
      <c r="EC11" s="612">
        <f t="shared" si="29"/>
        <v>10.78938358725774</v>
      </c>
      <c r="ED11" s="610">
        <f t="shared" si="45"/>
        <v>8</v>
      </c>
      <c r="EE11" s="611">
        <f t="shared" si="46"/>
        <v>8.5058990739490348</v>
      </c>
      <c r="EF11" s="645">
        <f t="shared" si="47"/>
        <v>1000000</v>
      </c>
      <c r="EG11" s="902"/>
      <c r="EH11" s="646">
        <f t="shared" si="30"/>
        <v>0.66666666666666663</v>
      </c>
      <c r="EI11" s="610">
        <f t="shared" si="31"/>
        <v>2.3813203098332325</v>
      </c>
      <c r="EJ11" s="986">
        <f t="shared" si="31"/>
        <v>2.367422677083951</v>
      </c>
      <c r="EK11" s="612">
        <f t="shared" si="31"/>
        <v>2.3562202626087974</v>
      </c>
    </row>
    <row r="12" spans="1:141" ht="15" customHeight="1" x14ac:dyDescent="0.25">
      <c r="B12" s="1006" t="s">
        <v>339</v>
      </c>
      <c r="C12" s="1007"/>
      <c r="D12" s="558"/>
      <c r="E12" s="558"/>
      <c r="F12" s="558"/>
      <c r="G12" s="558"/>
      <c r="H12" s="558"/>
      <c r="I12" s="558"/>
      <c r="J12" s="558"/>
      <c r="K12" s="558"/>
      <c r="L12" s="558"/>
      <c r="M12" s="558"/>
      <c r="N12" s="558"/>
      <c r="O12" s="558"/>
      <c r="P12" s="558"/>
      <c r="Q12" s="558"/>
      <c r="R12" s="558"/>
      <c r="S12" s="1008"/>
      <c r="T12" s="948"/>
      <c r="U12" s="992">
        <f t="shared" si="49"/>
        <v>6</v>
      </c>
      <c r="W12" s="609">
        <f t="shared" si="0"/>
        <v>0.42529495369745174</v>
      </c>
      <c r="X12" s="610">
        <f t="shared" si="32"/>
        <v>3.8618448962274012</v>
      </c>
      <c r="Y12" s="611">
        <f t="shared" si="32"/>
        <v>3.8493185804379277</v>
      </c>
      <c r="Z12" s="611">
        <f t="shared" si="32"/>
        <v>3.8292764751747699</v>
      </c>
      <c r="AA12" s="611">
        <f t="shared" si="32"/>
        <v>3.7891922646484542</v>
      </c>
      <c r="AB12" s="982">
        <f t="shared" si="1"/>
        <v>1000000</v>
      </c>
      <c r="AC12" s="919">
        <f t="shared" si="2"/>
        <v>3.8693606857010856</v>
      </c>
      <c r="AD12" s="611">
        <f t="shared" si="33"/>
        <v>4.1033514999995955</v>
      </c>
      <c r="AE12" s="611">
        <f t="shared" si="3"/>
        <v>4.0714751842101213</v>
      </c>
      <c r="AF12" s="611">
        <f t="shared" si="3"/>
        <v>4.0204730789469636</v>
      </c>
      <c r="AG12" s="612">
        <f t="shared" si="3"/>
        <v>3.9184688684206472</v>
      </c>
      <c r="AH12" s="609">
        <f t="shared" si="4"/>
        <v>3</v>
      </c>
      <c r="AI12" s="895">
        <f t="shared" si="34"/>
        <v>-1000000</v>
      </c>
      <c r="AJ12" s="610">
        <f t="shared" si="5"/>
        <v>0.42529495369745174</v>
      </c>
      <c r="AK12" s="609">
        <f t="shared" si="35"/>
        <v>0.25311660377219403</v>
      </c>
      <c r="AL12" s="611">
        <f t="shared" si="36"/>
        <v>0.24150660377219393</v>
      </c>
      <c r="AM12" s="611">
        <f t="shared" si="36"/>
        <v>0.22215660377219376</v>
      </c>
      <c r="AN12" s="611">
        <f t="shared" si="36"/>
        <v>0.1911966037721935</v>
      </c>
      <c r="AO12" s="612">
        <f t="shared" si="36"/>
        <v>0.12927660377219297</v>
      </c>
      <c r="AP12" s="902">
        <v>0</v>
      </c>
      <c r="AQ12" s="783">
        <f t="shared" si="6"/>
        <v>1000000</v>
      </c>
      <c r="AR12" s="983"/>
      <c r="AS12" s="609">
        <f t="shared" si="7"/>
        <v>0.42529495369745174</v>
      </c>
      <c r="AT12" s="610">
        <f t="shared" si="8"/>
        <v>4.1033514999995955</v>
      </c>
      <c r="AU12" s="611">
        <f t="shared" si="8"/>
        <v>4.0714751842101213</v>
      </c>
      <c r="AV12" s="611">
        <f t="shared" si="8"/>
        <v>4.0204730789469636</v>
      </c>
      <c r="AW12" s="612">
        <f t="shared" si="8"/>
        <v>3.9184688684206472</v>
      </c>
      <c r="AX12" s="982">
        <f t="shared" si="9"/>
        <v>1000000</v>
      </c>
      <c r="AY12" s="611">
        <f t="shared" si="10"/>
        <v>3</v>
      </c>
      <c r="AZ12" s="612">
        <f t="shared" si="11"/>
        <v>3.8693606857010856</v>
      </c>
      <c r="BB12" s="984">
        <f t="shared" si="37"/>
        <v>4.1808511618355064</v>
      </c>
      <c r="BC12" s="985">
        <f t="shared" si="38"/>
        <v>4.0652175426432429</v>
      </c>
      <c r="BD12" s="985">
        <f t="shared" si="38"/>
        <v>3.8946160958714788</v>
      </c>
      <c r="BE12" s="528">
        <f t="shared" si="38"/>
        <v>3.5898420067899686</v>
      </c>
      <c r="BF12" s="913">
        <f t="shared" si="12"/>
        <v>4.1808511618355064</v>
      </c>
      <c r="BG12" s="317">
        <f t="shared" si="12"/>
        <v>4.0652175426432429</v>
      </c>
      <c r="BH12" s="317">
        <f t="shared" si="12"/>
        <v>3.8946160958714788</v>
      </c>
      <c r="BI12" s="919">
        <f t="shared" si="12"/>
        <v>3.5898420067899686</v>
      </c>
      <c r="BJ12" s="646">
        <f t="shared" si="13"/>
        <v>0.30000000000000004</v>
      </c>
      <c r="BK12" s="913">
        <f t="shared" si="14"/>
        <v>4.1808511618355064</v>
      </c>
      <c r="BL12" s="317">
        <f t="shared" si="14"/>
        <v>4.0652175426432429</v>
      </c>
      <c r="BM12" s="317">
        <f t="shared" si="14"/>
        <v>3.8946160958714788</v>
      </c>
      <c r="BN12" s="317">
        <f t="shared" si="14"/>
        <v>3.5898420067899686</v>
      </c>
      <c r="BO12" s="913">
        <f t="shared" si="15"/>
        <v>3</v>
      </c>
      <c r="BP12" s="783">
        <f t="shared" si="39"/>
        <v>-1000000</v>
      </c>
      <c r="CK12" s="642">
        <f t="shared" si="50"/>
        <v>6</v>
      </c>
      <c r="CL12" s="609">
        <f t="shared" si="16"/>
        <v>0.42529495369745174</v>
      </c>
      <c r="CM12" s="609">
        <f t="shared" si="40"/>
        <v>0.30000000000000004</v>
      </c>
      <c r="CN12" s="610">
        <f t="shared" si="17"/>
        <v>4.6526522647759432</v>
      </c>
      <c r="CO12" s="611">
        <f t="shared" si="17"/>
        <v>5.1596582986604629</v>
      </c>
      <c r="CP12" s="612">
        <f t="shared" si="17"/>
        <v>5.5999530287729637</v>
      </c>
      <c r="CQ12" s="611">
        <f t="shared" si="18"/>
        <v>2.1769398643919273</v>
      </c>
      <c r="CR12" s="611">
        <f t="shared" si="18"/>
        <v>2.5746752415597043</v>
      </c>
      <c r="CS12" s="611">
        <f t="shared" si="18"/>
        <v>2.9724106187274817</v>
      </c>
      <c r="CT12" s="610">
        <f t="shared" si="19"/>
        <v>6.829592129167871</v>
      </c>
      <c r="CU12" s="611">
        <f t="shared" si="19"/>
        <v>7.7343335402201667</v>
      </c>
      <c r="CV12" s="612">
        <f t="shared" si="19"/>
        <v>8.5723636475004454</v>
      </c>
      <c r="CW12" s="613">
        <f t="shared" si="41"/>
        <v>-4.5709738104669828</v>
      </c>
      <c r="CX12" s="613">
        <f t="shared" si="41"/>
        <v>-4.5709738104669828</v>
      </c>
      <c r="CY12" s="613">
        <f t="shared" si="41"/>
        <v>-4.5709738104669828</v>
      </c>
      <c r="CZ12" s="609">
        <f t="shared" si="21"/>
        <v>8.5058990739490348</v>
      </c>
      <c r="DA12" s="609"/>
      <c r="DB12" s="609">
        <f t="shared" si="42"/>
        <v>0.30000000000000004</v>
      </c>
      <c r="DC12" s="610">
        <f t="shared" si="22"/>
        <v>12.09280322995035</v>
      </c>
      <c r="DD12" s="611">
        <f t="shared" si="22"/>
        <v>12.411756259732925</v>
      </c>
      <c r="DE12" s="612">
        <f t="shared" si="22"/>
        <v>12.492684753887579</v>
      </c>
      <c r="DF12" s="611">
        <f t="shared" si="48"/>
        <v>8</v>
      </c>
      <c r="DG12" s="611">
        <f t="shared" si="48"/>
        <v>8</v>
      </c>
      <c r="DH12" s="611">
        <f t="shared" si="48"/>
        <v>8</v>
      </c>
      <c r="DI12" s="614">
        <f t="shared" si="23"/>
        <v>8</v>
      </c>
      <c r="DJ12" s="615"/>
      <c r="DK12" s="609">
        <f t="shared" si="43"/>
        <v>0.30000000000000004</v>
      </c>
      <c r="DL12" s="611">
        <f t="shared" si="24"/>
        <v>3.8768995238655792</v>
      </c>
      <c r="DM12" s="611">
        <f t="shared" si="24"/>
        <v>3.891528021538706</v>
      </c>
      <c r="DN12" s="611">
        <f t="shared" si="24"/>
        <v>3.9224085059832658</v>
      </c>
      <c r="DO12" s="610">
        <f t="shared" si="25"/>
        <v>0.3327016429063458</v>
      </c>
      <c r="DP12" s="611">
        <f t="shared" si="25"/>
        <v>0.35205164290634594</v>
      </c>
      <c r="DQ12" s="612">
        <f t="shared" si="25"/>
        <v>0.38301164290634621</v>
      </c>
      <c r="DR12" s="611">
        <f t="shared" si="26"/>
        <v>4.2096011667719253</v>
      </c>
      <c r="DS12" s="611">
        <f t="shared" si="26"/>
        <v>4.2435796644450523</v>
      </c>
      <c r="DT12" s="611">
        <f t="shared" si="26"/>
        <v>4.3054201488896124</v>
      </c>
      <c r="DU12" s="609">
        <f t="shared" si="44"/>
        <v>4.2</v>
      </c>
      <c r="DV12" s="611"/>
      <c r="DW12" s="646">
        <f t="shared" si="27"/>
        <v>0.8</v>
      </c>
      <c r="DX12" s="621">
        <f t="shared" si="28"/>
        <v>8.3962237516817932</v>
      </c>
      <c r="DY12" s="621">
        <f t="shared" si="28"/>
        <v>8.4087501620347496</v>
      </c>
      <c r="DZ12" s="621">
        <f t="shared" si="28"/>
        <v>8.4187085080408863</v>
      </c>
      <c r="EA12" s="610">
        <f t="shared" si="29"/>
        <v>10.726208486629856</v>
      </c>
      <c r="EB12" s="611">
        <f t="shared" si="29"/>
        <v>10.722194031082346</v>
      </c>
      <c r="EC12" s="612">
        <f t="shared" si="29"/>
        <v>10.718819341244336</v>
      </c>
      <c r="ED12" s="610">
        <f t="shared" si="45"/>
        <v>8</v>
      </c>
      <c r="EE12" s="611">
        <f t="shared" si="46"/>
        <v>8.5058990739490348</v>
      </c>
      <c r="EF12" s="645">
        <f t="shared" si="47"/>
        <v>1000000</v>
      </c>
      <c r="EG12" s="902"/>
      <c r="EH12" s="646">
        <f t="shared" si="30"/>
        <v>0.8</v>
      </c>
      <c r="EI12" s="610">
        <f t="shared" si="31"/>
        <v>2.3299847349480629</v>
      </c>
      <c r="EJ12" s="986">
        <f t="shared" si="31"/>
        <v>2.3134438690475969</v>
      </c>
      <c r="EK12" s="612">
        <f t="shared" si="31"/>
        <v>2.3001108332034494</v>
      </c>
    </row>
    <row r="13" spans="1:141" ht="15" customHeight="1" x14ac:dyDescent="0.25">
      <c r="B13" s="1004">
        <f>$B$6</f>
        <v>1.5</v>
      </c>
      <c r="C13" s="971">
        <f>$C$6</f>
        <v>4.18</v>
      </c>
      <c r="D13" s="972">
        <f>$D$6</f>
        <v>4.0999999999999996</v>
      </c>
      <c r="E13" s="972">
        <f>$E$6</f>
        <v>4.0199999999999996</v>
      </c>
      <c r="F13" s="972">
        <f>$F$6</f>
        <v>3.97</v>
      </c>
      <c r="G13" s="972">
        <f>$G$6</f>
        <v>3.92</v>
      </c>
      <c r="H13" s="972">
        <f>$H$6</f>
        <v>3.87</v>
      </c>
      <c r="I13" s="972">
        <f>$I$6</f>
        <v>3.84</v>
      </c>
      <c r="J13" s="972">
        <f>$J$6</f>
        <v>3.8</v>
      </c>
      <c r="K13" s="972">
        <f>$K$6</f>
        <v>3.78</v>
      </c>
      <c r="L13" s="972">
        <f>$L$6</f>
        <v>3.75</v>
      </c>
      <c r="M13" s="972">
        <f>$M$6</f>
        <v>3.72</v>
      </c>
      <c r="N13" s="972">
        <f>$N$6</f>
        <v>3.71</v>
      </c>
      <c r="O13" s="972">
        <f>$O$6</f>
        <v>3.7</v>
      </c>
      <c r="P13" s="972">
        <f>$P$6</f>
        <v>3.68</v>
      </c>
      <c r="Q13" s="972">
        <f>$Q$6</f>
        <v>3.65</v>
      </c>
      <c r="R13" s="972">
        <f>$R$6</f>
        <v>3.61</v>
      </c>
      <c r="S13" s="518">
        <f>$S$6</f>
        <v>3.35</v>
      </c>
      <c r="T13" s="948"/>
      <c r="U13" s="992">
        <f t="shared" si="49"/>
        <v>7</v>
      </c>
      <c r="W13" s="609">
        <f t="shared" si="0"/>
        <v>0.49617744598036034</v>
      </c>
      <c r="X13" s="610">
        <f t="shared" si="32"/>
        <v>3.8617783848161298</v>
      </c>
      <c r="Y13" s="611">
        <f t="shared" si="32"/>
        <v>3.8491412166745369</v>
      </c>
      <c r="Z13" s="611">
        <f t="shared" si="32"/>
        <v>3.8289217476479882</v>
      </c>
      <c r="AA13" s="611">
        <f t="shared" si="32"/>
        <v>3.7884828095948908</v>
      </c>
      <c r="AB13" s="982">
        <f t="shared" si="1"/>
        <v>1000000</v>
      </c>
      <c r="AC13" s="919">
        <f t="shared" si="2"/>
        <v>3.8693606857010856</v>
      </c>
      <c r="AD13" s="611">
        <f t="shared" si="33"/>
        <v>4.0915309787457463</v>
      </c>
      <c r="AE13" s="611">
        <f t="shared" si="3"/>
        <v>4.0595438106041533</v>
      </c>
      <c r="AF13" s="611">
        <f t="shared" si="3"/>
        <v>4.0083643415776047</v>
      </c>
      <c r="AG13" s="612">
        <f t="shared" si="3"/>
        <v>3.9060054035245062</v>
      </c>
      <c r="AH13" s="609">
        <f t="shared" si="4"/>
        <v>3</v>
      </c>
      <c r="AI13" s="895">
        <f t="shared" si="34"/>
        <v>-1000000</v>
      </c>
      <c r="AJ13" s="610">
        <f t="shared" si="5"/>
        <v>0.49617744598036034</v>
      </c>
      <c r="AK13" s="609">
        <f t="shared" si="35"/>
        <v>0.24136259392961665</v>
      </c>
      <c r="AL13" s="611">
        <f t="shared" si="36"/>
        <v>0.22975259392961656</v>
      </c>
      <c r="AM13" s="611">
        <f t="shared" si="36"/>
        <v>0.21040259392961638</v>
      </c>
      <c r="AN13" s="611">
        <f t="shared" si="36"/>
        <v>0.17944259392961612</v>
      </c>
      <c r="AO13" s="612">
        <f t="shared" si="36"/>
        <v>0.11752259392961557</v>
      </c>
      <c r="AP13" s="902">
        <v>0</v>
      </c>
      <c r="AQ13" s="783">
        <f t="shared" si="6"/>
        <v>1000000</v>
      </c>
      <c r="AR13" s="983"/>
      <c r="AS13" s="609">
        <f t="shared" si="7"/>
        <v>0.49617744598036034</v>
      </c>
      <c r="AT13" s="610">
        <f t="shared" si="8"/>
        <v>4.0915309787457463</v>
      </c>
      <c r="AU13" s="611">
        <f t="shared" si="8"/>
        <v>4.0595438106041533</v>
      </c>
      <c r="AV13" s="611">
        <f t="shared" si="8"/>
        <v>4.0083643415776047</v>
      </c>
      <c r="AW13" s="612">
        <f t="shared" si="8"/>
        <v>3.9060054035245062</v>
      </c>
      <c r="AX13" s="982">
        <f t="shared" si="9"/>
        <v>1000000</v>
      </c>
      <c r="AY13" s="611">
        <f t="shared" si="10"/>
        <v>3</v>
      </c>
      <c r="AZ13" s="612">
        <f t="shared" si="11"/>
        <v>3.8693606857010856</v>
      </c>
      <c r="BB13" s="984">
        <f t="shared" si="37"/>
        <v>4.1807803160752606</v>
      </c>
      <c r="BC13" s="985">
        <f t="shared" si="38"/>
        <v>4.052281710210238</v>
      </c>
      <c r="BD13" s="985">
        <f t="shared" si="38"/>
        <v>3.8667266265331008</v>
      </c>
      <c r="BE13" s="528">
        <f t="shared" si="38"/>
        <v>3.5120916293044022</v>
      </c>
      <c r="BF13" s="913">
        <f t="shared" si="12"/>
        <v>4.1807803160752606</v>
      </c>
      <c r="BG13" s="317">
        <f t="shared" si="12"/>
        <v>4.052281710210238</v>
      </c>
      <c r="BH13" s="317">
        <f t="shared" si="12"/>
        <v>3.8667266265331008</v>
      </c>
      <c r="BI13" s="919">
        <f t="shared" si="12"/>
        <v>3.5120916293044022</v>
      </c>
      <c r="BJ13" s="646">
        <f t="shared" si="13"/>
        <v>0.35</v>
      </c>
      <c r="BK13" s="913">
        <f t="shared" si="14"/>
        <v>4.1807803160752606</v>
      </c>
      <c r="BL13" s="317">
        <f t="shared" si="14"/>
        <v>4.052281710210238</v>
      </c>
      <c r="BM13" s="317">
        <f t="shared" si="14"/>
        <v>3.8667266265331008</v>
      </c>
      <c r="BN13" s="317">
        <f t="shared" si="14"/>
        <v>3.5120916293044022</v>
      </c>
      <c r="BO13" s="913">
        <f t="shared" si="15"/>
        <v>3</v>
      </c>
      <c r="BP13" s="783">
        <f t="shared" si="39"/>
        <v>-1000000</v>
      </c>
      <c r="CB13" s="1009">
        <f>$CD$37*$CD$27/($CD$19-$CD$20)</f>
        <v>0.32157016369880781</v>
      </c>
      <c r="CC13" s="660" t="s">
        <v>259</v>
      </c>
      <c r="CI13" s="877">
        <f>CD36*CD30</f>
        <v>6.2063235870280106E-2</v>
      </c>
      <c r="CJ13" s="660" t="s">
        <v>259</v>
      </c>
      <c r="CK13" s="642">
        <f t="shared" si="50"/>
        <v>7</v>
      </c>
      <c r="CL13" s="609">
        <f t="shared" si="16"/>
        <v>0.49617744598036034</v>
      </c>
      <c r="CM13" s="609">
        <f t="shared" si="40"/>
        <v>0.35</v>
      </c>
      <c r="CN13" s="610">
        <f t="shared" si="17"/>
        <v>5.1290530279843569</v>
      </c>
      <c r="CO13" s="611">
        <f t="shared" si="17"/>
        <v>5.6415231551281764</v>
      </c>
      <c r="CP13" s="612">
        <f t="shared" si="17"/>
        <v>6.0762208201460908</v>
      </c>
      <c r="CQ13" s="611">
        <f t="shared" si="18"/>
        <v>2.2175266513442291</v>
      </c>
      <c r="CR13" s="611">
        <f t="shared" si="18"/>
        <v>2.6170266714229755</v>
      </c>
      <c r="CS13" s="611">
        <f t="shared" si="18"/>
        <v>3.0165266915017228</v>
      </c>
      <c r="CT13" s="610">
        <f t="shared" si="19"/>
        <v>7.3465796793285865</v>
      </c>
      <c r="CU13" s="611">
        <f t="shared" si="19"/>
        <v>8.2585498265511514</v>
      </c>
      <c r="CV13" s="612">
        <f t="shared" si="19"/>
        <v>9.0927475116478131</v>
      </c>
      <c r="CW13" s="613">
        <f t="shared" si="41"/>
        <v>-4.1709738104669833</v>
      </c>
      <c r="CX13" s="613">
        <f t="shared" si="41"/>
        <v>-4.1709738104669833</v>
      </c>
      <c r="CY13" s="613">
        <f t="shared" si="41"/>
        <v>-4.1709738104669833</v>
      </c>
      <c r="CZ13" s="609">
        <f t="shared" si="21"/>
        <v>8.5058990739490348</v>
      </c>
      <c r="DA13" s="609"/>
      <c r="DB13" s="609">
        <f t="shared" si="42"/>
        <v>0.35</v>
      </c>
      <c r="DC13" s="610">
        <f t="shared" si="22"/>
        <v>9.7719835835602709</v>
      </c>
      <c r="DD13" s="611">
        <f t="shared" si="22"/>
        <v>9.8036781202232959</v>
      </c>
      <c r="DE13" s="612">
        <f t="shared" si="22"/>
        <v>9.631807993150991</v>
      </c>
      <c r="DF13" s="611">
        <f t="shared" si="48"/>
        <v>8</v>
      </c>
      <c r="DG13" s="611">
        <f t="shared" si="48"/>
        <v>8</v>
      </c>
      <c r="DH13" s="611">
        <f t="shared" si="48"/>
        <v>8</v>
      </c>
      <c r="DI13" s="614">
        <f t="shared" si="23"/>
        <v>8</v>
      </c>
      <c r="DJ13" s="615"/>
      <c r="DK13" s="609">
        <f t="shared" si="43"/>
        <v>0.35</v>
      </c>
      <c r="DL13" s="611">
        <f t="shared" si="24"/>
        <v>3.8769703696258246</v>
      </c>
      <c r="DM13" s="611">
        <f t="shared" si="24"/>
        <v>3.8921519351520839</v>
      </c>
      <c r="DN13" s="611">
        <f t="shared" si="24"/>
        <v>3.9261273113525634</v>
      </c>
      <c r="DO13" s="610">
        <f t="shared" si="25"/>
        <v>0.33798335377019545</v>
      </c>
      <c r="DP13" s="611">
        <f t="shared" si="25"/>
        <v>0.35733335377019559</v>
      </c>
      <c r="DQ13" s="612">
        <f t="shared" si="25"/>
        <v>0.38829335377019586</v>
      </c>
      <c r="DR13" s="611">
        <f t="shared" si="26"/>
        <v>4.2149537233960199</v>
      </c>
      <c r="DS13" s="611">
        <f t="shared" si="26"/>
        <v>4.2494852889222798</v>
      </c>
      <c r="DT13" s="611">
        <f t="shared" si="26"/>
        <v>4.3144206651227597</v>
      </c>
      <c r="DU13" s="609">
        <f t="shared" si="44"/>
        <v>4.2</v>
      </c>
      <c r="DV13" s="611"/>
      <c r="DW13" s="646">
        <f t="shared" si="27"/>
        <v>0.93333333333333335</v>
      </c>
      <c r="DX13" s="621">
        <f t="shared" si="28"/>
        <v>8.3781145695372778</v>
      </c>
      <c r="DY13" s="621">
        <f t="shared" si="28"/>
        <v>8.3926921119580147</v>
      </c>
      <c r="DZ13" s="621">
        <f t="shared" si="28"/>
        <v>8.4042842415140662</v>
      </c>
      <c r="EA13" s="610">
        <f t="shared" si="29"/>
        <v>10.657612232020256</v>
      </c>
      <c r="EB13" s="611">
        <f t="shared" si="29"/>
        <v>10.65304936419054</v>
      </c>
      <c r="EC13" s="612">
        <f t="shared" si="29"/>
        <v>10.649213052607138</v>
      </c>
      <c r="ED13" s="610">
        <f t="shared" si="45"/>
        <v>8</v>
      </c>
      <c r="EE13" s="611">
        <f t="shared" si="46"/>
        <v>8.5058990739490348</v>
      </c>
      <c r="EF13" s="645">
        <f t="shared" si="47"/>
        <v>1000000</v>
      </c>
      <c r="EG13" s="902"/>
      <c r="EH13" s="646">
        <f t="shared" si="30"/>
        <v>0.93333333333333335</v>
      </c>
      <c r="EI13" s="610">
        <f t="shared" si="31"/>
        <v>2.279497662482977</v>
      </c>
      <c r="EJ13" s="986">
        <f t="shared" si="31"/>
        <v>2.2603572522325255</v>
      </c>
      <c r="EK13" s="612">
        <f t="shared" si="31"/>
        <v>2.2449288110930716</v>
      </c>
    </row>
    <row r="14" spans="1:141" ht="15" customHeight="1" x14ac:dyDescent="0.25">
      <c r="B14" s="1010">
        <f>$B$7</f>
        <v>4</v>
      </c>
      <c r="C14" s="984">
        <f>$C$7</f>
        <v>4.1500000000000004</v>
      </c>
      <c r="D14" s="985">
        <f>$D$7</f>
        <v>4.05</v>
      </c>
      <c r="E14" s="985">
        <f>$E$7</f>
        <v>3.97</v>
      </c>
      <c r="F14" s="985">
        <f>$F$7</f>
        <v>3.92</v>
      </c>
      <c r="G14" s="985">
        <f>$G$7</f>
        <v>3.87</v>
      </c>
      <c r="H14" s="985">
        <f>$H$7</f>
        <v>3.84</v>
      </c>
      <c r="I14" s="985">
        <f>$I$7</f>
        <v>3.79</v>
      </c>
      <c r="J14" s="985">
        <f>$J$7</f>
        <v>3.75</v>
      </c>
      <c r="K14" s="985">
        <f>$K$7</f>
        <v>3.74</v>
      </c>
      <c r="L14" s="985">
        <f>$L$7</f>
        <v>3.7</v>
      </c>
      <c r="M14" s="985">
        <f>$M$7</f>
        <v>3.68</v>
      </c>
      <c r="N14" s="985">
        <f>$N$7</f>
        <v>3.68</v>
      </c>
      <c r="O14" s="985">
        <f>$O$7</f>
        <v>3.65</v>
      </c>
      <c r="P14" s="985">
        <f>$P$7</f>
        <v>3.62</v>
      </c>
      <c r="Q14" s="985">
        <f>$Q$7</f>
        <v>3.59</v>
      </c>
      <c r="R14" s="985">
        <f>$R$7</f>
        <v>3.55</v>
      </c>
      <c r="S14" s="528">
        <f>$S$7</f>
        <v>3.3</v>
      </c>
      <c r="T14" s="948"/>
      <c r="U14" s="992">
        <f t="shared" si="49"/>
        <v>8</v>
      </c>
      <c r="W14" s="609">
        <f t="shared" si="0"/>
        <v>0.56705993826326895</v>
      </c>
      <c r="X14" s="610">
        <f t="shared" si="32"/>
        <v>3.8617106857010857</v>
      </c>
      <c r="Y14" s="611">
        <f t="shared" si="32"/>
        <v>3.8489606857010856</v>
      </c>
      <c r="Z14" s="611">
        <f t="shared" si="32"/>
        <v>3.8285606857010857</v>
      </c>
      <c r="AA14" s="611">
        <f t="shared" si="32"/>
        <v>3.7877606857010857</v>
      </c>
      <c r="AB14" s="982">
        <f t="shared" si="1"/>
        <v>1000000</v>
      </c>
      <c r="AC14" s="919">
        <f t="shared" si="2"/>
        <v>3.8693606857010856</v>
      </c>
      <c r="AD14" s="611">
        <f t="shared" si="33"/>
        <v>4.0800193574178367</v>
      </c>
      <c r="AE14" s="611">
        <f t="shared" si="3"/>
        <v>4.047919357417836</v>
      </c>
      <c r="AF14" s="611">
        <f t="shared" si="3"/>
        <v>3.9965593574178362</v>
      </c>
      <c r="AG14" s="612">
        <f t="shared" si="3"/>
        <v>3.8938393574178356</v>
      </c>
      <c r="AH14" s="609">
        <f t="shared" si="4"/>
        <v>3</v>
      </c>
      <c r="AI14" s="895">
        <f t="shared" si="34"/>
        <v>-1000000</v>
      </c>
      <c r="AJ14" s="610">
        <f t="shared" si="5"/>
        <v>0.56705993826326895</v>
      </c>
      <c r="AK14" s="609">
        <f t="shared" si="35"/>
        <v>0.22991867171675093</v>
      </c>
      <c r="AL14" s="611">
        <f t="shared" si="36"/>
        <v>0.21830867171675084</v>
      </c>
      <c r="AM14" s="611">
        <f t="shared" si="36"/>
        <v>0.19895867171675066</v>
      </c>
      <c r="AN14" s="611">
        <f t="shared" si="36"/>
        <v>0.1679986717167504</v>
      </c>
      <c r="AO14" s="612">
        <f t="shared" si="36"/>
        <v>0.10607867171674985</v>
      </c>
      <c r="AP14" s="902">
        <v>0</v>
      </c>
      <c r="AQ14" s="783">
        <f t="shared" si="6"/>
        <v>1000000</v>
      </c>
      <c r="AR14" s="983"/>
      <c r="AS14" s="609">
        <f t="shared" si="7"/>
        <v>0.56705993826326895</v>
      </c>
      <c r="AT14" s="610">
        <f t="shared" si="8"/>
        <v>4.0800193574178367</v>
      </c>
      <c r="AU14" s="611">
        <f t="shared" si="8"/>
        <v>4.047919357417836</v>
      </c>
      <c r="AV14" s="611">
        <f t="shared" si="8"/>
        <v>3.9965593574178362</v>
      </c>
      <c r="AW14" s="612">
        <f t="shared" si="8"/>
        <v>3.8938393574178356</v>
      </c>
      <c r="AX14" s="982">
        <f t="shared" si="9"/>
        <v>1000000</v>
      </c>
      <c r="AY14" s="611">
        <f t="shared" si="10"/>
        <v>3</v>
      </c>
      <c r="AZ14" s="612">
        <f t="shared" si="11"/>
        <v>3.8693606857010856</v>
      </c>
      <c r="BB14" s="984">
        <f t="shared" si="37"/>
        <v>4.1807081261460679</v>
      </c>
      <c r="BC14" s="985">
        <f t="shared" si="38"/>
        <v>4.0396531480173081</v>
      </c>
      <c r="BD14" s="985">
        <f t="shared" si="38"/>
        <v>3.8400327281151081</v>
      </c>
      <c r="BE14" s="528">
        <f t="shared" si="38"/>
        <v>3.4019268991005402</v>
      </c>
      <c r="BF14" s="913">
        <f t="shared" si="12"/>
        <v>4.1807081261460679</v>
      </c>
      <c r="BG14" s="317">
        <f t="shared" si="12"/>
        <v>4.0396531480173081</v>
      </c>
      <c r="BH14" s="317">
        <f t="shared" si="12"/>
        <v>3.8400327281151081</v>
      </c>
      <c r="BI14" s="919">
        <f t="shared" si="12"/>
        <v>3.4019268991005402</v>
      </c>
      <c r="BJ14" s="646">
        <f t="shared" si="13"/>
        <v>0.4</v>
      </c>
      <c r="BK14" s="913">
        <f t="shared" si="14"/>
        <v>4.1807081261460679</v>
      </c>
      <c r="BL14" s="317">
        <f t="shared" si="14"/>
        <v>4.0396531480173081</v>
      </c>
      <c r="BM14" s="317">
        <f t="shared" si="14"/>
        <v>3.8400327281151081</v>
      </c>
      <c r="BN14" s="317">
        <f t="shared" si="14"/>
        <v>3.4019268991005402</v>
      </c>
      <c r="BO14" s="913">
        <f t="shared" si="15"/>
        <v>3</v>
      </c>
      <c r="BP14" s="783">
        <f t="shared" si="39"/>
        <v>-1000000</v>
      </c>
      <c r="CI14" s="613"/>
      <c r="CK14" s="642">
        <f t="shared" si="50"/>
        <v>8</v>
      </c>
      <c r="CL14" s="609">
        <f t="shared" si="16"/>
        <v>0.56705993826326895</v>
      </c>
      <c r="CM14" s="609">
        <f t="shared" si="40"/>
        <v>0.4</v>
      </c>
      <c r="CN14" s="610">
        <f t="shared" si="17"/>
        <v>5.5465534148542357</v>
      </c>
      <c r="CO14" s="611">
        <f t="shared" si="17"/>
        <v>6.0539985816381412</v>
      </c>
      <c r="CP14" s="612">
        <f t="shared" si="17"/>
        <v>6.4744310682706159</v>
      </c>
      <c r="CQ14" s="611">
        <f t="shared" si="18"/>
        <v>2.235661086852851</v>
      </c>
      <c r="CR14" s="611">
        <f t="shared" si="18"/>
        <v>2.6359495606493639</v>
      </c>
      <c r="CS14" s="611">
        <f t="shared" si="18"/>
        <v>3.0362380344458768</v>
      </c>
      <c r="CT14" s="610">
        <f t="shared" si="19"/>
        <v>7.7822145017070863</v>
      </c>
      <c r="CU14" s="611">
        <f t="shared" si="19"/>
        <v>8.6899481422875056</v>
      </c>
      <c r="CV14" s="612">
        <f t="shared" si="19"/>
        <v>9.5106691027164931</v>
      </c>
      <c r="CW14" s="613">
        <f t="shared" si="41"/>
        <v>-3.770973810466983</v>
      </c>
      <c r="CX14" s="613">
        <f t="shared" si="41"/>
        <v>-3.770973810466983</v>
      </c>
      <c r="CY14" s="613">
        <f t="shared" si="41"/>
        <v>-3.770973810466983</v>
      </c>
      <c r="CZ14" s="609">
        <f t="shared" si="21"/>
        <v>8.5058990739490348</v>
      </c>
      <c r="DA14" s="609"/>
      <c r="DB14" s="609">
        <f t="shared" si="42"/>
        <v>0.4</v>
      </c>
      <c r="DC14" s="610">
        <f t="shared" si="22"/>
        <v>8.1948795726314057</v>
      </c>
      <c r="DD14" s="611">
        <f t="shared" si="22"/>
        <v>8.0252085167167078</v>
      </c>
      <c r="DE14" s="612">
        <f t="shared" si="22"/>
        <v>7.6897789008471618</v>
      </c>
      <c r="DF14" s="611">
        <f t="shared" si="48"/>
        <v>8</v>
      </c>
      <c r="DG14" s="611">
        <f t="shared" si="48"/>
        <v>8</v>
      </c>
      <c r="DH14" s="611">
        <f t="shared" si="48"/>
        <v>8</v>
      </c>
      <c r="DI14" s="614">
        <f t="shared" si="23"/>
        <v>8</v>
      </c>
      <c r="DJ14" s="615"/>
      <c r="DK14" s="609">
        <f t="shared" si="43"/>
        <v>0.4</v>
      </c>
      <c r="DL14" s="611">
        <f t="shared" si="24"/>
        <v>3.8770425595550178</v>
      </c>
      <c r="DM14" s="611">
        <f t="shared" si="24"/>
        <v>3.8928119867748183</v>
      </c>
      <c r="DN14" s="611">
        <f t="shared" si="24"/>
        <v>3.9304068217511077</v>
      </c>
      <c r="DO14" s="610">
        <f t="shared" si="25"/>
        <v>0.34034325590160175</v>
      </c>
      <c r="DP14" s="611">
        <f t="shared" si="25"/>
        <v>0.35969325590160189</v>
      </c>
      <c r="DQ14" s="612">
        <f t="shared" si="25"/>
        <v>0.39065325590160216</v>
      </c>
      <c r="DR14" s="611">
        <f t="shared" si="26"/>
        <v>4.2173858154566197</v>
      </c>
      <c r="DS14" s="611">
        <f t="shared" si="26"/>
        <v>4.2525052426764205</v>
      </c>
      <c r="DT14" s="611">
        <f t="shared" si="26"/>
        <v>4.3210600776527102</v>
      </c>
      <c r="DU14" s="609">
        <f t="shared" si="44"/>
        <v>4.2</v>
      </c>
      <c r="DV14" s="611"/>
      <c r="DW14" s="646">
        <f t="shared" si="27"/>
        <v>1.0666666666666667</v>
      </c>
      <c r="DX14" s="621">
        <f t="shared" si="28"/>
        <v>8.3600534539435891</v>
      </c>
      <c r="DY14" s="621">
        <f t="shared" si="28"/>
        <v>8.3766718275891332</v>
      </c>
      <c r="DZ14" s="621">
        <f t="shared" si="28"/>
        <v>8.3898904283198714</v>
      </c>
      <c r="EA14" s="610">
        <f t="shared" si="29"/>
        <v>10.589898521870131</v>
      </c>
      <c r="EB14" s="611">
        <f t="shared" si="29"/>
        <v>10.58481990760407</v>
      </c>
      <c r="EC14" s="612">
        <f t="shared" si="29"/>
        <v>10.580549295903232</v>
      </c>
      <c r="ED14" s="610">
        <f t="shared" si="45"/>
        <v>8</v>
      </c>
      <c r="EE14" s="611">
        <f t="shared" si="46"/>
        <v>8.5058990739490348</v>
      </c>
      <c r="EF14" s="645">
        <f t="shared" si="47"/>
        <v>1000000</v>
      </c>
      <c r="EG14" s="902"/>
      <c r="EH14" s="646">
        <f t="shared" si="30"/>
        <v>1.0666666666666667</v>
      </c>
      <c r="EI14" s="610">
        <f t="shared" si="31"/>
        <v>2.2298450679265414</v>
      </c>
      <c r="EJ14" s="986">
        <f t="shared" si="31"/>
        <v>2.2081480800149365</v>
      </c>
      <c r="EK14" s="612">
        <f t="shared" si="31"/>
        <v>2.1906588675833616</v>
      </c>
    </row>
    <row r="15" spans="1:141" ht="15" customHeight="1" x14ac:dyDescent="0.25">
      <c r="B15" s="1011">
        <f>$B$8</f>
        <v>8</v>
      </c>
      <c r="C15" s="984">
        <f>$C$8</f>
        <v>4.0999999999999996</v>
      </c>
      <c r="D15" s="985">
        <f>$D$8</f>
        <v>3.97</v>
      </c>
      <c r="E15" s="985">
        <f>$E$8</f>
        <v>3.9</v>
      </c>
      <c r="F15" s="985">
        <f>$F$8</f>
        <v>3.85</v>
      </c>
      <c r="G15" s="985">
        <f>$G$8</f>
        <v>3.82</v>
      </c>
      <c r="H15" s="985">
        <f>$H$8</f>
        <v>3.76</v>
      </c>
      <c r="I15" s="985">
        <f>$I$8</f>
        <v>3.72</v>
      </c>
      <c r="J15" s="985">
        <f>$J$8</f>
        <v>3.68</v>
      </c>
      <c r="K15" s="985">
        <f>$K$8</f>
        <v>3.65</v>
      </c>
      <c r="L15" s="985">
        <f>$L$8</f>
        <v>3.64</v>
      </c>
      <c r="M15" s="985">
        <f>$M$8</f>
        <v>3.6</v>
      </c>
      <c r="N15" s="985">
        <f>$N$8</f>
        <v>3.58</v>
      </c>
      <c r="O15" s="985">
        <f>$O$8</f>
        <v>3.55</v>
      </c>
      <c r="P15" s="985">
        <f>$P$8</f>
        <v>3.54</v>
      </c>
      <c r="Q15" s="985">
        <f>$Q$8</f>
        <v>3.48</v>
      </c>
      <c r="R15" s="985">
        <f>$R$8</f>
        <v>3.4</v>
      </c>
      <c r="S15" s="1012">
        <f>$S$8</f>
        <v>3</v>
      </c>
      <c r="T15" s="948"/>
      <c r="U15" s="992">
        <f t="shared" si="49"/>
        <v>9</v>
      </c>
      <c r="W15" s="609">
        <f t="shared" si="0"/>
        <v>0.63794243054617761</v>
      </c>
      <c r="X15" s="610">
        <f t="shared" si="32"/>
        <v>3.8616417667821668</v>
      </c>
      <c r="Y15" s="611">
        <f t="shared" si="32"/>
        <v>3.8487769019173017</v>
      </c>
      <c r="Z15" s="611">
        <f t="shared" si="32"/>
        <v>3.8281931181335183</v>
      </c>
      <c r="AA15" s="611">
        <f t="shared" si="32"/>
        <v>3.7870255505659505</v>
      </c>
      <c r="AB15" s="982">
        <f t="shared" si="1"/>
        <v>1000000</v>
      </c>
      <c r="AC15" s="919">
        <f t="shared" si="2"/>
        <v>3.8693606857010856</v>
      </c>
      <c r="AD15" s="611">
        <f t="shared" si="33"/>
        <v>4.0688084233595632</v>
      </c>
      <c r="AE15" s="611">
        <f t="shared" si="3"/>
        <v>4.0365935584946975</v>
      </c>
      <c r="AF15" s="611">
        <f t="shared" si="3"/>
        <v>3.9850497747109141</v>
      </c>
      <c r="AG15" s="612">
        <f t="shared" si="3"/>
        <v>3.8819622071433457</v>
      </c>
      <c r="AH15" s="609">
        <f t="shared" si="4"/>
        <v>3</v>
      </c>
      <c r="AI15" s="895">
        <f t="shared" si="34"/>
        <v>-1000000</v>
      </c>
      <c r="AJ15" s="610">
        <f t="shared" si="5"/>
        <v>0.63794243054617761</v>
      </c>
      <c r="AK15" s="609">
        <f t="shared" si="35"/>
        <v>0.21877665657739626</v>
      </c>
      <c r="AL15" s="611">
        <f t="shared" si="36"/>
        <v>0.20716665657739616</v>
      </c>
      <c r="AM15" s="611">
        <f t="shared" si="36"/>
        <v>0.18781665657739599</v>
      </c>
      <c r="AN15" s="611">
        <f t="shared" si="36"/>
        <v>0.15685665657739573</v>
      </c>
      <c r="AO15" s="612">
        <f t="shared" si="36"/>
        <v>9.4936656577395181E-2</v>
      </c>
      <c r="AP15" s="902">
        <v>0</v>
      </c>
      <c r="AQ15" s="783">
        <f t="shared" si="6"/>
        <v>1000000</v>
      </c>
      <c r="AR15" s="983"/>
      <c r="AS15" s="609">
        <f t="shared" si="7"/>
        <v>0.63794243054617761</v>
      </c>
      <c r="AT15" s="610">
        <f t="shared" si="8"/>
        <v>4.0688084233595632</v>
      </c>
      <c r="AU15" s="611">
        <f t="shared" si="8"/>
        <v>4.0365935584946975</v>
      </c>
      <c r="AV15" s="611">
        <f t="shared" si="8"/>
        <v>3.9850497747109141</v>
      </c>
      <c r="AW15" s="612">
        <f t="shared" si="8"/>
        <v>3.8819622071433457</v>
      </c>
      <c r="AX15" s="982">
        <f t="shared" si="9"/>
        <v>1000000</v>
      </c>
      <c r="AY15" s="611">
        <f t="shared" si="10"/>
        <v>3</v>
      </c>
      <c r="AZ15" s="612">
        <f t="shared" si="11"/>
        <v>3.8693606857010856</v>
      </c>
      <c r="BB15" s="984">
        <f t="shared" si="37"/>
        <v>4.1806345534268177</v>
      </c>
      <c r="BC15" s="985">
        <f t="shared" si="38"/>
        <v>4.0273190442113664</v>
      </c>
      <c r="BD15" s="985">
        <f t="shared" si="38"/>
        <v>3.8142696366241036</v>
      </c>
      <c r="BE15" s="528">
        <f t="shared" si="38"/>
        <v>3.1915702155382344</v>
      </c>
      <c r="BF15" s="913">
        <f t="shared" si="12"/>
        <v>4.1806345534268177</v>
      </c>
      <c r="BG15" s="317">
        <f t="shared" si="12"/>
        <v>4.0273190442113664</v>
      </c>
      <c r="BH15" s="317">
        <f t="shared" si="12"/>
        <v>3.8142696366241036</v>
      </c>
      <c r="BI15" s="919">
        <f t="shared" si="12"/>
        <v>3.1915702155382344</v>
      </c>
      <c r="BJ15" s="646">
        <f t="shared" si="13"/>
        <v>0.44999999999999996</v>
      </c>
      <c r="BK15" s="913">
        <f t="shared" si="14"/>
        <v>4.1806345534268177</v>
      </c>
      <c r="BL15" s="317">
        <f t="shared" si="14"/>
        <v>4.0273190442113664</v>
      </c>
      <c r="BM15" s="317">
        <f t="shared" si="14"/>
        <v>3.8142696366241036</v>
      </c>
      <c r="BN15" s="317">
        <f t="shared" si="14"/>
        <v>3.1915702155382344</v>
      </c>
      <c r="BO15" s="913">
        <f t="shared" si="15"/>
        <v>3</v>
      </c>
      <c r="BP15" s="783">
        <f t="shared" si="39"/>
        <v>-1000000</v>
      </c>
      <c r="CK15" s="642">
        <f t="shared" si="50"/>
        <v>9</v>
      </c>
      <c r="CL15" s="609">
        <f t="shared" si="16"/>
        <v>0.63794243054617761</v>
      </c>
      <c r="CM15" s="609">
        <f t="shared" si="40"/>
        <v>0.44999999999999996</v>
      </c>
      <c r="CN15" s="610">
        <f t="shared" si="17"/>
        <v>5.912435643636984</v>
      </c>
      <c r="CO15" s="611">
        <f t="shared" si="17"/>
        <v>6.4070767843561205</v>
      </c>
      <c r="CP15" s="612">
        <f t="shared" si="17"/>
        <v>6.8073769541433915</v>
      </c>
      <c r="CQ15" s="611">
        <f t="shared" si="18"/>
        <v>2.2437636684048927</v>
      </c>
      <c r="CR15" s="611">
        <f t="shared" si="18"/>
        <v>2.6444044283558426</v>
      </c>
      <c r="CS15" s="611">
        <f t="shared" si="18"/>
        <v>3.0450451883067924</v>
      </c>
      <c r="CT15" s="610">
        <f t="shared" si="19"/>
        <v>8.1561993120418776</v>
      </c>
      <c r="CU15" s="611">
        <f t="shared" si="19"/>
        <v>9.0514812127119626</v>
      </c>
      <c r="CV15" s="612">
        <f t="shared" si="19"/>
        <v>9.8524221424501839</v>
      </c>
      <c r="CW15" s="613">
        <f t="shared" si="41"/>
        <v>-3.3709738104669835</v>
      </c>
      <c r="CX15" s="613">
        <f t="shared" si="41"/>
        <v>-3.3709738104669835</v>
      </c>
      <c r="CY15" s="613">
        <f t="shared" si="41"/>
        <v>-3.3709738104669835</v>
      </c>
      <c r="CZ15" s="609">
        <f t="shared" si="21"/>
        <v>8.5058990739490348</v>
      </c>
      <c r="DA15" s="609"/>
      <c r="DB15" s="609">
        <f t="shared" si="42"/>
        <v>0.44999999999999996</v>
      </c>
      <c r="DC15" s="610">
        <f t="shared" si="22"/>
        <v>7.0168541708776262</v>
      </c>
      <c r="DD15" s="611">
        <f t="shared" si="22"/>
        <v>6.7057100008112265</v>
      </c>
      <c r="DE15" s="612">
        <f t="shared" si="22"/>
        <v>6.2670850650477457</v>
      </c>
      <c r="DF15" s="611">
        <f t="shared" si="48"/>
        <v>8</v>
      </c>
      <c r="DG15" s="611">
        <f t="shared" si="48"/>
        <v>8</v>
      </c>
      <c r="DH15" s="611">
        <f t="shared" si="48"/>
        <v>8</v>
      </c>
      <c r="DI15" s="614">
        <f t="shared" si="23"/>
        <v>8</v>
      </c>
      <c r="DJ15" s="615"/>
      <c r="DK15" s="609">
        <f t="shared" si="43"/>
        <v>0.44999999999999996</v>
      </c>
      <c r="DL15" s="611">
        <f t="shared" si="24"/>
        <v>3.877116132274268</v>
      </c>
      <c r="DM15" s="611">
        <f t="shared" si="24"/>
        <v>3.8935114097996841</v>
      </c>
      <c r="DN15" s="611">
        <f t="shared" si="24"/>
        <v>3.9353841875819038</v>
      </c>
      <c r="DO15" s="610">
        <f t="shared" si="25"/>
        <v>0.34139767523908077</v>
      </c>
      <c r="DP15" s="611">
        <f t="shared" si="25"/>
        <v>0.36074767523908091</v>
      </c>
      <c r="DQ15" s="612">
        <f t="shared" si="25"/>
        <v>0.39170767523908118</v>
      </c>
      <c r="DR15" s="611">
        <f t="shared" si="26"/>
        <v>4.2185138075133484</v>
      </c>
      <c r="DS15" s="611">
        <f t="shared" si="26"/>
        <v>4.2542590850387647</v>
      </c>
      <c r="DT15" s="611">
        <f t="shared" si="26"/>
        <v>4.3270918628209847</v>
      </c>
      <c r="DU15" s="609">
        <f t="shared" si="44"/>
        <v>4.2</v>
      </c>
      <c r="DV15" s="611"/>
      <c r="DW15" s="646">
        <f t="shared" si="27"/>
        <v>1.2</v>
      </c>
      <c r="DX15" s="621">
        <f t="shared" si="28"/>
        <v>8.3420402137823899</v>
      </c>
      <c r="DY15" s="621">
        <f t="shared" si="28"/>
        <v>8.3606891758571358</v>
      </c>
      <c r="DZ15" s="621">
        <f t="shared" si="28"/>
        <v>8.3755269721177896</v>
      </c>
      <c r="EA15" s="610">
        <f t="shared" si="29"/>
        <v>10.523053372354498</v>
      </c>
      <c r="EB15" s="611">
        <f t="shared" si="29"/>
        <v>10.517491025368416</v>
      </c>
      <c r="EC15" s="612">
        <f t="shared" si="29"/>
        <v>10.51281289945884</v>
      </c>
      <c r="ED15" s="610">
        <f t="shared" si="45"/>
        <v>8</v>
      </c>
      <c r="EE15" s="611">
        <f t="shared" si="46"/>
        <v>8.5058990739490348</v>
      </c>
      <c r="EF15" s="645">
        <f t="shared" si="47"/>
        <v>1000000</v>
      </c>
      <c r="EG15" s="902"/>
      <c r="EH15" s="646">
        <f t="shared" si="30"/>
        <v>1.2</v>
      </c>
      <c r="EI15" s="610">
        <f t="shared" si="31"/>
        <v>2.1810131585721084</v>
      </c>
      <c r="EJ15" s="986">
        <f t="shared" si="31"/>
        <v>2.1568018495112811</v>
      </c>
      <c r="EK15" s="612">
        <f t="shared" si="31"/>
        <v>2.1372859273410496</v>
      </c>
    </row>
    <row r="16" spans="1:141" ht="15" customHeight="1" x14ac:dyDescent="0.25">
      <c r="B16" s="1013">
        <f>$B$9</f>
        <v>16</v>
      </c>
      <c r="C16" s="1014">
        <f>$C$9</f>
        <v>4.05</v>
      </c>
      <c r="D16" s="1015">
        <f>$D$9</f>
        <v>3.86</v>
      </c>
      <c r="E16" s="1015">
        <f>$E$9</f>
        <v>3.8</v>
      </c>
      <c r="F16" s="1015">
        <f>$F$9</f>
        <v>3.73</v>
      </c>
      <c r="G16" s="1015">
        <f>$G$9</f>
        <v>3.68</v>
      </c>
      <c r="H16" s="1015">
        <f>$H$9</f>
        <v>3.64</v>
      </c>
      <c r="I16" s="1015">
        <f>$I$9</f>
        <v>3.59</v>
      </c>
      <c r="J16" s="1015">
        <f>$J$9</f>
        <v>3.55</v>
      </c>
      <c r="K16" s="1015">
        <f>$K$9</f>
        <v>3.52</v>
      </c>
      <c r="L16" s="1015">
        <f>$L$9</f>
        <v>3.48</v>
      </c>
      <c r="M16" s="1015">
        <f>$M$9</f>
        <v>3.45</v>
      </c>
      <c r="N16" s="1015">
        <f>$N$9</f>
        <v>3.4</v>
      </c>
      <c r="O16" s="1015">
        <f>$O$9</f>
        <v>3.34</v>
      </c>
      <c r="P16" s="1015">
        <f>$P$9</f>
        <v>3.25</v>
      </c>
      <c r="Q16" s="1015">
        <f>$Q$9</f>
        <v>3</v>
      </c>
      <c r="R16" s="1015">
        <f>$R$9</f>
        <v>0</v>
      </c>
      <c r="S16" s="534">
        <f>$S$9</f>
        <v>0</v>
      </c>
      <c r="T16" s="948"/>
      <c r="U16" s="642">
        <f t="shared" si="49"/>
        <v>10</v>
      </c>
      <c r="W16" s="609">
        <f t="shared" si="0"/>
        <v>0.70882492282908616</v>
      </c>
      <c r="X16" s="610">
        <f t="shared" si="32"/>
        <v>3.8615715947919949</v>
      </c>
      <c r="Y16" s="611">
        <f t="shared" si="32"/>
        <v>3.8485897766101766</v>
      </c>
      <c r="Z16" s="611">
        <f t="shared" si="32"/>
        <v>3.8278188675192673</v>
      </c>
      <c r="AA16" s="611">
        <f t="shared" si="32"/>
        <v>3.7862770493374494</v>
      </c>
      <c r="AB16" s="982">
        <f t="shared" si="1"/>
        <v>1000000</v>
      </c>
      <c r="AC16" s="919">
        <f t="shared" si="2"/>
        <v>3.8693606857010856</v>
      </c>
      <c r="AD16" s="611">
        <f t="shared" si="33"/>
        <v>4.0578901785621468</v>
      </c>
      <c r="AE16" s="611">
        <f t="shared" si="3"/>
        <v>4.0255583603803284</v>
      </c>
      <c r="AF16" s="611">
        <f t="shared" si="3"/>
        <v>3.9738274512894187</v>
      </c>
      <c r="AG16" s="612">
        <f t="shared" si="3"/>
        <v>3.8703656331076002</v>
      </c>
      <c r="AH16" s="609">
        <f t="shared" si="4"/>
        <v>3</v>
      </c>
      <c r="AI16" s="895">
        <f t="shared" si="34"/>
        <v>-1000000</v>
      </c>
      <c r="AJ16" s="610">
        <f t="shared" si="5"/>
        <v>0.70882492282908616</v>
      </c>
      <c r="AK16" s="609">
        <f t="shared" si="35"/>
        <v>0.20792858377015189</v>
      </c>
      <c r="AL16" s="611">
        <f t="shared" si="36"/>
        <v>0.19631858377015179</v>
      </c>
      <c r="AM16" s="611">
        <f t="shared" si="36"/>
        <v>0.17696858377015162</v>
      </c>
      <c r="AN16" s="611">
        <f t="shared" si="36"/>
        <v>0.14600858377015136</v>
      </c>
      <c r="AO16" s="612">
        <f t="shared" si="36"/>
        <v>8.4088583770150813E-2</v>
      </c>
      <c r="AP16" s="902">
        <v>0</v>
      </c>
      <c r="AQ16" s="783">
        <f t="shared" si="6"/>
        <v>1000000</v>
      </c>
      <c r="AR16" s="983"/>
      <c r="AS16" s="609">
        <f t="shared" si="7"/>
        <v>0.70882492282908616</v>
      </c>
      <c r="AT16" s="610">
        <f t="shared" si="8"/>
        <v>4.0578901785621468</v>
      </c>
      <c r="AU16" s="611">
        <f t="shared" si="8"/>
        <v>4.0255583603803284</v>
      </c>
      <c r="AV16" s="611">
        <f t="shared" si="8"/>
        <v>3.9738274512894187</v>
      </c>
      <c r="AW16" s="612">
        <f t="shared" si="8"/>
        <v>3.8703656331076002</v>
      </c>
      <c r="AX16" s="982">
        <f t="shared" si="9"/>
        <v>1000000</v>
      </c>
      <c r="AY16" s="611">
        <f t="shared" si="10"/>
        <v>3</v>
      </c>
      <c r="AZ16" s="612">
        <f t="shared" si="11"/>
        <v>3.8693606857010856</v>
      </c>
      <c r="BB16" s="984">
        <f t="shared" si="37"/>
        <v>4.1805595578025265</v>
      </c>
      <c r="BC16" s="985">
        <f t="shared" si="38"/>
        <v>4.0152664565098206</v>
      </c>
      <c r="BD16" s="985">
        <f t="shared" si="38"/>
        <v>3.7891331599119575</v>
      </c>
      <c r="BE16" s="528">
        <f t="shared" si="38"/>
        <v>2.3882820384027115</v>
      </c>
      <c r="BF16" s="913">
        <f t="shared" si="12"/>
        <v>4.1805595578025265</v>
      </c>
      <c r="BG16" s="317">
        <f t="shared" si="12"/>
        <v>4.0152664565098206</v>
      </c>
      <c r="BH16" s="317">
        <f t="shared" si="12"/>
        <v>3.7891331599119575</v>
      </c>
      <c r="BI16" s="919">
        <f t="shared" si="12"/>
        <v>2.3882820384027115</v>
      </c>
      <c r="BJ16" s="646">
        <f t="shared" si="13"/>
        <v>0.5</v>
      </c>
      <c r="BK16" s="913">
        <f t="shared" si="14"/>
        <v>4.1805595578025265</v>
      </c>
      <c r="BL16" s="317">
        <f t="shared" si="14"/>
        <v>4.0152664565098206</v>
      </c>
      <c r="BM16" s="317">
        <f t="shared" si="14"/>
        <v>3.7891331599119575</v>
      </c>
      <c r="BN16" s="317">
        <f t="shared" si="14"/>
        <v>2.3882820384027115</v>
      </c>
      <c r="BO16" s="913">
        <f t="shared" si="15"/>
        <v>3</v>
      </c>
      <c r="BP16" s="783">
        <f t="shared" si="39"/>
        <v>-1000000</v>
      </c>
      <c r="CI16" s="666">
        <f>(CD19-CD20)/CD37</f>
        <v>26.451145143913021</v>
      </c>
      <c r="CJ16" s="660" t="s">
        <v>260</v>
      </c>
      <c r="CK16" s="642">
        <f t="shared" si="50"/>
        <v>10</v>
      </c>
      <c r="CL16" s="609">
        <f t="shared" si="16"/>
        <v>0.70882492282908616</v>
      </c>
      <c r="CM16" s="609">
        <f t="shared" si="40"/>
        <v>0.5</v>
      </c>
      <c r="CN16" s="610">
        <f t="shared" si="17"/>
        <v>6.2330815868484235</v>
      </c>
      <c r="CO16" s="611">
        <f t="shared" si="17"/>
        <v>6.7093110732915049</v>
      </c>
      <c r="CP16" s="612">
        <f t="shared" si="17"/>
        <v>7.0857549302042724</v>
      </c>
      <c r="CQ16" s="611">
        <f t="shared" si="18"/>
        <v>2.2473839535676854</v>
      </c>
      <c r="CR16" s="611">
        <f t="shared" si="18"/>
        <v>2.6481821172213653</v>
      </c>
      <c r="CS16" s="611">
        <f t="shared" si="18"/>
        <v>3.0489802808750452</v>
      </c>
      <c r="CT16" s="610">
        <f t="shared" si="19"/>
        <v>8.4804655404161089</v>
      </c>
      <c r="CU16" s="611">
        <f t="shared" si="19"/>
        <v>9.3574931905128693</v>
      </c>
      <c r="CV16" s="612">
        <f t="shared" si="19"/>
        <v>10.134735211079317</v>
      </c>
      <c r="CW16" s="613">
        <f t="shared" si="41"/>
        <v>-2.9709738104669832</v>
      </c>
      <c r="CX16" s="613">
        <f t="shared" si="41"/>
        <v>-2.9709738104669832</v>
      </c>
      <c r="CY16" s="613">
        <f t="shared" si="41"/>
        <v>-2.9709738104669832</v>
      </c>
      <c r="CZ16" s="609">
        <f t="shared" si="21"/>
        <v>8.5058990739490348</v>
      </c>
      <c r="DA16" s="609"/>
      <c r="DB16" s="609">
        <f t="shared" si="42"/>
        <v>0.5</v>
      </c>
      <c r="DC16" s="610">
        <f t="shared" si="22"/>
        <v>6.0756647178405432</v>
      </c>
      <c r="DD16" s="611">
        <f t="shared" si="22"/>
        <v>5.6668645068220052</v>
      </c>
      <c r="DE16" s="612">
        <f t="shared" si="22"/>
        <v>5.167392022745064</v>
      </c>
      <c r="DF16" s="611">
        <f t="shared" si="48"/>
        <v>8</v>
      </c>
      <c r="DG16" s="611">
        <f t="shared" si="48"/>
        <v>8</v>
      </c>
      <c r="DH16" s="611">
        <f t="shared" si="48"/>
        <v>8</v>
      </c>
      <c r="DI16" s="614">
        <f t="shared" si="23"/>
        <v>8</v>
      </c>
      <c r="DJ16" s="615"/>
      <c r="DK16" s="609">
        <f t="shared" si="43"/>
        <v>0.5</v>
      </c>
      <c r="DL16" s="611">
        <f t="shared" si="24"/>
        <v>3.8771911278985591</v>
      </c>
      <c r="DM16" s="611">
        <f t="shared" si="24"/>
        <v>3.8942538352146525</v>
      </c>
      <c r="DN16" s="611">
        <f t="shared" si="24"/>
        <v>3.9412452599936261</v>
      </c>
      <c r="DO16" s="610">
        <f t="shared" si="25"/>
        <v>0.34186879653027902</v>
      </c>
      <c r="DP16" s="611">
        <f t="shared" si="25"/>
        <v>0.36121879653027916</v>
      </c>
      <c r="DQ16" s="612">
        <f t="shared" si="25"/>
        <v>0.39217879653027943</v>
      </c>
      <c r="DR16" s="611">
        <f t="shared" si="26"/>
        <v>4.219059924428838</v>
      </c>
      <c r="DS16" s="611">
        <f t="shared" si="26"/>
        <v>4.2554726317449321</v>
      </c>
      <c r="DT16" s="611">
        <f t="shared" si="26"/>
        <v>4.3334240565239055</v>
      </c>
      <c r="DU16" s="609">
        <f t="shared" si="44"/>
        <v>4.2</v>
      </c>
      <c r="DV16" s="611"/>
      <c r="DW16" s="646">
        <f t="shared" si="27"/>
        <v>1.3333333333333333</v>
      </c>
      <c r="DX16" s="621">
        <f t="shared" si="28"/>
        <v>8.3240746589472145</v>
      </c>
      <c r="DY16" s="621">
        <f t="shared" si="28"/>
        <v>8.3447440243155011</v>
      </c>
      <c r="DZ16" s="621">
        <f t="shared" si="28"/>
        <v>8.3611937769732467</v>
      </c>
      <c r="EA16" s="610">
        <f t="shared" si="29"/>
        <v>10.457063028633634</v>
      </c>
      <c r="EB16" s="611">
        <f t="shared" si="29"/>
        <v>10.451048321865091</v>
      </c>
      <c r="EC16" s="612">
        <f t="shared" si="29"/>
        <v>10.445988941179456</v>
      </c>
      <c r="ED16" s="610">
        <f t="shared" si="45"/>
        <v>8</v>
      </c>
      <c r="EE16" s="611">
        <f t="shared" si="46"/>
        <v>8.5058990739490348</v>
      </c>
      <c r="EF16" s="645">
        <f t="shared" si="47"/>
        <v>1000000</v>
      </c>
      <c r="EG16" s="902"/>
      <c r="EH16" s="646">
        <f t="shared" si="30"/>
        <v>1.3333333333333333</v>
      </c>
      <c r="EI16" s="610">
        <f t="shared" si="31"/>
        <v>2.1329883696864185</v>
      </c>
      <c r="EJ16" s="986">
        <f t="shared" si="31"/>
        <v>2.1063042975495909</v>
      </c>
      <c r="EK16" s="612">
        <f t="shared" si="31"/>
        <v>2.0847951642062093</v>
      </c>
    </row>
    <row r="17" spans="1:141" ht="15" customHeight="1" x14ac:dyDescent="0.25">
      <c r="A17" s="478"/>
      <c r="S17" s="821"/>
      <c r="T17" s="948"/>
      <c r="U17" s="642">
        <f t="shared" si="49"/>
        <v>11</v>
      </c>
      <c r="W17" s="609">
        <f t="shared" si="0"/>
        <v>0.77970741511199482</v>
      </c>
      <c r="X17" s="610">
        <f t="shared" si="32"/>
        <v>3.8615001352423701</v>
      </c>
      <c r="Y17" s="611">
        <f t="shared" si="32"/>
        <v>3.8483992178111772</v>
      </c>
      <c r="Z17" s="611">
        <f t="shared" si="32"/>
        <v>3.8274377499212693</v>
      </c>
      <c r="AA17" s="611">
        <f t="shared" si="32"/>
        <v>3.7855148141414525</v>
      </c>
      <c r="AB17" s="982">
        <f t="shared" si="1"/>
        <v>1000000</v>
      </c>
      <c r="AC17" s="919">
        <f t="shared" si="2"/>
        <v>3.8693606857010856</v>
      </c>
      <c r="AD17" s="611">
        <f t="shared" si="33"/>
        <v>4.0472568339172827</v>
      </c>
      <c r="AE17" s="611">
        <f t="shared" si="3"/>
        <v>4.0148059164860896</v>
      </c>
      <c r="AF17" s="611">
        <f t="shared" si="3"/>
        <v>3.9628844485961818</v>
      </c>
      <c r="AG17" s="612">
        <f t="shared" si="3"/>
        <v>3.8590415128163644</v>
      </c>
      <c r="AH17" s="609">
        <f t="shared" si="4"/>
        <v>3</v>
      </c>
      <c r="AI17" s="895">
        <f t="shared" si="34"/>
        <v>-1000000</v>
      </c>
      <c r="AJ17" s="610">
        <f t="shared" si="5"/>
        <v>0.77970741511199482</v>
      </c>
      <c r="AK17" s="609">
        <f t="shared" si="35"/>
        <v>0.19736669867491302</v>
      </c>
      <c r="AL17" s="611">
        <f t="shared" si="36"/>
        <v>0.18575669867491293</v>
      </c>
      <c r="AM17" s="611">
        <f t="shared" si="36"/>
        <v>0.16640669867491276</v>
      </c>
      <c r="AN17" s="611">
        <f t="shared" si="36"/>
        <v>0.13544669867491249</v>
      </c>
      <c r="AO17" s="612">
        <f t="shared" si="36"/>
        <v>7.3526698674911947E-2</v>
      </c>
      <c r="AP17" s="902">
        <v>0</v>
      </c>
      <c r="AQ17" s="783">
        <f t="shared" si="6"/>
        <v>1000000</v>
      </c>
      <c r="AR17" s="983"/>
      <c r="AS17" s="609">
        <f t="shared" si="7"/>
        <v>0.77970741511199482</v>
      </c>
      <c r="AT17" s="610">
        <f t="shared" si="8"/>
        <v>4.0472568339172827</v>
      </c>
      <c r="AU17" s="611">
        <f t="shared" si="8"/>
        <v>4.0148059164860896</v>
      </c>
      <c r="AV17" s="611">
        <f t="shared" si="8"/>
        <v>3.9628844485961818</v>
      </c>
      <c r="AW17" s="612">
        <f t="shared" si="8"/>
        <v>3.8590415128163644</v>
      </c>
      <c r="AX17" s="982">
        <f t="shared" si="9"/>
        <v>1000000</v>
      </c>
      <c r="AY17" s="611">
        <f t="shared" si="10"/>
        <v>3</v>
      </c>
      <c r="AZ17" s="612">
        <f t="shared" si="11"/>
        <v>3.8693606857010856</v>
      </c>
      <c r="BB17" s="984">
        <f t="shared" si="37"/>
        <v>4.1804830975914031</v>
      </c>
      <c r="BC17" s="985">
        <f t="shared" si="38"/>
        <v>4.0034822416973839</v>
      </c>
      <c r="BD17" s="985">
        <f t="shared" si="38"/>
        <v>3.7642552815860815</v>
      </c>
      <c r="BE17" s="528">
        <f t="shared" si="38"/>
        <v>5.8552671527656841</v>
      </c>
      <c r="BF17" s="913">
        <f t="shared" si="12"/>
        <v>4.1804830975914031</v>
      </c>
      <c r="BG17" s="317">
        <f t="shared" si="12"/>
        <v>4.0034822416973839</v>
      </c>
      <c r="BH17" s="317">
        <f t="shared" si="12"/>
        <v>3.7642552815860815</v>
      </c>
      <c r="BI17" s="919">
        <f t="shared" si="12"/>
        <v>-1000000</v>
      </c>
      <c r="BJ17" s="646">
        <f t="shared" si="13"/>
        <v>0.54999999999999993</v>
      </c>
      <c r="BK17" s="913">
        <f t="shared" si="14"/>
        <v>4.1804830975914031</v>
      </c>
      <c r="BL17" s="317">
        <f t="shared" si="14"/>
        <v>4.0034822416973839</v>
      </c>
      <c r="BM17" s="317">
        <f t="shared" si="14"/>
        <v>3.7642552815860815</v>
      </c>
      <c r="BN17" s="317"/>
      <c r="BO17" s="913">
        <f t="shared" si="15"/>
        <v>3</v>
      </c>
      <c r="BP17" s="783">
        <f t="shared" si="39"/>
        <v>-1000000</v>
      </c>
      <c r="CK17" s="642">
        <f t="shared" si="50"/>
        <v>11</v>
      </c>
      <c r="CL17" s="609">
        <f t="shared" si="16"/>
        <v>0.77970741511199482</v>
      </c>
      <c r="CM17" s="609">
        <f t="shared" si="40"/>
        <v>0.54999999999999993</v>
      </c>
      <c r="CN17" s="610">
        <f t="shared" si="17"/>
        <v>6.5140840865872152</v>
      </c>
      <c r="CO17" s="611">
        <f t="shared" si="17"/>
        <v>6.968023066003326</v>
      </c>
      <c r="CP17" s="612">
        <f t="shared" si="17"/>
        <v>7.3185083620498448</v>
      </c>
      <c r="CQ17" s="611">
        <f t="shared" si="18"/>
        <v>2.2490015200896338</v>
      </c>
      <c r="CR17" s="611">
        <f t="shared" si="18"/>
        <v>2.6498700127225283</v>
      </c>
      <c r="CS17" s="611">
        <f t="shared" si="18"/>
        <v>3.0507385053554237</v>
      </c>
      <c r="CT17" s="610">
        <f t="shared" si="19"/>
        <v>8.7630856066768494</v>
      </c>
      <c r="CU17" s="611">
        <f t="shared" si="19"/>
        <v>9.6178930787258547</v>
      </c>
      <c r="CV17" s="612">
        <f t="shared" si="19"/>
        <v>10.369246867405268</v>
      </c>
      <c r="CW17" s="613">
        <f t="shared" si="41"/>
        <v>-2.5709738104669837</v>
      </c>
      <c r="CX17" s="613">
        <f t="shared" si="41"/>
        <v>-2.5709738104669837</v>
      </c>
      <c r="CY17" s="613">
        <f t="shared" si="41"/>
        <v>-2.5709738104669837</v>
      </c>
      <c r="CZ17" s="609">
        <f t="shared" si="21"/>
        <v>8.5058990739490348</v>
      </c>
      <c r="DA17" s="609"/>
      <c r="DB17" s="609">
        <f t="shared" si="42"/>
        <v>0.54999999999999993</v>
      </c>
      <c r="DC17" s="610">
        <f t="shared" si="22"/>
        <v>5.2915843392459427</v>
      </c>
      <c r="DD17" s="611">
        <f t="shared" si="22"/>
        <v>4.8181144643164231</v>
      </c>
      <c r="DE17" s="612">
        <f t="shared" si="22"/>
        <v>4.2880687114949572</v>
      </c>
      <c r="DF17" s="611">
        <f t="shared" si="48"/>
        <v>8</v>
      </c>
      <c r="DG17" s="611">
        <f t="shared" si="48"/>
        <v>8</v>
      </c>
      <c r="DH17" s="611">
        <f t="shared" si="48"/>
        <v>8</v>
      </c>
      <c r="DI17" s="614">
        <f t="shared" si="23"/>
        <v>8</v>
      </c>
      <c r="DJ17" s="615"/>
      <c r="DK17" s="609">
        <f t="shared" si="43"/>
        <v>0.54999999999999993</v>
      </c>
      <c r="DL17" s="611">
        <f t="shared" si="24"/>
        <v>3.8772675881096825</v>
      </c>
      <c r="DM17" s="611">
        <f t="shared" si="24"/>
        <v>3.8950433546542009</v>
      </c>
      <c r="DN17" s="611">
        <f t="shared" si="24"/>
        <v>3.9482483132102657</v>
      </c>
      <c r="DO17" s="610">
        <f t="shared" si="25"/>
        <v>0.34207929653073516</v>
      </c>
      <c r="DP17" s="611">
        <f t="shared" si="25"/>
        <v>0.3614292965307353</v>
      </c>
      <c r="DQ17" s="612">
        <f t="shared" si="25"/>
        <v>0.39238929653073557</v>
      </c>
      <c r="DR17" s="611">
        <f t="shared" si="26"/>
        <v>4.2193468846404176</v>
      </c>
      <c r="DS17" s="611">
        <f>(DM17+DP17)</f>
        <v>4.2564726511849358</v>
      </c>
      <c r="DT17" s="611">
        <f t="shared" si="26"/>
        <v>4.3406376097410009</v>
      </c>
      <c r="DU17" s="609">
        <f t="shared" si="44"/>
        <v>4.2</v>
      </c>
      <c r="DV17" s="611"/>
      <c r="DW17" s="646">
        <f t="shared" si="27"/>
        <v>1.4666666666666666</v>
      </c>
      <c r="DX17" s="621">
        <f t="shared" si="28"/>
        <v>8.3061566003367826</v>
      </c>
      <c r="DY17" s="621">
        <f t="shared" si="28"/>
        <v>8.3288362411385108</v>
      </c>
      <c r="DZ17" s="621">
        <f t="shared" si="28"/>
        <v>8.3468907473554808</v>
      </c>
      <c r="EA17" s="610">
        <f t="shared" si="29"/>
        <v>10.391913961078316</v>
      </c>
      <c r="EB17" s="611">
        <f t="shared" si="29"/>
        <v>10.385477637845906</v>
      </c>
      <c r="EC17" s="612">
        <f t="shared" si="29"/>
        <v>10.380062744429262</v>
      </c>
      <c r="ED17" s="610">
        <f t="shared" si="45"/>
        <v>8</v>
      </c>
      <c r="EE17" s="611">
        <f t="shared" si="46"/>
        <v>8.5058990739490348</v>
      </c>
      <c r="EF17" s="645">
        <f t="shared" si="47"/>
        <v>1000000</v>
      </c>
      <c r="EG17" s="902"/>
      <c r="EH17" s="646">
        <f t="shared" si="30"/>
        <v>1.4666666666666666</v>
      </c>
      <c r="EI17" s="610">
        <f t="shared" si="31"/>
        <v>2.0857573607415332</v>
      </c>
      <c r="EJ17" s="986">
        <f t="shared" si="31"/>
        <v>2.0566413967073949</v>
      </c>
      <c r="EK17" s="612">
        <f t="shared" si="31"/>
        <v>2.0331719970737812</v>
      </c>
    </row>
    <row r="18" spans="1:141" s="562" customFormat="1" ht="15" customHeight="1" x14ac:dyDescent="0.2">
      <c r="C18" s="553" t="s">
        <v>340</v>
      </c>
      <c r="Q18" s="1016"/>
      <c r="S18" s="1017"/>
      <c r="T18" s="948"/>
      <c r="U18" s="642">
        <f t="shared" si="49"/>
        <v>12</v>
      </c>
      <c r="W18" s="609">
        <f t="shared" si="0"/>
        <v>0.85058990739490348</v>
      </c>
      <c r="X18" s="610">
        <f t="shared" si="32"/>
        <v>3.8614273523677523</v>
      </c>
      <c r="Y18" s="611">
        <f t="shared" si="32"/>
        <v>3.84820513014553</v>
      </c>
      <c r="Z18" s="611">
        <f t="shared" si="32"/>
        <v>3.8270495745899744</v>
      </c>
      <c r="AA18" s="611">
        <f t="shared" si="32"/>
        <v>3.7847384634788632</v>
      </c>
      <c r="AB18" s="982">
        <f t="shared" si="1"/>
        <v>1000000</v>
      </c>
      <c r="AC18" s="919">
        <f t="shared" si="2"/>
        <v>3.8693606857010856</v>
      </c>
      <c r="AD18" s="611">
        <f t="shared" si="33"/>
        <v>4.0369008036173222</v>
      </c>
      <c r="AE18" s="611">
        <f t="shared" si="3"/>
        <v>4.0043285813951002</v>
      </c>
      <c r="AF18" s="611">
        <f t="shared" si="3"/>
        <v>3.9522130258395438</v>
      </c>
      <c r="AG18" s="612">
        <f t="shared" si="3"/>
        <v>3.847981914728432</v>
      </c>
      <c r="AH18" s="609">
        <f t="shared" si="4"/>
        <v>3</v>
      </c>
      <c r="AI18" s="895">
        <f t="shared" si="34"/>
        <v>-1000000</v>
      </c>
      <c r="AJ18" s="610">
        <f t="shared" si="5"/>
        <v>0.85058990739490348</v>
      </c>
      <c r="AK18" s="609">
        <f t="shared" si="35"/>
        <v>0.18708345124957004</v>
      </c>
      <c r="AL18" s="611">
        <f t="shared" si="36"/>
        <v>0.17547345124956995</v>
      </c>
      <c r="AM18" s="611">
        <f t="shared" si="36"/>
        <v>0.15612345124956978</v>
      </c>
      <c r="AN18" s="611">
        <f t="shared" si="36"/>
        <v>0.12516345124956951</v>
      </c>
      <c r="AO18" s="612">
        <f t="shared" si="36"/>
        <v>6.3243451249568969E-2</v>
      </c>
      <c r="AP18" s="902">
        <v>0</v>
      </c>
      <c r="AQ18" s="783">
        <f t="shared" si="6"/>
        <v>1000000</v>
      </c>
      <c r="AR18" s="983"/>
      <c r="AS18" s="609">
        <f t="shared" si="7"/>
        <v>0.85058990739490348</v>
      </c>
      <c r="AT18" s="610">
        <f t="shared" si="8"/>
        <v>4.0369008036173222</v>
      </c>
      <c r="AU18" s="611">
        <f t="shared" si="8"/>
        <v>4.0043285813951002</v>
      </c>
      <c r="AV18" s="611">
        <f t="shared" si="8"/>
        <v>3.9522130258395438</v>
      </c>
      <c r="AW18" s="612">
        <f t="shared" si="8"/>
        <v>3.847981914728432</v>
      </c>
      <c r="AX18" s="982">
        <f t="shared" si="9"/>
        <v>1000000</v>
      </c>
      <c r="AY18" s="611">
        <f t="shared" si="10"/>
        <v>3</v>
      </c>
      <c r="AZ18" s="612">
        <f t="shared" si="11"/>
        <v>3.8693606857010856</v>
      </c>
      <c r="BA18" s="552"/>
      <c r="BB18" s="984">
        <f t="shared" si="37"/>
        <v>4.1804051294675988</v>
      </c>
      <c r="BC18" s="985">
        <f t="shared" si="38"/>
        <v>3.9919529729391878</v>
      </c>
      <c r="BD18" s="985">
        <f t="shared" si="38"/>
        <v>3.7391644509128801</v>
      </c>
      <c r="BE18" s="528">
        <f t="shared" si="38"/>
        <v>4.2307497151801101</v>
      </c>
      <c r="BF18" s="913">
        <f t="shared" si="12"/>
        <v>4.1804051294675988</v>
      </c>
      <c r="BG18" s="317">
        <f t="shared" si="12"/>
        <v>3.9919529729391878</v>
      </c>
      <c r="BH18" s="317">
        <f t="shared" si="12"/>
        <v>3.7391644509128801</v>
      </c>
      <c r="BI18" s="919">
        <f t="shared" si="12"/>
        <v>-1000000</v>
      </c>
      <c r="BJ18" s="646">
        <f t="shared" si="13"/>
        <v>0.60000000000000009</v>
      </c>
      <c r="BK18" s="913">
        <f t="shared" si="14"/>
        <v>4.1804051294675988</v>
      </c>
      <c r="BL18" s="317">
        <f t="shared" si="14"/>
        <v>3.9919529729391878</v>
      </c>
      <c r="BM18" s="317">
        <f t="shared" si="14"/>
        <v>3.7391644509128801</v>
      </c>
      <c r="BN18" s="317"/>
      <c r="BO18" s="913">
        <f t="shared" si="15"/>
        <v>3</v>
      </c>
      <c r="BP18" s="783">
        <f t="shared" si="39"/>
        <v>-1000000</v>
      </c>
      <c r="CK18" s="642">
        <f t="shared" si="50"/>
        <v>12</v>
      </c>
      <c r="CL18" s="609">
        <f t="shared" si="16"/>
        <v>0.85058990739490348</v>
      </c>
      <c r="CM18" s="609">
        <f t="shared" si="40"/>
        <v>0.60000000000000009</v>
      </c>
      <c r="CN18" s="610">
        <f t="shared" si="17"/>
        <v>6.7603445072512018</v>
      </c>
      <c r="CO18" s="611">
        <f t="shared" si="17"/>
        <v>7.1894800535896417</v>
      </c>
      <c r="CP18" s="612">
        <f t="shared" si="17"/>
        <v>7.5131148492528546</v>
      </c>
      <c r="CQ18" s="611">
        <f t="shared" si="18"/>
        <v>2.2497242591378774</v>
      </c>
      <c r="CR18" s="611">
        <f t="shared" si="18"/>
        <v>2.6506241752076525</v>
      </c>
      <c r="CS18" s="611">
        <f t="shared" si="18"/>
        <v>3.0515240912774275</v>
      </c>
      <c r="CT18" s="610">
        <f t="shared" si="19"/>
        <v>9.0100687663890788</v>
      </c>
      <c r="CU18" s="611">
        <f t="shared" si="19"/>
        <v>9.8401042287972942</v>
      </c>
      <c r="CV18" s="612">
        <f t="shared" si="19"/>
        <v>10.564638940530282</v>
      </c>
      <c r="CW18" s="613">
        <f t="shared" si="41"/>
        <v>-2.1709738104669825</v>
      </c>
      <c r="CX18" s="613">
        <f t="shared" si="41"/>
        <v>-2.1709738104669825</v>
      </c>
      <c r="CY18" s="613">
        <f t="shared" si="41"/>
        <v>-2.1709738104669825</v>
      </c>
      <c r="CZ18" s="609">
        <f t="shared" si="21"/>
        <v>8.5058990739490348</v>
      </c>
      <c r="DA18" s="609"/>
      <c r="DB18" s="609">
        <f t="shared" si="42"/>
        <v>0.60000000000000009</v>
      </c>
      <c r="DC18" s="610">
        <f t="shared" si="22"/>
        <v>4.6226493498190386</v>
      </c>
      <c r="DD18" s="611">
        <f t="shared" si="22"/>
        <v>4.1096815570318972</v>
      </c>
      <c r="DE18" s="612">
        <f t="shared" si="22"/>
        <v>3.5707946112912929</v>
      </c>
      <c r="DF18" s="611">
        <f t="shared" si="48"/>
        <v>8</v>
      </c>
      <c r="DG18" s="611">
        <f t="shared" si="48"/>
        <v>8</v>
      </c>
      <c r="DH18" s="611">
        <f t="shared" si="48"/>
        <v>8</v>
      </c>
      <c r="DI18" s="614">
        <f t="shared" si="23"/>
        <v>8</v>
      </c>
      <c r="DJ18" s="615"/>
      <c r="DK18" s="609">
        <f t="shared" si="43"/>
        <v>0.60000000000000009</v>
      </c>
      <c r="DL18" s="611">
        <f t="shared" si="24"/>
        <v>3.8773455562334873</v>
      </c>
      <c r="DM18" s="611">
        <f t="shared" si="24"/>
        <v>3.8958845958421757</v>
      </c>
      <c r="DN18" s="611">
        <f t="shared" si="24"/>
        <v>3.9567631298239969</v>
      </c>
      <c r="DO18" s="610">
        <f t="shared" si="25"/>
        <v>0.34217334927473098</v>
      </c>
      <c r="DP18" s="611">
        <f t="shared" si="25"/>
        <v>0.36152334927473112</v>
      </c>
      <c r="DQ18" s="612">
        <f t="shared" si="25"/>
        <v>0.39248334927473139</v>
      </c>
      <c r="DR18" s="611">
        <f t="shared" si="26"/>
        <v>4.2195189055082185</v>
      </c>
      <c r="DS18" s="611">
        <f t="shared" si="26"/>
        <v>4.2574079451169071</v>
      </c>
      <c r="DT18" s="611">
        <f t="shared" si="26"/>
        <v>4.3492464790987286</v>
      </c>
      <c r="DU18" s="609">
        <f t="shared" si="44"/>
        <v>4.2</v>
      </c>
      <c r="DV18" s="611"/>
      <c r="DW18" s="646">
        <f t="shared" si="27"/>
        <v>1.6</v>
      </c>
      <c r="DX18" s="621">
        <f t="shared" si="28"/>
        <v>8.2882858498483607</v>
      </c>
      <c r="DY18" s="621">
        <f t="shared" si="28"/>
        <v>8.3129656951175885</v>
      </c>
      <c r="DZ18" s="621">
        <f t="shared" si="28"/>
        <v>8.3326177881354049</v>
      </c>
      <c r="EA18" s="610">
        <f t="shared" si="29"/>
        <v>10.327592861557406</v>
      </c>
      <c r="EB18" s="611">
        <f t="shared" si="29"/>
        <v>10.32076504653271</v>
      </c>
      <c r="EC18" s="612">
        <f t="shared" si="29"/>
        <v>10.31501987397858</v>
      </c>
      <c r="ED18" s="610">
        <f t="shared" si="45"/>
        <v>8</v>
      </c>
      <c r="EE18" s="611">
        <f t="shared" si="46"/>
        <v>8.5058990739490348</v>
      </c>
      <c r="EF18" s="645">
        <f t="shared" si="47"/>
        <v>1000000</v>
      </c>
      <c r="EG18" s="902"/>
      <c r="EH18" s="646">
        <f t="shared" si="30"/>
        <v>1.6</v>
      </c>
      <c r="EI18" s="610">
        <f t="shared" si="31"/>
        <v>2.0393070117090444</v>
      </c>
      <c r="EJ18" s="986">
        <f t="shared" si="31"/>
        <v>2.0077993514151213</v>
      </c>
      <c r="EK18" s="612">
        <f t="shared" si="31"/>
        <v>1.9824020858431755</v>
      </c>
    </row>
    <row r="19" spans="1:141" s="562" customFormat="1" ht="15" customHeight="1" x14ac:dyDescent="0.2">
      <c r="T19" s="948"/>
      <c r="U19" s="642">
        <f t="shared" si="49"/>
        <v>13</v>
      </c>
      <c r="W19" s="609">
        <f t="shared" si="0"/>
        <v>0.92147239967781214</v>
      </c>
      <c r="X19" s="610">
        <f t="shared" si="32"/>
        <v>3.8613532090655718</v>
      </c>
      <c r="Y19" s="611">
        <f t="shared" si="32"/>
        <v>3.8480074146730483</v>
      </c>
      <c r="Z19" s="611">
        <f t="shared" si="32"/>
        <v>3.826654143645011</v>
      </c>
      <c r="AA19" s="611">
        <f t="shared" si="32"/>
        <v>3.7839476015889359</v>
      </c>
      <c r="AB19" s="982">
        <f t="shared" si="1"/>
        <v>1000000</v>
      </c>
      <c r="AC19" s="919">
        <f t="shared" si="2"/>
        <v>3.8693606857010856</v>
      </c>
      <c r="AD19" s="611">
        <f t="shared" si="33"/>
        <v>4.0268146996985195</v>
      </c>
      <c r="AE19" s="611">
        <f t="shared" si="3"/>
        <v>3.9941189053059958</v>
      </c>
      <c r="AF19" s="611">
        <f t="shared" si="3"/>
        <v>3.9418056342779582</v>
      </c>
      <c r="AG19" s="612">
        <f t="shared" si="3"/>
        <v>3.8371790922218825</v>
      </c>
      <c r="AH19" s="609">
        <f t="shared" si="4"/>
        <v>3</v>
      </c>
      <c r="AI19" s="895">
        <f t="shared" si="34"/>
        <v>-1000000</v>
      </c>
      <c r="AJ19" s="610">
        <f t="shared" si="5"/>
        <v>0.92147239967781214</v>
      </c>
      <c r="AK19" s="609">
        <f t="shared" si="35"/>
        <v>0.17707149063294778</v>
      </c>
      <c r="AL19" s="611">
        <f t="shared" si="36"/>
        <v>0.16546149063294768</v>
      </c>
      <c r="AM19" s="611">
        <f t="shared" si="36"/>
        <v>0.14611149063294751</v>
      </c>
      <c r="AN19" s="611">
        <f t="shared" si="36"/>
        <v>0.11515149063294725</v>
      </c>
      <c r="AO19" s="612">
        <f t="shared" si="36"/>
        <v>5.3231490632946701E-2</v>
      </c>
      <c r="AP19" s="902">
        <v>0</v>
      </c>
      <c r="AQ19" s="783">
        <f t="shared" si="6"/>
        <v>1000000</v>
      </c>
      <c r="AR19" s="983"/>
      <c r="AS19" s="609">
        <f t="shared" si="7"/>
        <v>0.92147239967781214</v>
      </c>
      <c r="AT19" s="610">
        <f t="shared" si="8"/>
        <v>4.0268146996985195</v>
      </c>
      <c r="AU19" s="611">
        <f t="shared" si="8"/>
        <v>3.9941189053059958</v>
      </c>
      <c r="AV19" s="611">
        <f t="shared" si="8"/>
        <v>3.9418056342779582</v>
      </c>
      <c r="AW19" s="612">
        <f t="shared" si="8"/>
        <v>3.8371790922218825</v>
      </c>
      <c r="AX19" s="982">
        <f t="shared" si="9"/>
        <v>1000000</v>
      </c>
      <c r="AY19" s="611">
        <f t="shared" si="10"/>
        <v>3</v>
      </c>
      <c r="AZ19" s="612">
        <f t="shared" si="11"/>
        <v>3.8693606857010856</v>
      </c>
      <c r="BA19" s="552"/>
      <c r="BB19" s="984">
        <f t="shared" si="37"/>
        <v>4.1803256083793396</v>
      </c>
      <c r="BC19" s="985">
        <f t="shared" si="38"/>
        <v>3.9806648419669628</v>
      </c>
      <c r="BD19" s="985">
        <f t="shared" si="38"/>
        <v>3.7132175431758196</v>
      </c>
      <c r="BE19" s="528">
        <f t="shared" si="38"/>
        <v>3.9686888616705214</v>
      </c>
      <c r="BF19" s="913">
        <f t="shared" si="12"/>
        <v>4.1803256083793396</v>
      </c>
      <c r="BG19" s="317">
        <f t="shared" si="12"/>
        <v>3.9806648419669628</v>
      </c>
      <c r="BH19" s="317">
        <f t="shared" si="12"/>
        <v>3.7132175431758196</v>
      </c>
      <c r="BI19" s="919">
        <f t="shared" si="12"/>
        <v>-1000000</v>
      </c>
      <c r="BJ19" s="646">
        <f t="shared" si="13"/>
        <v>0.65</v>
      </c>
      <c r="BK19" s="913">
        <f t="shared" si="14"/>
        <v>4.1803256083793396</v>
      </c>
      <c r="BL19" s="317">
        <f t="shared" si="14"/>
        <v>3.9806648419669628</v>
      </c>
      <c r="BM19" s="317">
        <f t="shared" si="14"/>
        <v>3.7132175431758196</v>
      </c>
      <c r="BN19" s="317"/>
      <c r="BO19" s="913">
        <f t="shared" si="15"/>
        <v>3</v>
      </c>
      <c r="BP19" s="783">
        <f t="shared" si="39"/>
        <v>-1000000</v>
      </c>
      <c r="CA19" s="552"/>
      <c r="CB19" s="552"/>
      <c r="CC19" s="672" t="s">
        <v>153</v>
      </c>
      <c r="CD19" s="673">
        <f>C28</f>
        <v>4.2</v>
      </c>
      <c r="CE19" s="660" t="s">
        <v>263</v>
      </c>
      <c r="CK19" s="642">
        <f t="shared" si="50"/>
        <v>13</v>
      </c>
      <c r="CL19" s="609">
        <f t="shared" si="16"/>
        <v>0.92147239967781214</v>
      </c>
      <c r="CM19" s="609">
        <f t="shared" si="40"/>
        <v>0.65</v>
      </c>
      <c r="CN19" s="610">
        <f t="shared" si="17"/>
        <v>6.9761582272073435</v>
      </c>
      <c r="CO19" s="611">
        <f t="shared" si="17"/>
        <v>7.3790468256466051</v>
      </c>
      <c r="CP19" s="612">
        <f t="shared" si="17"/>
        <v>7.6758264559569911</v>
      </c>
      <c r="CQ19" s="611">
        <f t="shared" si="18"/>
        <v>2.2500471835584612</v>
      </c>
      <c r="CR19" s="611">
        <f t="shared" si="18"/>
        <v>2.6509611398204358</v>
      </c>
      <c r="CS19" s="611">
        <f t="shared" si="18"/>
        <v>3.0518750960824099</v>
      </c>
      <c r="CT19" s="610">
        <f t="shared" si="19"/>
        <v>9.2262054107658038</v>
      </c>
      <c r="CU19" s="611">
        <f t="shared" si="19"/>
        <v>10.030007965467041</v>
      </c>
      <c r="CV19" s="612">
        <f t="shared" si="19"/>
        <v>10.727701552039401</v>
      </c>
      <c r="CW19" s="613">
        <f t="shared" si="41"/>
        <v>-1.770973810466983</v>
      </c>
      <c r="CX19" s="613">
        <f t="shared" si="41"/>
        <v>-1.770973810466983</v>
      </c>
      <c r="CY19" s="613">
        <f t="shared" si="41"/>
        <v>-1.770973810466983</v>
      </c>
      <c r="CZ19" s="609">
        <f t="shared" si="21"/>
        <v>8.5058990739490348</v>
      </c>
      <c r="DA19" s="609"/>
      <c r="DB19" s="609">
        <f t="shared" si="42"/>
        <v>0.65</v>
      </c>
      <c r="DC19" s="610">
        <f t="shared" si="22"/>
        <v>4.0445529011240637</v>
      </c>
      <c r="DD19" s="611">
        <f t="shared" si="22"/>
        <v>3.5113495096753495</v>
      </c>
      <c r="DE19" s="612">
        <f t="shared" si="22"/>
        <v>2.9790902632228682</v>
      </c>
      <c r="DF19" s="611">
        <f t="shared" si="48"/>
        <v>8</v>
      </c>
      <c r="DG19" s="611">
        <f t="shared" si="48"/>
        <v>8</v>
      </c>
      <c r="DH19" s="611">
        <f t="shared" si="48"/>
        <v>8</v>
      </c>
      <c r="DI19" s="614">
        <f t="shared" si="23"/>
        <v>8</v>
      </c>
      <c r="DJ19" s="615"/>
      <c r="DK19" s="609">
        <f t="shared" si="43"/>
        <v>0.65</v>
      </c>
      <c r="DL19" s="611">
        <f t="shared" si="24"/>
        <v>3.8774250773217465</v>
      </c>
      <c r="DM19" s="611">
        <f t="shared" si="24"/>
        <v>3.8967828133636395</v>
      </c>
      <c r="DN19" s="611">
        <f t="shared" si="24"/>
        <v>3.9673384610325817</v>
      </c>
      <c r="DO19" s="610">
        <f t="shared" si="25"/>
        <v>0.34221537264116314</v>
      </c>
      <c r="DP19" s="611">
        <f t="shared" si="25"/>
        <v>0.36156537264116329</v>
      </c>
      <c r="DQ19" s="612">
        <f t="shared" si="25"/>
        <v>0.39252537264116355</v>
      </c>
      <c r="DR19" s="611">
        <f t="shared" si="26"/>
        <v>4.2196404499629097</v>
      </c>
      <c r="DS19" s="611">
        <f t="shared" si="26"/>
        <v>4.2583481860048025</v>
      </c>
      <c r="DT19" s="611">
        <f t="shared" si="26"/>
        <v>4.359863833673745</v>
      </c>
      <c r="DU19" s="609">
        <f t="shared" si="44"/>
        <v>4.2</v>
      </c>
      <c r="DV19" s="611"/>
      <c r="DW19" s="646">
        <f t="shared" si="27"/>
        <v>1.7333333333333334</v>
      </c>
      <c r="DX19" s="621">
        <f t="shared" si="28"/>
        <v>8.2704622203711828</v>
      </c>
      <c r="DY19" s="621">
        <f t="shared" si="28"/>
        <v>8.2971322556577256</v>
      </c>
      <c r="DZ19" s="621">
        <f t="shared" si="28"/>
        <v>8.3183748045835149</v>
      </c>
      <c r="EA19" s="610">
        <f t="shared" si="29"/>
        <v>10.264086639786724</v>
      </c>
      <c r="EB19" s="611">
        <f t="shared" si="29"/>
        <v>10.256896849781633</v>
      </c>
      <c r="EC19" s="612">
        <f t="shared" si="29"/>
        <v>10.250846132018333</v>
      </c>
      <c r="ED19" s="610">
        <f t="shared" si="45"/>
        <v>8</v>
      </c>
      <c r="EE19" s="611">
        <f t="shared" si="46"/>
        <v>8.5058990739490348</v>
      </c>
      <c r="EF19" s="645">
        <f t="shared" si="47"/>
        <v>1000000</v>
      </c>
      <c r="EG19" s="902"/>
      <c r="EH19" s="646">
        <f t="shared" si="30"/>
        <v>1.7333333333333334</v>
      </c>
      <c r="EI19" s="610">
        <f t="shared" si="31"/>
        <v>1.9936244194155417</v>
      </c>
      <c r="EJ19" s="986">
        <f t="shared" si="31"/>
        <v>1.9597645941239081</v>
      </c>
      <c r="EK19" s="612">
        <f t="shared" si="31"/>
        <v>1.932471327434818</v>
      </c>
    </row>
    <row r="20" spans="1:141" s="562" customFormat="1" ht="15" customHeight="1" x14ac:dyDescent="0.2">
      <c r="T20" s="948"/>
      <c r="U20" s="642">
        <f t="shared" si="49"/>
        <v>14</v>
      </c>
      <c r="W20" s="609">
        <f t="shared" si="0"/>
        <v>0.99235489196072069</v>
      </c>
      <c r="X20" s="610">
        <f t="shared" si="32"/>
        <v>3.861277666833161</v>
      </c>
      <c r="Y20" s="611">
        <f t="shared" si="32"/>
        <v>3.8478059687199537</v>
      </c>
      <c r="Z20" s="611">
        <f t="shared" si="32"/>
        <v>3.8262512517388214</v>
      </c>
      <c r="AA20" s="611">
        <f t="shared" si="32"/>
        <v>3.7831418177765572</v>
      </c>
      <c r="AB20" s="982">
        <f t="shared" si="1"/>
        <v>1000000</v>
      </c>
      <c r="AC20" s="919">
        <f t="shared" si="2"/>
        <v>3.8693606857010856</v>
      </c>
      <c r="AD20" s="611">
        <f t="shared" si="33"/>
        <v>4.0169913267232875</v>
      </c>
      <c r="AE20" s="611">
        <f t="shared" si="3"/>
        <v>3.9841696286100801</v>
      </c>
      <c r="AF20" s="611">
        <f t="shared" si="3"/>
        <v>3.9316549116289474</v>
      </c>
      <c r="AG20" s="612">
        <f t="shared" si="3"/>
        <v>3.8266254776666826</v>
      </c>
      <c r="AH20" s="609">
        <f t="shared" si="4"/>
        <v>3</v>
      </c>
      <c r="AI20" s="895">
        <f t="shared" si="34"/>
        <v>-1000000</v>
      </c>
      <c r="AJ20" s="610">
        <f t="shared" si="5"/>
        <v>0.99235489196072069</v>
      </c>
      <c r="AK20" s="609">
        <f t="shared" si="35"/>
        <v>0.16732365989012646</v>
      </c>
      <c r="AL20" s="611">
        <f t="shared" si="36"/>
        <v>0.15571365989012637</v>
      </c>
      <c r="AM20" s="611">
        <f t="shared" si="36"/>
        <v>0.13636365989012619</v>
      </c>
      <c r="AN20" s="611">
        <f t="shared" si="36"/>
        <v>0.10540365989012593</v>
      </c>
      <c r="AO20" s="612">
        <f t="shared" si="36"/>
        <v>4.3483659890125384E-2</v>
      </c>
      <c r="AP20" s="902">
        <v>0</v>
      </c>
      <c r="AQ20" s="783">
        <f t="shared" si="6"/>
        <v>1000000</v>
      </c>
      <c r="AR20" s="983"/>
      <c r="AS20" s="609">
        <f t="shared" si="7"/>
        <v>0.99235489196072069</v>
      </c>
      <c r="AT20" s="610">
        <f t="shared" si="8"/>
        <v>4.0169913267232875</v>
      </c>
      <c r="AU20" s="611">
        <f t="shared" si="8"/>
        <v>3.9841696286100801</v>
      </c>
      <c r="AV20" s="611">
        <f t="shared" si="8"/>
        <v>3.9316549116289474</v>
      </c>
      <c r="AW20" s="612">
        <f t="shared" si="8"/>
        <v>3.8266254776666826</v>
      </c>
      <c r="AX20" s="982">
        <f t="shared" si="9"/>
        <v>1000000</v>
      </c>
      <c r="AY20" s="611">
        <f t="shared" si="10"/>
        <v>3</v>
      </c>
      <c r="AZ20" s="612">
        <f t="shared" si="11"/>
        <v>3.8693606857010856</v>
      </c>
      <c r="BA20" s="552"/>
      <c r="BB20" s="984">
        <f t="shared" si="37"/>
        <v>4.1802444874621232</v>
      </c>
      <c r="BC20" s="985">
        <f t="shared" si="38"/>
        <v>3.9696035423715235</v>
      </c>
      <c r="BD20" s="985">
        <f t="shared" si="38"/>
        <v>3.6854761463069847</v>
      </c>
      <c r="BE20" s="528">
        <f t="shared" si="38"/>
        <v>3.8568252892338655</v>
      </c>
      <c r="BF20" s="913">
        <f t="shared" si="12"/>
        <v>4.1802444874621232</v>
      </c>
      <c r="BG20" s="317">
        <f t="shared" si="12"/>
        <v>3.9696035423715235</v>
      </c>
      <c r="BH20" s="317">
        <f t="shared" si="12"/>
        <v>3.6854761463069847</v>
      </c>
      <c r="BI20" s="919">
        <f t="shared" si="12"/>
        <v>-1000000</v>
      </c>
      <c r="BJ20" s="646">
        <f t="shared" si="13"/>
        <v>0.7</v>
      </c>
      <c r="BK20" s="913">
        <f t="shared" si="14"/>
        <v>4.1802444874621232</v>
      </c>
      <c r="BL20" s="317">
        <f t="shared" si="14"/>
        <v>3.9696035423715235</v>
      </c>
      <c r="BM20" s="317">
        <f t="shared" si="14"/>
        <v>3.6854761463069847</v>
      </c>
      <c r="BN20" s="317"/>
      <c r="BO20" s="913">
        <f t="shared" si="15"/>
        <v>3</v>
      </c>
      <c r="BP20" s="783">
        <f t="shared" si="39"/>
        <v>-1000000</v>
      </c>
      <c r="BQ20" s="552"/>
      <c r="CA20" s="552"/>
      <c r="CB20" s="552"/>
      <c r="CC20" s="672" t="s">
        <v>151</v>
      </c>
      <c r="CD20" s="698">
        <f>K25</f>
        <v>3.8693606857010856</v>
      </c>
      <c r="CE20" s="660" t="s">
        <v>263</v>
      </c>
      <c r="CF20" s="561"/>
      <c r="CG20" s="144"/>
      <c r="CH20" s="653"/>
      <c r="CI20" s="653"/>
      <c r="CK20" s="642">
        <f t="shared" si="50"/>
        <v>14</v>
      </c>
      <c r="CL20" s="609">
        <f t="shared" si="16"/>
        <v>0.99235489196072069</v>
      </c>
      <c r="CM20" s="609">
        <f t="shared" si="40"/>
        <v>0.7</v>
      </c>
      <c r="CN20" s="610">
        <f t="shared" si="17"/>
        <v>7.1652895605971247</v>
      </c>
      <c r="CO20" s="611">
        <f t="shared" si="17"/>
        <v>7.5413156321528394</v>
      </c>
      <c r="CP20" s="612">
        <f t="shared" si="17"/>
        <v>7.8118705690631689</v>
      </c>
      <c r="CQ20" s="611">
        <f t="shared" si="18"/>
        <v>2.2501914682510664</v>
      </c>
      <c r="CR20" s="611">
        <f t="shared" si="18"/>
        <v>2.6511116977605456</v>
      </c>
      <c r="CS20" s="611">
        <f t="shared" si="18"/>
        <v>3.0520319272700243</v>
      </c>
      <c r="CT20" s="610">
        <f t="shared" si="19"/>
        <v>9.4154810288481912</v>
      </c>
      <c r="CU20" s="611">
        <f t="shared" si="19"/>
        <v>10.192427329913386</v>
      </c>
      <c r="CV20" s="612">
        <f t="shared" si="19"/>
        <v>10.863902496333193</v>
      </c>
      <c r="CW20" s="613">
        <f t="shared" si="41"/>
        <v>-1.3709738104669835</v>
      </c>
      <c r="CX20" s="613">
        <f t="shared" si="41"/>
        <v>-1.3709738104669835</v>
      </c>
      <c r="CY20" s="613">
        <f t="shared" si="41"/>
        <v>-1.3709738104669835</v>
      </c>
      <c r="CZ20" s="609">
        <f t="shared" si="21"/>
        <v>8.5058990739490348</v>
      </c>
      <c r="DA20" s="609"/>
      <c r="DB20" s="609">
        <f t="shared" si="42"/>
        <v>0.7</v>
      </c>
      <c r="DC20" s="610">
        <f t="shared" si="22"/>
        <v>3.5415644039279703</v>
      </c>
      <c r="DD20" s="611">
        <f t="shared" si="22"/>
        <v>3.0027909073162236</v>
      </c>
      <c r="DE20" s="612">
        <f t="shared" si="22"/>
        <v>2.4879429540673637</v>
      </c>
      <c r="DF20" s="611">
        <f t="shared" si="48"/>
        <v>8</v>
      </c>
      <c r="DG20" s="611">
        <f t="shared" si="48"/>
        <v>8</v>
      </c>
      <c r="DH20" s="611">
        <f t="shared" si="48"/>
        <v>8</v>
      </c>
      <c r="DI20" s="614">
        <f t="shared" si="23"/>
        <v>8</v>
      </c>
      <c r="DJ20" s="615"/>
      <c r="DK20" s="609">
        <f t="shared" si="43"/>
        <v>0.7</v>
      </c>
      <c r="DL20" s="611">
        <f t="shared" si="24"/>
        <v>3.8775061982389625</v>
      </c>
      <c r="DM20" s="611">
        <f t="shared" si="24"/>
        <v>3.8977439985268245</v>
      </c>
      <c r="DN20" s="611">
        <f t="shared" si="24"/>
        <v>3.9808252027036675</v>
      </c>
      <c r="DO20" s="610">
        <f t="shared" si="25"/>
        <v>0.34223414894955423</v>
      </c>
      <c r="DP20" s="611">
        <f t="shared" si="25"/>
        <v>0.36158414894955437</v>
      </c>
      <c r="DQ20" s="612">
        <f t="shared" si="25"/>
        <v>0.39254414894955464</v>
      </c>
      <c r="DR20" s="611">
        <f t="shared" si="26"/>
        <v>4.2197403471885169</v>
      </c>
      <c r="DS20" s="611">
        <f t="shared" si="26"/>
        <v>4.2593281474763787</v>
      </c>
      <c r="DT20" s="611">
        <f t="shared" si="26"/>
        <v>4.3733693516532224</v>
      </c>
      <c r="DU20" s="609">
        <f t="shared" si="44"/>
        <v>4.2</v>
      </c>
      <c r="DV20" s="611"/>
      <c r="DW20" s="646">
        <f t="shared" si="27"/>
        <v>1.8666666666666667</v>
      </c>
      <c r="DX20" s="621">
        <f t="shared" si="28"/>
        <v>8.2526855257799152</v>
      </c>
      <c r="DY20" s="621">
        <f t="shared" si="28"/>
        <v>8.28133579277387</v>
      </c>
      <c r="DZ20" s="621">
        <f t="shared" si="28"/>
        <v>8.3041617023677805</v>
      </c>
      <c r="EA20" s="610">
        <f t="shared" si="29"/>
        <v>10.201382419738225</v>
      </c>
      <c r="EB20" s="611">
        <f t="shared" si="29"/>
        <v>10.19385957431062</v>
      </c>
      <c r="EC20" s="612">
        <f t="shared" si="29"/>
        <v>10.187527554240315</v>
      </c>
      <c r="ED20" s="610">
        <f t="shared" si="45"/>
        <v>8</v>
      </c>
      <c r="EE20" s="611">
        <f t="shared" si="46"/>
        <v>8.5058990739490348</v>
      </c>
      <c r="EF20" s="645">
        <f t="shared" si="47"/>
        <v>1000000</v>
      </c>
      <c r="EG20" s="902"/>
      <c r="EH20" s="646">
        <f t="shared" si="30"/>
        <v>1.8666666666666667</v>
      </c>
      <c r="EI20" s="610">
        <f t="shared" si="31"/>
        <v>1.94869689395831</v>
      </c>
      <c r="EJ20" s="986">
        <f t="shared" si="31"/>
        <v>1.9125237815367502</v>
      </c>
      <c r="EK20" s="612">
        <f t="shared" si="31"/>
        <v>1.8833658518725342</v>
      </c>
    </row>
    <row r="21" spans="1:141" s="562" customFormat="1" ht="15" customHeight="1" x14ac:dyDescent="0.2">
      <c r="T21" s="948"/>
      <c r="U21" s="642">
        <f t="shared" si="49"/>
        <v>15</v>
      </c>
      <c r="W21" s="609">
        <f t="shared" si="0"/>
        <v>1.0632373842436293</v>
      </c>
      <c r="X21" s="610">
        <f t="shared" si="32"/>
        <v>3.8612006857010854</v>
      </c>
      <c r="Y21" s="611">
        <f t="shared" si="32"/>
        <v>3.8476006857010856</v>
      </c>
      <c r="Z21" s="611">
        <f t="shared" si="32"/>
        <v>3.8258406857010856</v>
      </c>
      <c r="AA21" s="611">
        <f t="shared" si="32"/>
        <v>3.7823206857010856</v>
      </c>
      <c r="AB21" s="982">
        <f t="shared" si="1"/>
        <v>1000000</v>
      </c>
      <c r="AC21" s="919">
        <f t="shared" si="2"/>
        <v>3.8693606857010856</v>
      </c>
      <c r="AD21" s="611">
        <f t="shared" si="33"/>
        <v>4.0074236765974751</v>
      </c>
      <c r="AE21" s="611">
        <f t="shared" si="33"/>
        <v>3.9744736765974746</v>
      </c>
      <c r="AF21" s="611">
        <f t="shared" si="33"/>
        <v>3.9217536765974743</v>
      </c>
      <c r="AG21" s="612">
        <f t="shared" si="33"/>
        <v>3.8163136765974741</v>
      </c>
      <c r="AH21" s="609">
        <f t="shared" si="4"/>
        <v>3</v>
      </c>
      <c r="AI21" s="895">
        <f t="shared" si="34"/>
        <v>-1000000</v>
      </c>
      <c r="AJ21" s="610">
        <f t="shared" si="5"/>
        <v>1.0632373842436293</v>
      </c>
      <c r="AK21" s="609">
        <f t="shared" si="35"/>
        <v>0.15783299089638944</v>
      </c>
      <c r="AL21" s="611">
        <f t="shared" si="36"/>
        <v>0.14622299089638935</v>
      </c>
      <c r="AM21" s="611">
        <f t="shared" si="36"/>
        <v>0.12687299089638918</v>
      </c>
      <c r="AN21" s="611">
        <f t="shared" si="36"/>
        <v>9.5912990896388911E-2</v>
      </c>
      <c r="AO21" s="612">
        <f t="shared" si="36"/>
        <v>3.3992990896388367E-2</v>
      </c>
      <c r="AP21" s="902">
        <v>0</v>
      </c>
      <c r="AQ21" s="783">
        <f t="shared" si="6"/>
        <v>1000000</v>
      </c>
      <c r="AR21" s="983"/>
      <c r="AS21" s="609">
        <f t="shared" si="7"/>
        <v>1.0632373842436293</v>
      </c>
      <c r="AT21" s="610">
        <f t="shared" si="8"/>
        <v>4.0074236765974751</v>
      </c>
      <c r="AU21" s="611">
        <f t="shared" si="8"/>
        <v>3.9744736765974746</v>
      </c>
      <c r="AV21" s="611">
        <f t="shared" si="8"/>
        <v>3.9217536765974743</v>
      </c>
      <c r="AW21" s="612">
        <f t="shared" si="8"/>
        <v>3.8163136765974741</v>
      </c>
      <c r="AX21" s="982">
        <f t="shared" si="9"/>
        <v>1000000</v>
      </c>
      <c r="AY21" s="611">
        <f t="shared" si="10"/>
        <v>3</v>
      </c>
      <c r="AZ21" s="612">
        <f t="shared" si="11"/>
        <v>3.8693606857010856</v>
      </c>
      <c r="BA21" s="552"/>
      <c r="BB21" s="984">
        <f t="shared" si="37"/>
        <v>4.1801617179466186</v>
      </c>
      <c r="BC21" s="985">
        <f t="shared" si="38"/>
        <v>3.9587541291420041</v>
      </c>
      <c r="BD21" s="985">
        <f t="shared" si="38"/>
        <v>3.6544649159052658</v>
      </c>
      <c r="BE21" s="528">
        <f t="shared" si="38"/>
        <v>3.7929102868560665</v>
      </c>
      <c r="BF21" s="913">
        <f t="shared" si="12"/>
        <v>4.1801617179466186</v>
      </c>
      <c r="BG21" s="317">
        <f t="shared" si="12"/>
        <v>3.9587541291420041</v>
      </c>
      <c r="BH21" s="317">
        <f t="shared" si="12"/>
        <v>3.6544649159052658</v>
      </c>
      <c r="BI21" s="919">
        <f t="shared" si="12"/>
        <v>-1000000</v>
      </c>
      <c r="BJ21" s="646">
        <f t="shared" si="13"/>
        <v>0.75</v>
      </c>
      <c r="BK21" s="913">
        <f t="shared" si="14"/>
        <v>4.1801617179466186</v>
      </c>
      <c r="BL21" s="317">
        <f t="shared" si="14"/>
        <v>3.9587541291420041</v>
      </c>
      <c r="BM21" s="317">
        <f t="shared" si="14"/>
        <v>3.6544649159052658</v>
      </c>
      <c r="BN21" s="317"/>
      <c r="BO21" s="913">
        <f t="shared" si="15"/>
        <v>3</v>
      </c>
      <c r="BP21" s="783">
        <f t="shared" si="39"/>
        <v>-1000000</v>
      </c>
      <c r="BQ21" s="552"/>
      <c r="BX21" s="552"/>
      <c r="BY21" s="552"/>
      <c r="BZ21" s="552"/>
      <c r="CA21" s="552"/>
      <c r="CB21" s="552"/>
      <c r="CC21" s="672" t="s">
        <v>269</v>
      </c>
      <c r="CD21" s="673">
        <f>C30</f>
        <v>3.7</v>
      </c>
      <c r="CE21" s="660" t="s">
        <v>263</v>
      </c>
      <c r="CF21" s="561"/>
      <c r="CG21" s="144"/>
      <c r="CH21" s="653"/>
      <c r="CI21" s="653"/>
      <c r="CK21" s="642">
        <f t="shared" si="50"/>
        <v>15</v>
      </c>
      <c r="CL21" s="609">
        <f t="shared" si="16"/>
        <v>1.0632373842436293</v>
      </c>
      <c r="CM21" s="609">
        <f t="shared" si="40"/>
        <v>0.75</v>
      </c>
      <c r="CN21" s="610">
        <f t="shared" si="17"/>
        <v>7.3310374160952181</v>
      </c>
      <c r="CO21" s="611">
        <f t="shared" si="17"/>
        <v>7.6802174306022266</v>
      </c>
      <c r="CP21" s="612">
        <f t="shared" si="17"/>
        <v>7.9256178369178807</v>
      </c>
      <c r="CQ21" s="611">
        <f t="shared" si="18"/>
        <v>2.2502559355728087</v>
      </c>
      <c r="CR21" s="611">
        <f t="shared" si="18"/>
        <v>2.6511789680093192</v>
      </c>
      <c r="CS21" s="611">
        <f t="shared" si="18"/>
        <v>3.0521020004458306</v>
      </c>
      <c r="CT21" s="610">
        <f t="shared" si="19"/>
        <v>9.5812933516680268</v>
      </c>
      <c r="CU21" s="611">
        <f t="shared" si="19"/>
        <v>10.331396398611545</v>
      </c>
      <c r="CV21" s="612">
        <f t="shared" si="19"/>
        <v>10.977719837363711</v>
      </c>
      <c r="CW21" s="613">
        <f t="shared" si="41"/>
        <v>-0.97097381046698317</v>
      </c>
      <c r="CX21" s="613">
        <f t="shared" si="41"/>
        <v>-0.97097381046698317</v>
      </c>
      <c r="CY21" s="613">
        <f t="shared" si="41"/>
        <v>-0.97097381046698317</v>
      </c>
      <c r="CZ21" s="609">
        <f t="shared" si="21"/>
        <v>8.5058990739490348</v>
      </c>
      <c r="DA21" s="609"/>
      <c r="DB21" s="609">
        <f t="shared" si="42"/>
        <v>0.75</v>
      </c>
      <c r="DC21" s="610">
        <f t="shared" si="22"/>
        <v>3.1023873212045694</v>
      </c>
      <c r="DD21" s="611">
        <f t="shared" si="22"/>
        <v>2.5690797825738652</v>
      </c>
      <c r="DE21" s="612">
        <f t="shared" si="22"/>
        <v>2.0788914712898179</v>
      </c>
      <c r="DF21" s="611">
        <f t="shared" si="48"/>
        <v>8</v>
      </c>
      <c r="DG21" s="611">
        <f t="shared" si="48"/>
        <v>8</v>
      </c>
      <c r="DH21" s="611">
        <f t="shared" si="48"/>
        <v>8</v>
      </c>
      <c r="DI21" s="614">
        <f t="shared" si="23"/>
        <v>8</v>
      </c>
      <c r="DJ21" s="615"/>
      <c r="DK21" s="609">
        <f t="shared" si="43"/>
        <v>0.75</v>
      </c>
      <c r="DL21" s="611">
        <f t="shared" si="24"/>
        <v>3.877588967754467</v>
      </c>
      <c r="DM21" s="611">
        <f t="shared" si="24"/>
        <v>3.8987750131692844</v>
      </c>
      <c r="DN21" s="611">
        <f t="shared" si="24"/>
        <v>3.9986175420937653</v>
      </c>
      <c r="DO21" s="610">
        <f t="shared" si="25"/>
        <v>0.34224253832400769</v>
      </c>
      <c r="DP21" s="611">
        <f t="shared" si="25"/>
        <v>0.36159253832400784</v>
      </c>
      <c r="DQ21" s="612">
        <f t="shared" si="25"/>
        <v>0.3925525383240081</v>
      </c>
      <c r="DR21" s="611">
        <f t="shared" si="26"/>
        <v>4.2198315060784743</v>
      </c>
      <c r="DS21" s="611">
        <f t="shared" si="26"/>
        <v>4.2603675514932924</v>
      </c>
      <c r="DT21" s="611">
        <f t="shared" si="26"/>
        <v>4.3911700804177736</v>
      </c>
      <c r="DU21" s="609">
        <f t="shared" si="44"/>
        <v>4.2</v>
      </c>
      <c r="DV21" s="611"/>
      <c r="DW21" s="646">
        <f t="shared" si="27"/>
        <v>2</v>
      </c>
      <c r="DX21" s="621">
        <f t="shared" si="28"/>
        <v>8.2349555809281902</v>
      </c>
      <c r="DY21" s="621">
        <f t="shared" si="28"/>
        <v>8.265576177087393</v>
      </c>
      <c r="DZ21" s="621">
        <f t="shared" si="28"/>
        <v>8.2899783875515709</v>
      </c>
      <c r="EA21" s="610">
        <f t="shared" si="29"/>
        <v>10.139467536108469</v>
      </c>
      <c r="EB21" s="611">
        <f t="shared" si="29"/>
        <v>10.131639967989337</v>
      </c>
      <c r="EC21" s="612">
        <f t="shared" si="29"/>
        <v>10.125050405982265</v>
      </c>
      <c r="ED21" s="610">
        <f t="shared" si="45"/>
        <v>8</v>
      </c>
      <c r="EE21" s="611">
        <f t="shared" si="46"/>
        <v>8.5058990739490348</v>
      </c>
      <c r="EF21" s="645">
        <f t="shared" si="47"/>
        <v>1000000</v>
      </c>
      <c r="EG21" s="902"/>
      <c r="EH21" s="646">
        <f t="shared" si="30"/>
        <v>2</v>
      </c>
      <c r="EI21" s="610">
        <f t="shared" si="31"/>
        <v>1.9045119551802787</v>
      </c>
      <c r="EJ21" s="986">
        <f t="shared" si="31"/>
        <v>1.8660637909019431</v>
      </c>
      <c r="EK21" s="612">
        <f t="shared" si="31"/>
        <v>1.8350720184306932</v>
      </c>
    </row>
    <row r="22" spans="1:141" s="562" customFormat="1" ht="15" customHeight="1" x14ac:dyDescent="0.2">
      <c r="Q22" s="1018"/>
      <c r="R22" s="659"/>
      <c r="S22" s="659"/>
      <c r="T22" s="659"/>
      <c r="U22" s="642">
        <f t="shared" si="49"/>
        <v>16</v>
      </c>
      <c r="W22" s="609">
        <f t="shared" si="0"/>
        <v>1.1341198765265379</v>
      </c>
      <c r="X22" s="610">
        <f t="shared" si="32"/>
        <v>3.861122224162624</v>
      </c>
      <c r="Y22" s="611">
        <f t="shared" si="32"/>
        <v>3.8473914549318549</v>
      </c>
      <c r="Z22" s="611">
        <f t="shared" si="32"/>
        <v>3.8254222241626241</v>
      </c>
      <c r="AA22" s="611">
        <f t="shared" si="32"/>
        <v>3.7814837626241626</v>
      </c>
      <c r="AB22" s="982">
        <f t="shared" si="1"/>
        <v>1000000</v>
      </c>
      <c r="AC22" s="919">
        <f t="shared" si="2"/>
        <v>3.8693606857010856</v>
      </c>
      <c r="AD22" s="611">
        <f t="shared" ref="AD22:AG85" si="51">AT22</f>
        <v>3.9981049235187633</v>
      </c>
      <c r="AE22" s="611">
        <f t="shared" si="51"/>
        <v>3.965024154287994</v>
      </c>
      <c r="AF22" s="611">
        <f t="shared" si="51"/>
        <v>3.912094923518763</v>
      </c>
      <c r="AG22" s="612">
        <f t="shared" si="51"/>
        <v>3.8062364619803009</v>
      </c>
      <c r="AH22" s="609">
        <f t="shared" si="4"/>
        <v>3</v>
      </c>
      <c r="AI22" s="895">
        <f t="shared" si="34"/>
        <v>-1000000</v>
      </c>
      <c r="AJ22" s="610">
        <f t="shared" si="5"/>
        <v>1.1341198765265379</v>
      </c>
      <c r="AK22" s="609">
        <f t="shared" si="35"/>
        <v>0.1485926993561395</v>
      </c>
      <c r="AL22" s="611">
        <f t="shared" si="36"/>
        <v>0.13698269935613941</v>
      </c>
      <c r="AM22" s="611">
        <f t="shared" si="36"/>
        <v>0.11763269935613924</v>
      </c>
      <c r="AN22" s="611">
        <f t="shared" si="36"/>
        <v>8.6672699356138971E-2</v>
      </c>
      <c r="AO22" s="612">
        <f t="shared" si="36"/>
        <v>2.4752699356138427E-2</v>
      </c>
      <c r="AP22" s="902">
        <v>0</v>
      </c>
      <c r="AQ22" s="783">
        <f t="shared" si="6"/>
        <v>1000000</v>
      </c>
      <c r="AR22" s="983"/>
      <c r="AS22" s="609">
        <f t="shared" si="7"/>
        <v>1.1341198765265379</v>
      </c>
      <c r="AT22" s="610">
        <f t="shared" si="8"/>
        <v>3.9981049235187633</v>
      </c>
      <c r="AU22" s="611">
        <f t="shared" si="8"/>
        <v>3.965024154287994</v>
      </c>
      <c r="AV22" s="611">
        <f t="shared" si="8"/>
        <v>3.912094923518763</v>
      </c>
      <c r="AW22" s="612">
        <f t="shared" si="8"/>
        <v>3.8062364619803009</v>
      </c>
      <c r="AX22" s="982">
        <f t="shared" si="9"/>
        <v>1000000</v>
      </c>
      <c r="AY22" s="611">
        <f t="shared" si="10"/>
        <v>3</v>
      </c>
      <c r="AZ22" s="612">
        <f t="shared" si="11"/>
        <v>3.8693606857010856</v>
      </c>
      <c r="BA22" s="552"/>
      <c r="BB22" s="984">
        <f t="shared" si="37"/>
        <v>4.1800772490608926</v>
      </c>
      <c r="BC22" s="985">
        <f t="shared" si="38"/>
        <v>3.9481008481286484</v>
      </c>
      <c r="BD22" s="985">
        <f t="shared" si="38"/>
        <v>3.6176551422128687</v>
      </c>
      <c r="BE22" s="528">
        <f t="shared" si="38"/>
        <v>3.7507495285691137</v>
      </c>
      <c r="BF22" s="913">
        <f t="shared" si="12"/>
        <v>4.1800772490608926</v>
      </c>
      <c r="BG22" s="317">
        <f t="shared" si="12"/>
        <v>3.9481008481286484</v>
      </c>
      <c r="BH22" s="317">
        <f t="shared" si="12"/>
        <v>3.6176551422128687</v>
      </c>
      <c r="BI22" s="919">
        <f t="shared" si="12"/>
        <v>-1000000</v>
      </c>
      <c r="BJ22" s="646">
        <f t="shared" si="13"/>
        <v>0.8</v>
      </c>
      <c r="BK22" s="913">
        <f t="shared" si="14"/>
        <v>4.1800772490608926</v>
      </c>
      <c r="BL22" s="317">
        <f t="shared" si="14"/>
        <v>3.9481008481286484</v>
      </c>
      <c r="BM22" s="317">
        <f t="shared" si="14"/>
        <v>3.6176551422128687</v>
      </c>
      <c r="BN22" s="317"/>
      <c r="BO22" s="913">
        <f t="shared" si="15"/>
        <v>3</v>
      </c>
      <c r="BP22" s="783">
        <f t="shared" si="39"/>
        <v>-1000000</v>
      </c>
      <c r="BQ22" s="552"/>
      <c r="BX22" s="552"/>
      <c r="BY22" s="552"/>
      <c r="BZ22" s="552"/>
      <c r="CA22" s="552"/>
      <c r="CB22" s="552"/>
      <c r="CC22" s="672" t="s">
        <v>341</v>
      </c>
      <c r="CD22" s="673">
        <f>C31</f>
        <v>3</v>
      </c>
      <c r="CE22" s="660" t="s">
        <v>263</v>
      </c>
      <c r="CF22" s="552"/>
      <c r="CG22" s="552"/>
      <c r="CH22" s="552"/>
      <c r="CK22" s="642">
        <f t="shared" si="50"/>
        <v>16</v>
      </c>
      <c r="CL22" s="609">
        <f t="shared" si="16"/>
        <v>1.1341198765265379</v>
      </c>
      <c r="CM22" s="609">
        <f t="shared" si="40"/>
        <v>0.8</v>
      </c>
      <c r="CN22" s="610">
        <f t="shared" si="17"/>
        <v>7.4762928378692459</v>
      </c>
      <c r="CO22" s="611">
        <f t="shared" si="17"/>
        <v>7.7991171133439829</v>
      </c>
      <c r="CP22" s="612">
        <f t="shared" si="17"/>
        <v>8.0207225838194542</v>
      </c>
      <c r="CQ22" s="611">
        <f t="shared" si="18"/>
        <v>2.25028473998371</v>
      </c>
      <c r="CR22" s="611">
        <f t="shared" si="18"/>
        <v>2.6512090247859126</v>
      </c>
      <c r="CS22" s="611">
        <f t="shared" si="18"/>
        <v>3.0521333095881151</v>
      </c>
      <c r="CT22" s="610">
        <f t="shared" si="19"/>
        <v>9.7265775778529555</v>
      </c>
      <c r="CU22" s="611">
        <f t="shared" si="19"/>
        <v>10.450326138129896</v>
      </c>
      <c r="CV22" s="612">
        <f t="shared" si="19"/>
        <v>11.072855893407569</v>
      </c>
      <c r="CW22" s="613">
        <f t="shared" ref="CW22:CY37" si="52">IF((CW21+$CD$32*($CM22-$CM21))&lt;CT22,(CW21+$CD$32*($CM22-$CM21)),CT22)</f>
        <v>-0.57097381046698281</v>
      </c>
      <c r="CX22" s="613">
        <f t="shared" si="52"/>
        <v>-0.57097381046698281</v>
      </c>
      <c r="CY22" s="613">
        <f t="shared" si="52"/>
        <v>-0.57097381046698281</v>
      </c>
      <c r="CZ22" s="609">
        <f t="shared" si="21"/>
        <v>8.5058990739490348</v>
      </c>
      <c r="DA22" s="609"/>
      <c r="DB22" s="609">
        <f t="shared" si="42"/>
        <v>0.8</v>
      </c>
      <c r="DC22" s="610">
        <f t="shared" si="22"/>
        <v>2.7182339591825206</v>
      </c>
      <c r="DD22" s="611">
        <f t="shared" si="22"/>
        <v>2.1985450511170663</v>
      </c>
      <c r="DE22" s="612">
        <f t="shared" si="22"/>
        <v>1.7375958852216591</v>
      </c>
      <c r="DF22" s="611">
        <f t="shared" si="48"/>
        <v>8</v>
      </c>
      <c r="DG22" s="611">
        <f t="shared" si="48"/>
        <v>8</v>
      </c>
      <c r="DH22" s="611">
        <f t="shared" si="48"/>
        <v>8</v>
      </c>
      <c r="DI22" s="614">
        <f t="shared" si="23"/>
        <v>8</v>
      </c>
      <c r="DJ22" s="615"/>
      <c r="DK22" s="609">
        <f t="shared" si="43"/>
        <v>0.8</v>
      </c>
      <c r="DL22" s="611">
        <f t="shared" si="24"/>
        <v>3.8776734366401935</v>
      </c>
      <c r="DM22" s="611">
        <f t="shared" si="24"/>
        <v>3.8998837537260966</v>
      </c>
      <c r="DN22" s="611">
        <f t="shared" si="24"/>
        <v>4.0231689288134138</v>
      </c>
      <c r="DO22" s="610">
        <f t="shared" si="25"/>
        <v>0.34224628675006974</v>
      </c>
      <c r="DP22" s="611">
        <f t="shared" si="25"/>
        <v>0.36159628675006988</v>
      </c>
      <c r="DQ22" s="612">
        <f t="shared" si="25"/>
        <v>0.39255628675007015</v>
      </c>
      <c r="DR22" s="611">
        <f t="shared" si="26"/>
        <v>4.2199197233902632</v>
      </c>
      <c r="DS22" s="611">
        <f t="shared" si="26"/>
        <v>4.2614800404761661</v>
      </c>
      <c r="DT22" s="611">
        <f t="shared" si="26"/>
        <v>4.4157252155634836</v>
      </c>
      <c r="DU22" s="609">
        <f t="shared" si="44"/>
        <v>4.2</v>
      </c>
      <c r="DV22" s="611"/>
      <c r="DW22" s="646">
        <f t="shared" si="27"/>
        <v>2.1333333333333333</v>
      </c>
      <c r="DX22" s="621">
        <f t="shared" si="28"/>
        <v>8.2172722016421584</v>
      </c>
      <c r="DY22" s="621">
        <f t="shared" si="28"/>
        <v>8.2498532798225366</v>
      </c>
      <c r="DZ22" s="621">
        <f t="shared" si="28"/>
        <v>8.2758247665915814</v>
      </c>
      <c r="EA22" s="610">
        <f t="shared" si="29"/>
        <v>10.078329530845387</v>
      </c>
      <c r="EB22" s="611">
        <f t="shared" si="29"/>
        <v>10.070224996190326</v>
      </c>
      <c r="EC22" s="612">
        <f t="shared" si="29"/>
        <v>10.063401178436608</v>
      </c>
      <c r="ED22" s="610">
        <f t="shared" si="45"/>
        <v>8</v>
      </c>
      <c r="EE22" s="611">
        <f t="shared" si="46"/>
        <v>8.5058990739490348</v>
      </c>
      <c r="EF22" s="645">
        <f t="shared" si="47"/>
        <v>1000000</v>
      </c>
      <c r="EG22" s="902"/>
      <c r="EH22" s="646">
        <f t="shared" si="30"/>
        <v>2.1333333333333333</v>
      </c>
      <c r="EI22" s="610">
        <f t="shared" si="31"/>
        <v>1.8610573292032293</v>
      </c>
      <c r="EJ22" s="986">
        <f t="shared" si="31"/>
        <v>1.8203717163677906</v>
      </c>
      <c r="EK22" s="612">
        <f t="shared" si="31"/>
        <v>1.7875764118450268</v>
      </c>
    </row>
    <row r="23" spans="1:141" s="562" customFormat="1" ht="15" customHeight="1" x14ac:dyDescent="0.2">
      <c r="Q23" s="701"/>
      <c r="R23" s="1019"/>
      <c r="S23" s="1019"/>
      <c r="T23" s="1019"/>
      <c r="U23" s="642">
        <f t="shared" si="49"/>
        <v>17</v>
      </c>
      <c r="W23" s="609">
        <f t="shared" si="0"/>
        <v>1.2050023688094467</v>
      </c>
      <c r="X23" s="610">
        <f t="shared" si="32"/>
        <v>3.8610422390991439</v>
      </c>
      <c r="Y23" s="611">
        <f t="shared" si="32"/>
        <v>3.8471781614292411</v>
      </c>
      <c r="Z23" s="611">
        <f t="shared" si="32"/>
        <v>3.8249956371573961</v>
      </c>
      <c r="AA23" s="611">
        <f t="shared" si="32"/>
        <v>3.780630588613707</v>
      </c>
      <c r="AB23" s="982">
        <f t="shared" si="1"/>
        <v>1000000</v>
      </c>
      <c r="AC23" s="919">
        <f t="shared" si="2"/>
        <v>3.8693606857010856</v>
      </c>
      <c r="AD23" s="611">
        <f t="shared" si="51"/>
        <v>3.9890284190523664</v>
      </c>
      <c r="AE23" s="611">
        <f t="shared" si="51"/>
        <v>3.9558143413824638</v>
      </c>
      <c r="AF23" s="611">
        <f t="shared" si="51"/>
        <v>3.9026718171106185</v>
      </c>
      <c r="AG23" s="612">
        <f t="shared" si="51"/>
        <v>3.7963867685669288</v>
      </c>
      <c r="AH23" s="609">
        <f t="shared" si="4"/>
        <v>3</v>
      </c>
      <c r="AI23" s="895">
        <f t="shared" si="34"/>
        <v>-1000000</v>
      </c>
      <c r="AJ23" s="610">
        <f t="shared" si="5"/>
        <v>1.2050023688094467</v>
      </c>
      <c r="AK23" s="609">
        <f t="shared" si="35"/>
        <v>0.13959617995322279</v>
      </c>
      <c r="AL23" s="611">
        <f t="shared" si="36"/>
        <v>0.1279861799532227</v>
      </c>
      <c r="AM23" s="611">
        <f t="shared" si="36"/>
        <v>0.10863617995322253</v>
      </c>
      <c r="AN23" s="611">
        <f t="shared" si="36"/>
        <v>7.7676179953222263E-2</v>
      </c>
      <c r="AO23" s="612">
        <f t="shared" si="36"/>
        <v>1.5756179953221719E-2</v>
      </c>
      <c r="AP23" s="902">
        <v>0</v>
      </c>
      <c r="AQ23" s="783">
        <f t="shared" si="6"/>
        <v>1000000</v>
      </c>
      <c r="AR23" s="983"/>
      <c r="AS23" s="609">
        <f t="shared" si="7"/>
        <v>1.2050023688094467</v>
      </c>
      <c r="AT23" s="610">
        <f t="shared" si="8"/>
        <v>3.9890284190523664</v>
      </c>
      <c r="AU23" s="611">
        <f t="shared" si="8"/>
        <v>3.9558143413824638</v>
      </c>
      <c r="AV23" s="611">
        <f t="shared" si="8"/>
        <v>3.9026718171106185</v>
      </c>
      <c r="AW23" s="612">
        <f t="shared" si="8"/>
        <v>3.7963867685669288</v>
      </c>
      <c r="AX23" s="982">
        <f t="shared" si="9"/>
        <v>1000000</v>
      </c>
      <c r="AY23" s="611">
        <f t="shared" si="10"/>
        <v>3</v>
      </c>
      <c r="AZ23" s="612">
        <f t="shared" si="11"/>
        <v>3.8693606857010856</v>
      </c>
      <c r="BA23" s="552"/>
      <c r="BB23" s="984">
        <f t="shared" si="37"/>
        <v>4.1799910279265555</v>
      </c>
      <c r="BC23" s="985">
        <f t="shared" si="38"/>
        <v>3.9376269271263569</v>
      </c>
      <c r="BD23" s="985">
        <f t="shared" si="38"/>
        <v>3.5702224400093323</v>
      </c>
      <c r="BE23" s="528">
        <f t="shared" si="38"/>
        <v>3.7205047314426682</v>
      </c>
      <c r="BF23" s="913">
        <f t="shared" si="12"/>
        <v>4.1799910279265555</v>
      </c>
      <c r="BG23" s="317">
        <f t="shared" si="12"/>
        <v>3.9376269271263569</v>
      </c>
      <c r="BH23" s="317">
        <f t="shared" si="12"/>
        <v>3.5702224400093323</v>
      </c>
      <c r="BI23" s="919">
        <f t="shared" si="12"/>
        <v>-1000000</v>
      </c>
      <c r="BJ23" s="646">
        <f t="shared" si="13"/>
        <v>0.85</v>
      </c>
      <c r="BK23" s="913">
        <f t="shared" si="14"/>
        <v>4.1799910279265555</v>
      </c>
      <c r="BL23" s="317">
        <f t="shared" si="14"/>
        <v>3.9376269271263569</v>
      </c>
      <c r="BM23" s="317">
        <f t="shared" si="14"/>
        <v>3.5702224400093323</v>
      </c>
      <c r="BN23" s="317"/>
      <c r="BO23" s="913">
        <f t="shared" si="15"/>
        <v>3</v>
      </c>
      <c r="BP23" s="783">
        <f t="shared" si="39"/>
        <v>-1000000</v>
      </c>
      <c r="BQ23" s="552"/>
      <c r="BX23" s="552"/>
      <c r="BY23" s="552"/>
      <c r="BZ23" s="552"/>
      <c r="CA23" s="552"/>
      <c r="CB23" s="552"/>
      <c r="CC23" s="672" t="s">
        <v>342</v>
      </c>
      <c r="CD23" s="613">
        <f>K31</f>
        <v>0.33063931429891458</v>
      </c>
      <c r="CE23" s="660" t="s">
        <v>263</v>
      </c>
      <c r="CF23" s="552"/>
      <c r="CG23" s="552"/>
      <c r="CH23" s="552"/>
      <c r="CI23" s="552"/>
      <c r="CK23" s="642">
        <f t="shared" si="50"/>
        <v>17</v>
      </c>
      <c r="CL23" s="609">
        <f t="shared" si="16"/>
        <v>1.2050023688094467</v>
      </c>
      <c r="CM23" s="609">
        <f t="shared" si="40"/>
        <v>0.85</v>
      </c>
      <c r="CN23" s="610">
        <f t="shared" si="17"/>
        <v>7.603589432394374</v>
      </c>
      <c r="CO23" s="611">
        <f t="shared" si="17"/>
        <v>7.9008950220097303</v>
      </c>
      <c r="CP23" s="612">
        <f t="shared" si="17"/>
        <v>8.1002402113968035</v>
      </c>
      <c r="CQ23" s="611">
        <f t="shared" si="18"/>
        <v>2.2502976099783827</v>
      </c>
      <c r="CR23" s="611">
        <f t="shared" si="18"/>
        <v>2.6512224543455711</v>
      </c>
      <c r="CS23" s="611">
        <f t="shared" si="18"/>
        <v>3.0521472987127591</v>
      </c>
      <c r="CT23" s="610">
        <f t="shared" si="19"/>
        <v>9.8538870423727563</v>
      </c>
      <c r="CU23" s="611">
        <f t="shared" si="19"/>
        <v>10.552117476355301</v>
      </c>
      <c r="CV23" s="612">
        <f t="shared" si="19"/>
        <v>11.152387510109563</v>
      </c>
      <c r="CW23" s="613">
        <f t="shared" si="52"/>
        <v>-0.17097381046698334</v>
      </c>
      <c r="CX23" s="613">
        <f t="shared" si="52"/>
        <v>-0.17097381046698334</v>
      </c>
      <c r="CY23" s="613">
        <f t="shared" si="52"/>
        <v>-0.17097381046698334</v>
      </c>
      <c r="CZ23" s="609">
        <f t="shared" si="21"/>
        <v>8.5058990739490348</v>
      </c>
      <c r="DA23" s="609"/>
      <c r="DB23" s="609">
        <f t="shared" si="42"/>
        <v>0.85</v>
      </c>
      <c r="DC23" s="610">
        <f t="shared" si="22"/>
        <v>2.3819000312972314</v>
      </c>
      <c r="DD23" s="611">
        <f t="shared" si="22"/>
        <v>1.8816902380071612</v>
      </c>
      <c r="DE23" s="612">
        <f t="shared" si="22"/>
        <v>1.4525560175082224</v>
      </c>
      <c r="DF23" s="611">
        <f t="shared" ref="DF23:DH38" si="53">(CW23-CW22)/($DB23-$DB22)</f>
        <v>8</v>
      </c>
      <c r="DG23" s="611">
        <f t="shared" si="53"/>
        <v>8</v>
      </c>
      <c r="DH23" s="611">
        <f t="shared" si="53"/>
        <v>8</v>
      </c>
      <c r="DI23" s="614">
        <f t="shared" si="23"/>
        <v>8</v>
      </c>
      <c r="DJ23" s="615"/>
      <c r="DK23" s="609">
        <f t="shared" si="43"/>
        <v>0.85</v>
      </c>
      <c r="DL23" s="611">
        <f t="shared" si="24"/>
        <v>3.8777596577745306</v>
      </c>
      <c r="DM23" s="611">
        <f t="shared" si="24"/>
        <v>3.901079353857746</v>
      </c>
      <c r="DN23" s="611">
        <f t="shared" si="24"/>
        <v>4.0592339564486704</v>
      </c>
      <c r="DO23" s="610">
        <f t="shared" si="25"/>
        <v>0.34224796157076348</v>
      </c>
      <c r="DP23" s="611">
        <f t="shared" si="25"/>
        <v>0.36159796157076363</v>
      </c>
      <c r="DQ23" s="612">
        <f t="shared" si="25"/>
        <v>0.39255796157076389</v>
      </c>
      <c r="DR23" s="611">
        <f t="shared" si="26"/>
        <v>4.220007619345294</v>
      </c>
      <c r="DS23" s="611">
        <f t="shared" si="26"/>
        <v>4.26267731542851</v>
      </c>
      <c r="DT23" s="611">
        <f t="shared" si="26"/>
        <v>4.4517919180194339</v>
      </c>
      <c r="DU23" s="609">
        <f t="shared" si="44"/>
        <v>4.2</v>
      </c>
      <c r="DV23" s="611"/>
      <c r="DW23" s="646">
        <f t="shared" si="27"/>
        <v>2.2666666666666666</v>
      </c>
      <c r="DX23" s="621">
        <f t="shared" si="28"/>
        <v>8.1996352047141308</v>
      </c>
      <c r="DY23" s="621">
        <f t="shared" si="28"/>
        <v>8.234166972802921</v>
      </c>
      <c r="DZ23" s="621">
        <f t="shared" si="28"/>
        <v>8.2617007463357783</v>
      </c>
      <c r="EA23" s="610">
        <f t="shared" si="29"/>
        <v>10.017956149732436</v>
      </c>
      <c r="EB23" s="611">
        <f t="shared" si="29"/>
        <v>10.009601838200483</v>
      </c>
      <c r="EC23" s="612">
        <f t="shared" si="29"/>
        <v>10.00256658492186</v>
      </c>
      <c r="ED23" s="610">
        <f t="shared" si="45"/>
        <v>8</v>
      </c>
      <c r="EE23" s="611">
        <f t="shared" si="46"/>
        <v>8.5058990739490348</v>
      </c>
      <c r="EF23" s="645">
        <f t="shared" si="47"/>
        <v>1000000</v>
      </c>
      <c r="EG23" s="902"/>
      <c r="EH23" s="646">
        <f t="shared" si="30"/>
        <v>2.2666666666666666</v>
      </c>
      <c r="EI23" s="610">
        <f t="shared" si="31"/>
        <v>1.8183209450183055</v>
      </c>
      <c r="EJ23" s="986">
        <f t="shared" si="31"/>
        <v>1.7754348653975622</v>
      </c>
      <c r="EK23" s="612">
        <f t="shared" si="31"/>
        <v>1.7408658385860818</v>
      </c>
    </row>
    <row r="24" spans="1:141" s="562" customFormat="1" ht="15" customHeight="1" x14ac:dyDescent="0.2">
      <c r="P24" s="1020"/>
      <c r="S24" s="562" t="s">
        <v>343</v>
      </c>
      <c r="U24" s="642">
        <f t="shared" si="49"/>
        <v>18</v>
      </c>
      <c r="W24" s="609">
        <f t="shared" si="0"/>
        <v>1.2758848610923552</v>
      </c>
      <c r="X24" s="610">
        <f t="shared" si="32"/>
        <v>3.8609606857010856</v>
      </c>
      <c r="Y24" s="611">
        <f t="shared" si="32"/>
        <v>3.8469606857010854</v>
      </c>
      <c r="Z24" s="611">
        <f t="shared" si="32"/>
        <v>3.8245606857010856</v>
      </c>
      <c r="AA24" s="611">
        <f t="shared" si="32"/>
        <v>3.7797606857010857</v>
      </c>
      <c r="AB24" s="982">
        <f t="shared" si="1"/>
        <v>1000000</v>
      </c>
      <c r="AC24" s="919">
        <f t="shared" si="2"/>
        <v>3.8693606857010856</v>
      </c>
      <c r="AD24" s="611">
        <f t="shared" si="51"/>
        <v>3.9801876873302802</v>
      </c>
      <c r="AE24" s="611">
        <f t="shared" si="51"/>
        <v>3.9468376873302802</v>
      </c>
      <c r="AF24" s="611">
        <f t="shared" si="51"/>
        <v>3.8934776873302801</v>
      </c>
      <c r="AG24" s="612">
        <f t="shared" si="51"/>
        <v>3.7867576873302795</v>
      </c>
      <c r="AH24" s="609">
        <f t="shared" si="4"/>
        <v>3</v>
      </c>
      <c r="AI24" s="895">
        <f t="shared" si="34"/>
        <v>-1000000</v>
      </c>
      <c r="AJ24" s="610">
        <f t="shared" si="5"/>
        <v>1.2758848610923552</v>
      </c>
      <c r="AK24" s="609">
        <f t="shared" si="35"/>
        <v>0.13083700162919482</v>
      </c>
      <c r="AL24" s="611">
        <f t="shared" si="36"/>
        <v>0.11922700162919471</v>
      </c>
      <c r="AM24" s="611">
        <f t="shared" si="36"/>
        <v>9.9877001629194551E-2</v>
      </c>
      <c r="AN24" s="611">
        <f t="shared" si="36"/>
        <v>6.8917001629194286E-2</v>
      </c>
      <c r="AO24" s="612">
        <f t="shared" si="36"/>
        <v>6.9970016291937415E-3</v>
      </c>
      <c r="AP24" s="902">
        <v>0</v>
      </c>
      <c r="AQ24" s="783">
        <f t="shared" si="6"/>
        <v>1000000</v>
      </c>
      <c r="AR24" s="983"/>
      <c r="AS24" s="609">
        <f t="shared" si="7"/>
        <v>1.2758848610923552</v>
      </c>
      <c r="AT24" s="610">
        <f t="shared" si="8"/>
        <v>3.9801876873302802</v>
      </c>
      <c r="AU24" s="611">
        <f t="shared" si="8"/>
        <v>3.9468376873302802</v>
      </c>
      <c r="AV24" s="611">
        <f t="shared" si="8"/>
        <v>3.8934776873302801</v>
      </c>
      <c r="AW24" s="612">
        <f t="shared" si="8"/>
        <v>3.7867576873302795</v>
      </c>
      <c r="AX24" s="982">
        <f t="shared" si="9"/>
        <v>1000000</v>
      </c>
      <c r="AY24" s="611">
        <f t="shared" si="10"/>
        <v>3</v>
      </c>
      <c r="AZ24" s="612">
        <f t="shared" si="11"/>
        <v>3.8693606857010856</v>
      </c>
      <c r="BA24" s="552"/>
      <c r="BB24" s="984">
        <f t="shared" si="37"/>
        <v>4.1799029994483723</v>
      </c>
      <c r="BC24" s="985">
        <f t="shared" si="38"/>
        <v>3.927314317570151</v>
      </c>
      <c r="BD24" s="985">
        <f t="shared" si="38"/>
        <v>3.501522121829808</v>
      </c>
      <c r="BE24" s="528">
        <f t="shared" si="38"/>
        <v>3.6976089575159987</v>
      </c>
      <c r="BF24" s="913">
        <f t="shared" si="12"/>
        <v>4.1799029994483723</v>
      </c>
      <c r="BG24" s="317">
        <f t="shared" si="12"/>
        <v>3.927314317570151</v>
      </c>
      <c r="BH24" s="317">
        <f t="shared" si="12"/>
        <v>3.501522121829808</v>
      </c>
      <c r="BI24" s="919">
        <f t="shared" si="12"/>
        <v>-1000000</v>
      </c>
      <c r="BJ24" s="646">
        <f t="shared" si="13"/>
        <v>0.89999999999999991</v>
      </c>
      <c r="BK24" s="913">
        <f t="shared" si="14"/>
        <v>4.1799029994483723</v>
      </c>
      <c r="BL24" s="317">
        <f t="shared" si="14"/>
        <v>3.927314317570151</v>
      </c>
      <c r="BM24" s="317">
        <f t="shared" si="14"/>
        <v>3.501522121829808</v>
      </c>
      <c r="BN24" s="317"/>
      <c r="BO24" s="913">
        <f t="shared" si="15"/>
        <v>3</v>
      </c>
      <c r="BP24" s="783">
        <f t="shared" si="39"/>
        <v>-1000000</v>
      </c>
      <c r="BQ24" s="552"/>
      <c r="BX24" s="552"/>
      <c r="BY24" s="552"/>
      <c r="BZ24" s="552"/>
      <c r="CA24" s="552"/>
      <c r="CB24" s="552"/>
      <c r="CC24" s="672" t="s">
        <v>280</v>
      </c>
      <c r="CD24" s="673">
        <f>CD19</f>
        <v>4.2</v>
      </c>
      <c r="CE24" s="660" t="s">
        <v>263</v>
      </c>
      <c r="CF24" s="552"/>
      <c r="CG24" s="552"/>
      <c r="CH24" s="552"/>
      <c r="CI24" s="552"/>
      <c r="CK24" s="642">
        <f t="shared" si="50"/>
        <v>18</v>
      </c>
      <c r="CL24" s="609">
        <f t="shared" si="16"/>
        <v>1.2758848610923552</v>
      </c>
      <c r="CM24" s="609">
        <f t="shared" si="40"/>
        <v>0.89999999999999991</v>
      </c>
      <c r="CN24" s="610">
        <f t="shared" si="17"/>
        <v>7.7151475606885747</v>
      </c>
      <c r="CO24" s="611">
        <f t="shared" si="17"/>
        <v>7.9880167237124349</v>
      </c>
      <c r="CP24" s="612">
        <f t="shared" si="17"/>
        <v>8.1667253585795603</v>
      </c>
      <c r="CQ24" s="611">
        <f t="shared" si="18"/>
        <v>2.2503033603741618</v>
      </c>
      <c r="CR24" s="611">
        <f t="shared" si="18"/>
        <v>2.6512284547585576</v>
      </c>
      <c r="CS24" s="611">
        <f t="shared" si="18"/>
        <v>3.0521535491429539</v>
      </c>
      <c r="CT24" s="610">
        <f t="shared" si="19"/>
        <v>9.965450921062736</v>
      </c>
      <c r="CU24" s="611">
        <f t="shared" si="19"/>
        <v>10.639245178470993</v>
      </c>
      <c r="CV24" s="612">
        <f t="shared" si="19"/>
        <v>11.218878907722514</v>
      </c>
      <c r="CW24" s="613">
        <f t="shared" si="52"/>
        <v>0.22902618953301612</v>
      </c>
      <c r="CX24" s="613">
        <f t="shared" si="52"/>
        <v>0.22902618953301612</v>
      </c>
      <c r="CY24" s="613">
        <f t="shared" si="52"/>
        <v>0.22902618953301612</v>
      </c>
      <c r="CZ24" s="609">
        <f t="shared" si="21"/>
        <v>8.5058990739490348</v>
      </c>
      <c r="DA24" s="609"/>
      <c r="DB24" s="609">
        <f t="shared" si="42"/>
        <v>0.89999999999999991</v>
      </c>
      <c r="DC24" s="610">
        <f t="shared" si="22"/>
        <v>2.0872939931329872</v>
      </c>
      <c r="DD24" s="611">
        <f t="shared" si="22"/>
        <v>1.6106070790116085</v>
      </c>
      <c r="DE24" s="612">
        <f t="shared" si="22"/>
        <v>1.2143752231489497</v>
      </c>
      <c r="DF24" s="611">
        <f t="shared" si="53"/>
        <v>8</v>
      </c>
      <c r="DG24" s="611">
        <f t="shared" si="53"/>
        <v>8</v>
      </c>
      <c r="DH24" s="611">
        <f t="shared" si="53"/>
        <v>8</v>
      </c>
      <c r="DI24" s="614">
        <f t="shared" si="23"/>
        <v>8</v>
      </c>
      <c r="DJ24" s="615"/>
      <c r="DK24" s="609">
        <f t="shared" si="43"/>
        <v>0.89999999999999991</v>
      </c>
      <c r="DL24" s="611">
        <f t="shared" si="24"/>
        <v>3.8778476862527129</v>
      </c>
      <c r="DM24" s="611">
        <f t="shared" si="24"/>
        <v>3.9023724366414947</v>
      </c>
      <c r="DN24" s="611">
        <f t="shared" si="24"/>
        <v>4.1173925919926591</v>
      </c>
      <c r="DO24" s="610">
        <f t="shared" si="25"/>
        <v>0.34224870989134115</v>
      </c>
      <c r="DP24" s="611">
        <f t="shared" si="25"/>
        <v>0.3615987098913413</v>
      </c>
      <c r="DQ24" s="612">
        <f t="shared" si="25"/>
        <v>0.39255870989134156</v>
      </c>
      <c r="DR24" s="611">
        <f t="shared" si="26"/>
        <v>4.2200963961440543</v>
      </c>
      <c r="DS24" s="611">
        <f t="shared" si="26"/>
        <v>4.2639711465328363</v>
      </c>
      <c r="DT24" s="611">
        <f t="shared" si="26"/>
        <v>4.5099513018840005</v>
      </c>
      <c r="DU24" s="609">
        <f t="shared" si="44"/>
        <v>4.2</v>
      </c>
      <c r="DV24" s="611"/>
      <c r="DW24" s="646">
        <f t="shared" si="27"/>
        <v>2.4</v>
      </c>
      <c r="DX24" s="621">
        <f t="shared" si="28"/>
        <v>8.1820444078962389</v>
      </c>
      <c r="DY24" s="621">
        <f t="shared" si="28"/>
        <v>8.2185171284480525</v>
      </c>
      <c r="DZ24" s="621">
        <f t="shared" si="28"/>
        <v>8.2476062340213545</v>
      </c>
      <c r="EA24" s="610">
        <f t="shared" si="29"/>
        <v>9.9583353390291194</v>
      </c>
      <c r="EB24" s="611">
        <f t="shared" si="29"/>
        <v>9.9497578836917597</v>
      </c>
      <c r="EC24" s="612">
        <f t="shared" si="29"/>
        <v>9.9425335572156204</v>
      </c>
      <c r="ED24" s="610">
        <f t="shared" si="45"/>
        <v>8</v>
      </c>
      <c r="EE24" s="611">
        <f t="shared" si="46"/>
        <v>8.5058990739490348</v>
      </c>
      <c r="EF24" s="645">
        <f t="shared" si="47"/>
        <v>1000000</v>
      </c>
      <c r="EG24" s="902"/>
      <c r="EH24" s="646">
        <f t="shared" si="30"/>
        <v>2.4</v>
      </c>
      <c r="EI24" s="610">
        <f t="shared" si="31"/>
        <v>1.7762909311328798</v>
      </c>
      <c r="EJ24" s="986">
        <f t="shared" si="31"/>
        <v>1.7312407552437064</v>
      </c>
      <c r="EK24" s="612">
        <f t="shared" si="31"/>
        <v>1.6949273231942663</v>
      </c>
    </row>
    <row r="25" spans="1:141" s="562" customFormat="1" ht="15" customHeight="1" x14ac:dyDescent="0.25">
      <c r="B25" s="144" t="s">
        <v>173</v>
      </c>
      <c r="C25" s="718">
        <v>8</v>
      </c>
      <c r="D25" s="660" t="s">
        <v>286</v>
      </c>
      <c r="I25" s="1021"/>
      <c r="J25" s="672" t="s">
        <v>151</v>
      </c>
      <c r="K25" s="1022">
        <v>3.8693606857010856</v>
      </c>
      <c r="L25" s="660" t="s">
        <v>263</v>
      </c>
      <c r="M25" s="1023"/>
      <c r="N25" s="1024"/>
      <c r="U25" s="642">
        <f t="shared" si="49"/>
        <v>19</v>
      </c>
      <c r="W25" s="609">
        <f t="shared" si="0"/>
        <v>1.3467673533752638</v>
      </c>
      <c r="X25" s="610">
        <f t="shared" si="32"/>
        <v>3.860877517384254</v>
      </c>
      <c r="Y25" s="611">
        <f t="shared" si="32"/>
        <v>3.8467389035228678</v>
      </c>
      <c r="Z25" s="611">
        <f t="shared" si="32"/>
        <v>3.8241171213446501</v>
      </c>
      <c r="AA25" s="611">
        <f t="shared" si="32"/>
        <v>3.7788735569882141</v>
      </c>
      <c r="AB25" s="982">
        <f t="shared" si="1"/>
        <v>1000000</v>
      </c>
      <c r="AC25" s="919">
        <f t="shared" si="2"/>
        <v>3.8693606857010856</v>
      </c>
      <c r="AD25" s="611">
        <f t="shared" si="51"/>
        <v>3.9715764203704058</v>
      </c>
      <c r="AE25" s="611">
        <f t="shared" si="51"/>
        <v>3.9380878065090195</v>
      </c>
      <c r="AF25" s="611">
        <f t="shared" si="51"/>
        <v>3.8845060243308014</v>
      </c>
      <c r="AG25" s="612">
        <f t="shared" si="51"/>
        <v>3.7773424599743652</v>
      </c>
      <c r="AH25" s="609">
        <f t="shared" si="4"/>
        <v>3</v>
      </c>
      <c r="AI25" s="895">
        <f t="shared" si="34"/>
        <v>-1000000</v>
      </c>
      <c r="AJ25" s="610">
        <f t="shared" si="5"/>
        <v>1.3467673533752638</v>
      </c>
      <c r="AK25" s="609">
        <f t="shared" si="35"/>
        <v>0.122308902986152</v>
      </c>
      <c r="AL25" s="611">
        <f t="shared" si="36"/>
        <v>0.1106989029861519</v>
      </c>
      <c r="AM25" s="611">
        <f t="shared" si="36"/>
        <v>9.1348902986151739E-2</v>
      </c>
      <c r="AN25" s="611">
        <f t="shared" si="36"/>
        <v>6.0388902986151467E-2</v>
      </c>
      <c r="AO25" s="612">
        <f t="shared" si="36"/>
        <v>-1.5310970138490698E-3</v>
      </c>
      <c r="AP25" s="902">
        <v>0</v>
      </c>
      <c r="AQ25" s="783">
        <f t="shared" si="6"/>
        <v>1000000</v>
      </c>
      <c r="AR25" s="983"/>
      <c r="AS25" s="609">
        <f t="shared" si="7"/>
        <v>1.3467673533752638</v>
      </c>
      <c r="AT25" s="610">
        <f t="shared" si="8"/>
        <v>3.9715764203704058</v>
      </c>
      <c r="AU25" s="611">
        <f t="shared" si="8"/>
        <v>3.9380878065090195</v>
      </c>
      <c r="AV25" s="611">
        <f t="shared" si="8"/>
        <v>3.8845060243308014</v>
      </c>
      <c r="AW25" s="612">
        <f t="shared" si="8"/>
        <v>3.7773424599743652</v>
      </c>
      <c r="AX25" s="982">
        <f t="shared" si="9"/>
        <v>1000000</v>
      </c>
      <c r="AY25" s="611">
        <f t="shared" si="10"/>
        <v>3</v>
      </c>
      <c r="AZ25" s="612">
        <f t="shared" si="11"/>
        <v>3.8693606857010856</v>
      </c>
      <c r="BA25" s="552"/>
      <c r="BB25" s="984">
        <f t="shared" si="37"/>
        <v>4.1798131061968622</v>
      </c>
      <c r="BC25" s="985">
        <f t="shared" si="38"/>
        <v>3.9171433720925766</v>
      </c>
      <c r="BD25" s="985">
        <f t="shared" si="38"/>
        <v>3.382227852862524</v>
      </c>
      <c r="BE25" s="528">
        <f t="shared" si="38"/>
        <v>3.6796279032145853</v>
      </c>
      <c r="BF25" s="913">
        <f t="shared" si="12"/>
        <v>4.1798131061968622</v>
      </c>
      <c r="BG25" s="317">
        <f t="shared" si="12"/>
        <v>3.9171433720925766</v>
      </c>
      <c r="BH25" s="317">
        <f t="shared" si="12"/>
        <v>3.382227852862524</v>
      </c>
      <c r="BI25" s="919">
        <f t="shared" si="12"/>
        <v>-1000000</v>
      </c>
      <c r="BJ25" s="646">
        <f t="shared" si="13"/>
        <v>0.95</v>
      </c>
      <c r="BK25" s="913">
        <f t="shared" si="14"/>
        <v>4.1798131061968622</v>
      </c>
      <c r="BL25" s="317">
        <f t="shared" si="14"/>
        <v>3.9171433720925766</v>
      </c>
      <c r="BM25" s="317">
        <f t="shared" si="14"/>
        <v>3.382227852862524</v>
      </c>
      <c r="BN25" s="317"/>
      <c r="BO25" s="913">
        <f t="shared" si="15"/>
        <v>3</v>
      </c>
      <c r="BP25" s="783">
        <f t="shared" si="39"/>
        <v>-1000000</v>
      </c>
      <c r="BQ25" s="552"/>
      <c r="BR25"/>
      <c r="BX25" s="552"/>
      <c r="CC25" s="672" t="s">
        <v>280</v>
      </c>
      <c r="CD25" s="673">
        <f>CD20</f>
        <v>3.8693606857010856</v>
      </c>
      <c r="CE25" s="660" t="s">
        <v>263</v>
      </c>
      <c r="CF25" s="552"/>
      <c r="CG25" s="552"/>
      <c r="CH25" s="552"/>
      <c r="CI25" s="552"/>
      <c r="CK25" s="642">
        <f t="shared" si="50"/>
        <v>19</v>
      </c>
      <c r="CL25" s="609">
        <f t="shared" si="16"/>
        <v>1.3467673533752638</v>
      </c>
      <c r="CM25" s="609">
        <f t="shared" si="40"/>
        <v>0.95</v>
      </c>
      <c r="CN25" s="610">
        <f t="shared" ref="CN25:CP44" si="54">$CD$27*(1-EXP(-$CM25/CN$3))</f>
        <v>7.8129130667881785</v>
      </c>
      <c r="CO25" s="611">
        <f t="shared" si="54"/>
        <v>8.0625927393437067</v>
      </c>
      <c r="CP25" s="612">
        <f t="shared" si="54"/>
        <v>8.2223139737154103</v>
      </c>
      <c r="CQ25" s="611">
        <f t="shared" ref="CQ25:CS44" si="55">--$CD$30*((CQ$2-$CD$20)+($CD$22-CQ$2)*EXP(-$CM25/$CI$13))</f>
        <v>2.2503059296877055</v>
      </c>
      <c r="CR25" s="611">
        <f t="shared" si="55"/>
        <v>2.6512311357813863</v>
      </c>
      <c r="CS25" s="611">
        <f t="shared" si="55"/>
        <v>3.0521563418750666</v>
      </c>
      <c r="CT25" s="610">
        <f t="shared" si="19"/>
        <v>10.063218996475884</v>
      </c>
      <c r="CU25" s="611">
        <f t="shared" si="19"/>
        <v>10.713823875125094</v>
      </c>
      <c r="CV25" s="612">
        <f t="shared" si="19"/>
        <v>11.274470315590477</v>
      </c>
      <c r="CW25" s="613">
        <f t="shared" si="52"/>
        <v>0.62902618953301648</v>
      </c>
      <c r="CX25" s="613">
        <f t="shared" si="52"/>
        <v>0.62902618953301648</v>
      </c>
      <c r="CY25" s="613">
        <f t="shared" si="52"/>
        <v>0.62902618953301648</v>
      </c>
      <c r="CZ25" s="609">
        <f t="shared" si="21"/>
        <v>8.5058990739490348</v>
      </c>
      <c r="DA25" s="609"/>
      <c r="DB25" s="609">
        <f t="shared" si="42"/>
        <v>0.95</v>
      </c>
      <c r="DC25" s="610">
        <f t="shared" si="22"/>
        <v>1.8291766407623911</v>
      </c>
      <c r="DD25" s="611">
        <f t="shared" si="22"/>
        <v>1.3786247250738117</v>
      </c>
      <c r="DE25" s="612">
        <f t="shared" si="22"/>
        <v>1.0152946387487387</v>
      </c>
      <c r="DF25" s="611">
        <f t="shared" si="53"/>
        <v>8</v>
      </c>
      <c r="DG25" s="611">
        <f t="shared" si="53"/>
        <v>8</v>
      </c>
      <c r="DH25" s="611">
        <f t="shared" si="53"/>
        <v>8</v>
      </c>
      <c r="DI25" s="614">
        <f t="shared" si="23"/>
        <v>8</v>
      </c>
      <c r="DJ25" s="615"/>
      <c r="DK25" s="609">
        <f t="shared" si="43"/>
        <v>0.95</v>
      </c>
      <c r="DL25" s="611">
        <f t="shared" ref="DL25:DN44" si="56">IF((DL$3*$DK25)&gt;$CD$27,1000000,($CD$20+($CD$35*DL$3)/(1-(DL$3*$DK25)/($CD$27))))</f>
        <v>3.877937579504223</v>
      </c>
      <c r="DM25" s="611">
        <f t="shared" si="56"/>
        <v>3.9037754310713226</v>
      </c>
      <c r="DN25" s="611">
        <f t="shared" si="56"/>
        <v>4.2269111524699721</v>
      </c>
      <c r="DO25" s="610">
        <f t="shared" ref="DO25:DQ44" si="57">($CD$24-$CD$20)+($CD$22-$CD$24)*EXP(-$DK25/$CI$13)+$CD$36*DO$3</f>
        <v>0.34224904424575242</v>
      </c>
      <c r="DP25" s="611">
        <f t="shared" si="57"/>
        <v>0.36159904424575257</v>
      </c>
      <c r="DQ25" s="612">
        <f t="shared" si="57"/>
        <v>0.39255904424575283</v>
      </c>
      <c r="DR25" s="611">
        <f t="shared" si="26"/>
        <v>4.2201866237499752</v>
      </c>
      <c r="DS25" s="611">
        <f t="shared" si="26"/>
        <v>4.265374475317075</v>
      </c>
      <c r="DT25" s="611">
        <f t="shared" si="26"/>
        <v>4.6194701967157252</v>
      </c>
      <c r="DU25" s="609">
        <f t="shared" si="44"/>
        <v>4.2</v>
      </c>
      <c r="DV25" s="611"/>
      <c r="DW25" s="646">
        <f t="shared" si="27"/>
        <v>2.5333333333333332</v>
      </c>
      <c r="DX25" s="621">
        <f t="shared" ref="DX25:DZ44" si="58">$CD$27*((1-($CD$35*$DW25)/($CD$20-DX$3))/(1+(($CD$36*$DW25)/($CD$20-DX$3))))</f>
        <v>8.1644996298941628</v>
      </c>
      <c r="DY25" s="621">
        <f t="shared" si="58"/>
        <v>8.2029036197698719</v>
      </c>
      <c r="DZ25" s="621">
        <f t="shared" si="58"/>
        <v>8.2335411372727005</v>
      </c>
      <c r="EA25" s="610">
        <f t="shared" si="29"/>
        <v>9.8994552421670008</v>
      </c>
      <c r="EB25" s="611">
        <f t="shared" si="29"/>
        <v>9.8906807292502137</v>
      </c>
      <c r="EC25" s="612">
        <f t="shared" si="29"/>
        <v>9.8832892419481713</v>
      </c>
      <c r="ED25" s="610">
        <f t="shared" si="45"/>
        <v>8</v>
      </c>
      <c r="EE25" s="611">
        <f t="shared" si="46"/>
        <v>8.5058990739490348</v>
      </c>
      <c r="EF25" s="645">
        <f t="shared" si="47"/>
        <v>1000000</v>
      </c>
      <c r="EG25" s="902"/>
      <c r="EH25" s="646">
        <f t="shared" si="30"/>
        <v>2.5333333333333332</v>
      </c>
      <c r="EI25" s="610">
        <f t="shared" ref="EI25:EK44" si="59">$CD$29-($CD$29-EI$1)*((1-EXP(-$DW25/$CD$32))/(1-EXP(-1)))</f>
        <v>1.7349556122728373</v>
      </c>
      <c r="EJ25" s="986">
        <f t="shared" si="59"/>
        <v>1.6877771094803409</v>
      </c>
      <c r="EK25" s="612">
        <f t="shared" si="59"/>
        <v>1.6497481046754705</v>
      </c>
    </row>
    <row r="26" spans="1:141" s="562" customFormat="1" ht="15" customHeight="1" x14ac:dyDescent="0.2">
      <c r="B26" s="144" t="s">
        <v>344</v>
      </c>
      <c r="C26" s="718">
        <v>8</v>
      </c>
      <c r="D26" s="660" t="s">
        <v>260</v>
      </c>
      <c r="I26" s="1021"/>
      <c r="J26" s="144" t="s">
        <v>268</v>
      </c>
      <c r="K26" s="1025">
        <v>8.5058990739490348</v>
      </c>
      <c r="L26" s="660" t="s">
        <v>286</v>
      </c>
      <c r="M26" s="1023"/>
      <c r="P26" s="659">
        <f>DY66</f>
        <v>7.5925440345340736</v>
      </c>
      <c r="U26" s="642">
        <f t="shared" si="49"/>
        <v>20</v>
      </c>
      <c r="W26" s="609">
        <f t="shared" si="0"/>
        <v>1.4176498456581723</v>
      </c>
      <c r="X26" s="610">
        <f t="shared" ref="X26:AA45" si="60">$K$25-($M$28*X$3)/(1-$W26/$K$26)</f>
        <v>3.8607926857010857</v>
      </c>
      <c r="Y26" s="611">
        <f t="shared" si="60"/>
        <v>3.8465126857010854</v>
      </c>
      <c r="Z26" s="611">
        <f t="shared" si="60"/>
        <v>3.8236646857010856</v>
      </c>
      <c r="AA26" s="611">
        <f t="shared" si="60"/>
        <v>3.7779686857010857</v>
      </c>
      <c r="AB26" s="982">
        <f t="shared" si="1"/>
        <v>1000000</v>
      </c>
      <c r="AC26" s="919">
        <f t="shared" si="2"/>
        <v>3.8693606857010856</v>
      </c>
      <c r="AD26" s="611">
        <f t="shared" si="51"/>
        <v>3.9631884735119294</v>
      </c>
      <c r="AE26" s="611">
        <f t="shared" si="51"/>
        <v>3.9295584735119289</v>
      </c>
      <c r="AF26" s="611">
        <f t="shared" si="51"/>
        <v>3.8757504735119288</v>
      </c>
      <c r="AG26" s="612">
        <f t="shared" si="51"/>
        <v>3.7681344735119282</v>
      </c>
      <c r="AH26" s="609">
        <f t="shared" si="4"/>
        <v>3</v>
      </c>
      <c r="AI26" s="895">
        <f t="shared" si="34"/>
        <v>-1000000</v>
      </c>
      <c r="AJ26" s="610">
        <f t="shared" si="5"/>
        <v>1.4176498456581723</v>
      </c>
      <c r="AK26" s="609">
        <f t="shared" si="35"/>
        <v>0.11400578781084371</v>
      </c>
      <c r="AL26" s="611">
        <f t="shared" ref="AL26:AO45" si="61">$AK26-$M$30*AL$3</f>
        <v>0.1023957878108436</v>
      </c>
      <c r="AM26" s="611">
        <f t="shared" si="61"/>
        <v>8.3045787810843444E-2</v>
      </c>
      <c r="AN26" s="611">
        <f t="shared" si="61"/>
        <v>5.2085787810843172E-2</v>
      </c>
      <c r="AO26" s="612">
        <f t="shared" si="61"/>
        <v>-9.8342121891573653E-3</v>
      </c>
      <c r="AP26" s="902">
        <v>0</v>
      </c>
      <c r="AQ26" s="783">
        <f t="shared" si="6"/>
        <v>1000000</v>
      </c>
      <c r="AR26" s="983"/>
      <c r="AS26" s="609">
        <f t="shared" si="7"/>
        <v>1.4176498456581723</v>
      </c>
      <c r="AT26" s="610">
        <f t="shared" si="8"/>
        <v>3.9631884735119294</v>
      </c>
      <c r="AU26" s="611">
        <f t="shared" si="8"/>
        <v>3.9295584735119289</v>
      </c>
      <c r="AV26" s="611">
        <f t="shared" si="8"/>
        <v>3.8757504735119288</v>
      </c>
      <c r="AW26" s="612">
        <f t="shared" si="8"/>
        <v>3.7681344735119282</v>
      </c>
      <c r="AX26" s="982">
        <f t="shared" si="9"/>
        <v>1000000</v>
      </c>
      <c r="AY26" s="611">
        <f t="shared" si="10"/>
        <v>3</v>
      </c>
      <c r="AZ26" s="612">
        <f t="shared" si="11"/>
        <v>3.8693606857010856</v>
      </c>
      <c r="BA26" s="552"/>
      <c r="BB26" s="984">
        <f t="shared" si="37"/>
        <v>4.1797212882833517</v>
      </c>
      <c r="BC26" s="985">
        <f t="shared" ref="BC26:BE45" si="62">$K$25+$K$31*(1-(1-EXP(-(BB$3*$BJ26)/($K$27)))/(1-EXP(-1)))-($M$28/(1-(BC$3*$BJ26)/($K$26))+$M$30)*BC$3</f>
        <v>3.9070924379573753</v>
      </c>
      <c r="BD26" s="985">
        <f t="shared" si="62"/>
        <v>3.0904574834415586</v>
      </c>
      <c r="BE26" s="528">
        <f t="shared" si="62"/>
        <v>3.6651298390515299</v>
      </c>
      <c r="BF26" s="913">
        <f t="shared" si="12"/>
        <v>4.1797212882833517</v>
      </c>
      <c r="BG26" s="317">
        <f t="shared" si="12"/>
        <v>3.9070924379573753</v>
      </c>
      <c r="BH26" s="317">
        <f t="shared" si="12"/>
        <v>3.0904574834415586</v>
      </c>
      <c r="BI26" s="919">
        <f t="shared" si="12"/>
        <v>-1000000</v>
      </c>
      <c r="BJ26" s="646">
        <f t="shared" si="13"/>
        <v>1</v>
      </c>
      <c r="BK26" s="913">
        <f t="shared" si="14"/>
        <v>4.1797212882833517</v>
      </c>
      <c r="BL26" s="317">
        <f t="shared" si="14"/>
        <v>3.9070924379573753</v>
      </c>
      <c r="BM26" s="317">
        <f t="shared" si="14"/>
        <v>3.0904574834415586</v>
      </c>
      <c r="BN26" s="317"/>
      <c r="BO26" s="913">
        <f t="shared" si="15"/>
        <v>3</v>
      </c>
      <c r="BP26" s="783">
        <f t="shared" si="39"/>
        <v>0</v>
      </c>
      <c r="BQ26" s="552"/>
      <c r="BX26" s="552"/>
      <c r="BY26" s="552"/>
      <c r="CB26" s="549"/>
      <c r="CC26" s="672" t="s">
        <v>282</v>
      </c>
      <c r="CD26" s="673">
        <v>2.83</v>
      </c>
      <c r="CE26" s="660" t="s">
        <v>263</v>
      </c>
      <c r="CG26" s="552"/>
      <c r="CH26" s="552"/>
      <c r="CI26" s="552"/>
      <c r="CJ26" s="660"/>
      <c r="CK26" s="642">
        <f t="shared" si="50"/>
        <v>20</v>
      </c>
      <c r="CL26" s="609">
        <f t="shared" si="16"/>
        <v>1.4176498456581723</v>
      </c>
      <c r="CM26" s="609">
        <f t="shared" si="40"/>
        <v>1</v>
      </c>
      <c r="CN26" s="610">
        <f t="shared" si="54"/>
        <v>7.8985912179821929</v>
      </c>
      <c r="CO26" s="611">
        <f t="shared" si="54"/>
        <v>8.1264296708859103</v>
      </c>
      <c r="CP26" s="612">
        <f t="shared" si="54"/>
        <v>8.2687919355408894</v>
      </c>
      <c r="CQ26" s="611">
        <f t="shared" si="55"/>
        <v>2.2503070776733987</v>
      </c>
      <c r="CR26" s="611">
        <f t="shared" si="55"/>
        <v>2.6512323336795007</v>
      </c>
      <c r="CS26" s="611">
        <f t="shared" si="55"/>
        <v>3.0521575896856028</v>
      </c>
      <c r="CT26" s="610">
        <f t="shared" si="19"/>
        <v>10.148898295655592</v>
      </c>
      <c r="CU26" s="611">
        <f t="shared" si="19"/>
        <v>10.777662004565411</v>
      </c>
      <c r="CV26" s="612">
        <f t="shared" si="19"/>
        <v>11.320949525226492</v>
      </c>
      <c r="CW26" s="613">
        <f t="shared" si="52"/>
        <v>1.0290261895330168</v>
      </c>
      <c r="CX26" s="613">
        <f t="shared" si="52"/>
        <v>1.0290261895330168</v>
      </c>
      <c r="CY26" s="613">
        <f t="shared" si="52"/>
        <v>1.0290261895330168</v>
      </c>
      <c r="CZ26" s="609">
        <f t="shared" si="21"/>
        <v>8.5058990739490348</v>
      </c>
      <c r="DA26" s="609"/>
      <c r="DB26" s="609">
        <f t="shared" si="42"/>
        <v>1</v>
      </c>
      <c r="DC26" s="610">
        <f t="shared" si="22"/>
        <v>1.6030008509682088</v>
      </c>
      <c r="DD26" s="611">
        <f t="shared" si="22"/>
        <v>1.1800770015362378</v>
      </c>
      <c r="DE26" s="612">
        <f t="shared" si="22"/>
        <v>0.848870698327025</v>
      </c>
      <c r="DF26" s="611">
        <f t="shared" si="53"/>
        <v>8</v>
      </c>
      <c r="DG26" s="611">
        <f t="shared" si="53"/>
        <v>8</v>
      </c>
      <c r="DH26" s="611">
        <f t="shared" si="53"/>
        <v>8</v>
      </c>
      <c r="DI26" s="614">
        <f t="shared" si="23"/>
        <v>8</v>
      </c>
      <c r="DJ26" s="615"/>
      <c r="DK26" s="609">
        <f t="shared" si="43"/>
        <v>1</v>
      </c>
      <c r="DL26" s="611">
        <f t="shared" si="56"/>
        <v>3.8780293974177336</v>
      </c>
      <c r="DM26" s="611">
        <f t="shared" si="56"/>
        <v>3.9053029728473558</v>
      </c>
      <c r="DN26" s="611">
        <f t="shared" si="56"/>
        <v>4.5096161307399321</v>
      </c>
      <c r="DO26" s="610">
        <f t="shared" si="57"/>
        <v>0.34224919363743783</v>
      </c>
      <c r="DP26" s="611">
        <f t="shared" si="57"/>
        <v>0.36159919363743798</v>
      </c>
      <c r="DQ26" s="612">
        <f t="shared" si="57"/>
        <v>0.39255919363743824</v>
      </c>
      <c r="DR26" s="611">
        <f t="shared" si="26"/>
        <v>4.2202785910551714</v>
      </c>
      <c r="DS26" s="611">
        <f t="shared" si="26"/>
        <v>4.2669021664847939</v>
      </c>
      <c r="DT26" s="611">
        <f t="shared" si="26"/>
        <v>4.90217532437737</v>
      </c>
      <c r="DU26" s="609">
        <f t="shared" si="44"/>
        <v>4.2</v>
      </c>
      <c r="DV26" s="611"/>
      <c r="DW26" s="646">
        <f t="shared" si="27"/>
        <v>2.6666666666666665</v>
      </c>
      <c r="DX26" s="621">
        <f t="shared" si="58"/>
        <v>8.1470006903609029</v>
      </c>
      <c r="DY26" s="621">
        <f t="shared" si="58"/>
        <v>8.1873263203693121</v>
      </c>
      <c r="DZ26" s="621">
        <f t="shared" si="58"/>
        <v>8.2195053640993798</v>
      </c>
      <c r="EA26" s="610">
        <f t="shared" si="29"/>
        <v>9.8413041965002748</v>
      </c>
      <c r="EB26" s="611">
        <f t="shared" si="29"/>
        <v>9.8323581749623674</v>
      </c>
      <c r="EC26" s="612">
        <f t="shared" si="29"/>
        <v>9.8248209970556459</v>
      </c>
      <c r="ED26" s="610">
        <f t="shared" si="45"/>
        <v>8</v>
      </c>
      <c r="EE26" s="611">
        <f t="shared" si="46"/>
        <v>8.5058990739490348</v>
      </c>
      <c r="EF26" s="645">
        <f t="shared" si="47"/>
        <v>1000000</v>
      </c>
      <c r="EG26" s="902"/>
      <c r="EH26" s="646">
        <f t="shared" si="30"/>
        <v>2.6666666666666665</v>
      </c>
      <c r="EI26" s="610">
        <f t="shared" si="59"/>
        <v>1.694303506139371</v>
      </c>
      <c r="EJ26" s="986">
        <f t="shared" si="59"/>
        <v>1.645031854593056</v>
      </c>
      <c r="EK26" s="612">
        <f t="shared" si="59"/>
        <v>1.6053156329562659</v>
      </c>
    </row>
    <row r="27" spans="1:141" s="562" customFormat="1" ht="15" customHeight="1" x14ac:dyDescent="0.2">
      <c r="B27" s="144" t="s">
        <v>298</v>
      </c>
      <c r="C27" s="718">
        <f>C25/C26</f>
        <v>1</v>
      </c>
      <c r="D27" s="660" t="s">
        <v>259</v>
      </c>
      <c r="I27" s="1021"/>
      <c r="J27" s="144" t="s">
        <v>345</v>
      </c>
      <c r="K27" s="1025">
        <v>2.6512333012042681</v>
      </c>
      <c r="L27" s="660" t="s">
        <v>286</v>
      </c>
      <c r="M27" s="1023"/>
      <c r="P27" s="659">
        <f>AF128</f>
        <v>3.0003518334087764</v>
      </c>
      <c r="U27" s="642">
        <f t="shared" si="49"/>
        <v>21</v>
      </c>
      <c r="W27" s="609">
        <f t="shared" si="0"/>
        <v>1.4885323379410811</v>
      </c>
      <c r="X27" s="610">
        <f t="shared" si="60"/>
        <v>3.8607061402465401</v>
      </c>
      <c r="Y27" s="611">
        <f t="shared" si="60"/>
        <v>3.8462818978222977</v>
      </c>
      <c r="Z27" s="611">
        <f t="shared" si="60"/>
        <v>3.8232031099435098</v>
      </c>
      <c r="AA27" s="611">
        <f t="shared" si="60"/>
        <v>3.7770455341859339</v>
      </c>
      <c r="AB27" s="982">
        <f t="shared" si="1"/>
        <v>1000000</v>
      </c>
      <c r="AC27" s="919">
        <f t="shared" si="2"/>
        <v>3.8693606857010856</v>
      </c>
      <c r="AD27" s="611">
        <f t="shared" si="51"/>
        <v>3.9550178609634039</v>
      </c>
      <c r="AE27" s="611">
        <f t="shared" si="51"/>
        <v>3.9212436185391613</v>
      </c>
      <c r="AF27" s="611">
        <f t="shared" si="51"/>
        <v>3.8672048306603735</v>
      </c>
      <c r="AG27" s="612">
        <f t="shared" si="51"/>
        <v>3.759127254902797</v>
      </c>
      <c r="AH27" s="609">
        <f t="shared" si="4"/>
        <v>3</v>
      </c>
      <c r="AI27" s="895">
        <f t="shared" si="34"/>
        <v>-1000000</v>
      </c>
      <c r="AJ27" s="610">
        <f t="shared" si="5"/>
        <v>1.4885323379410811</v>
      </c>
      <c r="AK27" s="609">
        <f t="shared" si="35"/>
        <v>0.10592172071686404</v>
      </c>
      <c r="AL27" s="611">
        <f t="shared" si="61"/>
        <v>9.4311720716863931E-2</v>
      </c>
      <c r="AM27" s="611">
        <f t="shared" si="61"/>
        <v>7.4961720716863772E-2</v>
      </c>
      <c r="AN27" s="611">
        <f t="shared" si="61"/>
        <v>4.40017207168635E-2</v>
      </c>
      <c r="AO27" s="612">
        <f t="shared" si="61"/>
        <v>-1.7918279283137037E-2</v>
      </c>
      <c r="AP27" s="902">
        <v>0</v>
      </c>
      <c r="AQ27" s="783">
        <f t="shared" si="6"/>
        <v>1000000</v>
      </c>
      <c r="AR27" s="983"/>
      <c r="AS27" s="609">
        <f t="shared" si="7"/>
        <v>1.4885323379410811</v>
      </c>
      <c r="AT27" s="610">
        <f t="shared" si="8"/>
        <v>3.9550178609634039</v>
      </c>
      <c r="AU27" s="611">
        <f t="shared" si="8"/>
        <v>3.9212436185391613</v>
      </c>
      <c r="AV27" s="611">
        <f t="shared" si="8"/>
        <v>3.8672048306603735</v>
      </c>
      <c r="AW27" s="612">
        <f t="shared" si="8"/>
        <v>3.759127254902797</v>
      </c>
      <c r="AX27" s="982">
        <f t="shared" si="9"/>
        <v>1000000</v>
      </c>
      <c r="AY27" s="611">
        <f t="shared" si="10"/>
        <v>3</v>
      </c>
      <c r="AZ27" s="612">
        <f t="shared" si="11"/>
        <v>3.8693606857010856</v>
      </c>
      <c r="BA27" s="552"/>
      <c r="BB27" s="984">
        <f t="shared" si="37"/>
        <v>4.1796274832269207</v>
      </c>
      <c r="BC27" s="985">
        <f t="shared" si="62"/>
        <v>3.8971373389593014</v>
      </c>
      <c r="BD27" s="985">
        <f t="shared" si="62"/>
        <v>0.66368991363302499</v>
      </c>
      <c r="BE27" s="528">
        <f t="shared" si="62"/>
        <v>3.6532082572190365</v>
      </c>
      <c r="BF27" s="913">
        <f t="shared" si="12"/>
        <v>4.1796274832269207</v>
      </c>
      <c r="BG27" s="317">
        <f t="shared" si="12"/>
        <v>3.8971373389593014</v>
      </c>
      <c r="BH27" s="317">
        <f t="shared" si="12"/>
        <v>0.66368991363302499</v>
      </c>
      <c r="BI27" s="919">
        <f t="shared" si="12"/>
        <v>-1000000</v>
      </c>
      <c r="BJ27" s="646">
        <f t="shared" si="13"/>
        <v>1.0499999999999998</v>
      </c>
      <c r="BK27" s="913">
        <f t="shared" si="14"/>
        <v>4.1796274832269207</v>
      </c>
      <c r="BL27" s="317">
        <f t="shared" si="14"/>
        <v>3.8971373389593014</v>
      </c>
      <c r="BM27" s="317">
        <f t="shared" si="14"/>
        <v>0.66368991363302499</v>
      </c>
      <c r="BN27" s="317"/>
      <c r="BO27" s="913">
        <f t="shared" si="15"/>
        <v>3</v>
      </c>
      <c r="BP27" s="783">
        <f t="shared" si="39"/>
        <v>1000000</v>
      </c>
      <c r="BQ27" s="552"/>
      <c r="BX27" s="552"/>
      <c r="BY27" s="552"/>
      <c r="BZ27" s="552"/>
      <c r="CA27" s="552"/>
      <c r="CB27" s="552"/>
      <c r="CC27" s="144" t="s">
        <v>171</v>
      </c>
      <c r="CD27" s="698">
        <f>K26</f>
        <v>8.5058990739490348</v>
      </c>
      <c r="CE27" s="660" t="s">
        <v>286</v>
      </c>
      <c r="CF27" s="552"/>
      <c r="CG27" s="552"/>
      <c r="CH27" s="552"/>
      <c r="CI27" s="552"/>
      <c r="CK27" s="642">
        <f t="shared" si="50"/>
        <v>21</v>
      </c>
      <c r="CL27" s="609">
        <f t="shared" si="16"/>
        <v>1.4885323379410811</v>
      </c>
      <c r="CM27" s="609">
        <f t="shared" si="40"/>
        <v>1.0499999999999998</v>
      </c>
      <c r="CN27" s="610">
        <f t="shared" si="54"/>
        <v>7.9736764488052758</v>
      </c>
      <c r="CO27" s="611">
        <f t="shared" si="54"/>
        <v>8.1810739662968199</v>
      </c>
      <c r="CP27" s="612">
        <f t="shared" si="54"/>
        <v>8.307652427570984</v>
      </c>
      <c r="CQ27" s="611">
        <f t="shared" si="55"/>
        <v>2.2503075906007353</v>
      </c>
      <c r="CR27" s="611">
        <f t="shared" si="55"/>
        <v>2.6512328689080253</v>
      </c>
      <c r="CS27" s="611">
        <f t="shared" si="55"/>
        <v>3.0521581472153163</v>
      </c>
      <c r="CT27" s="610">
        <f t="shared" si="19"/>
        <v>10.223984039406011</v>
      </c>
      <c r="CU27" s="611">
        <f t="shared" si="19"/>
        <v>10.832306835204845</v>
      </c>
      <c r="CV27" s="612">
        <f t="shared" si="19"/>
        <v>11.3598105747863</v>
      </c>
      <c r="CW27" s="613">
        <f t="shared" si="52"/>
        <v>1.4290261895330154</v>
      </c>
      <c r="CX27" s="613">
        <f t="shared" si="52"/>
        <v>1.4290261895330154</v>
      </c>
      <c r="CY27" s="613">
        <f t="shared" si="52"/>
        <v>1.4290261895330154</v>
      </c>
      <c r="CZ27" s="609">
        <f t="shared" si="21"/>
        <v>8.5058990739490348</v>
      </c>
      <c r="DA27" s="609"/>
      <c r="DB27" s="609">
        <f t="shared" si="42"/>
        <v>1.0499999999999998</v>
      </c>
      <c r="DC27" s="610">
        <f t="shared" si="22"/>
        <v>1.4048014944436165</v>
      </c>
      <c r="DD27" s="611">
        <f t="shared" si="22"/>
        <v>1.0101333595670252</v>
      </c>
      <c r="DE27" s="612">
        <f t="shared" si="22"/>
        <v>0.70973540875516439</v>
      </c>
      <c r="DF27" s="611">
        <f t="shared" si="53"/>
        <v>8</v>
      </c>
      <c r="DG27" s="611">
        <f t="shared" si="53"/>
        <v>8</v>
      </c>
      <c r="DH27" s="611">
        <f t="shared" si="53"/>
        <v>8</v>
      </c>
      <c r="DI27" s="614">
        <f t="shared" si="23"/>
        <v>8</v>
      </c>
      <c r="DJ27" s="615"/>
      <c r="DK27" s="609">
        <f t="shared" si="43"/>
        <v>1.0499999999999998</v>
      </c>
      <c r="DL27" s="611">
        <f t="shared" si="56"/>
        <v>3.8781232024741645</v>
      </c>
      <c r="DM27" s="611">
        <f t="shared" si="56"/>
        <v>3.9069724168602789</v>
      </c>
      <c r="DN27" s="611">
        <f t="shared" si="56"/>
        <v>6.9279770140351511</v>
      </c>
      <c r="DO27" s="610">
        <f t="shared" si="57"/>
        <v>0.34224926038659653</v>
      </c>
      <c r="DP27" s="611">
        <f t="shared" si="57"/>
        <v>0.36159926038659668</v>
      </c>
      <c r="DQ27" s="612">
        <f t="shared" si="57"/>
        <v>0.39255926038659694</v>
      </c>
      <c r="DR27" s="611">
        <f t="shared" si="26"/>
        <v>4.2203724628607606</v>
      </c>
      <c r="DS27" s="611">
        <f t="shared" si="26"/>
        <v>4.2685716772468751</v>
      </c>
      <c r="DT27" s="611">
        <f t="shared" si="26"/>
        <v>7.3205362744217481</v>
      </c>
      <c r="DU27" s="609">
        <f t="shared" si="44"/>
        <v>4.2</v>
      </c>
      <c r="DV27" s="611"/>
      <c r="DW27" s="646">
        <f t="shared" si="27"/>
        <v>2.8</v>
      </c>
      <c r="DX27" s="621">
        <f t="shared" si="58"/>
        <v>8.1295474098905984</v>
      </c>
      <c r="DY27" s="621">
        <f t="shared" si="58"/>
        <v>8.1717851044328924</v>
      </c>
      <c r="DZ27" s="621">
        <f t="shared" si="58"/>
        <v>8.2054988228941337</v>
      </c>
      <c r="EA27" s="610">
        <f t="shared" si="29"/>
        <v>9.7838707301099781</v>
      </c>
      <c r="EB27" s="611">
        <f t="shared" si="29"/>
        <v>9.774778221057975</v>
      </c>
      <c r="EC27" s="612">
        <f t="shared" si="29"/>
        <v>9.767116388291825</v>
      </c>
      <c r="ED27" s="610">
        <f t="shared" si="45"/>
        <v>8</v>
      </c>
      <c r="EE27" s="611">
        <f t="shared" si="46"/>
        <v>8.5058990739490348</v>
      </c>
      <c r="EF27" s="645">
        <f t="shared" si="47"/>
        <v>1000000</v>
      </c>
      <c r="EG27" s="902"/>
      <c r="EH27" s="646">
        <f t="shared" si="30"/>
        <v>2.8</v>
      </c>
      <c r="EI27" s="610">
        <f t="shared" si="59"/>
        <v>1.6543233202193801</v>
      </c>
      <c r="EJ27" s="986">
        <f t="shared" si="59"/>
        <v>1.6029931166250824</v>
      </c>
      <c r="EK27" s="612">
        <f t="shared" si="59"/>
        <v>1.5616175653976916</v>
      </c>
    </row>
    <row r="28" spans="1:141" ht="15" customHeight="1" x14ac:dyDescent="0.25">
      <c r="A28" s="562"/>
      <c r="B28" s="672" t="s">
        <v>262</v>
      </c>
      <c r="C28" s="1026">
        <v>4.2</v>
      </c>
      <c r="D28" s="660" t="s">
        <v>263</v>
      </c>
      <c r="E28" s="562"/>
      <c r="F28" s="562"/>
      <c r="G28" s="562"/>
      <c r="H28" s="562"/>
      <c r="I28" s="1021"/>
      <c r="J28" s="769" t="s">
        <v>346</v>
      </c>
      <c r="K28" s="1027">
        <v>4.76</v>
      </c>
      <c r="L28" s="711" t="s">
        <v>311</v>
      </c>
      <c r="M28" s="770">
        <f>K28/1000</f>
        <v>4.7599999999999995E-3</v>
      </c>
      <c r="N28" s="562"/>
      <c r="O28" s="659">
        <v>4.76</v>
      </c>
      <c r="P28" s="562"/>
      <c r="Q28" s="1028"/>
      <c r="R28" s="562"/>
      <c r="U28" s="642">
        <f t="shared" si="49"/>
        <v>22</v>
      </c>
      <c r="W28" s="609">
        <f t="shared" si="0"/>
        <v>1.5594148302239896</v>
      </c>
      <c r="X28" s="610">
        <f t="shared" si="60"/>
        <v>3.8606178285582287</v>
      </c>
      <c r="Y28" s="611">
        <f t="shared" si="60"/>
        <v>3.8460463999868</v>
      </c>
      <c r="Z28" s="611">
        <f t="shared" si="60"/>
        <v>3.8227321142725144</v>
      </c>
      <c r="AA28" s="611">
        <f t="shared" si="60"/>
        <v>3.7761035428439427</v>
      </c>
      <c r="AB28" s="982">
        <f t="shared" si="1"/>
        <v>1000000</v>
      </c>
      <c r="AC28" s="919">
        <f t="shared" si="2"/>
        <v>3.8693606857010856</v>
      </c>
      <c r="AD28" s="611">
        <f t="shared" si="51"/>
        <v>3.9470587514600379</v>
      </c>
      <c r="AE28" s="611">
        <f t="shared" si="51"/>
        <v>3.913137322888609</v>
      </c>
      <c r="AF28" s="611">
        <f t="shared" si="51"/>
        <v>3.8588630371743231</v>
      </c>
      <c r="AG28" s="612">
        <f t="shared" si="51"/>
        <v>3.7503144657457508</v>
      </c>
      <c r="AH28" s="609">
        <f t="shared" si="4"/>
        <v>3</v>
      </c>
      <c r="AI28" s="895">
        <f t="shared" si="34"/>
        <v>-1000000</v>
      </c>
      <c r="AJ28" s="610">
        <f t="shared" si="5"/>
        <v>1.5594148302239896</v>
      </c>
      <c r="AK28" s="609">
        <f t="shared" si="35"/>
        <v>9.8050922901809279E-2</v>
      </c>
      <c r="AL28" s="611">
        <f t="shared" si="61"/>
        <v>8.6440922901809172E-2</v>
      </c>
      <c r="AM28" s="611">
        <f t="shared" si="61"/>
        <v>6.7090922901809014E-2</v>
      </c>
      <c r="AN28" s="611">
        <f t="shared" si="61"/>
        <v>3.6130922901808742E-2</v>
      </c>
      <c r="AO28" s="612">
        <f t="shared" si="61"/>
        <v>-2.5789077098191796E-2</v>
      </c>
      <c r="AP28" s="902">
        <v>0</v>
      </c>
      <c r="AQ28" s="783">
        <f t="shared" si="6"/>
        <v>1000000</v>
      </c>
      <c r="AR28" s="983"/>
      <c r="AS28" s="609">
        <f t="shared" si="7"/>
        <v>1.5594148302239896</v>
      </c>
      <c r="AT28" s="610">
        <f t="shared" si="8"/>
        <v>3.9470587514600379</v>
      </c>
      <c r="AU28" s="611">
        <f t="shared" si="8"/>
        <v>3.913137322888609</v>
      </c>
      <c r="AV28" s="611">
        <f t="shared" si="8"/>
        <v>3.8588630371743231</v>
      </c>
      <c r="AW28" s="612">
        <f t="shared" si="8"/>
        <v>3.7503144657457508</v>
      </c>
      <c r="AX28" s="982">
        <f t="shared" si="9"/>
        <v>1000000</v>
      </c>
      <c r="AY28" s="611">
        <f t="shared" si="10"/>
        <v>3</v>
      </c>
      <c r="AZ28" s="612">
        <f t="shared" si="11"/>
        <v>3.8693606857010856</v>
      </c>
      <c r="BB28" s="984">
        <f t="shared" si="37"/>
        <v>4.1795316258126141</v>
      </c>
      <c r="BC28" s="985">
        <f t="shared" si="62"/>
        <v>3.8872507077006451</v>
      </c>
      <c r="BD28" s="985">
        <f t="shared" si="62"/>
        <v>4.8158487752052848</v>
      </c>
      <c r="BE28" s="528">
        <f t="shared" si="62"/>
        <v>3.6432554954021237</v>
      </c>
      <c r="BF28" s="913">
        <f t="shared" si="12"/>
        <v>4.1795316258126141</v>
      </c>
      <c r="BG28" s="317">
        <f t="shared" si="12"/>
        <v>3.8872507077006451</v>
      </c>
      <c r="BH28" s="317">
        <f t="shared" si="12"/>
        <v>-1000000</v>
      </c>
      <c r="BI28" s="919">
        <f t="shared" si="12"/>
        <v>-1000000</v>
      </c>
      <c r="BJ28" s="646">
        <f t="shared" si="13"/>
        <v>1.0999999999999999</v>
      </c>
      <c r="BK28" s="913">
        <f t="shared" si="14"/>
        <v>4.1795316258126141</v>
      </c>
      <c r="BL28" s="317">
        <f t="shared" si="14"/>
        <v>3.8872507077006451</v>
      </c>
      <c r="BM28" s="317"/>
      <c r="BN28" s="317"/>
      <c r="BO28" s="913">
        <f t="shared" si="15"/>
        <v>3</v>
      </c>
      <c r="BP28" s="783">
        <f t="shared" si="39"/>
        <v>1000000</v>
      </c>
      <c r="BU28" s="552" t="s">
        <v>347</v>
      </c>
      <c r="BV28" s="1029">
        <f>CD32*CD36</f>
        <v>6.1920000000000537E-2</v>
      </c>
      <c r="BW28" s="784"/>
      <c r="CC28" s="144" t="s">
        <v>173</v>
      </c>
      <c r="CD28" s="700">
        <f>C25</f>
        <v>8</v>
      </c>
      <c r="CE28" s="660" t="s">
        <v>286</v>
      </c>
      <c r="CI28" s="701">
        <f>CD27/CD32-CB13</f>
        <v>0.74166722054482159</v>
      </c>
      <c r="CJ28" s="660" t="s">
        <v>259</v>
      </c>
      <c r="CK28" s="642">
        <f t="shared" si="50"/>
        <v>22</v>
      </c>
      <c r="CL28" s="609">
        <f t="shared" si="16"/>
        <v>1.5594148302239896</v>
      </c>
      <c r="CM28" s="609">
        <f t="shared" si="40"/>
        <v>1.0999999999999999</v>
      </c>
      <c r="CN28" s="610">
        <f t="shared" si="54"/>
        <v>8.0394784275966842</v>
      </c>
      <c r="CO28" s="611">
        <f t="shared" si="54"/>
        <v>8.2278493821700103</v>
      </c>
      <c r="CP28" s="612">
        <f t="shared" si="54"/>
        <v>8.3401439091572787</v>
      </c>
      <c r="CQ28" s="611">
        <f t="shared" si="55"/>
        <v>2.2503078197799433</v>
      </c>
      <c r="CR28" s="611">
        <f t="shared" si="55"/>
        <v>2.6512331080515472</v>
      </c>
      <c r="CS28" s="611">
        <f t="shared" si="55"/>
        <v>3.0521583963231511</v>
      </c>
      <c r="CT28" s="610">
        <f t="shared" si="19"/>
        <v>10.289786247376627</v>
      </c>
      <c r="CU28" s="611">
        <f t="shared" si="19"/>
        <v>10.879082490221558</v>
      </c>
      <c r="CV28" s="612">
        <f t="shared" si="19"/>
        <v>11.392302305480429</v>
      </c>
      <c r="CW28" s="613">
        <f t="shared" si="52"/>
        <v>1.8290261895330158</v>
      </c>
      <c r="CX28" s="613">
        <f t="shared" si="52"/>
        <v>1.8290261895330158</v>
      </c>
      <c r="CY28" s="613">
        <f t="shared" si="52"/>
        <v>1.8290261895330158</v>
      </c>
      <c r="CZ28" s="609">
        <f t="shared" si="21"/>
        <v>8.5058990739490348</v>
      </c>
      <c r="DA28" s="609"/>
      <c r="DB28" s="609">
        <f t="shared" si="42"/>
        <v>1.0999999999999999</v>
      </c>
      <c r="DC28" s="610">
        <f t="shared" si="22"/>
        <v>1.2311125243312999</v>
      </c>
      <c r="DD28" s="611">
        <f t="shared" si="22"/>
        <v>0.86466765421519765</v>
      </c>
      <c r="DE28" s="612">
        <f t="shared" si="22"/>
        <v>0.59340927700570167</v>
      </c>
      <c r="DF28" s="611">
        <f t="shared" si="53"/>
        <v>8</v>
      </c>
      <c r="DG28" s="611">
        <f t="shared" si="53"/>
        <v>8</v>
      </c>
      <c r="DH28" s="611">
        <f t="shared" si="53"/>
        <v>8</v>
      </c>
      <c r="DI28" s="614">
        <f t="shared" si="23"/>
        <v>8</v>
      </c>
      <c r="DJ28" s="615"/>
      <c r="DK28" s="609">
        <f t="shared" si="43"/>
        <v>1.0999999999999999</v>
      </c>
      <c r="DL28" s="611">
        <f t="shared" si="56"/>
        <v>3.878219059888472</v>
      </c>
      <c r="DM28" s="611">
        <f t="shared" si="56"/>
        <v>3.9088044994556759</v>
      </c>
      <c r="DN28" s="611">
        <f t="shared" si="56"/>
        <v>1000000</v>
      </c>
      <c r="DO28" s="610">
        <f t="shared" si="57"/>
        <v>0.34224929021054679</v>
      </c>
      <c r="DP28" s="611">
        <f t="shared" si="57"/>
        <v>0.36159929021054693</v>
      </c>
      <c r="DQ28" s="612">
        <f t="shared" si="57"/>
        <v>0.3925592902105472</v>
      </c>
      <c r="DR28" s="611">
        <f t="shared" si="26"/>
        <v>4.2204683500990186</v>
      </c>
      <c r="DS28" s="611">
        <f t="shared" si="26"/>
        <v>4.270403789666223</v>
      </c>
      <c r="DT28" s="611">
        <f t="shared" si="26"/>
        <v>1000000.3925592902</v>
      </c>
      <c r="DU28" s="609">
        <f t="shared" si="44"/>
        <v>4.2</v>
      </c>
      <c r="DV28" s="611"/>
      <c r="DW28" s="646">
        <f t="shared" si="27"/>
        <v>2.9333333333333331</v>
      </c>
      <c r="DX28" s="621">
        <f t="shared" si="58"/>
        <v>8.1121396100123988</v>
      </c>
      <c r="DY28" s="621">
        <f t="shared" si="58"/>
        <v>8.1562798467293334</v>
      </c>
      <c r="DZ28" s="621">
        <f t="shared" si="58"/>
        <v>8.1915214224308848</v>
      </c>
      <c r="EA28" s="610">
        <f t="shared" si="29"/>
        <v>9.7271435586609876</v>
      </c>
      <c r="EB28" s="611">
        <f t="shared" si="29"/>
        <v>9.7179290646082261</v>
      </c>
      <c r="EC28" s="612">
        <f t="shared" si="29"/>
        <v>9.7101631857975512</v>
      </c>
      <c r="ED28" s="610">
        <f t="shared" si="45"/>
        <v>8</v>
      </c>
      <c r="EE28" s="611">
        <f t="shared" si="46"/>
        <v>8.5058990739490348</v>
      </c>
      <c r="EF28" s="645">
        <f t="shared" si="47"/>
        <v>1000000</v>
      </c>
      <c r="EG28" s="902"/>
      <c r="EH28" s="646">
        <f t="shared" si="30"/>
        <v>2.9333333333333331</v>
      </c>
      <c r="EI28" s="610">
        <f t="shared" si="59"/>
        <v>1.6150039486485883</v>
      </c>
      <c r="EJ28" s="986">
        <f t="shared" si="59"/>
        <v>1.5616492178788932</v>
      </c>
      <c r="EK28" s="612">
        <f t="shared" si="59"/>
        <v>1.5186417633666656</v>
      </c>
    </row>
    <row r="29" spans="1:141" ht="15" customHeight="1" x14ac:dyDescent="0.25">
      <c r="A29" s="562"/>
      <c r="B29" s="672" t="s">
        <v>306</v>
      </c>
      <c r="C29" s="1026">
        <v>4.0999999999999996</v>
      </c>
      <c r="D29" s="660" t="s">
        <v>263</v>
      </c>
      <c r="I29" s="1021"/>
      <c r="J29" s="769" t="s">
        <v>348</v>
      </c>
      <c r="K29" s="1030">
        <f>M29*1000</f>
        <v>12.500000000000068</v>
      </c>
      <c r="L29" s="711" t="s">
        <v>311</v>
      </c>
      <c r="M29" s="770">
        <f>(C28-C29)/(C26)</f>
        <v>1.2500000000000067E-2</v>
      </c>
      <c r="Q29" s="1031"/>
      <c r="U29" s="642">
        <f t="shared" si="49"/>
        <v>23</v>
      </c>
      <c r="W29" s="609">
        <f t="shared" si="0"/>
        <v>1.6302973225068984</v>
      </c>
      <c r="X29" s="610">
        <f t="shared" si="60"/>
        <v>3.8605276960103638</v>
      </c>
      <c r="Y29" s="611">
        <f t="shared" si="60"/>
        <v>3.8458060465258277</v>
      </c>
      <c r="Z29" s="611">
        <f t="shared" si="60"/>
        <v>3.8222514073505702</v>
      </c>
      <c r="AA29" s="611">
        <f t="shared" si="60"/>
        <v>3.7751421290000549</v>
      </c>
      <c r="AB29" s="982">
        <f t="shared" si="1"/>
        <v>1000000</v>
      </c>
      <c r="AC29" s="919">
        <f t="shared" si="2"/>
        <v>3.8693606857010856</v>
      </c>
      <c r="AD29" s="611">
        <f t="shared" si="51"/>
        <v>3.9393054640267309</v>
      </c>
      <c r="AE29" s="611">
        <f t="shared" si="51"/>
        <v>3.9052338145421945</v>
      </c>
      <c r="AF29" s="611">
        <f t="shared" si="51"/>
        <v>3.8507191753669368</v>
      </c>
      <c r="AG29" s="612">
        <f t="shared" si="51"/>
        <v>3.7416898970164212</v>
      </c>
      <c r="AH29" s="609">
        <f t="shared" si="4"/>
        <v>3</v>
      </c>
      <c r="AI29" s="895">
        <f t="shared" si="34"/>
        <v>-1000000</v>
      </c>
      <c r="AJ29" s="610">
        <f t="shared" si="5"/>
        <v>1.6302973225068984</v>
      </c>
      <c r="AK29" s="609">
        <f t="shared" si="35"/>
        <v>9.0387768016367248E-2</v>
      </c>
      <c r="AL29" s="611">
        <f t="shared" si="61"/>
        <v>7.8777768016367142E-2</v>
      </c>
      <c r="AM29" s="611">
        <f t="shared" si="61"/>
        <v>5.9427768016366983E-2</v>
      </c>
      <c r="AN29" s="611">
        <f t="shared" si="61"/>
        <v>2.8467768016366711E-2</v>
      </c>
      <c r="AO29" s="612">
        <f t="shared" si="61"/>
        <v>-3.3452231983633826E-2</v>
      </c>
      <c r="AP29" s="902">
        <v>0</v>
      </c>
      <c r="AQ29" s="783">
        <f t="shared" si="6"/>
        <v>1000000</v>
      </c>
      <c r="AR29" s="983"/>
      <c r="AS29" s="609">
        <f t="shared" si="7"/>
        <v>1.6302973225068984</v>
      </c>
      <c r="AT29" s="610">
        <f t="shared" si="8"/>
        <v>3.9393054640267309</v>
      </c>
      <c r="AU29" s="611">
        <f t="shared" si="8"/>
        <v>3.9052338145421945</v>
      </c>
      <c r="AV29" s="611">
        <f t="shared" si="8"/>
        <v>3.8507191753669368</v>
      </c>
      <c r="AW29" s="612">
        <f t="shared" si="8"/>
        <v>3.7416898970164212</v>
      </c>
      <c r="AX29" s="982">
        <f t="shared" si="9"/>
        <v>1000000</v>
      </c>
      <c r="AY29" s="611">
        <f t="shared" si="10"/>
        <v>3</v>
      </c>
      <c r="AZ29" s="612">
        <f t="shared" si="11"/>
        <v>3.8693606857010856</v>
      </c>
      <c r="BB29" s="984">
        <f t="shared" si="37"/>
        <v>4.1794336479402387</v>
      </c>
      <c r="BC29" s="985">
        <f t="shared" si="62"/>
        <v>3.877401114554142</v>
      </c>
      <c r="BD29" s="985">
        <f t="shared" si="62"/>
        <v>4.1739345255773008</v>
      </c>
      <c r="BE29" s="528">
        <f t="shared" si="62"/>
        <v>3.6348454361764468</v>
      </c>
      <c r="BF29" s="913">
        <f t="shared" si="12"/>
        <v>4.1794336479402387</v>
      </c>
      <c r="BG29" s="317">
        <f t="shared" si="12"/>
        <v>3.877401114554142</v>
      </c>
      <c r="BH29" s="317">
        <f t="shared" si="12"/>
        <v>-1000000</v>
      </c>
      <c r="BI29" s="919">
        <f t="shared" si="12"/>
        <v>-1000000</v>
      </c>
      <c r="BJ29" s="646">
        <f t="shared" si="13"/>
        <v>1.1500000000000001</v>
      </c>
      <c r="BK29" s="913">
        <f t="shared" si="14"/>
        <v>4.1794336479402387</v>
      </c>
      <c r="BL29" s="317">
        <f t="shared" si="14"/>
        <v>3.877401114554142</v>
      </c>
      <c r="BM29" s="317"/>
      <c r="BN29" s="317"/>
      <c r="BO29" s="913">
        <f t="shared" si="15"/>
        <v>3</v>
      </c>
      <c r="BP29" s="783">
        <f t="shared" si="39"/>
        <v>1000000</v>
      </c>
      <c r="BU29" s="1032" t="s">
        <v>349</v>
      </c>
      <c r="BV29" s="1029">
        <f>CD30*((CD22+BV28)-CD20)</f>
        <v>-6.4744679235047427</v>
      </c>
      <c r="CB29" s="562"/>
      <c r="CC29" s="144" t="s">
        <v>350</v>
      </c>
      <c r="CD29" s="698">
        <f>K27</f>
        <v>2.6512333012042681</v>
      </c>
      <c r="CE29" s="660" t="s">
        <v>286</v>
      </c>
      <c r="CG29" s="562"/>
      <c r="CH29" s="562"/>
      <c r="CI29" s="562"/>
      <c r="CJ29" s="562"/>
      <c r="CK29" s="642">
        <f t="shared" si="50"/>
        <v>23</v>
      </c>
      <c r="CL29" s="609">
        <f t="shared" si="16"/>
        <v>1.6302973225068984</v>
      </c>
      <c r="CM29" s="609">
        <f t="shared" si="40"/>
        <v>1.1500000000000001</v>
      </c>
      <c r="CN29" s="610">
        <f t="shared" si="54"/>
        <v>8.0971449002891269</v>
      </c>
      <c r="CO29" s="611">
        <f t="shared" si="54"/>
        <v>8.2678890517028858</v>
      </c>
      <c r="CP29" s="612">
        <f t="shared" si="54"/>
        <v>8.3673102243664363</v>
      </c>
      <c r="CQ29" s="611">
        <f t="shared" si="55"/>
        <v>2.2503079221786768</v>
      </c>
      <c r="CR29" s="611">
        <f t="shared" si="55"/>
        <v>2.6512332149023994</v>
      </c>
      <c r="CS29" s="611">
        <f t="shared" si="55"/>
        <v>3.0521585076261224</v>
      </c>
      <c r="CT29" s="610">
        <f t="shared" si="19"/>
        <v>10.347452822467805</v>
      </c>
      <c r="CU29" s="611">
        <f t="shared" si="19"/>
        <v>10.919122266605285</v>
      </c>
      <c r="CV29" s="612">
        <f t="shared" si="19"/>
        <v>11.419468731992559</v>
      </c>
      <c r="CW29" s="613">
        <f t="shared" si="52"/>
        <v>2.2290261895330179</v>
      </c>
      <c r="CX29" s="613">
        <f t="shared" si="52"/>
        <v>2.2290261895330179</v>
      </c>
      <c r="CY29" s="613">
        <f t="shared" si="52"/>
        <v>2.2290261895330179</v>
      </c>
      <c r="CZ29" s="609">
        <f t="shared" si="21"/>
        <v>8.5058990739490348</v>
      </c>
      <c r="DA29" s="609"/>
      <c r="DB29" s="609">
        <f t="shared" si="42"/>
        <v>1.1500000000000001</v>
      </c>
      <c r="DC29" s="610">
        <f t="shared" si="22"/>
        <v>1.0789003763814413</v>
      </c>
      <c r="DD29" s="611">
        <f t="shared" si="22"/>
        <v>0.74015184310261883</v>
      </c>
      <c r="DE29" s="612">
        <f t="shared" si="22"/>
        <v>0.49615086792462426</v>
      </c>
      <c r="DF29" s="611">
        <f t="shared" si="53"/>
        <v>8</v>
      </c>
      <c r="DG29" s="611">
        <f t="shared" si="53"/>
        <v>8</v>
      </c>
      <c r="DH29" s="611">
        <f t="shared" si="53"/>
        <v>8</v>
      </c>
      <c r="DI29" s="614">
        <f t="shared" si="23"/>
        <v>8</v>
      </c>
      <c r="DJ29" s="615"/>
      <c r="DK29" s="609">
        <f t="shared" si="43"/>
        <v>1.1500000000000001</v>
      </c>
      <c r="DL29" s="611">
        <f t="shared" si="56"/>
        <v>3.8783170377608469</v>
      </c>
      <c r="DM29" s="611">
        <f t="shared" si="56"/>
        <v>3.9108242041642622</v>
      </c>
      <c r="DN29" s="611">
        <f t="shared" si="56"/>
        <v>1000000</v>
      </c>
      <c r="DO29" s="610">
        <f t="shared" si="57"/>
        <v>0.34224930353607813</v>
      </c>
      <c r="DP29" s="611">
        <f t="shared" si="57"/>
        <v>0.36159930353607828</v>
      </c>
      <c r="DQ29" s="612">
        <f t="shared" si="57"/>
        <v>0.39255930353607854</v>
      </c>
      <c r="DR29" s="611">
        <f t="shared" si="26"/>
        <v>4.2205663412969248</v>
      </c>
      <c r="DS29" s="611">
        <f t="shared" si="26"/>
        <v>4.2724235077003403</v>
      </c>
      <c r="DT29" s="611">
        <f t="shared" si="26"/>
        <v>1000000.3925593036</v>
      </c>
      <c r="DU29" s="609">
        <f t="shared" si="44"/>
        <v>4.2</v>
      </c>
      <c r="DV29" s="611"/>
      <c r="DW29" s="646">
        <f t="shared" si="27"/>
        <v>3.0666666666666669</v>
      </c>
      <c r="DX29" s="621">
        <f t="shared" si="58"/>
        <v>8.094777113184378</v>
      </c>
      <c r="DY29" s="621">
        <f t="shared" si="58"/>
        <v>8.1408104226061813</v>
      </c>
      <c r="DZ29" s="621">
        <f t="shared" si="58"/>
        <v>8.1775730718627457</v>
      </c>
      <c r="EA29" s="610">
        <f t="shared" si="29"/>
        <v>9.6711115823108873</v>
      </c>
      <c r="EB29" s="611">
        <f t="shared" si="29"/>
        <v>9.6617990962785054</v>
      </c>
      <c r="EC29" s="612">
        <f t="shared" si="29"/>
        <v>9.6539493607268074</v>
      </c>
      <c r="ED29" s="610">
        <f t="shared" si="45"/>
        <v>8</v>
      </c>
      <c r="EE29" s="611">
        <f t="shared" si="46"/>
        <v>8.5058990739490348</v>
      </c>
      <c r="EF29" s="645">
        <f t="shared" si="47"/>
        <v>1000000</v>
      </c>
      <c r="EG29" s="902"/>
      <c r="EH29" s="646">
        <f t="shared" si="30"/>
        <v>3.0666666666666669</v>
      </c>
      <c r="EI29" s="610">
        <f t="shared" si="59"/>
        <v>1.5763344691265091</v>
      </c>
      <c r="EJ29" s="986">
        <f t="shared" si="59"/>
        <v>1.5209886736723248</v>
      </c>
      <c r="EK29" s="612">
        <f t="shared" si="59"/>
        <v>1.4763762888640619</v>
      </c>
    </row>
    <row r="30" spans="1:141" ht="15" customHeight="1" x14ac:dyDescent="0.25">
      <c r="A30" s="562"/>
      <c r="B30" s="672" t="s">
        <v>269</v>
      </c>
      <c r="C30" s="1026">
        <v>3.7</v>
      </c>
      <c r="D30" s="660" t="s">
        <v>263</v>
      </c>
      <c r="I30" s="1021"/>
      <c r="J30" s="769" t="s">
        <v>313</v>
      </c>
      <c r="K30" s="1030">
        <f>M30*1000</f>
        <v>7.7400000000000668</v>
      </c>
      <c r="L30" s="711" t="s">
        <v>311</v>
      </c>
      <c r="M30" s="770">
        <f>M29-M28</f>
        <v>7.7400000000000671E-3</v>
      </c>
      <c r="O30" s="562"/>
      <c r="P30" s="144" t="s">
        <v>351</v>
      </c>
      <c r="Q30" s="700">
        <f>C25/K26</f>
        <v>0.94052373893096752</v>
      </c>
      <c r="R30" s="1033" t="s">
        <v>352</v>
      </c>
      <c r="U30" s="642">
        <f t="shared" si="49"/>
        <v>24</v>
      </c>
      <c r="W30" s="609">
        <f t="shared" si="0"/>
        <v>1.701179814789807</v>
      </c>
      <c r="X30" s="610">
        <f t="shared" si="60"/>
        <v>3.8604356857010855</v>
      </c>
      <c r="Y30" s="611">
        <f t="shared" si="60"/>
        <v>3.8455606857010856</v>
      </c>
      <c r="Z30" s="611">
        <f t="shared" si="60"/>
        <v>3.8217606857010855</v>
      </c>
      <c r="AA30" s="611">
        <f t="shared" si="60"/>
        <v>3.7741606857010854</v>
      </c>
      <c r="AB30" s="982">
        <f t="shared" si="1"/>
        <v>1000000</v>
      </c>
      <c r="AC30" s="919">
        <f t="shared" si="2"/>
        <v>3.8693606857010856</v>
      </c>
      <c r="AD30" s="611">
        <f t="shared" si="51"/>
        <v>3.931752463843472</v>
      </c>
      <c r="AE30" s="611">
        <f t="shared" si="51"/>
        <v>3.8975274638434718</v>
      </c>
      <c r="AF30" s="611">
        <f t="shared" si="51"/>
        <v>3.8427674638434715</v>
      </c>
      <c r="AG30" s="612">
        <f t="shared" si="51"/>
        <v>3.7332474638434707</v>
      </c>
      <c r="AH30" s="609">
        <f t="shared" si="4"/>
        <v>3</v>
      </c>
      <c r="AI30" s="895">
        <f t="shared" si="34"/>
        <v>-1000000</v>
      </c>
      <c r="AJ30" s="610">
        <f t="shared" si="5"/>
        <v>1.701179814789807</v>
      </c>
      <c r="AK30" s="609">
        <f t="shared" si="35"/>
        <v>8.2926778142386512E-2</v>
      </c>
      <c r="AL30" s="611">
        <f t="shared" si="61"/>
        <v>7.1316778142386406E-2</v>
      </c>
      <c r="AM30" s="611">
        <f t="shared" si="61"/>
        <v>5.1966778142386247E-2</v>
      </c>
      <c r="AN30" s="611">
        <f t="shared" si="61"/>
        <v>2.1006778142385975E-2</v>
      </c>
      <c r="AO30" s="612">
        <f t="shared" si="61"/>
        <v>-4.0913221857614562E-2</v>
      </c>
      <c r="AP30" s="902">
        <v>0</v>
      </c>
      <c r="AQ30" s="783">
        <f t="shared" si="6"/>
        <v>1000000</v>
      </c>
      <c r="AR30" s="983"/>
      <c r="AS30" s="609">
        <f t="shared" si="7"/>
        <v>1.701179814789807</v>
      </c>
      <c r="AT30" s="610">
        <f t="shared" si="8"/>
        <v>3.931752463843472</v>
      </c>
      <c r="AU30" s="611">
        <f t="shared" si="8"/>
        <v>3.8975274638434718</v>
      </c>
      <c r="AV30" s="611">
        <f t="shared" si="8"/>
        <v>3.8427674638434715</v>
      </c>
      <c r="AW30" s="612">
        <f t="shared" si="8"/>
        <v>3.7332474638434707</v>
      </c>
      <c r="AX30" s="982">
        <f t="shared" si="9"/>
        <v>1000000</v>
      </c>
      <c r="AY30" s="611">
        <f t="shared" si="10"/>
        <v>3</v>
      </c>
      <c r="AZ30" s="612">
        <f t="shared" si="11"/>
        <v>3.8693606857010856</v>
      </c>
      <c r="BB30" s="984">
        <f t="shared" si="37"/>
        <v>4.1793334784630254</v>
      </c>
      <c r="BC30" s="985">
        <f t="shared" si="62"/>
        <v>3.8675519164434666</v>
      </c>
      <c r="BD30" s="985">
        <f t="shared" si="62"/>
        <v>3.9966233185235644</v>
      </c>
      <c r="BE30" s="528">
        <f t="shared" si="62"/>
        <v>3.6276682806580594</v>
      </c>
      <c r="BF30" s="913">
        <f t="shared" si="12"/>
        <v>4.1793334784630254</v>
      </c>
      <c r="BG30" s="317">
        <f t="shared" si="12"/>
        <v>3.8675519164434666</v>
      </c>
      <c r="BH30" s="317">
        <f t="shared" si="12"/>
        <v>-1000000</v>
      </c>
      <c r="BI30" s="919">
        <f t="shared" si="12"/>
        <v>-1000000</v>
      </c>
      <c r="BJ30" s="646">
        <f t="shared" si="13"/>
        <v>1.2000000000000002</v>
      </c>
      <c r="BK30" s="913">
        <f t="shared" si="14"/>
        <v>4.1793334784630254</v>
      </c>
      <c r="BL30" s="317">
        <f t="shared" si="14"/>
        <v>3.8675519164434666</v>
      </c>
      <c r="BM30" s="317"/>
      <c r="BN30" s="317"/>
      <c r="BO30" s="913">
        <f t="shared" si="15"/>
        <v>3</v>
      </c>
      <c r="BP30" s="783">
        <f t="shared" si="39"/>
        <v>1000000</v>
      </c>
      <c r="BU30" s="1032" t="s">
        <v>353</v>
      </c>
      <c r="BV30" s="1029">
        <f>CD30*(CD19-CD20)</f>
        <v>2.6512333012042681</v>
      </c>
      <c r="CB30" s="562"/>
      <c r="CC30" s="709" t="s">
        <v>198</v>
      </c>
      <c r="CD30" s="710">
        <f>K32</f>
        <v>8.0185059263927094</v>
      </c>
      <c r="CE30" s="711" t="s">
        <v>293</v>
      </c>
      <c r="CF30" s="562"/>
      <c r="CG30" s="562"/>
      <c r="CH30" s="562"/>
      <c r="CI30" s="562"/>
      <c r="CJ30" s="562"/>
      <c r="CK30" s="642">
        <f t="shared" si="50"/>
        <v>24</v>
      </c>
      <c r="CL30" s="609">
        <f t="shared" si="16"/>
        <v>1.701179814789807</v>
      </c>
      <c r="CM30" s="609">
        <f t="shared" si="40"/>
        <v>1.2000000000000002</v>
      </c>
      <c r="CN30" s="610">
        <f t="shared" si="54"/>
        <v>8.1476817098785439</v>
      </c>
      <c r="CO30" s="611">
        <f t="shared" si="54"/>
        <v>8.3021629348180745</v>
      </c>
      <c r="CP30" s="612">
        <f t="shared" si="54"/>
        <v>8.3900241372449003</v>
      </c>
      <c r="CQ30" s="611">
        <f t="shared" si="55"/>
        <v>2.2503079679310845</v>
      </c>
      <c r="CR30" s="611">
        <f t="shared" si="55"/>
        <v>2.651233262644042</v>
      </c>
      <c r="CS30" s="611">
        <f t="shared" si="55"/>
        <v>3.052158557357</v>
      </c>
      <c r="CT30" s="610">
        <f t="shared" si="19"/>
        <v>10.397989677809628</v>
      </c>
      <c r="CU30" s="611">
        <f t="shared" si="19"/>
        <v>10.953396197462116</v>
      </c>
      <c r="CV30" s="612">
        <f t="shared" si="19"/>
        <v>11.4421826946019</v>
      </c>
      <c r="CW30" s="613">
        <f t="shared" si="52"/>
        <v>2.6290261895330183</v>
      </c>
      <c r="CX30" s="613">
        <f t="shared" si="52"/>
        <v>2.6290261895330183</v>
      </c>
      <c r="CY30" s="613">
        <f t="shared" si="52"/>
        <v>2.6290261895330183</v>
      </c>
      <c r="CZ30" s="609">
        <f t="shared" si="21"/>
        <v>8.5058990739490348</v>
      </c>
      <c r="DA30" s="609"/>
      <c r="DB30" s="609">
        <f t="shared" si="42"/>
        <v>1.2000000000000002</v>
      </c>
      <c r="DC30" s="610">
        <f t="shared" si="22"/>
        <v>0.94550831124750523</v>
      </c>
      <c r="DD30" s="611">
        <f t="shared" si="22"/>
        <v>0.63356768445641842</v>
      </c>
      <c r="DE30" s="612">
        <f t="shared" si="22"/>
        <v>0.41483368621998024</v>
      </c>
      <c r="DF30" s="611">
        <f t="shared" si="53"/>
        <v>8</v>
      </c>
      <c r="DG30" s="611">
        <f t="shared" si="53"/>
        <v>8</v>
      </c>
      <c r="DH30" s="611">
        <f t="shared" si="53"/>
        <v>8</v>
      </c>
      <c r="DI30" s="614">
        <f t="shared" si="23"/>
        <v>8</v>
      </c>
      <c r="DJ30" s="615"/>
      <c r="DK30" s="609">
        <f t="shared" si="43"/>
        <v>1.2000000000000002</v>
      </c>
      <c r="DL30" s="611">
        <f t="shared" si="56"/>
        <v>3.8784172072380598</v>
      </c>
      <c r="DM30" s="611">
        <f t="shared" si="56"/>
        <v>3.9130619077625415</v>
      </c>
      <c r="DN30" s="611">
        <f t="shared" si="56"/>
        <v>1000000</v>
      </c>
      <c r="DO30" s="610">
        <f t="shared" si="57"/>
        <v>0.34224930949001059</v>
      </c>
      <c r="DP30" s="611">
        <f t="shared" si="57"/>
        <v>0.36159930949001073</v>
      </c>
      <c r="DQ30" s="612">
        <f t="shared" si="57"/>
        <v>0.392559309490011</v>
      </c>
      <c r="DR30" s="611">
        <f t="shared" si="26"/>
        <v>4.2206665167280706</v>
      </c>
      <c r="DS30" s="611">
        <f t="shared" si="26"/>
        <v>4.274661217252552</v>
      </c>
      <c r="DT30" s="611">
        <f t="shared" si="26"/>
        <v>1000000.3925593095</v>
      </c>
      <c r="DU30" s="609">
        <f t="shared" si="44"/>
        <v>4.2</v>
      </c>
      <c r="DV30" s="611"/>
      <c r="DW30" s="646">
        <f t="shared" si="27"/>
        <v>3.2</v>
      </c>
      <c r="DX30" s="621">
        <f t="shared" si="58"/>
        <v>8.0774597427875001</v>
      </c>
      <c r="DY30" s="621">
        <f t="shared" si="58"/>
        <v>8.1253767079864847</v>
      </c>
      <c r="DZ30" s="621">
        <f t="shared" si="58"/>
        <v>8.1636536807200688</v>
      </c>
      <c r="EA30" s="610">
        <f t="shared" si="29"/>
        <v>9.6157638826699046</v>
      </c>
      <c r="EB30" s="611">
        <f t="shared" si="29"/>
        <v>9.6063768971347976</v>
      </c>
      <c r="EC30" s="612">
        <f t="shared" si="29"/>
        <v>9.5984630819285961</v>
      </c>
      <c r="ED30" s="610">
        <f t="shared" si="45"/>
        <v>8</v>
      </c>
      <c r="EE30" s="611">
        <f t="shared" si="46"/>
        <v>8.5058990739490348</v>
      </c>
      <c r="EF30" s="645">
        <f t="shared" si="47"/>
        <v>1000000</v>
      </c>
      <c r="EG30" s="902"/>
      <c r="EH30" s="646">
        <f t="shared" si="30"/>
        <v>3.2</v>
      </c>
      <c r="EI30" s="610">
        <f t="shared" si="59"/>
        <v>1.5383041398824049</v>
      </c>
      <c r="EJ30" s="986">
        <f t="shared" si="59"/>
        <v>1.4810001891483133</v>
      </c>
      <c r="EK30" s="612">
        <f t="shared" si="59"/>
        <v>1.4348094012085266</v>
      </c>
    </row>
    <row r="31" spans="1:141" ht="15" customHeight="1" x14ac:dyDescent="0.25">
      <c r="A31" s="562"/>
      <c r="B31" s="672" t="s">
        <v>354</v>
      </c>
      <c r="C31" s="1026">
        <v>3</v>
      </c>
      <c r="D31" s="660" t="s">
        <v>263</v>
      </c>
      <c r="G31" s="562"/>
      <c r="J31" s="672" t="s">
        <v>342</v>
      </c>
      <c r="K31" s="1034">
        <f>C28-K25</f>
        <v>0.33063931429891458</v>
      </c>
      <c r="L31" s="660" t="s">
        <v>263</v>
      </c>
      <c r="M31" s="1031"/>
      <c r="P31" s="144" t="s">
        <v>355</v>
      </c>
      <c r="Q31" s="700">
        <f>K27/K26</f>
        <v>0.31169348215336629</v>
      </c>
      <c r="R31" s="1033" t="s">
        <v>352</v>
      </c>
      <c r="U31" s="642">
        <f t="shared" si="49"/>
        <v>25</v>
      </c>
      <c r="W31" s="609">
        <f t="shared" si="0"/>
        <v>1.7720623070727157</v>
      </c>
      <c r="X31" s="610">
        <f t="shared" si="60"/>
        <v>3.8603417383326644</v>
      </c>
      <c r="Y31" s="611">
        <f t="shared" si="60"/>
        <v>3.8453101593852961</v>
      </c>
      <c r="Z31" s="611">
        <f t="shared" si="60"/>
        <v>3.8212596330695066</v>
      </c>
      <c r="AA31" s="611">
        <f t="shared" si="60"/>
        <v>3.7731585804379275</v>
      </c>
      <c r="AB31" s="982">
        <f t="shared" si="1"/>
        <v>1000000</v>
      </c>
      <c r="AC31" s="919">
        <f t="shared" si="2"/>
        <v>3.8693606857010856</v>
      </c>
      <c r="AD31" s="611">
        <f t="shared" si="51"/>
        <v>3.9243943582097134</v>
      </c>
      <c r="AE31" s="611">
        <f t="shared" si="51"/>
        <v>3.8900127792623449</v>
      </c>
      <c r="AF31" s="611">
        <f t="shared" si="51"/>
        <v>3.8350022529465551</v>
      </c>
      <c r="AG31" s="612">
        <f t="shared" si="51"/>
        <v>3.7249812003149758</v>
      </c>
      <c r="AH31" s="609">
        <f t="shared" si="4"/>
        <v>3</v>
      </c>
      <c r="AI31" s="895">
        <f t="shared" si="34"/>
        <v>-1000000</v>
      </c>
      <c r="AJ31" s="610">
        <f t="shared" si="5"/>
        <v>1.7720623070727157</v>
      </c>
      <c r="AK31" s="609">
        <f t="shared" si="35"/>
        <v>7.5662619877049198E-2</v>
      </c>
      <c r="AL31" s="611">
        <f t="shared" si="61"/>
        <v>6.4052619877049091E-2</v>
      </c>
      <c r="AM31" s="611">
        <f t="shared" si="61"/>
        <v>4.4702619877048932E-2</v>
      </c>
      <c r="AN31" s="611">
        <f t="shared" si="61"/>
        <v>1.374261987704866E-2</v>
      </c>
      <c r="AO31" s="612">
        <f t="shared" si="61"/>
        <v>-4.8177380122951877E-2</v>
      </c>
      <c r="AP31" s="902">
        <v>0</v>
      </c>
      <c r="AQ31" s="783">
        <f t="shared" si="6"/>
        <v>1000000</v>
      </c>
      <c r="AR31" s="983"/>
      <c r="AS31" s="609">
        <f t="shared" si="7"/>
        <v>1.7720623070727157</v>
      </c>
      <c r="AT31" s="610">
        <f t="shared" si="8"/>
        <v>3.9243943582097134</v>
      </c>
      <c r="AU31" s="611">
        <f t="shared" si="8"/>
        <v>3.8900127792623449</v>
      </c>
      <c r="AV31" s="611">
        <f t="shared" si="8"/>
        <v>3.8350022529465551</v>
      </c>
      <c r="AW31" s="612">
        <f t="shared" si="8"/>
        <v>3.7249812003149758</v>
      </c>
      <c r="AX31" s="982">
        <f t="shared" si="9"/>
        <v>1000000</v>
      </c>
      <c r="AY31" s="611">
        <f t="shared" si="10"/>
        <v>3</v>
      </c>
      <c r="AZ31" s="612">
        <f t="shared" si="11"/>
        <v>3.8693606857010856</v>
      </c>
      <c r="BB31" s="984">
        <f t="shared" si="37"/>
        <v>4.1792310430153288</v>
      </c>
      <c r="BC31" s="985">
        <f t="shared" si="62"/>
        <v>3.8576597134937005</v>
      </c>
      <c r="BD31" s="985">
        <f t="shared" si="62"/>
        <v>3.911148955891425</v>
      </c>
      <c r="BE31" s="528">
        <f t="shared" si="62"/>
        <v>3.6214921161175599</v>
      </c>
      <c r="BF31" s="913">
        <f t="shared" si="12"/>
        <v>4.1792310430153288</v>
      </c>
      <c r="BG31" s="317">
        <f t="shared" si="12"/>
        <v>3.8576597134937005</v>
      </c>
      <c r="BH31" s="317">
        <f t="shared" si="12"/>
        <v>-1000000</v>
      </c>
      <c r="BI31" s="919">
        <f t="shared" si="12"/>
        <v>-1000000</v>
      </c>
      <c r="BJ31" s="646">
        <f t="shared" si="13"/>
        <v>1.25</v>
      </c>
      <c r="BK31" s="913">
        <f t="shared" si="14"/>
        <v>4.1792310430153288</v>
      </c>
      <c r="BL31" s="317">
        <f t="shared" si="14"/>
        <v>3.8576597134937005</v>
      </c>
      <c r="BM31" s="317"/>
      <c r="BN31" s="317"/>
      <c r="BO31" s="913">
        <f t="shared" si="15"/>
        <v>3</v>
      </c>
      <c r="BP31" s="783">
        <f t="shared" si="39"/>
        <v>1000000</v>
      </c>
      <c r="CB31" s="562"/>
      <c r="CC31" s="709"/>
      <c r="CD31" s="717">
        <f>(CD30/3600)*1000000</f>
        <v>2227.3627573313079</v>
      </c>
      <c r="CE31" s="711" t="s">
        <v>294</v>
      </c>
      <c r="CG31" s="1035"/>
      <c r="CH31" s="718"/>
      <c r="CK31" s="642">
        <f t="shared" si="50"/>
        <v>25</v>
      </c>
      <c r="CL31" s="609">
        <f t="shared" si="16"/>
        <v>1.7720623070727157</v>
      </c>
      <c r="CM31" s="609">
        <f t="shared" si="40"/>
        <v>1.25</v>
      </c>
      <c r="CN31" s="610">
        <f t="shared" si="54"/>
        <v>8.1919703407628717</v>
      </c>
      <c r="CO31" s="611">
        <f t="shared" si="54"/>
        <v>8.3315013154165722</v>
      </c>
      <c r="CP31" s="612">
        <f t="shared" si="54"/>
        <v>8.4090153708471878</v>
      </c>
      <c r="CQ31" s="611">
        <f t="shared" si="55"/>
        <v>2.2503079883735522</v>
      </c>
      <c r="CR31" s="611">
        <f t="shared" si="55"/>
        <v>2.6512332839753134</v>
      </c>
      <c r="CS31" s="611">
        <f t="shared" si="55"/>
        <v>3.0521585795770743</v>
      </c>
      <c r="CT31" s="610">
        <f t="shared" si="19"/>
        <v>10.442278329136425</v>
      </c>
      <c r="CU31" s="611">
        <f t="shared" si="19"/>
        <v>10.982734599391886</v>
      </c>
      <c r="CV31" s="612">
        <f t="shared" si="19"/>
        <v>11.461173950424262</v>
      </c>
      <c r="CW31" s="613">
        <f t="shared" si="52"/>
        <v>3.0290261895330168</v>
      </c>
      <c r="CX31" s="613">
        <f t="shared" si="52"/>
        <v>3.0290261895330168</v>
      </c>
      <c r="CY31" s="613">
        <f t="shared" si="52"/>
        <v>3.0290261895330168</v>
      </c>
      <c r="CZ31" s="609">
        <f t="shared" si="21"/>
        <v>8.5058990739490348</v>
      </c>
      <c r="DA31" s="609"/>
      <c r="DB31" s="609">
        <f t="shared" si="42"/>
        <v>1.25</v>
      </c>
      <c r="DC31" s="610">
        <f t="shared" si="22"/>
        <v>0.82860884803451085</v>
      </c>
      <c r="DD31" s="611">
        <f t="shared" si="22"/>
        <v>0.54233235348155862</v>
      </c>
      <c r="DE31" s="612">
        <f t="shared" si="22"/>
        <v>0.34684442868438842</v>
      </c>
      <c r="DF31" s="611">
        <f t="shared" si="53"/>
        <v>8</v>
      </c>
      <c r="DG31" s="611">
        <f t="shared" si="53"/>
        <v>8</v>
      </c>
      <c r="DH31" s="611">
        <f t="shared" si="53"/>
        <v>8</v>
      </c>
      <c r="DI31" s="614">
        <f t="shared" si="23"/>
        <v>8</v>
      </c>
      <c r="DJ31" s="615"/>
      <c r="DK31" s="609">
        <f t="shared" si="43"/>
        <v>1.25</v>
      </c>
      <c r="DL31" s="611">
        <f t="shared" si="56"/>
        <v>3.8785196426857569</v>
      </c>
      <c r="DM31" s="611">
        <f t="shared" si="56"/>
        <v>3.9155549186073872</v>
      </c>
      <c r="DN31" s="611">
        <f t="shared" si="56"/>
        <v>1000000</v>
      </c>
      <c r="DO31" s="610">
        <f t="shared" si="57"/>
        <v>0.34224931215026566</v>
      </c>
      <c r="DP31" s="611">
        <f t="shared" si="57"/>
        <v>0.36159931215026581</v>
      </c>
      <c r="DQ31" s="612">
        <f t="shared" si="57"/>
        <v>0.39255931215026607</v>
      </c>
      <c r="DR31" s="611">
        <f t="shared" si="26"/>
        <v>4.2207689548360223</v>
      </c>
      <c r="DS31" s="611">
        <f t="shared" si="26"/>
        <v>4.2771542307576533</v>
      </c>
      <c r="DT31" s="611">
        <f t="shared" si="26"/>
        <v>1000000.3925593122</v>
      </c>
      <c r="DU31" s="609">
        <f t="shared" si="44"/>
        <v>4.2</v>
      </c>
      <c r="DV31" s="611"/>
      <c r="DW31" s="646">
        <f t="shared" si="27"/>
        <v>3.3333333333333335</v>
      </c>
      <c r="DX31" s="621">
        <f t="shared" si="58"/>
        <v>8.0601873231196244</v>
      </c>
      <c r="DY31" s="621">
        <f t="shared" si="58"/>
        <v>8.1099785793654604</v>
      </c>
      <c r="DZ31" s="621">
        <f t="shared" si="58"/>
        <v>8.1497631589084776</v>
      </c>
      <c r="EA31" s="610">
        <f t="shared" si="29"/>
        <v>9.5610897198110152</v>
      </c>
      <c r="EB31" s="611">
        <f t="shared" si="29"/>
        <v>9.5516512355028205</v>
      </c>
      <c r="EC31" s="612">
        <f t="shared" si="29"/>
        <v>9.5436927126835744</v>
      </c>
      <c r="ED31" s="610">
        <f t="shared" si="45"/>
        <v>8</v>
      </c>
      <c r="EE31" s="611">
        <f t="shared" si="46"/>
        <v>8.5058990739490348</v>
      </c>
      <c r="EF31" s="645">
        <f t="shared" si="47"/>
        <v>1000000</v>
      </c>
      <c r="EG31" s="902"/>
      <c r="EH31" s="646">
        <f t="shared" si="30"/>
        <v>3.3333333333333335</v>
      </c>
      <c r="EI31" s="610">
        <f t="shared" si="59"/>
        <v>1.5009023966913908</v>
      </c>
      <c r="EJ31" s="986">
        <f t="shared" si="59"/>
        <v>1.4416726561373601</v>
      </c>
      <c r="EK31" s="612">
        <f t="shared" si="59"/>
        <v>1.3939295537750969</v>
      </c>
    </row>
    <row r="32" spans="1:141" ht="15" customHeight="1" x14ac:dyDescent="0.25">
      <c r="I32" s="1033"/>
      <c r="J32" s="1273" t="s">
        <v>356</v>
      </c>
      <c r="K32" s="718">
        <f>K27/(C28-K25)</f>
        <v>8.0185059263927094</v>
      </c>
      <c r="L32" s="711" t="s">
        <v>293</v>
      </c>
      <c r="M32" s="1031"/>
      <c r="Q32" s="1031"/>
      <c r="U32" s="642">
        <f t="shared" si="49"/>
        <v>26</v>
      </c>
      <c r="W32" s="609">
        <f t="shared" si="0"/>
        <v>1.8429447993556243</v>
      </c>
      <c r="X32" s="610">
        <f t="shared" si="60"/>
        <v>3.8602457920840645</v>
      </c>
      <c r="Y32" s="611">
        <f t="shared" si="60"/>
        <v>3.845054302722362</v>
      </c>
      <c r="Z32" s="611">
        <f t="shared" si="60"/>
        <v>3.8207479197436389</v>
      </c>
      <c r="AA32" s="611">
        <f t="shared" si="60"/>
        <v>3.7721351537861918</v>
      </c>
      <c r="AB32" s="982">
        <f t="shared" si="1"/>
        <v>1000000</v>
      </c>
      <c r="AC32" s="919">
        <f t="shared" si="2"/>
        <v>3.8693606857010856</v>
      </c>
      <c r="AD32" s="611">
        <f t="shared" si="51"/>
        <v>3.9172258926044141</v>
      </c>
      <c r="AE32" s="611">
        <f t="shared" si="51"/>
        <v>3.8826844032427115</v>
      </c>
      <c r="AF32" s="611">
        <f t="shared" si="51"/>
        <v>3.827418020263988</v>
      </c>
      <c r="AG32" s="612">
        <f t="shared" si="51"/>
        <v>3.7168852543065403</v>
      </c>
      <c r="AH32" s="609">
        <f t="shared" si="4"/>
        <v>3</v>
      </c>
      <c r="AI32" s="895">
        <f t="shared" si="34"/>
        <v>-1000000</v>
      </c>
      <c r="AJ32" s="610">
        <f t="shared" si="5"/>
        <v>1.8429447993556243</v>
      </c>
      <c r="AK32" s="609">
        <f t="shared" si="35"/>
        <v>6.8590100520349626E-2</v>
      </c>
      <c r="AL32" s="611">
        <f t="shared" si="61"/>
        <v>5.6980100520349526E-2</v>
      </c>
      <c r="AM32" s="611">
        <f t="shared" si="61"/>
        <v>3.763010052034936E-2</v>
      </c>
      <c r="AN32" s="611">
        <f t="shared" si="61"/>
        <v>6.6701005203490885E-3</v>
      </c>
      <c r="AO32" s="612">
        <f t="shared" si="61"/>
        <v>-5.5249899479651449E-2</v>
      </c>
      <c r="AP32" s="902">
        <v>0</v>
      </c>
      <c r="AQ32" s="783">
        <f t="shared" si="6"/>
        <v>1000000</v>
      </c>
      <c r="AR32" s="983"/>
      <c r="AS32" s="609">
        <f t="shared" si="7"/>
        <v>1.8429447993556243</v>
      </c>
      <c r="AT32" s="610">
        <f t="shared" si="8"/>
        <v>3.9172258926044141</v>
      </c>
      <c r="AU32" s="611">
        <f t="shared" si="8"/>
        <v>3.8826844032427115</v>
      </c>
      <c r="AV32" s="611">
        <f t="shared" si="8"/>
        <v>3.827418020263988</v>
      </c>
      <c r="AW32" s="612">
        <f t="shared" si="8"/>
        <v>3.7168852543065403</v>
      </c>
      <c r="AX32" s="982">
        <f t="shared" si="9"/>
        <v>1000000</v>
      </c>
      <c r="AY32" s="611">
        <f t="shared" si="10"/>
        <v>3</v>
      </c>
      <c r="AZ32" s="612">
        <f t="shared" si="11"/>
        <v>3.8693606857010856</v>
      </c>
      <c r="BB32" s="984">
        <f t="shared" si="37"/>
        <v>4.1791262638285076</v>
      </c>
      <c r="BC32" s="985">
        <f t="shared" si="62"/>
        <v>3.8476722474254705</v>
      </c>
      <c r="BD32" s="985">
        <f t="shared" si="62"/>
        <v>3.8596017984876259</v>
      </c>
      <c r="BE32" s="528">
        <f t="shared" si="62"/>
        <v>3.6161391436424712</v>
      </c>
      <c r="BF32" s="913">
        <f t="shared" si="12"/>
        <v>4.1791262638285076</v>
      </c>
      <c r="BG32" s="317">
        <f t="shared" si="12"/>
        <v>3.8476722474254705</v>
      </c>
      <c r="BH32" s="317">
        <f t="shared" si="12"/>
        <v>-1000000</v>
      </c>
      <c r="BI32" s="919">
        <f t="shared" si="12"/>
        <v>-1000000</v>
      </c>
      <c r="BJ32" s="646">
        <f t="shared" si="13"/>
        <v>1.3</v>
      </c>
      <c r="BK32" s="913">
        <f t="shared" si="14"/>
        <v>4.1791262638285076</v>
      </c>
      <c r="BL32" s="317">
        <f t="shared" si="14"/>
        <v>3.8476722474254705</v>
      </c>
      <c r="BM32" s="317"/>
      <c r="BN32" s="317"/>
      <c r="BO32" s="913">
        <f t="shared" si="15"/>
        <v>3</v>
      </c>
      <c r="BP32" s="783">
        <f t="shared" si="39"/>
        <v>1000000</v>
      </c>
      <c r="BU32" s="552">
        <v>12</v>
      </c>
      <c r="CA32" s="562"/>
      <c r="CB32" s="562"/>
      <c r="CC32" s="144" t="s">
        <v>297</v>
      </c>
      <c r="CD32" s="718">
        <f>C26</f>
        <v>8</v>
      </c>
      <c r="CE32" s="660" t="s">
        <v>260</v>
      </c>
      <c r="CG32" s="562"/>
      <c r="CH32" s="562"/>
      <c r="CK32" s="642">
        <f t="shared" si="50"/>
        <v>26</v>
      </c>
      <c r="CL32" s="609">
        <f t="shared" si="16"/>
        <v>1.8429447993556243</v>
      </c>
      <c r="CM32" s="609">
        <f t="shared" si="40"/>
        <v>1.3</v>
      </c>
      <c r="CN32" s="610">
        <f t="shared" si="54"/>
        <v>8.2307832939655849</v>
      </c>
      <c r="CO32" s="611">
        <f t="shared" si="54"/>
        <v>8.3566149149830249</v>
      </c>
      <c r="CP32" s="612">
        <f t="shared" si="54"/>
        <v>8.4248940508292058</v>
      </c>
      <c r="CQ32" s="611">
        <f t="shared" si="55"/>
        <v>2.2503079975073774</v>
      </c>
      <c r="CR32" s="611">
        <f t="shared" si="55"/>
        <v>2.651233293506261</v>
      </c>
      <c r="CS32" s="611">
        <f t="shared" si="55"/>
        <v>3.0521585895051446</v>
      </c>
      <c r="CT32" s="610">
        <f t="shared" si="19"/>
        <v>10.481091291472962</v>
      </c>
      <c r="CU32" s="611">
        <f t="shared" si="19"/>
        <v>11.007848208489285</v>
      </c>
      <c r="CV32" s="612">
        <f t="shared" si="19"/>
        <v>11.47705264033435</v>
      </c>
      <c r="CW32" s="613">
        <f t="shared" si="52"/>
        <v>3.4290261895330172</v>
      </c>
      <c r="CX32" s="613">
        <f t="shared" si="52"/>
        <v>3.4290261895330172</v>
      </c>
      <c r="CY32" s="613">
        <f t="shared" si="52"/>
        <v>3.4290261895330172</v>
      </c>
      <c r="CZ32" s="609">
        <f t="shared" si="21"/>
        <v>8.5058990739490348</v>
      </c>
      <c r="DA32" s="609"/>
      <c r="DB32" s="609">
        <f t="shared" si="42"/>
        <v>1.3</v>
      </c>
      <c r="DC32" s="610">
        <f t="shared" si="22"/>
        <v>0.72616261939379978</v>
      </c>
      <c r="DD32" s="611">
        <f t="shared" si="22"/>
        <v>0.46423530748441705</v>
      </c>
      <c r="DE32" s="612">
        <f t="shared" si="22"/>
        <v>0.28999844484074305</v>
      </c>
      <c r="DF32" s="611">
        <f t="shared" si="53"/>
        <v>8</v>
      </c>
      <c r="DG32" s="611">
        <f t="shared" si="53"/>
        <v>8</v>
      </c>
      <c r="DH32" s="611">
        <f t="shared" si="53"/>
        <v>8</v>
      </c>
      <c r="DI32" s="614">
        <f t="shared" si="23"/>
        <v>8</v>
      </c>
      <c r="DJ32" s="615"/>
      <c r="DK32" s="609">
        <f t="shared" si="43"/>
        <v>1.3</v>
      </c>
      <c r="DL32" s="611">
        <f t="shared" si="56"/>
        <v>3.8786244218725781</v>
      </c>
      <c r="DM32" s="611">
        <f t="shared" si="56"/>
        <v>3.9183495733668336</v>
      </c>
      <c r="DN32" s="611">
        <f t="shared" si="56"/>
        <v>1000000</v>
      </c>
      <c r="DO32" s="610">
        <f t="shared" si="57"/>
        <v>0.34224931333888459</v>
      </c>
      <c r="DP32" s="611">
        <f t="shared" si="57"/>
        <v>0.36159931333888473</v>
      </c>
      <c r="DQ32" s="612">
        <f t="shared" si="57"/>
        <v>0.392559313338885</v>
      </c>
      <c r="DR32" s="611">
        <f t="shared" si="26"/>
        <v>4.2208737352114625</v>
      </c>
      <c r="DS32" s="611">
        <f t="shared" si="26"/>
        <v>4.2799488867057187</v>
      </c>
      <c r="DT32" s="611">
        <f t="shared" si="26"/>
        <v>1000000.3925593133</v>
      </c>
      <c r="DU32" s="609">
        <f t="shared" si="44"/>
        <v>4.2</v>
      </c>
      <c r="DV32" s="611"/>
      <c r="DW32" s="646">
        <f t="shared" si="27"/>
        <v>3.4666666666666668</v>
      </c>
      <c r="DX32" s="621">
        <f t="shared" si="58"/>
        <v>8.0429596793895808</v>
      </c>
      <c r="DY32" s="621">
        <f t="shared" si="58"/>
        <v>8.0946159138072158</v>
      </c>
      <c r="DZ32" s="621">
        <f t="shared" si="58"/>
        <v>8.1359014167069272</v>
      </c>
      <c r="EA32" s="610">
        <f t="shared" si="29"/>
        <v>9.5070785293294424</v>
      </c>
      <c r="EB32" s="611">
        <f t="shared" si="29"/>
        <v>9.4976110638790754</v>
      </c>
      <c r="EC32" s="612">
        <f t="shared" si="29"/>
        <v>9.4896268074946626</v>
      </c>
      <c r="ED32" s="610">
        <f t="shared" si="45"/>
        <v>8</v>
      </c>
      <c r="EE32" s="611">
        <f t="shared" si="46"/>
        <v>8.5058990739490348</v>
      </c>
      <c r="EF32" s="645">
        <f t="shared" si="47"/>
        <v>1000000</v>
      </c>
      <c r="EG32" s="902"/>
      <c r="EH32" s="646">
        <f t="shared" si="30"/>
        <v>3.4666666666666668</v>
      </c>
      <c r="EI32" s="610">
        <f t="shared" si="59"/>
        <v>1.4641188499398614</v>
      </c>
      <c r="EJ32" s="986">
        <f t="shared" si="59"/>
        <v>1.4029951500718603</v>
      </c>
      <c r="EK32" s="612">
        <f t="shared" si="59"/>
        <v>1.353725390787736</v>
      </c>
    </row>
    <row r="33" spans="3:141" s="562" customFormat="1" ht="15" customHeight="1" x14ac:dyDescent="0.2">
      <c r="C33" s="701"/>
      <c r="D33" s="1024"/>
      <c r="J33" s="1273"/>
      <c r="K33" s="717">
        <f>(K32/3600)*1000000</f>
        <v>2227.3627573313079</v>
      </c>
      <c r="L33" s="711" t="s">
        <v>294</v>
      </c>
      <c r="M33" s="1023"/>
      <c r="P33" s="1036" t="s">
        <v>357</v>
      </c>
      <c r="Q33" s="1028">
        <f>BA157*100</f>
        <v>1.9825343570002742</v>
      </c>
      <c r="R33" s="1037" t="s">
        <v>292</v>
      </c>
      <c r="U33" s="992">
        <f t="shared" si="49"/>
        <v>27</v>
      </c>
      <c r="W33" s="735">
        <f t="shared" si="0"/>
        <v>1.9138272916385328</v>
      </c>
      <c r="X33" s="733">
        <f t="shared" si="60"/>
        <v>3.8601477824752792</v>
      </c>
      <c r="Y33" s="563">
        <f t="shared" si="60"/>
        <v>3.8447929437656017</v>
      </c>
      <c r="Z33" s="563">
        <f t="shared" si="60"/>
        <v>3.8202252018301177</v>
      </c>
      <c r="AA33" s="563">
        <f t="shared" si="60"/>
        <v>3.7710897179591503</v>
      </c>
      <c r="AB33" s="1038">
        <f t="shared" si="1"/>
        <v>1000000</v>
      </c>
      <c r="AC33" s="1039">
        <f t="shared" si="2"/>
        <v>3.8693606857010856</v>
      </c>
      <c r="AD33" s="563">
        <f t="shared" si="51"/>
        <v>3.9102419468384313</v>
      </c>
      <c r="AE33" s="563">
        <f t="shared" si="51"/>
        <v>3.8755371081287535</v>
      </c>
      <c r="AF33" s="563">
        <f t="shared" si="51"/>
        <v>3.8200093661932697</v>
      </c>
      <c r="AG33" s="734">
        <f t="shared" si="51"/>
        <v>3.7089538823223016</v>
      </c>
      <c r="AH33" s="735">
        <f t="shared" si="4"/>
        <v>3</v>
      </c>
      <c r="AI33" s="895">
        <f t="shared" si="34"/>
        <v>-1000000</v>
      </c>
      <c r="AJ33" s="733">
        <f t="shared" si="5"/>
        <v>1.9138272916385328</v>
      </c>
      <c r="AK33" s="735">
        <f t="shared" si="35"/>
        <v>6.1704164363152347E-2</v>
      </c>
      <c r="AL33" s="563">
        <f t="shared" si="61"/>
        <v>5.0094164363152248E-2</v>
      </c>
      <c r="AM33" s="563">
        <f t="shared" si="61"/>
        <v>3.0744164363152079E-2</v>
      </c>
      <c r="AN33" s="563">
        <f t="shared" si="61"/>
        <v>-2.1583563684818979E-4</v>
      </c>
      <c r="AO33" s="734">
        <f t="shared" si="61"/>
        <v>-6.2135835636848727E-2</v>
      </c>
      <c r="AP33" s="653">
        <v>0</v>
      </c>
      <c r="AQ33" s="1040">
        <f t="shared" si="6"/>
        <v>1000000</v>
      </c>
      <c r="AR33" s="1041"/>
      <c r="AS33" s="735">
        <f t="shared" si="7"/>
        <v>1.9138272916385328</v>
      </c>
      <c r="AT33" s="733">
        <f t="shared" si="8"/>
        <v>3.9102419468384313</v>
      </c>
      <c r="AU33" s="563">
        <f t="shared" si="8"/>
        <v>3.8755371081287535</v>
      </c>
      <c r="AV33" s="563">
        <f t="shared" si="8"/>
        <v>3.8200093661932697</v>
      </c>
      <c r="AW33" s="734">
        <f t="shared" si="8"/>
        <v>3.7089538823223016</v>
      </c>
      <c r="AX33" s="1038">
        <f t="shared" si="9"/>
        <v>1000000</v>
      </c>
      <c r="AY33" s="563">
        <f t="shared" si="10"/>
        <v>3</v>
      </c>
      <c r="AZ33" s="734">
        <f t="shared" si="11"/>
        <v>3.8693606857010856</v>
      </c>
      <c r="BB33" s="1042">
        <f t="shared" si="37"/>
        <v>4.1790190595340206</v>
      </c>
      <c r="BC33" s="1043">
        <f t="shared" si="62"/>
        <v>3.8375254899888951</v>
      </c>
      <c r="BD33" s="1043">
        <f t="shared" si="62"/>
        <v>3.824438648291216</v>
      </c>
      <c r="BE33" s="1044">
        <f t="shared" si="62"/>
        <v>3.6114703516594249</v>
      </c>
      <c r="BF33" s="1045">
        <f t="shared" si="12"/>
        <v>4.1790190595340206</v>
      </c>
      <c r="BG33" s="316">
        <f t="shared" si="12"/>
        <v>3.8375254899888951</v>
      </c>
      <c r="BH33" s="316">
        <f t="shared" si="12"/>
        <v>-1000000</v>
      </c>
      <c r="BI33" s="1039">
        <f t="shared" si="12"/>
        <v>-1000000</v>
      </c>
      <c r="BJ33" s="1046">
        <f t="shared" si="13"/>
        <v>1.35</v>
      </c>
      <c r="BK33" s="1045">
        <f t="shared" si="14"/>
        <v>4.1790190595340206</v>
      </c>
      <c r="BL33" s="316">
        <f t="shared" si="14"/>
        <v>3.8375254899888951</v>
      </c>
      <c r="BM33" s="316"/>
      <c r="BN33" s="316"/>
      <c r="BO33" s="1045">
        <f t="shared" si="15"/>
        <v>3</v>
      </c>
      <c r="BP33" s="783">
        <f t="shared" si="39"/>
        <v>1000000</v>
      </c>
      <c r="BX33" s="552"/>
      <c r="BY33" s="552"/>
      <c r="BZ33" s="552"/>
      <c r="CC33" s="144" t="s">
        <v>298</v>
      </c>
      <c r="CD33" s="718">
        <f>C27</f>
        <v>1</v>
      </c>
      <c r="CE33" s="660" t="s">
        <v>259</v>
      </c>
      <c r="CF33" s="552"/>
      <c r="CG33" s="659"/>
      <c r="CK33" s="642">
        <f t="shared" si="50"/>
        <v>27</v>
      </c>
      <c r="CL33" s="609">
        <f t="shared" si="16"/>
        <v>1.9138272916385328</v>
      </c>
      <c r="CM33" s="609">
        <f t="shared" si="40"/>
        <v>1.35</v>
      </c>
      <c r="CN33" s="733">
        <f t="shared" si="54"/>
        <v>8.2647975614251159</v>
      </c>
      <c r="CO33" s="563">
        <f t="shared" si="54"/>
        <v>8.3781121097946745</v>
      </c>
      <c r="CP33" s="734">
        <f t="shared" si="54"/>
        <v>8.4381703067718981</v>
      </c>
      <c r="CQ33" s="611">
        <f t="shared" si="55"/>
        <v>2.2503080015884285</v>
      </c>
      <c r="CR33" s="611">
        <f t="shared" si="55"/>
        <v>2.6512332977647493</v>
      </c>
      <c r="CS33" s="611">
        <f t="shared" si="55"/>
        <v>3.05215859394107</v>
      </c>
      <c r="CT33" s="733">
        <f t="shared" si="19"/>
        <v>10.515105563013545</v>
      </c>
      <c r="CU33" s="563">
        <f t="shared" si="19"/>
        <v>11.029345407559424</v>
      </c>
      <c r="CV33" s="734">
        <f t="shared" si="19"/>
        <v>11.490328900712967</v>
      </c>
      <c r="CW33" s="613">
        <f t="shared" si="52"/>
        <v>3.8290261895330175</v>
      </c>
      <c r="CX33" s="613">
        <f t="shared" si="52"/>
        <v>3.8290261895330175</v>
      </c>
      <c r="CY33" s="613">
        <f t="shared" si="52"/>
        <v>3.8290261895330175</v>
      </c>
      <c r="CZ33" s="609">
        <f t="shared" si="21"/>
        <v>8.5058990739490348</v>
      </c>
      <c r="DA33" s="609"/>
      <c r="DB33" s="609">
        <f t="shared" si="42"/>
        <v>1.35</v>
      </c>
      <c r="DC33" s="610">
        <f t="shared" si="22"/>
        <v>0.63638255516590714</v>
      </c>
      <c r="DD33" s="611">
        <f t="shared" si="22"/>
        <v>0.39738448263613713</v>
      </c>
      <c r="DE33" s="612">
        <f t="shared" si="22"/>
        <v>0.2424692910468618</v>
      </c>
      <c r="DF33" s="611">
        <f t="shared" si="53"/>
        <v>8</v>
      </c>
      <c r="DG33" s="611">
        <f t="shared" si="53"/>
        <v>8</v>
      </c>
      <c r="DH33" s="611">
        <f t="shared" si="53"/>
        <v>8</v>
      </c>
      <c r="DI33" s="736">
        <f t="shared" si="23"/>
        <v>8</v>
      </c>
      <c r="DJ33" s="737"/>
      <c r="DK33" s="609">
        <f t="shared" si="43"/>
        <v>1.35</v>
      </c>
      <c r="DL33" s="611">
        <f t="shared" si="56"/>
        <v>3.878731626167065</v>
      </c>
      <c r="DM33" s="611">
        <f t="shared" si="56"/>
        <v>3.9215041438470304</v>
      </c>
      <c r="DN33" s="611">
        <f t="shared" si="56"/>
        <v>1000000</v>
      </c>
      <c r="DO33" s="610">
        <f t="shared" si="57"/>
        <v>0.3422493138699671</v>
      </c>
      <c r="DP33" s="611">
        <f t="shared" si="57"/>
        <v>0.36159931386996724</v>
      </c>
      <c r="DQ33" s="612">
        <f t="shared" si="57"/>
        <v>0.39255931386996751</v>
      </c>
      <c r="DR33" s="611">
        <f t="shared" si="26"/>
        <v>4.2209809400370322</v>
      </c>
      <c r="DS33" s="611">
        <f t="shared" si="26"/>
        <v>4.2831034577169973</v>
      </c>
      <c r="DT33" s="611">
        <f t="shared" si="26"/>
        <v>1000000.3925593139</v>
      </c>
      <c r="DU33" s="609">
        <f t="shared" si="44"/>
        <v>4.2</v>
      </c>
      <c r="DV33" s="611"/>
      <c r="DW33" s="646">
        <f t="shared" si="27"/>
        <v>3.6</v>
      </c>
      <c r="DX33" s="621">
        <f t="shared" si="58"/>
        <v>8.0257766377112478</v>
      </c>
      <c r="DY33" s="621">
        <f t="shared" si="58"/>
        <v>8.079288588941461</v>
      </c>
      <c r="DZ33" s="621">
        <f t="shared" si="58"/>
        <v>8.1220683647657683</v>
      </c>
      <c r="EA33" s="610">
        <f t="shared" si="29"/>
        <v>9.453719919450668</v>
      </c>
      <c r="EB33" s="611">
        <f t="shared" si="29"/>
        <v>9.4442455158928897</v>
      </c>
      <c r="EC33" s="612">
        <f t="shared" si="29"/>
        <v>9.436254108930644</v>
      </c>
      <c r="ED33" s="610">
        <f t="shared" si="45"/>
        <v>8</v>
      </c>
      <c r="EE33" s="611">
        <f t="shared" si="46"/>
        <v>8.5058990739490348</v>
      </c>
      <c r="EF33" s="645">
        <f t="shared" si="47"/>
        <v>1000000</v>
      </c>
      <c r="EG33" s="902"/>
      <c r="EH33" s="646">
        <f t="shared" si="30"/>
        <v>3.6</v>
      </c>
      <c r="EI33" s="610">
        <f t="shared" si="59"/>
        <v>1.4279432817394198</v>
      </c>
      <c r="EJ33" s="986">
        <f t="shared" si="59"/>
        <v>1.364956926951429</v>
      </c>
      <c r="EK33" s="612">
        <f t="shared" si="59"/>
        <v>1.3141857441648752</v>
      </c>
    </row>
    <row r="34" spans="3:141" ht="15" customHeight="1" x14ac:dyDescent="0.25">
      <c r="K34" s="562"/>
      <c r="U34" s="642">
        <f t="shared" si="49"/>
        <v>28</v>
      </c>
      <c r="W34" s="609">
        <f t="shared" si="0"/>
        <v>1.9847097839214414</v>
      </c>
      <c r="X34" s="610">
        <f t="shared" si="60"/>
        <v>3.8600476422228249</v>
      </c>
      <c r="Y34" s="611">
        <f t="shared" si="60"/>
        <v>3.8445259030923897</v>
      </c>
      <c r="Z34" s="611">
        <f t="shared" si="60"/>
        <v>3.8196911204836943</v>
      </c>
      <c r="AA34" s="611">
        <f t="shared" si="60"/>
        <v>3.770021555266303</v>
      </c>
      <c r="AB34" s="982">
        <f t="shared" si="1"/>
        <v>1000000</v>
      </c>
      <c r="AC34" s="919">
        <f t="shared" si="2"/>
        <v>3.8693606857010856</v>
      </c>
      <c r="AD34" s="611">
        <f t="shared" si="51"/>
        <v>3.9034375312960012</v>
      </c>
      <c r="AE34" s="611">
        <f t="shared" si="51"/>
        <v>3.8685657921655658</v>
      </c>
      <c r="AF34" s="611">
        <f t="shared" si="51"/>
        <v>3.8127710095568701</v>
      </c>
      <c r="AG34" s="612">
        <f t="shared" si="51"/>
        <v>3.7011814443394786</v>
      </c>
      <c r="AH34" s="609">
        <f t="shared" si="4"/>
        <v>3</v>
      </c>
      <c r="AI34" s="895">
        <f t="shared" si="34"/>
        <v>-1000000</v>
      </c>
      <c r="AJ34" s="610">
        <f t="shared" si="5"/>
        <v>1.9847097839214414</v>
      </c>
      <c r="AK34" s="609">
        <f t="shared" si="35"/>
        <v>5.4999889073176468E-2</v>
      </c>
      <c r="AL34" s="611">
        <f t="shared" si="61"/>
        <v>4.3389889073176369E-2</v>
      </c>
      <c r="AM34" s="611">
        <f t="shared" si="61"/>
        <v>2.40398890731762E-2</v>
      </c>
      <c r="AN34" s="611">
        <f t="shared" si="61"/>
        <v>-6.920110926824069E-3</v>
      </c>
      <c r="AO34" s="612">
        <f t="shared" si="61"/>
        <v>-6.8840110926824599E-2</v>
      </c>
      <c r="AP34" s="902">
        <v>0</v>
      </c>
      <c r="AQ34" s="783">
        <f t="shared" si="6"/>
        <v>1000000</v>
      </c>
      <c r="AR34" s="983"/>
      <c r="AS34" s="609">
        <f t="shared" si="7"/>
        <v>1.9847097839214414</v>
      </c>
      <c r="AT34" s="610">
        <f t="shared" si="8"/>
        <v>3.9034375312960012</v>
      </c>
      <c r="AU34" s="611">
        <f t="shared" si="8"/>
        <v>3.8685657921655658</v>
      </c>
      <c r="AV34" s="611">
        <f t="shared" si="8"/>
        <v>3.8127710095568701</v>
      </c>
      <c r="AW34" s="612">
        <f t="shared" si="8"/>
        <v>3.7011814443394786</v>
      </c>
      <c r="AX34" s="982">
        <f t="shared" si="9"/>
        <v>1000000</v>
      </c>
      <c r="AY34" s="611">
        <f t="shared" si="10"/>
        <v>3</v>
      </c>
      <c r="AZ34" s="612">
        <f t="shared" si="11"/>
        <v>3.8693606857010856</v>
      </c>
      <c r="BB34" s="984">
        <f t="shared" si="37"/>
        <v>4.1789093449526895</v>
      </c>
      <c r="BC34" s="985">
        <f t="shared" si="62"/>
        <v>3.8271395311465386</v>
      </c>
      <c r="BD34" s="985">
        <f t="shared" si="62"/>
        <v>3.7985179311553541</v>
      </c>
      <c r="BE34" s="528">
        <f t="shared" si="62"/>
        <v>3.607375274884693</v>
      </c>
      <c r="BF34" s="913">
        <f t="shared" si="12"/>
        <v>4.1789093449526895</v>
      </c>
      <c r="BG34" s="317">
        <f t="shared" si="12"/>
        <v>3.8271395311465386</v>
      </c>
      <c r="BH34" s="317">
        <f t="shared" si="12"/>
        <v>-1000000</v>
      </c>
      <c r="BI34" s="919">
        <f t="shared" si="12"/>
        <v>-1000000</v>
      </c>
      <c r="BJ34" s="646">
        <f t="shared" si="13"/>
        <v>1.4</v>
      </c>
      <c r="BK34" s="913">
        <f t="shared" si="14"/>
        <v>4.1789093449526895</v>
      </c>
      <c r="BL34" s="317">
        <f t="shared" si="14"/>
        <v>3.8271395311465386</v>
      </c>
      <c r="BM34" s="317"/>
      <c r="BN34" s="317"/>
      <c r="BO34" s="913">
        <f t="shared" si="15"/>
        <v>3</v>
      </c>
      <c r="BP34" s="783">
        <f t="shared" si="39"/>
        <v>1000000</v>
      </c>
      <c r="BX34" s="562"/>
      <c r="BY34" s="562"/>
      <c r="CF34" s="562"/>
      <c r="CG34" s="562"/>
      <c r="CH34" s="562"/>
      <c r="CI34" s="562"/>
      <c r="CJ34" s="562"/>
      <c r="CK34" s="642">
        <f t="shared" si="50"/>
        <v>28</v>
      </c>
      <c r="CL34" s="609">
        <f t="shared" si="16"/>
        <v>1.9847097839214414</v>
      </c>
      <c r="CM34" s="609">
        <f t="shared" si="40"/>
        <v>1.4</v>
      </c>
      <c r="CN34" s="610">
        <f t="shared" si="54"/>
        <v>8.2946064343744563</v>
      </c>
      <c r="CO34" s="611">
        <f t="shared" si="54"/>
        <v>8.3965136688203756</v>
      </c>
      <c r="CP34" s="612">
        <f t="shared" si="54"/>
        <v>8.4492706609610018</v>
      </c>
      <c r="CQ34" s="611">
        <f t="shared" si="55"/>
        <v>2.2503080034118685</v>
      </c>
      <c r="CR34" s="611">
        <f t="shared" si="55"/>
        <v>2.6512332996674695</v>
      </c>
      <c r="CS34" s="611">
        <f t="shared" si="55"/>
        <v>3.0521585959230704</v>
      </c>
      <c r="CT34" s="610">
        <f t="shared" si="19"/>
        <v>10.544914437786325</v>
      </c>
      <c r="CU34" s="611">
        <f t="shared" si="19"/>
        <v>11.047746968487845</v>
      </c>
      <c r="CV34" s="612">
        <f t="shared" si="19"/>
        <v>11.501429256884073</v>
      </c>
      <c r="CW34" s="613">
        <f t="shared" si="52"/>
        <v>4.2290261895330161</v>
      </c>
      <c r="CX34" s="613">
        <f t="shared" si="52"/>
        <v>4.2290261895330161</v>
      </c>
      <c r="CY34" s="613">
        <f t="shared" si="52"/>
        <v>4.2290261895330161</v>
      </c>
      <c r="CZ34" s="609">
        <f t="shared" si="21"/>
        <v>8.5058990739490348</v>
      </c>
      <c r="DA34" s="609"/>
      <c r="DB34" s="609">
        <f t="shared" si="42"/>
        <v>1.4</v>
      </c>
      <c r="DC34" s="610">
        <f t="shared" si="22"/>
        <v>0.55770260214693623</v>
      </c>
      <c r="DD34" s="611">
        <f t="shared" si="22"/>
        <v>0.34016034578010423</v>
      </c>
      <c r="DE34" s="612">
        <f t="shared" si="22"/>
        <v>0.20272993659197033</v>
      </c>
      <c r="DF34" s="611">
        <f t="shared" si="53"/>
        <v>8</v>
      </c>
      <c r="DG34" s="611">
        <f t="shared" si="53"/>
        <v>8</v>
      </c>
      <c r="DH34" s="611">
        <f t="shared" si="53"/>
        <v>8</v>
      </c>
      <c r="DI34" s="614">
        <f t="shared" si="23"/>
        <v>8</v>
      </c>
      <c r="DJ34" s="615"/>
      <c r="DK34" s="609">
        <f t="shared" si="43"/>
        <v>1.4</v>
      </c>
      <c r="DL34" s="611">
        <f t="shared" si="56"/>
        <v>3.8788413407483961</v>
      </c>
      <c r="DM34" s="611">
        <f t="shared" si="56"/>
        <v>3.9250929442023765</v>
      </c>
      <c r="DN34" s="611">
        <f t="shared" si="56"/>
        <v>1000000</v>
      </c>
      <c r="DO34" s="610">
        <f t="shared" si="57"/>
        <v>0.34224931410725817</v>
      </c>
      <c r="DP34" s="611">
        <f t="shared" si="57"/>
        <v>0.36159931410725832</v>
      </c>
      <c r="DQ34" s="612">
        <f t="shared" si="57"/>
        <v>0.39255931410725858</v>
      </c>
      <c r="DR34" s="611">
        <f t="shared" si="26"/>
        <v>4.2210906548556544</v>
      </c>
      <c r="DS34" s="611">
        <f t="shared" si="26"/>
        <v>4.2866922583096345</v>
      </c>
      <c r="DT34" s="611">
        <f t="shared" si="26"/>
        <v>1000000.3925593141</v>
      </c>
      <c r="DU34" s="609">
        <f t="shared" si="44"/>
        <v>4.2</v>
      </c>
      <c r="DV34" s="611"/>
      <c r="DW34" s="646">
        <f t="shared" si="27"/>
        <v>3.7333333333333334</v>
      </c>
      <c r="DX34" s="621">
        <f t="shared" si="58"/>
        <v>8.008638025097726</v>
      </c>
      <c r="DY34" s="621">
        <f t="shared" si="58"/>
        <v>8.0639964829602704</v>
      </c>
      <c r="DZ34" s="621">
        <f t="shared" si="58"/>
        <v>8.1082639141048372</v>
      </c>
      <c r="EA34" s="610">
        <f t="shared" si="29"/>
        <v>9.4010036681862328</v>
      </c>
      <c r="EB34" s="611">
        <f t="shared" si="29"/>
        <v>9.3915439033186576</v>
      </c>
      <c r="EC34" s="612">
        <f t="shared" si="29"/>
        <v>9.3835635445219339</v>
      </c>
      <c r="ED34" s="610">
        <f t="shared" si="45"/>
        <v>8</v>
      </c>
      <c r="EE34" s="611">
        <f t="shared" si="46"/>
        <v>8.5058990739490348</v>
      </c>
      <c r="EF34" s="645">
        <f t="shared" si="47"/>
        <v>1000000</v>
      </c>
      <c r="EG34" s="902"/>
      <c r="EH34" s="646">
        <f t="shared" si="30"/>
        <v>3.7333333333333334</v>
      </c>
      <c r="EI34" s="610">
        <f t="shared" si="59"/>
        <v>1.3923656430885074</v>
      </c>
      <c r="EJ34" s="986">
        <f t="shared" si="59"/>
        <v>1.3275474203583868</v>
      </c>
      <c r="EK34" s="612">
        <f t="shared" si="59"/>
        <v>1.2752996304170965</v>
      </c>
    </row>
    <row r="35" spans="3:141" ht="15" customHeight="1" x14ac:dyDescent="0.25">
      <c r="U35" s="642">
        <f t="shared" si="49"/>
        <v>29</v>
      </c>
      <c r="W35" s="609">
        <f t="shared" si="0"/>
        <v>2.0555922762043499</v>
      </c>
      <c r="X35" s="610">
        <f t="shared" si="60"/>
        <v>3.859945301085701</v>
      </c>
      <c r="Y35" s="611">
        <f t="shared" si="60"/>
        <v>3.8442529933933933</v>
      </c>
      <c r="Z35" s="611">
        <f t="shared" si="60"/>
        <v>3.819145301085701</v>
      </c>
      <c r="AA35" s="611">
        <f t="shared" si="60"/>
        <v>3.7689299164703165</v>
      </c>
      <c r="AB35" s="982">
        <f t="shared" si="1"/>
        <v>1000000</v>
      </c>
      <c r="AC35" s="919">
        <f t="shared" si="2"/>
        <v>3.8693606857010856</v>
      </c>
      <c r="AD35" s="611">
        <f t="shared" si="51"/>
        <v>3.896807783262024</v>
      </c>
      <c r="AE35" s="611">
        <f t="shared" si="51"/>
        <v>3.8617654755697162</v>
      </c>
      <c r="AF35" s="611">
        <f t="shared" si="51"/>
        <v>3.8056977832620236</v>
      </c>
      <c r="AG35" s="612">
        <f t="shared" si="51"/>
        <v>3.6935623986466384</v>
      </c>
      <c r="AH35" s="609">
        <f t="shared" si="4"/>
        <v>3</v>
      </c>
      <c r="AI35" s="895">
        <f t="shared" si="34"/>
        <v>-1000000</v>
      </c>
      <c r="AJ35" s="610">
        <f t="shared" si="5"/>
        <v>2.0555922762043499</v>
      </c>
      <c r="AK35" s="609">
        <f t="shared" si="35"/>
        <v>4.8472482176323078E-2</v>
      </c>
      <c r="AL35" s="611">
        <f t="shared" si="61"/>
        <v>3.6862482176322979E-2</v>
      </c>
      <c r="AM35" s="611">
        <f t="shared" si="61"/>
        <v>1.751248217632281E-2</v>
      </c>
      <c r="AN35" s="611">
        <f t="shared" si="61"/>
        <v>-1.3447517823677459E-2</v>
      </c>
      <c r="AO35" s="612">
        <f t="shared" si="61"/>
        <v>-7.5367517823677996E-2</v>
      </c>
      <c r="AP35" s="902">
        <v>0</v>
      </c>
      <c r="AQ35" s="783">
        <f t="shared" si="6"/>
        <v>1000000</v>
      </c>
      <c r="AR35" s="983"/>
      <c r="AS35" s="609">
        <f t="shared" si="7"/>
        <v>2.0555922762043499</v>
      </c>
      <c r="AT35" s="610">
        <f t="shared" si="8"/>
        <v>3.896807783262024</v>
      </c>
      <c r="AU35" s="611">
        <f t="shared" si="8"/>
        <v>3.8617654755697162</v>
      </c>
      <c r="AV35" s="611">
        <f t="shared" si="8"/>
        <v>3.8056977832620236</v>
      </c>
      <c r="AW35" s="612">
        <f t="shared" si="8"/>
        <v>3.6935623986466384</v>
      </c>
      <c r="AX35" s="982">
        <f t="shared" si="9"/>
        <v>1000000</v>
      </c>
      <c r="AY35" s="611">
        <f t="shared" si="10"/>
        <v>3</v>
      </c>
      <c r="AZ35" s="612">
        <f t="shared" si="11"/>
        <v>3.8693606857010856</v>
      </c>
      <c r="BB35" s="984">
        <f t="shared" si="37"/>
        <v>4.1787970308689797</v>
      </c>
      <c r="BC35" s="985">
        <f t="shared" si="62"/>
        <v>3.816412645937719</v>
      </c>
      <c r="BD35" s="985">
        <f t="shared" si="62"/>
        <v>3.7783775457126803</v>
      </c>
      <c r="BE35" s="528">
        <f t="shared" si="62"/>
        <v>3.6037649350338095</v>
      </c>
      <c r="BF35" s="913">
        <f t="shared" si="12"/>
        <v>4.1787970308689797</v>
      </c>
      <c r="BG35" s="317">
        <f t="shared" si="12"/>
        <v>3.816412645937719</v>
      </c>
      <c r="BH35" s="317">
        <f t="shared" si="12"/>
        <v>-1000000</v>
      </c>
      <c r="BI35" s="919">
        <f t="shared" si="12"/>
        <v>-1000000</v>
      </c>
      <c r="BJ35" s="646">
        <f t="shared" si="13"/>
        <v>1.45</v>
      </c>
      <c r="BK35" s="913">
        <f t="shared" si="14"/>
        <v>4.1787970308689797</v>
      </c>
      <c r="BL35" s="317">
        <f t="shared" si="14"/>
        <v>3.816412645937719</v>
      </c>
      <c r="BM35" s="317"/>
      <c r="BN35" s="317"/>
      <c r="BO35" s="913">
        <f t="shared" si="15"/>
        <v>3</v>
      </c>
      <c r="BP35" s="783">
        <f t="shared" si="39"/>
        <v>1000000</v>
      </c>
      <c r="BZ35" s="562"/>
      <c r="CA35" s="769" t="s">
        <v>346</v>
      </c>
      <c r="CB35" s="698">
        <f>K28</f>
        <v>4.76</v>
      </c>
      <c r="CC35" s="711" t="s">
        <v>311</v>
      </c>
      <c r="CD35" s="770">
        <f>CB35/1000</f>
        <v>4.7599999999999995E-3</v>
      </c>
      <c r="CE35" s="711" t="s">
        <v>312</v>
      </c>
      <c r="CK35" s="642">
        <f t="shared" si="50"/>
        <v>29</v>
      </c>
      <c r="CL35" s="609">
        <f t="shared" si="16"/>
        <v>2.0555922762043499</v>
      </c>
      <c r="CM35" s="609">
        <f t="shared" si="40"/>
        <v>1.45</v>
      </c>
      <c r="CN35" s="610">
        <f t="shared" si="54"/>
        <v>8.320729851777676</v>
      </c>
      <c r="CO35" s="611">
        <f t="shared" si="54"/>
        <v>8.4122653693349463</v>
      </c>
      <c r="CP35" s="612">
        <f t="shared" si="54"/>
        <v>8.4585517311403837</v>
      </c>
      <c r="CQ35" s="611">
        <f t="shared" si="55"/>
        <v>2.2503080042265933</v>
      </c>
      <c r="CR35" s="611">
        <f t="shared" si="55"/>
        <v>2.651233300517617</v>
      </c>
      <c r="CS35" s="611">
        <f t="shared" si="55"/>
        <v>3.0521585968086402</v>
      </c>
      <c r="CT35" s="610">
        <f t="shared" si="19"/>
        <v>10.571037856004269</v>
      </c>
      <c r="CU35" s="611">
        <f t="shared" si="19"/>
        <v>11.063498669852564</v>
      </c>
      <c r="CV35" s="612">
        <f t="shared" si="19"/>
        <v>11.510710327949024</v>
      </c>
      <c r="CW35" s="613">
        <f t="shared" si="52"/>
        <v>4.6290261895330165</v>
      </c>
      <c r="CX35" s="613">
        <f t="shared" si="52"/>
        <v>4.6290261895330165</v>
      </c>
      <c r="CY35" s="613">
        <f t="shared" si="52"/>
        <v>4.6290261895330165</v>
      </c>
      <c r="CZ35" s="609">
        <f t="shared" si="21"/>
        <v>8.5058990739490348</v>
      </c>
      <c r="DA35" s="609"/>
      <c r="DB35" s="609">
        <f t="shared" si="42"/>
        <v>1.45</v>
      </c>
      <c r="DC35" s="610">
        <f t="shared" si="22"/>
        <v>0.48875035944571199</v>
      </c>
      <c r="DD35" s="611">
        <f t="shared" si="22"/>
        <v>0.29117661079683238</v>
      </c>
      <c r="DE35" s="612">
        <f t="shared" si="22"/>
        <v>0.16950365327744771</v>
      </c>
      <c r="DF35" s="611">
        <f t="shared" si="53"/>
        <v>8</v>
      </c>
      <c r="DG35" s="611">
        <f t="shared" si="53"/>
        <v>8</v>
      </c>
      <c r="DH35" s="611">
        <f t="shared" si="53"/>
        <v>8</v>
      </c>
      <c r="DI35" s="614">
        <f t="shared" si="23"/>
        <v>8</v>
      </c>
      <c r="DJ35" s="615"/>
      <c r="DK35" s="609">
        <f t="shared" si="43"/>
        <v>1.45</v>
      </c>
      <c r="DL35" s="611">
        <f t="shared" si="56"/>
        <v>3.8789536548321055</v>
      </c>
      <c r="DM35" s="611">
        <f t="shared" si="56"/>
        <v>3.9292122595928025</v>
      </c>
      <c r="DN35" s="611">
        <f t="shared" si="56"/>
        <v>1000000</v>
      </c>
      <c r="DO35" s="610">
        <f t="shared" si="57"/>
        <v>0.34224931421328136</v>
      </c>
      <c r="DP35" s="611">
        <f t="shared" si="57"/>
        <v>0.36159931421328151</v>
      </c>
      <c r="DQ35" s="612">
        <f t="shared" si="57"/>
        <v>0.39255931421328177</v>
      </c>
      <c r="DR35" s="611">
        <f t="shared" si="26"/>
        <v>4.2212029690453869</v>
      </c>
      <c r="DS35" s="611">
        <f t="shared" si="26"/>
        <v>4.2908115738060841</v>
      </c>
      <c r="DT35" s="611">
        <f t="shared" si="26"/>
        <v>1000000.3925593143</v>
      </c>
      <c r="DU35" s="609">
        <f t="shared" si="44"/>
        <v>4.2</v>
      </c>
      <c r="DV35" s="611"/>
      <c r="DW35" s="646">
        <f t="shared" si="27"/>
        <v>3.8666666666666667</v>
      </c>
      <c r="DX35" s="621">
        <f t="shared" si="58"/>
        <v>7.9915436694555204</v>
      </c>
      <c r="DY35" s="621">
        <f t="shared" si="58"/>
        <v>8.0487394746148517</v>
      </c>
      <c r="DZ35" s="621">
        <f t="shared" si="58"/>
        <v>8.0944879761115391</v>
      </c>
      <c r="EA35" s="610">
        <f t="shared" si="29"/>
        <v>9.3489197205364754</v>
      </c>
      <c r="EB35" s="611">
        <f t="shared" si="29"/>
        <v>9.3394957131374312</v>
      </c>
      <c r="EC35" s="612">
        <f t="shared" si="29"/>
        <v>9.3315442237076365</v>
      </c>
      <c r="ED35" s="610">
        <f t="shared" si="45"/>
        <v>8</v>
      </c>
      <c r="EE35" s="611">
        <f t="shared" si="46"/>
        <v>8.5058990739490348</v>
      </c>
      <c r="EF35" s="645">
        <f t="shared" si="47"/>
        <v>1000000</v>
      </c>
      <c r="EG35" s="902"/>
      <c r="EH35" s="646">
        <f t="shared" si="30"/>
        <v>3.8666666666666667</v>
      </c>
      <c r="EI35" s="610">
        <f t="shared" si="59"/>
        <v>1.3573760510809554</v>
      </c>
      <c r="EJ35" s="986">
        <f t="shared" si="59"/>
        <v>1.2907562385225788</v>
      </c>
      <c r="EK35" s="612">
        <f t="shared" si="59"/>
        <v>1.2370562475960967</v>
      </c>
    </row>
    <row r="36" spans="3:141" ht="15" customHeight="1" x14ac:dyDescent="0.25">
      <c r="S36" s="659"/>
      <c r="U36" s="642">
        <f t="shared" si="49"/>
        <v>30</v>
      </c>
      <c r="W36" s="609">
        <f t="shared" si="0"/>
        <v>2.1264747684872587</v>
      </c>
      <c r="X36" s="610">
        <f t="shared" si="60"/>
        <v>3.8598406857010854</v>
      </c>
      <c r="Y36" s="611">
        <f t="shared" si="60"/>
        <v>3.8439740190344192</v>
      </c>
      <c r="Z36" s="611">
        <f t="shared" si="60"/>
        <v>3.8185873523677523</v>
      </c>
      <c r="AA36" s="611">
        <f t="shared" si="60"/>
        <v>3.7678140190344189</v>
      </c>
      <c r="AB36" s="982">
        <f t="shared" si="1"/>
        <v>1000000</v>
      </c>
      <c r="AC36" s="919">
        <f t="shared" si="2"/>
        <v>3.8693606857010856</v>
      </c>
      <c r="AD36" s="611">
        <f t="shared" si="51"/>
        <v>3.8903479633319158</v>
      </c>
      <c r="AE36" s="611">
        <f t="shared" si="51"/>
        <v>3.8551312966652493</v>
      </c>
      <c r="AF36" s="611">
        <f t="shared" si="51"/>
        <v>3.7987846299985821</v>
      </c>
      <c r="AG36" s="612">
        <f t="shared" si="51"/>
        <v>3.6860912966652482</v>
      </c>
      <c r="AH36" s="609">
        <f t="shared" si="4"/>
        <v>3</v>
      </c>
      <c r="AI36" s="895">
        <f t="shared" si="34"/>
        <v>-1000000</v>
      </c>
      <c r="AJ36" s="610">
        <f t="shared" si="5"/>
        <v>2.1264747684872587</v>
      </c>
      <c r="AK36" s="609">
        <f t="shared" si="35"/>
        <v>4.2117277630830438E-2</v>
      </c>
      <c r="AL36" s="611">
        <f t="shared" si="61"/>
        <v>3.0507277630830339E-2</v>
      </c>
      <c r="AM36" s="611">
        <f t="shared" si="61"/>
        <v>1.115727763083017E-2</v>
      </c>
      <c r="AN36" s="611">
        <f t="shared" si="61"/>
        <v>-1.9802722369170099E-2</v>
      </c>
      <c r="AO36" s="612">
        <f t="shared" si="61"/>
        <v>-8.1722722369170636E-2</v>
      </c>
      <c r="AP36" s="902">
        <v>0</v>
      </c>
      <c r="AQ36" s="783">
        <f t="shared" si="6"/>
        <v>1000000</v>
      </c>
      <c r="AR36" s="983"/>
      <c r="AS36" s="609">
        <f t="shared" si="7"/>
        <v>2.1264747684872587</v>
      </c>
      <c r="AT36" s="610">
        <f t="shared" si="8"/>
        <v>3.8903479633319158</v>
      </c>
      <c r="AU36" s="611">
        <f t="shared" si="8"/>
        <v>3.8551312966652493</v>
      </c>
      <c r="AV36" s="611">
        <f t="shared" si="8"/>
        <v>3.7987846299985821</v>
      </c>
      <c r="AW36" s="612">
        <f t="shared" si="8"/>
        <v>3.6860912966652482</v>
      </c>
      <c r="AX36" s="982">
        <f t="shared" si="9"/>
        <v>1000000</v>
      </c>
      <c r="AY36" s="611">
        <f t="shared" si="10"/>
        <v>3</v>
      </c>
      <c r="AZ36" s="612">
        <f t="shared" si="11"/>
        <v>3.8693606857010856</v>
      </c>
      <c r="BB36" s="984">
        <f t="shared" si="37"/>
        <v>4.178682023789051</v>
      </c>
      <c r="BC36" s="985">
        <f t="shared" si="62"/>
        <v>3.8052125224113507</v>
      </c>
      <c r="BD36" s="985">
        <f t="shared" si="62"/>
        <v>3.7621298630299993</v>
      </c>
      <c r="BE36" s="528">
        <f t="shared" si="62"/>
        <v>3.6005668404930873</v>
      </c>
      <c r="BF36" s="913">
        <f t="shared" si="12"/>
        <v>4.178682023789051</v>
      </c>
      <c r="BG36" s="317">
        <f t="shared" si="12"/>
        <v>3.8052125224113507</v>
      </c>
      <c r="BH36" s="317">
        <f t="shared" si="12"/>
        <v>-1000000</v>
      </c>
      <c r="BI36" s="919">
        <f t="shared" si="12"/>
        <v>-1000000</v>
      </c>
      <c r="BJ36" s="646">
        <f t="shared" si="13"/>
        <v>1.5</v>
      </c>
      <c r="BK36" s="913">
        <f t="shared" si="14"/>
        <v>4.178682023789051</v>
      </c>
      <c r="BL36" s="317">
        <f t="shared" si="14"/>
        <v>3.8052125224113507</v>
      </c>
      <c r="BM36" s="317"/>
      <c r="BN36" s="317"/>
      <c r="BO36" s="913">
        <f t="shared" si="15"/>
        <v>3</v>
      </c>
      <c r="BP36" s="783">
        <f t="shared" si="39"/>
        <v>1000000</v>
      </c>
      <c r="CA36" s="769" t="s">
        <v>313</v>
      </c>
      <c r="CB36" s="698">
        <f>K30</f>
        <v>7.7400000000000668</v>
      </c>
      <c r="CC36" s="711" t="s">
        <v>311</v>
      </c>
      <c r="CD36" s="770">
        <f>CB36/1000</f>
        <v>7.7400000000000671E-3</v>
      </c>
      <c r="CE36" s="711" t="s">
        <v>312</v>
      </c>
      <c r="CI36" s="613"/>
      <c r="CJ36" s="613"/>
      <c r="CK36" s="642">
        <f t="shared" si="50"/>
        <v>30</v>
      </c>
      <c r="CL36" s="609">
        <f t="shared" si="16"/>
        <v>2.1264747684872587</v>
      </c>
      <c r="CM36" s="609">
        <f t="shared" si="40"/>
        <v>1.5</v>
      </c>
      <c r="CN36" s="610">
        <f t="shared" si="54"/>
        <v>8.3436234693251272</v>
      </c>
      <c r="CO36" s="611">
        <f t="shared" si="54"/>
        <v>8.4257487958616917</v>
      </c>
      <c r="CP36" s="612">
        <f t="shared" si="54"/>
        <v>8.4663116874631434</v>
      </c>
      <c r="CQ36" s="611">
        <f t="shared" si="55"/>
        <v>2.2503080045906172</v>
      </c>
      <c r="CR36" s="611">
        <f t="shared" si="55"/>
        <v>2.6512333008974682</v>
      </c>
      <c r="CS36" s="611">
        <f t="shared" si="55"/>
        <v>3.0521585972043184</v>
      </c>
      <c r="CT36" s="610">
        <f t="shared" si="19"/>
        <v>10.593931473915745</v>
      </c>
      <c r="CU36" s="611">
        <f t="shared" si="19"/>
        <v>11.07698209675916</v>
      </c>
      <c r="CV36" s="612">
        <f t="shared" si="19"/>
        <v>11.518470284667462</v>
      </c>
      <c r="CW36" s="613">
        <f t="shared" si="52"/>
        <v>5.0290261895330168</v>
      </c>
      <c r="CX36" s="613">
        <f t="shared" si="52"/>
        <v>5.0290261895330168</v>
      </c>
      <c r="CY36" s="613">
        <f t="shared" si="52"/>
        <v>5.0290261895330168</v>
      </c>
      <c r="CZ36" s="609">
        <f t="shared" si="21"/>
        <v>8.5058990739490348</v>
      </c>
      <c r="DA36" s="609"/>
      <c r="DB36" s="609">
        <f t="shared" si="42"/>
        <v>1.5</v>
      </c>
      <c r="DC36" s="610">
        <f t="shared" si="22"/>
        <v>0.42832311864698686</v>
      </c>
      <c r="DD36" s="611">
        <f t="shared" si="22"/>
        <v>0.249246633301585</v>
      </c>
      <c r="DE36" s="612">
        <f t="shared" si="22"/>
        <v>0.14172297513645213</v>
      </c>
      <c r="DF36" s="611">
        <f t="shared" si="53"/>
        <v>8</v>
      </c>
      <c r="DG36" s="611">
        <f t="shared" si="53"/>
        <v>8</v>
      </c>
      <c r="DH36" s="611">
        <f t="shared" si="53"/>
        <v>8</v>
      </c>
      <c r="DI36" s="614">
        <f t="shared" si="23"/>
        <v>8</v>
      </c>
      <c r="DJ36" s="615"/>
      <c r="DK36" s="609">
        <f t="shared" si="43"/>
        <v>1.5</v>
      </c>
      <c r="DL36" s="611">
        <f t="shared" si="56"/>
        <v>3.8790686619120347</v>
      </c>
      <c r="DM36" s="611">
        <f t="shared" si="56"/>
        <v>3.9339891138974252</v>
      </c>
      <c r="DN36" s="611">
        <f t="shared" si="56"/>
        <v>1000000</v>
      </c>
      <c r="DO36" s="610">
        <f t="shared" si="57"/>
        <v>0.34224931426065319</v>
      </c>
      <c r="DP36" s="611">
        <f t="shared" si="57"/>
        <v>0.36159931426065334</v>
      </c>
      <c r="DQ36" s="612">
        <f t="shared" si="57"/>
        <v>0.3925593142606536</v>
      </c>
      <c r="DR36" s="611">
        <f t="shared" si="26"/>
        <v>4.2213179761726876</v>
      </c>
      <c r="DS36" s="611">
        <f t="shared" si="26"/>
        <v>4.2955884281580783</v>
      </c>
      <c r="DT36" s="611">
        <f t="shared" si="26"/>
        <v>1000000.3925593143</v>
      </c>
      <c r="DU36" s="609">
        <f t="shared" si="44"/>
        <v>4.2</v>
      </c>
      <c r="DV36" s="611"/>
      <c r="DW36" s="646">
        <f t="shared" si="27"/>
        <v>4</v>
      </c>
      <c r="DX36" s="621">
        <f t="shared" si="58"/>
        <v>7.9744933995787752</v>
      </c>
      <c r="DY36" s="621">
        <f t="shared" si="58"/>
        <v>8.0335174432123431</v>
      </c>
      <c r="DZ36" s="621">
        <f t="shared" si="58"/>
        <v>8.0807404625389534</v>
      </c>
      <c r="EA36" s="610">
        <f t="shared" si="29"/>
        <v>9.2974581857394369</v>
      </c>
      <c r="EB36" s="611">
        <f t="shared" si="29"/>
        <v>9.2880906046470439</v>
      </c>
      <c r="EC36" s="612">
        <f t="shared" si="29"/>
        <v>9.2801854348330242</v>
      </c>
      <c r="ED36" s="610">
        <f t="shared" si="45"/>
        <v>8</v>
      </c>
      <c r="EE36" s="611">
        <f t="shared" si="46"/>
        <v>8.5058990739490348</v>
      </c>
      <c r="EF36" s="645">
        <f t="shared" si="47"/>
        <v>1000000</v>
      </c>
      <c r="EG36" s="902"/>
      <c r="EH36" s="646">
        <f t="shared" si="30"/>
        <v>4</v>
      </c>
      <c r="EI36" s="610">
        <f t="shared" si="59"/>
        <v>1.3229647861606624</v>
      </c>
      <c r="EJ36" s="986">
        <f t="shared" si="59"/>
        <v>1.2545731614347009</v>
      </c>
      <c r="EK36" s="612">
        <f t="shared" si="59"/>
        <v>1.1994449722940708</v>
      </c>
    </row>
    <row r="37" spans="3:141" ht="15" customHeight="1" x14ac:dyDescent="0.25">
      <c r="S37" s="659"/>
      <c r="U37" s="642">
        <f t="shared" si="49"/>
        <v>31</v>
      </c>
      <c r="W37" s="609">
        <f t="shared" si="0"/>
        <v>2.1973572607701675</v>
      </c>
      <c r="X37" s="610">
        <f t="shared" si="60"/>
        <v>3.8597337194089509</v>
      </c>
      <c r="Y37" s="611">
        <f t="shared" si="60"/>
        <v>3.8436887755887259</v>
      </c>
      <c r="Z37" s="611">
        <f t="shared" si="60"/>
        <v>3.8180168654763667</v>
      </c>
      <c r="AA37" s="611">
        <f t="shared" si="60"/>
        <v>3.7666730452516473</v>
      </c>
      <c r="AB37" s="982">
        <f t="shared" si="1"/>
        <v>1000000</v>
      </c>
      <c r="AC37" s="919">
        <f t="shared" si="2"/>
        <v>3.8693606857010856</v>
      </c>
      <c r="AD37" s="611">
        <f t="shared" si="51"/>
        <v>3.8840534519007583</v>
      </c>
      <c r="AE37" s="611">
        <f t="shared" si="51"/>
        <v>3.8486585080805331</v>
      </c>
      <c r="AF37" s="611">
        <f t="shared" si="51"/>
        <v>3.7920265979681735</v>
      </c>
      <c r="AG37" s="612">
        <f t="shared" si="51"/>
        <v>3.6787627777434535</v>
      </c>
      <c r="AH37" s="609">
        <f t="shared" si="4"/>
        <v>3</v>
      </c>
      <c r="AI37" s="895">
        <f t="shared" si="34"/>
        <v>-1000000</v>
      </c>
      <c r="AJ37" s="610">
        <f t="shared" si="5"/>
        <v>2.1973572607701675</v>
      </c>
      <c r="AK37" s="609">
        <f t="shared" si="35"/>
        <v>3.5929732491807413E-2</v>
      </c>
      <c r="AL37" s="611">
        <f t="shared" si="61"/>
        <v>2.4319732491807314E-2</v>
      </c>
      <c r="AM37" s="611">
        <f t="shared" si="61"/>
        <v>4.9697324918071446E-3</v>
      </c>
      <c r="AN37" s="611">
        <f t="shared" si="61"/>
        <v>-2.5990267508193124E-2</v>
      </c>
      <c r="AO37" s="612">
        <f t="shared" si="61"/>
        <v>-8.7910267508193668E-2</v>
      </c>
      <c r="AP37" s="902">
        <v>0</v>
      </c>
      <c r="AQ37" s="783">
        <f t="shared" si="6"/>
        <v>1000000</v>
      </c>
      <c r="AR37" s="983"/>
      <c r="AS37" s="609">
        <f t="shared" si="7"/>
        <v>2.1973572607701675</v>
      </c>
      <c r="AT37" s="610">
        <f t="shared" ref="AT37:AW68" si="63">X37+AL37</f>
        <v>3.8840534519007583</v>
      </c>
      <c r="AU37" s="611">
        <f t="shared" si="63"/>
        <v>3.8486585080805331</v>
      </c>
      <c r="AV37" s="611">
        <f t="shared" si="63"/>
        <v>3.7920265979681735</v>
      </c>
      <c r="AW37" s="612">
        <f t="shared" si="63"/>
        <v>3.6787627777434535</v>
      </c>
      <c r="AX37" s="982">
        <f t="shared" si="9"/>
        <v>1000000</v>
      </c>
      <c r="AY37" s="611">
        <f t="shared" si="10"/>
        <v>3</v>
      </c>
      <c r="AZ37" s="612">
        <f t="shared" si="11"/>
        <v>3.8693606857010856</v>
      </c>
      <c r="BB37" s="984">
        <f t="shared" si="37"/>
        <v>4.1785642256811855</v>
      </c>
      <c r="BC37" s="985">
        <f t="shared" si="62"/>
        <v>3.7933629269235429</v>
      </c>
      <c r="BD37" s="985">
        <f t="shared" si="62"/>
        <v>3.7486539860673389</v>
      </c>
      <c r="BE37" s="528">
        <f t="shared" si="62"/>
        <v>3.5977213588230108</v>
      </c>
      <c r="BF37" s="913">
        <f t="shared" ref="BF37:BI68" si="64">IF(BB$3*$BJ37&lt;$K$26,BB37,-1000000)</f>
        <v>4.1785642256811855</v>
      </c>
      <c r="BG37" s="317">
        <f t="shared" si="64"/>
        <v>3.7933629269235429</v>
      </c>
      <c r="BH37" s="317">
        <f t="shared" si="64"/>
        <v>-1000000</v>
      </c>
      <c r="BI37" s="919">
        <f t="shared" si="64"/>
        <v>-1000000</v>
      </c>
      <c r="BJ37" s="646">
        <f t="shared" si="13"/>
        <v>1.5500000000000003</v>
      </c>
      <c r="BK37" s="913">
        <f t="shared" ref="BK37:BL68" si="65">IF(BF37&gt;0,BF37,-1000000)</f>
        <v>4.1785642256811855</v>
      </c>
      <c r="BL37" s="317">
        <f t="shared" si="65"/>
        <v>3.7933629269235429</v>
      </c>
      <c r="BM37" s="317"/>
      <c r="BN37" s="317"/>
      <c r="BO37" s="913">
        <f t="shared" si="15"/>
        <v>3</v>
      </c>
      <c r="BP37" s="783">
        <f t="shared" si="39"/>
        <v>1000000</v>
      </c>
      <c r="BR37" s="613"/>
      <c r="BX37" s="613"/>
      <c r="BY37" s="613"/>
      <c r="CA37" s="769" t="s">
        <v>348</v>
      </c>
      <c r="CB37" s="698">
        <f>K29</f>
        <v>12.500000000000068</v>
      </c>
      <c r="CC37" s="711" t="s">
        <v>311</v>
      </c>
      <c r="CD37" s="770">
        <f>CB37/1000</f>
        <v>1.2500000000000068E-2</v>
      </c>
      <c r="CE37" s="711" t="s">
        <v>312</v>
      </c>
      <c r="CF37" s="613"/>
      <c r="CG37" s="613"/>
      <c r="CH37" s="613"/>
      <c r="CI37" s="613"/>
      <c r="CJ37" s="613"/>
      <c r="CK37" s="642">
        <f t="shared" si="50"/>
        <v>31</v>
      </c>
      <c r="CL37" s="609">
        <f t="shared" si="16"/>
        <v>2.1973572607701675</v>
      </c>
      <c r="CM37" s="609">
        <f t="shared" si="40"/>
        <v>1.5500000000000003</v>
      </c>
      <c r="CN37" s="610">
        <f t="shared" si="54"/>
        <v>8.3636866071726423</v>
      </c>
      <c r="CO37" s="611">
        <f t="shared" si="54"/>
        <v>8.4372905840472949</v>
      </c>
      <c r="CP37" s="612">
        <f t="shared" si="54"/>
        <v>8.4727998317145374</v>
      </c>
      <c r="CQ37" s="611">
        <f t="shared" si="55"/>
        <v>2.2503080047532658</v>
      </c>
      <c r="CR37" s="611">
        <f t="shared" si="55"/>
        <v>2.651233301067188</v>
      </c>
      <c r="CS37" s="611">
        <f t="shared" si="55"/>
        <v>3.0521585973811103</v>
      </c>
      <c r="CT37" s="610">
        <f t="shared" si="19"/>
        <v>10.613994611925907</v>
      </c>
      <c r="CU37" s="611">
        <f t="shared" si="19"/>
        <v>11.088523885114483</v>
      </c>
      <c r="CV37" s="612">
        <f t="shared" si="19"/>
        <v>11.524958429095648</v>
      </c>
      <c r="CW37" s="613">
        <f t="shared" si="52"/>
        <v>5.429026189533019</v>
      </c>
      <c r="CX37" s="613">
        <f t="shared" si="52"/>
        <v>5.429026189533019</v>
      </c>
      <c r="CY37" s="613">
        <f t="shared" si="52"/>
        <v>5.429026189533019</v>
      </c>
      <c r="CZ37" s="609">
        <f t="shared" si="21"/>
        <v>8.5058990739490348</v>
      </c>
      <c r="DA37" s="609"/>
      <c r="DB37" s="609">
        <f t="shared" si="42"/>
        <v>1.5500000000000003</v>
      </c>
      <c r="DC37" s="610">
        <f t="shared" ref="DC37:DE68" si="66">((CQ$2-$CD$20)/$CD$37)*EXP(-$CM37/CN$3)-(($CD$22-CQ$2)/$CD$35)*EXP(-$CM37/CQ$3)</f>
        <v>0.37536687590443779</v>
      </c>
      <c r="DD37" s="611">
        <f t="shared" si="66"/>
        <v>0.21335465413674917</v>
      </c>
      <c r="DE37" s="612">
        <f t="shared" si="66"/>
        <v>0.11849539390196419</v>
      </c>
      <c r="DF37" s="611">
        <f t="shared" si="53"/>
        <v>8</v>
      </c>
      <c r="DG37" s="611">
        <f t="shared" si="53"/>
        <v>8</v>
      </c>
      <c r="DH37" s="611">
        <f t="shared" si="53"/>
        <v>8</v>
      </c>
      <c r="DI37" s="614">
        <f t="shared" si="23"/>
        <v>8</v>
      </c>
      <c r="DJ37" s="615"/>
      <c r="DK37" s="609">
        <f t="shared" si="43"/>
        <v>1.5500000000000003</v>
      </c>
      <c r="DL37" s="611">
        <f t="shared" si="56"/>
        <v>3.8791864600199006</v>
      </c>
      <c r="DM37" s="611">
        <f t="shared" si="56"/>
        <v>3.9395946001848769</v>
      </c>
      <c r="DN37" s="611">
        <f t="shared" si="56"/>
        <v>1000000</v>
      </c>
      <c r="DO37" s="610">
        <f t="shared" si="57"/>
        <v>0.34224931428181921</v>
      </c>
      <c r="DP37" s="611">
        <f t="shared" si="57"/>
        <v>0.36159931428181935</v>
      </c>
      <c r="DQ37" s="612">
        <f t="shared" si="57"/>
        <v>0.39255931428181962</v>
      </c>
      <c r="DR37" s="611">
        <f t="shared" si="26"/>
        <v>4.2214357743017201</v>
      </c>
      <c r="DS37" s="611">
        <f t="shared" si="26"/>
        <v>4.3011939144666966</v>
      </c>
      <c r="DT37" s="611">
        <f t="shared" si="26"/>
        <v>1000000.3925593143</v>
      </c>
      <c r="DU37" s="609">
        <f t="shared" si="44"/>
        <v>4.2</v>
      </c>
      <c r="DV37" s="611"/>
      <c r="DW37" s="646">
        <f t="shared" si="27"/>
        <v>4.1333333333333337</v>
      </c>
      <c r="DX37" s="621">
        <f t="shared" si="58"/>
        <v>7.9574870451435764</v>
      </c>
      <c r="DY37" s="621">
        <f t="shared" si="58"/>
        <v>8.0183302686126332</v>
      </c>
      <c r="DZ37" s="621">
        <f t="shared" si="58"/>
        <v>8.0670212855039516</v>
      </c>
      <c r="EA37" s="610">
        <f t="shared" ref="EA37:EC68" si="67">DX37+EI37</f>
        <v>9.2466093345652371</v>
      </c>
      <c r="EB37" s="611">
        <f t="shared" si="67"/>
        <v>9.2373184066199787</v>
      </c>
      <c r="EC37" s="612">
        <f t="shared" si="67"/>
        <v>9.2294766421966532</v>
      </c>
      <c r="ED37" s="610">
        <f t="shared" si="45"/>
        <v>8</v>
      </c>
      <c r="EE37" s="611">
        <f t="shared" si="46"/>
        <v>8.5058990739490348</v>
      </c>
      <c r="EF37" s="645">
        <f t="shared" si="47"/>
        <v>1000000</v>
      </c>
      <c r="EG37" s="902"/>
      <c r="EH37" s="646">
        <f t="shared" si="30"/>
        <v>4.1333333333333337</v>
      </c>
      <c r="EI37" s="610">
        <f t="shared" si="59"/>
        <v>1.2891222894216612</v>
      </c>
      <c r="EJ37" s="986">
        <f t="shared" si="59"/>
        <v>1.218988138007346</v>
      </c>
      <c r="EK37" s="612">
        <f t="shared" si="59"/>
        <v>1.1624553566927023</v>
      </c>
    </row>
    <row r="38" spans="3:141" ht="15" customHeight="1" x14ac:dyDescent="0.25">
      <c r="U38" s="642">
        <f t="shared" si="49"/>
        <v>32</v>
      </c>
      <c r="W38" s="609">
        <f t="shared" si="0"/>
        <v>2.2682397530530758</v>
      </c>
      <c r="X38" s="610">
        <f t="shared" si="60"/>
        <v>3.8596243220647222</v>
      </c>
      <c r="Y38" s="611">
        <f t="shared" si="60"/>
        <v>3.8433970493374492</v>
      </c>
      <c r="Z38" s="611">
        <f t="shared" si="60"/>
        <v>3.8174334129738128</v>
      </c>
      <c r="AA38" s="611">
        <f t="shared" si="60"/>
        <v>3.76550614024654</v>
      </c>
      <c r="AB38" s="982">
        <f t="shared" si="1"/>
        <v>1000000</v>
      </c>
      <c r="AC38" s="919">
        <f t="shared" si="2"/>
        <v>3.8693606857010856</v>
      </c>
      <c r="AD38" s="611">
        <f t="shared" si="51"/>
        <v>3.8779197457284837</v>
      </c>
      <c r="AE38" s="611">
        <f t="shared" si="51"/>
        <v>3.8423424730012106</v>
      </c>
      <c r="AF38" s="611">
        <f t="shared" si="51"/>
        <v>3.7854188366375738</v>
      </c>
      <c r="AG38" s="612">
        <f t="shared" si="51"/>
        <v>3.6715715639103008</v>
      </c>
      <c r="AH38" s="609">
        <f t="shared" si="4"/>
        <v>3</v>
      </c>
      <c r="AI38" s="895">
        <f t="shared" si="34"/>
        <v>-1000000</v>
      </c>
      <c r="AJ38" s="610">
        <f t="shared" si="5"/>
        <v>2.2682397530530758</v>
      </c>
      <c r="AK38" s="609">
        <f t="shared" si="35"/>
        <v>2.9905423663761782E-2</v>
      </c>
      <c r="AL38" s="611">
        <f t="shared" si="61"/>
        <v>1.8295423663761683E-2</v>
      </c>
      <c r="AM38" s="611">
        <f t="shared" si="61"/>
        <v>-1.0545763362384865E-3</v>
      </c>
      <c r="AN38" s="611">
        <f t="shared" si="61"/>
        <v>-3.2014576336238755E-2</v>
      </c>
      <c r="AO38" s="612">
        <f t="shared" si="61"/>
        <v>-9.3934576336239292E-2</v>
      </c>
      <c r="AP38" s="902">
        <v>0</v>
      </c>
      <c r="AQ38" s="783">
        <f t="shared" si="6"/>
        <v>1000000</v>
      </c>
      <c r="AR38" s="983"/>
      <c r="AS38" s="609">
        <f t="shared" si="7"/>
        <v>2.2682397530530758</v>
      </c>
      <c r="AT38" s="610">
        <f t="shared" si="63"/>
        <v>3.8779197457284837</v>
      </c>
      <c r="AU38" s="611">
        <f t="shared" si="63"/>
        <v>3.8423424730012106</v>
      </c>
      <c r="AV38" s="611">
        <f t="shared" si="63"/>
        <v>3.7854188366375738</v>
      </c>
      <c r="AW38" s="612">
        <f t="shared" si="63"/>
        <v>3.6715715639103008</v>
      </c>
      <c r="AX38" s="982">
        <f t="shared" si="9"/>
        <v>1000000</v>
      </c>
      <c r="AY38" s="611">
        <f t="shared" si="10"/>
        <v>3</v>
      </c>
      <c r="AZ38" s="612">
        <f t="shared" si="11"/>
        <v>3.8693606857010856</v>
      </c>
      <c r="BB38" s="984">
        <f t="shared" si="37"/>
        <v>4.1784435336970915</v>
      </c>
      <c r="BC38" s="985">
        <f t="shared" si="62"/>
        <v>3.7806227734796281</v>
      </c>
      <c r="BD38" s="985">
        <f t="shared" si="62"/>
        <v>3.7372393879380565</v>
      </c>
      <c r="BE38" s="528">
        <f t="shared" si="62"/>
        <v>3.5951790293843029</v>
      </c>
      <c r="BF38" s="913">
        <f t="shared" si="64"/>
        <v>4.1784435336970915</v>
      </c>
      <c r="BG38" s="317">
        <f t="shared" si="64"/>
        <v>3.7806227734796281</v>
      </c>
      <c r="BH38" s="317">
        <f t="shared" si="64"/>
        <v>-1000000</v>
      </c>
      <c r="BI38" s="919">
        <f t="shared" si="64"/>
        <v>-1000000</v>
      </c>
      <c r="BJ38" s="646">
        <f t="shared" si="13"/>
        <v>1.6</v>
      </c>
      <c r="BK38" s="913">
        <f t="shared" si="65"/>
        <v>4.1784435336970915</v>
      </c>
      <c r="BL38" s="317">
        <f t="shared" si="65"/>
        <v>3.7806227734796281</v>
      </c>
      <c r="BM38" s="317"/>
      <c r="BN38" s="317"/>
      <c r="BO38" s="913">
        <f t="shared" si="15"/>
        <v>3</v>
      </c>
      <c r="BP38" s="783">
        <f t="shared" si="39"/>
        <v>1000000</v>
      </c>
      <c r="CK38" s="642">
        <f t="shared" si="50"/>
        <v>32</v>
      </c>
      <c r="CL38" s="609">
        <f t="shared" si="16"/>
        <v>2.2682397530530758</v>
      </c>
      <c r="CM38" s="609">
        <f t="shared" si="40"/>
        <v>1.6</v>
      </c>
      <c r="CN38" s="610">
        <f t="shared" si="54"/>
        <v>8.3812692150525052</v>
      </c>
      <c r="CO38" s="611">
        <f t="shared" si="54"/>
        <v>8.4471703334015871</v>
      </c>
      <c r="CP38" s="612">
        <f t="shared" si="54"/>
        <v>8.4782246065555285</v>
      </c>
      <c r="CQ38" s="611">
        <f t="shared" si="55"/>
        <v>2.2503080048259378</v>
      </c>
      <c r="CR38" s="611">
        <f t="shared" si="55"/>
        <v>2.6512333011430198</v>
      </c>
      <c r="CS38" s="611">
        <f t="shared" si="55"/>
        <v>3.0521585974601018</v>
      </c>
      <c r="CT38" s="610">
        <f t="shared" si="19"/>
        <v>10.631577219878443</v>
      </c>
      <c r="CU38" s="611">
        <f t="shared" si="19"/>
        <v>11.098403634544606</v>
      </c>
      <c r="CV38" s="612">
        <f t="shared" si="19"/>
        <v>11.53038320401563</v>
      </c>
      <c r="CW38" s="613">
        <f t="shared" ref="CW38:CY53" si="68">IF((CW37+$CD$32*($CM38-$CM37))&lt;CT38,(CW37+$CD$32*($CM38-$CM37)),CT38)</f>
        <v>5.8290261895330175</v>
      </c>
      <c r="CX38" s="613">
        <f t="shared" si="68"/>
        <v>5.8290261895330175</v>
      </c>
      <c r="CY38" s="613">
        <f t="shared" si="68"/>
        <v>5.8290261895330175</v>
      </c>
      <c r="CZ38" s="609">
        <f t="shared" si="21"/>
        <v>8.5058990739490348</v>
      </c>
      <c r="DA38" s="609"/>
      <c r="DB38" s="609">
        <f t="shared" si="42"/>
        <v>1.6</v>
      </c>
      <c r="DC38" s="610">
        <f t="shared" si="66"/>
        <v>0.32895794319988625</v>
      </c>
      <c r="DD38" s="611">
        <f t="shared" si="66"/>
        <v>0.1826311881299969</v>
      </c>
      <c r="DE38" s="612">
        <f t="shared" si="66"/>
        <v>9.9074681026876554E-2</v>
      </c>
      <c r="DF38" s="611">
        <f t="shared" si="53"/>
        <v>8</v>
      </c>
      <c r="DG38" s="611">
        <f t="shared" si="53"/>
        <v>8</v>
      </c>
      <c r="DH38" s="611">
        <f t="shared" si="53"/>
        <v>8</v>
      </c>
      <c r="DI38" s="614">
        <f t="shared" si="23"/>
        <v>8</v>
      </c>
      <c r="DJ38" s="615"/>
      <c r="DK38" s="609">
        <f t="shared" si="43"/>
        <v>1.6</v>
      </c>
      <c r="DL38" s="611">
        <f t="shared" si="56"/>
        <v>3.8793071520039946</v>
      </c>
      <c r="DM38" s="611">
        <f t="shared" si="56"/>
        <v>3.9462648072572497</v>
      </c>
      <c r="DN38" s="611">
        <f t="shared" si="56"/>
        <v>1000000</v>
      </c>
      <c r="DO38" s="610">
        <f t="shared" si="57"/>
        <v>0.34224931429127631</v>
      </c>
      <c r="DP38" s="611">
        <f t="shared" si="57"/>
        <v>0.36159931429127645</v>
      </c>
      <c r="DQ38" s="612">
        <f t="shared" si="57"/>
        <v>0.39255931429127672</v>
      </c>
      <c r="DR38" s="611">
        <f t="shared" si="26"/>
        <v>4.2215564662952705</v>
      </c>
      <c r="DS38" s="611">
        <f t="shared" si="26"/>
        <v>4.3078641215485263</v>
      </c>
      <c r="DT38" s="611">
        <f t="shared" si="26"/>
        <v>1000000.3925593143</v>
      </c>
      <c r="DU38" s="609">
        <f t="shared" si="44"/>
        <v>4.2</v>
      </c>
      <c r="DV38" s="611"/>
      <c r="DW38" s="646">
        <f t="shared" si="27"/>
        <v>4.2666666666666666</v>
      </c>
      <c r="DX38" s="621">
        <f t="shared" si="58"/>
        <v>7.9405244367022609</v>
      </c>
      <c r="DY38" s="621">
        <f t="shared" si="58"/>
        <v>8.0031778312251891</v>
      </c>
      <c r="DZ38" s="621">
        <f t="shared" si="58"/>
        <v>8.0533303574853274</v>
      </c>
      <c r="EA38" s="610">
        <f t="shared" si="67"/>
        <v>9.196363596655063</v>
      </c>
      <c r="EB38" s="611">
        <f t="shared" si="67"/>
        <v>9.1871691145081584</v>
      </c>
      <c r="EC38" s="612">
        <f t="shared" si="67"/>
        <v>9.1794074831462495</v>
      </c>
      <c r="ED38" s="610">
        <f t="shared" si="45"/>
        <v>8</v>
      </c>
      <c r="EE38" s="611">
        <f t="shared" si="46"/>
        <v>8.5058990739490348</v>
      </c>
      <c r="EF38" s="645">
        <f t="shared" si="47"/>
        <v>1000000</v>
      </c>
      <c r="EG38" s="902"/>
      <c r="EH38" s="646">
        <f t="shared" si="30"/>
        <v>4.2666666666666666</v>
      </c>
      <c r="EI38" s="610">
        <f t="shared" si="59"/>
        <v>1.2558391599528025</v>
      </c>
      <c r="EJ38" s="986">
        <f t="shared" si="59"/>
        <v>1.1839912832829691</v>
      </c>
      <c r="EK38" s="612">
        <f t="shared" si="59"/>
        <v>1.1260771256609219</v>
      </c>
    </row>
    <row r="39" spans="3:141" ht="15" customHeight="1" x14ac:dyDescent="0.25">
      <c r="U39" s="642">
        <f t="shared" si="49"/>
        <v>33</v>
      </c>
      <c r="W39" s="609">
        <f t="shared" si="0"/>
        <v>2.3391222453359846</v>
      </c>
      <c r="X39" s="610">
        <f t="shared" si="60"/>
        <v>3.8595124098390166</v>
      </c>
      <c r="Y39" s="611">
        <f t="shared" si="60"/>
        <v>3.8430986167355683</v>
      </c>
      <c r="Z39" s="611">
        <f t="shared" si="60"/>
        <v>3.816836547770051</v>
      </c>
      <c r="AA39" s="611">
        <f t="shared" si="60"/>
        <v>3.7643124098390168</v>
      </c>
      <c r="AB39" s="982">
        <f t="shared" si="1"/>
        <v>1000000</v>
      </c>
      <c r="AC39" s="919">
        <f t="shared" si="2"/>
        <v>3.8693606857010856</v>
      </c>
      <c r="AD39" s="611">
        <f t="shared" si="51"/>
        <v>3.8719424545778174</v>
      </c>
      <c r="AE39" s="611">
        <f t="shared" si="51"/>
        <v>3.8361786614743689</v>
      </c>
      <c r="AF39" s="611">
        <f t="shared" si="51"/>
        <v>3.7789565925088513</v>
      </c>
      <c r="AG39" s="612">
        <f t="shared" si="51"/>
        <v>3.6645124545778169</v>
      </c>
      <c r="AH39" s="609">
        <f t="shared" si="4"/>
        <v>3</v>
      </c>
      <c r="AI39" s="895">
        <f t="shared" si="34"/>
        <v>-1000000</v>
      </c>
      <c r="AJ39" s="610">
        <f t="shared" si="5"/>
        <v>2.3391222453359846</v>
      </c>
      <c r="AK39" s="609">
        <f t="shared" si="35"/>
        <v>2.4040044738801017E-2</v>
      </c>
      <c r="AL39" s="611">
        <f t="shared" si="61"/>
        <v>1.2430044738800916E-2</v>
      </c>
      <c r="AM39" s="611">
        <f t="shared" si="61"/>
        <v>-6.9199552611992517E-3</v>
      </c>
      <c r="AN39" s="611">
        <f t="shared" si="61"/>
        <v>-3.787995526119952E-2</v>
      </c>
      <c r="AO39" s="612">
        <f t="shared" si="61"/>
        <v>-9.9799955261200057E-2</v>
      </c>
      <c r="AP39" s="902">
        <v>0</v>
      </c>
      <c r="AQ39" s="783">
        <f t="shared" si="6"/>
        <v>1000000</v>
      </c>
      <c r="AR39" s="983"/>
      <c r="AS39" s="609">
        <f t="shared" si="7"/>
        <v>2.3391222453359846</v>
      </c>
      <c r="AT39" s="610">
        <f t="shared" si="63"/>
        <v>3.8719424545778174</v>
      </c>
      <c r="AU39" s="611">
        <f t="shared" si="63"/>
        <v>3.8361786614743689</v>
      </c>
      <c r="AV39" s="611">
        <f t="shared" si="63"/>
        <v>3.7789565925088513</v>
      </c>
      <c r="AW39" s="612">
        <f t="shared" si="63"/>
        <v>3.6645124545778169</v>
      </c>
      <c r="AX39" s="982">
        <f t="shared" si="9"/>
        <v>1000000</v>
      </c>
      <c r="AY39" s="611">
        <f t="shared" si="10"/>
        <v>3</v>
      </c>
      <c r="AZ39" s="612">
        <f t="shared" si="11"/>
        <v>3.8693606857010856</v>
      </c>
      <c r="BB39" s="984">
        <f t="shared" si="37"/>
        <v>4.1783198398724108</v>
      </c>
      <c r="BC39" s="985">
        <f t="shared" si="62"/>
        <v>3.7666520173344171</v>
      </c>
      <c r="BD39" s="985">
        <f t="shared" si="62"/>
        <v>3.7274116901879806</v>
      </c>
      <c r="BE39" s="528">
        <f t="shared" si="62"/>
        <v>3.5928985353732328</v>
      </c>
      <c r="BF39" s="913">
        <f t="shared" si="64"/>
        <v>4.1783198398724108</v>
      </c>
      <c r="BG39" s="317">
        <f t="shared" si="64"/>
        <v>3.7666520173344171</v>
      </c>
      <c r="BH39" s="317">
        <f t="shared" si="64"/>
        <v>-1000000</v>
      </c>
      <c r="BI39" s="919">
        <f t="shared" si="64"/>
        <v>-1000000</v>
      </c>
      <c r="BJ39" s="646">
        <f t="shared" si="13"/>
        <v>1.6500000000000001</v>
      </c>
      <c r="BK39" s="913">
        <f t="shared" si="65"/>
        <v>4.1783198398724108</v>
      </c>
      <c r="BL39" s="317">
        <f t="shared" si="65"/>
        <v>3.7666520173344171</v>
      </c>
      <c r="BM39" s="317"/>
      <c r="BN39" s="317"/>
      <c r="BO39" s="913">
        <f t="shared" si="15"/>
        <v>3</v>
      </c>
      <c r="BP39" s="783">
        <f t="shared" si="39"/>
        <v>1000000</v>
      </c>
      <c r="CK39" s="642">
        <f t="shared" si="50"/>
        <v>33</v>
      </c>
      <c r="CL39" s="609">
        <f t="shared" si="16"/>
        <v>2.3391222453359846</v>
      </c>
      <c r="CM39" s="609">
        <f t="shared" si="40"/>
        <v>1.6500000000000001</v>
      </c>
      <c r="CN39" s="610">
        <f t="shared" si="54"/>
        <v>8.3966779762446304</v>
      </c>
      <c r="CO39" s="611">
        <f t="shared" si="54"/>
        <v>8.4556273805882132</v>
      </c>
      <c r="CP39" s="612">
        <f t="shared" si="54"/>
        <v>8.4827602920975274</v>
      </c>
      <c r="CQ39" s="611">
        <f t="shared" si="55"/>
        <v>2.2503080048584083</v>
      </c>
      <c r="CR39" s="611">
        <f t="shared" si="55"/>
        <v>2.651233301176902</v>
      </c>
      <c r="CS39" s="611">
        <f t="shared" si="55"/>
        <v>3.0521585974953958</v>
      </c>
      <c r="CT39" s="610">
        <f t="shared" si="19"/>
        <v>10.64698598110304</v>
      </c>
      <c r="CU39" s="611">
        <f t="shared" si="19"/>
        <v>11.106860681765115</v>
      </c>
      <c r="CV39" s="612">
        <f t="shared" si="19"/>
        <v>11.534918889592923</v>
      </c>
      <c r="CW39" s="613">
        <f t="shared" si="68"/>
        <v>6.2290261895330179</v>
      </c>
      <c r="CX39" s="613">
        <f t="shared" si="68"/>
        <v>6.2290261895330179</v>
      </c>
      <c r="CY39" s="613">
        <f t="shared" si="68"/>
        <v>6.2290261895330179</v>
      </c>
      <c r="CZ39" s="609">
        <f t="shared" si="21"/>
        <v>8.5058990739490348</v>
      </c>
      <c r="DA39" s="609"/>
      <c r="DB39" s="609">
        <f t="shared" si="42"/>
        <v>1.6500000000000001</v>
      </c>
      <c r="DC39" s="610">
        <f t="shared" si="66"/>
        <v>0.28828683503826219</v>
      </c>
      <c r="DD39" s="611">
        <f t="shared" si="66"/>
        <v>0.15633195882709547</v>
      </c>
      <c r="DE39" s="612">
        <f t="shared" si="66"/>
        <v>8.2836911752732958E-2</v>
      </c>
      <c r="DF39" s="611">
        <f t="shared" ref="DF39:DH54" si="69">(CW39-CW38)/($DB39-$DB38)</f>
        <v>8</v>
      </c>
      <c r="DG39" s="611">
        <f t="shared" si="69"/>
        <v>8</v>
      </c>
      <c r="DH39" s="611">
        <f t="shared" si="69"/>
        <v>8</v>
      </c>
      <c r="DI39" s="614">
        <f t="shared" si="23"/>
        <v>8</v>
      </c>
      <c r="DJ39" s="615"/>
      <c r="DK39" s="609">
        <f t="shared" si="43"/>
        <v>1.6500000000000001</v>
      </c>
      <c r="DL39" s="611">
        <f t="shared" si="56"/>
        <v>3.8794308458286748</v>
      </c>
      <c r="DM39" s="611">
        <f t="shared" si="56"/>
        <v>3.9543349220505601</v>
      </c>
      <c r="DN39" s="611">
        <f t="shared" si="56"/>
        <v>1000000</v>
      </c>
      <c r="DO39" s="610">
        <f t="shared" si="57"/>
        <v>0.34224931429550182</v>
      </c>
      <c r="DP39" s="611">
        <f t="shared" si="57"/>
        <v>0.36159931429550196</v>
      </c>
      <c r="DQ39" s="612">
        <f t="shared" si="57"/>
        <v>0.39255931429550223</v>
      </c>
      <c r="DR39" s="611">
        <f t="shared" si="26"/>
        <v>4.2216801601241762</v>
      </c>
      <c r="DS39" s="611">
        <f t="shared" si="26"/>
        <v>4.3159342363460622</v>
      </c>
      <c r="DT39" s="611">
        <f t="shared" si="26"/>
        <v>1000000.3925593143</v>
      </c>
      <c r="DU39" s="609">
        <f t="shared" si="44"/>
        <v>4.2</v>
      </c>
      <c r="DV39" s="611"/>
      <c r="DW39" s="646">
        <f t="shared" si="27"/>
        <v>4.4000000000000004</v>
      </c>
      <c r="DX39" s="621">
        <f t="shared" si="58"/>
        <v>7.9236054056778045</v>
      </c>
      <c r="DY39" s="621">
        <f t="shared" si="58"/>
        <v>7.9880600120059295</v>
      </c>
      <c r="DZ39" s="621">
        <f t="shared" si="58"/>
        <v>8.0396675913219227</v>
      </c>
      <c r="EA39" s="610">
        <f t="shared" si="67"/>
        <v>9.1467115579041351</v>
      </c>
      <c r="EB39" s="611">
        <f t="shared" si="67"/>
        <v>9.1376328876939308</v>
      </c>
      <c r="EC39" s="612">
        <f t="shared" si="67"/>
        <v>9.1299677652225597</v>
      </c>
      <c r="ED39" s="610">
        <f t="shared" si="45"/>
        <v>8</v>
      </c>
      <c r="EE39" s="611">
        <f t="shared" si="46"/>
        <v>8.5058990739490348</v>
      </c>
      <c r="EF39" s="645">
        <f t="shared" si="47"/>
        <v>1000000</v>
      </c>
      <c r="EG39" s="902"/>
      <c r="EH39" s="646">
        <f t="shared" si="30"/>
        <v>4.4000000000000004</v>
      </c>
      <c r="EI39" s="610">
        <f t="shared" si="59"/>
        <v>1.2231061522263305</v>
      </c>
      <c r="EJ39" s="986">
        <f t="shared" si="59"/>
        <v>1.1495728756880019</v>
      </c>
      <c r="EK39" s="612">
        <f t="shared" si="59"/>
        <v>1.0903001739006379</v>
      </c>
    </row>
    <row r="40" spans="3:141" ht="15" customHeight="1" x14ac:dyDescent="0.25">
      <c r="U40" s="642">
        <f t="shared" si="49"/>
        <v>34</v>
      </c>
      <c r="W40" s="609">
        <f t="shared" si="0"/>
        <v>2.4100047376188933</v>
      </c>
      <c r="X40" s="610">
        <f t="shared" si="60"/>
        <v>3.8593978950034113</v>
      </c>
      <c r="Y40" s="611">
        <f t="shared" si="60"/>
        <v>3.8427932438406205</v>
      </c>
      <c r="Z40" s="611">
        <f t="shared" si="60"/>
        <v>3.8162258019801554</v>
      </c>
      <c r="AA40" s="611">
        <f t="shared" si="60"/>
        <v>3.7630909182592251</v>
      </c>
      <c r="AB40" s="982">
        <f t="shared" si="1"/>
        <v>1000000</v>
      </c>
      <c r="AC40" s="919">
        <f t="shared" si="2"/>
        <v>3.8693606857010856</v>
      </c>
      <c r="AD40" s="611">
        <f t="shared" si="51"/>
        <v>3.8661172979216576</v>
      </c>
      <c r="AE40" s="611">
        <f t="shared" si="51"/>
        <v>3.8301626467588665</v>
      </c>
      <c r="AF40" s="611">
        <f t="shared" si="51"/>
        <v>3.7726352048984011</v>
      </c>
      <c r="AG40" s="612">
        <f t="shared" si="51"/>
        <v>3.6575803211774702</v>
      </c>
      <c r="AH40" s="609">
        <f t="shared" si="4"/>
        <v>3</v>
      </c>
      <c r="AI40" s="895">
        <f t="shared" si="34"/>
        <v>-1000000</v>
      </c>
      <c r="AJ40" s="610">
        <f t="shared" si="5"/>
        <v>2.4100047376188933</v>
      </c>
      <c r="AK40" s="609">
        <f t="shared" si="35"/>
        <v>1.8329402918246359E-2</v>
      </c>
      <c r="AL40" s="611">
        <f t="shared" si="61"/>
        <v>6.7194029182462579E-3</v>
      </c>
      <c r="AM40" s="611">
        <f t="shared" si="61"/>
        <v>-1.263059708175391E-2</v>
      </c>
      <c r="AN40" s="611">
        <f t="shared" si="61"/>
        <v>-4.3590597081754182E-2</v>
      </c>
      <c r="AO40" s="612">
        <f t="shared" si="61"/>
        <v>-0.10551059708175471</v>
      </c>
      <c r="AP40" s="902">
        <v>0</v>
      </c>
      <c r="AQ40" s="783">
        <f t="shared" si="6"/>
        <v>1000000</v>
      </c>
      <c r="AR40" s="983"/>
      <c r="AS40" s="609">
        <f t="shared" si="7"/>
        <v>2.4100047376188933</v>
      </c>
      <c r="AT40" s="610">
        <f t="shared" si="63"/>
        <v>3.8661172979216576</v>
      </c>
      <c r="AU40" s="611">
        <f t="shared" si="63"/>
        <v>3.8301626467588665</v>
      </c>
      <c r="AV40" s="611">
        <f t="shared" si="63"/>
        <v>3.7726352048984011</v>
      </c>
      <c r="AW40" s="612">
        <f t="shared" si="63"/>
        <v>3.6575803211774702</v>
      </c>
      <c r="AX40" s="982">
        <f t="shared" si="9"/>
        <v>1000000</v>
      </c>
      <c r="AY40" s="611">
        <f t="shared" si="10"/>
        <v>3</v>
      </c>
      <c r="AZ40" s="612">
        <f t="shared" si="11"/>
        <v>3.8693606857010856</v>
      </c>
      <c r="BB40" s="984">
        <f t="shared" si="37"/>
        <v>4.1781930308045956</v>
      </c>
      <c r="BC40" s="985">
        <f t="shared" si="62"/>
        <v>3.7509535596643455</v>
      </c>
      <c r="BD40" s="985">
        <f t="shared" si="62"/>
        <v>3.7188404716413861</v>
      </c>
      <c r="BE40" s="528">
        <f t="shared" si="62"/>
        <v>3.5908451484439974</v>
      </c>
      <c r="BF40" s="913">
        <f t="shared" si="64"/>
        <v>4.1781930308045956</v>
      </c>
      <c r="BG40" s="317">
        <f t="shared" si="64"/>
        <v>3.7509535596643455</v>
      </c>
      <c r="BH40" s="317">
        <f t="shared" si="64"/>
        <v>-1000000</v>
      </c>
      <c r="BI40" s="919">
        <f t="shared" si="64"/>
        <v>-1000000</v>
      </c>
      <c r="BJ40" s="646">
        <f t="shared" si="13"/>
        <v>1.7</v>
      </c>
      <c r="BK40" s="913">
        <f t="shared" si="65"/>
        <v>4.1781930308045956</v>
      </c>
      <c r="BL40" s="317">
        <f t="shared" si="65"/>
        <v>3.7509535596643455</v>
      </c>
      <c r="BM40" s="317"/>
      <c r="BN40" s="317"/>
      <c r="BO40" s="913">
        <f t="shared" si="15"/>
        <v>3</v>
      </c>
      <c r="BP40" s="783">
        <f t="shared" si="39"/>
        <v>1000000</v>
      </c>
      <c r="CK40" s="642">
        <f t="shared" si="50"/>
        <v>34</v>
      </c>
      <c r="CL40" s="609">
        <f t="shared" si="16"/>
        <v>2.4100047376188933</v>
      </c>
      <c r="CM40" s="609">
        <f t="shared" si="40"/>
        <v>1.7</v>
      </c>
      <c r="CN40" s="610">
        <f t="shared" si="54"/>
        <v>8.4101816568759791</v>
      </c>
      <c r="CO40" s="611">
        <f t="shared" si="54"/>
        <v>8.4628665973488815</v>
      </c>
      <c r="CP40" s="612">
        <f t="shared" si="54"/>
        <v>8.4865526049471676</v>
      </c>
      <c r="CQ40" s="611">
        <f t="shared" si="55"/>
        <v>2.2503080048729167</v>
      </c>
      <c r="CR40" s="611">
        <f t="shared" si="55"/>
        <v>2.651233301192041</v>
      </c>
      <c r="CS40" s="611">
        <f t="shared" si="55"/>
        <v>3.0521585975111654</v>
      </c>
      <c r="CT40" s="610">
        <f t="shared" si="19"/>
        <v>10.660489661748896</v>
      </c>
      <c r="CU40" s="611">
        <f t="shared" si="19"/>
        <v>11.114099898540923</v>
      </c>
      <c r="CV40" s="612">
        <f t="shared" si="19"/>
        <v>11.538711202458334</v>
      </c>
      <c r="CW40" s="613">
        <f t="shared" si="68"/>
        <v>6.6290261895330165</v>
      </c>
      <c r="CX40" s="613">
        <f t="shared" si="68"/>
        <v>6.6290261895330165</v>
      </c>
      <c r="CY40" s="613">
        <f t="shared" si="68"/>
        <v>6.6290261895330165</v>
      </c>
      <c r="CZ40" s="609">
        <f t="shared" si="21"/>
        <v>8.5058990739490348</v>
      </c>
      <c r="DA40" s="609"/>
      <c r="DB40" s="609">
        <f t="shared" si="42"/>
        <v>1.7</v>
      </c>
      <c r="DC40" s="610">
        <f t="shared" si="66"/>
        <v>0.25264414818894843</v>
      </c>
      <c r="DD40" s="611">
        <f t="shared" si="66"/>
        <v>0.13381986751568026</v>
      </c>
      <c r="DE40" s="612">
        <f t="shared" si="66"/>
        <v>6.9260419541168086E-2</v>
      </c>
      <c r="DF40" s="611">
        <f t="shared" si="69"/>
        <v>8</v>
      </c>
      <c r="DG40" s="611">
        <f t="shared" si="69"/>
        <v>8</v>
      </c>
      <c r="DH40" s="611">
        <f t="shared" si="69"/>
        <v>8</v>
      </c>
      <c r="DI40" s="614">
        <f t="shared" si="23"/>
        <v>8</v>
      </c>
      <c r="DJ40" s="615"/>
      <c r="DK40" s="609">
        <f t="shared" si="43"/>
        <v>1.7</v>
      </c>
      <c r="DL40" s="611">
        <f t="shared" si="56"/>
        <v>3.8795576548964901</v>
      </c>
      <c r="DM40" s="611">
        <f t="shared" si="56"/>
        <v>3.964297321074878</v>
      </c>
      <c r="DN40" s="611">
        <f t="shared" si="56"/>
        <v>1000000</v>
      </c>
      <c r="DO40" s="610">
        <f t="shared" si="57"/>
        <v>0.34224931429738981</v>
      </c>
      <c r="DP40" s="611">
        <f t="shared" si="57"/>
        <v>0.36159931429738995</v>
      </c>
      <c r="DQ40" s="612">
        <f t="shared" si="57"/>
        <v>0.39255931429739022</v>
      </c>
      <c r="DR40" s="611">
        <f t="shared" si="26"/>
        <v>4.2218069691938798</v>
      </c>
      <c r="DS40" s="611">
        <f t="shared" si="26"/>
        <v>4.3258966353722679</v>
      </c>
      <c r="DT40" s="611">
        <f t="shared" si="26"/>
        <v>1000000.3925593143</v>
      </c>
      <c r="DU40" s="609">
        <f t="shared" si="44"/>
        <v>4.2</v>
      </c>
      <c r="DV40" s="611"/>
      <c r="DW40" s="646">
        <f t="shared" si="27"/>
        <v>4.5333333333333332</v>
      </c>
      <c r="DX40" s="621">
        <f t="shared" si="58"/>
        <v>7.9067297843582249</v>
      </c>
      <c r="DY40" s="621">
        <f t="shared" si="58"/>
        <v>7.9729766924541057</v>
      </c>
      <c r="DZ40" s="621">
        <f t="shared" si="58"/>
        <v>8.0260329002107973</v>
      </c>
      <c r="EA40" s="610">
        <f t="shared" si="67"/>
        <v>9.0976439578878487</v>
      </c>
      <c r="EB40" s="611">
        <f t="shared" si="67"/>
        <v>9.0887000467864603</v>
      </c>
      <c r="EC40" s="612">
        <f t="shared" si="67"/>
        <v>9.0811474633504439</v>
      </c>
      <c r="ED40" s="610">
        <f t="shared" si="45"/>
        <v>8</v>
      </c>
      <c r="EE40" s="611">
        <f t="shared" si="46"/>
        <v>8.5058990739490348</v>
      </c>
      <c r="EF40" s="645">
        <f t="shared" si="47"/>
        <v>1000000</v>
      </c>
      <c r="EG40" s="902"/>
      <c r="EH40" s="646">
        <f t="shared" si="30"/>
        <v>4.5333333333333332</v>
      </c>
      <c r="EI40" s="610">
        <f t="shared" si="59"/>
        <v>1.1909141735296231</v>
      </c>
      <c r="EJ40" s="986">
        <f t="shared" si="59"/>
        <v>1.1157233543323548</v>
      </c>
      <c r="EK40" s="612">
        <f t="shared" si="59"/>
        <v>1.0551145631396457</v>
      </c>
    </row>
    <row r="41" spans="3:141" ht="15" customHeight="1" x14ac:dyDescent="0.25">
      <c r="U41" s="642">
        <f t="shared" si="49"/>
        <v>35</v>
      </c>
      <c r="W41" s="609">
        <f t="shared" si="0"/>
        <v>2.4808872299018021</v>
      </c>
      <c r="X41" s="610">
        <f t="shared" si="60"/>
        <v>3.8592806857010857</v>
      </c>
      <c r="Y41" s="611">
        <f t="shared" si="60"/>
        <v>3.8424806857010858</v>
      </c>
      <c r="Z41" s="611">
        <f t="shared" si="60"/>
        <v>3.8156006857010856</v>
      </c>
      <c r="AA41" s="611">
        <f t="shared" si="60"/>
        <v>3.7618406857010855</v>
      </c>
      <c r="AB41" s="982">
        <f t="shared" si="1"/>
        <v>1000000</v>
      </c>
      <c r="AC41" s="919">
        <f t="shared" si="2"/>
        <v>3.8693606857010856</v>
      </c>
      <c r="AD41" s="611">
        <f t="shared" si="51"/>
        <v>3.8604401017165446</v>
      </c>
      <c r="AE41" s="611">
        <f t="shared" si="51"/>
        <v>3.8242901017165445</v>
      </c>
      <c r="AF41" s="611">
        <f t="shared" si="51"/>
        <v>3.7664501017165439</v>
      </c>
      <c r="AG41" s="612">
        <f t="shared" si="51"/>
        <v>3.6507701017165433</v>
      </c>
      <c r="AH41" s="609">
        <f t="shared" si="4"/>
        <v>3</v>
      </c>
      <c r="AI41" s="895">
        <f t="shared" si="34"/>
        <v>-1000000</v>
      </c>
      <c r="AJ41" s="610">
        <f t="shared" si="5"/>
        <v>2.4808872299018021</v>
      </c>
      <c r="AK41" s="609">
        <f t="shared" si="35"/>
        <v>1.2769416015458951E-2</v>
      </c>
      <c r="AL41" s="611">
        <f t="shared" si="61"/>
        <v>1.1594160154588494E-3</v>
      </c>
      <c r="AM41" s="611">
        <f t="shared" si="61"/>
        <v>-1.819058398454132E-2</v>
      </c>
      <c r="AN41" s="611">
        <f t="shared" si="61"/>
        <v>-4.9150583984541585E-2</v>
      </c>
      <c r="AO41" s="612">
        <f t="shared" si="61"/>
        <v>-0.11107058398454213</v>
      </c>
      <c r="AP41" s="902">
        <v>0</v>
      </c>
      <c r="AQ41" s="783">
        <f t="shared" si="6"/>
        <v>1000000</v>
      </c>
      <c r="AR41" s="983"/>
      <c r="AS41" s="609">
        <f t="shared" si="7"/>
        <v>2.4808872299018021</v>
      </c>
      <c r="AT41" s="610">
        <f t="shared" si="63"/>
        <v>3.8604401017165446</v>
      </c>
      <c r="AU41" s="611">
        <f t="shared" si="63"/>
        <v>3.8242901017165445</v>
      </c>
      <c r="AV41" s="611">
        <f t="shared" si="63"/>
        <v>3.7664501017165439</v>
      </c>
      <c r="AW41" s="612">
        <f t="shared" si="63"/>
        <v>3.6507701017165433</v>
      </c>
      <c r="AX41" s="982">
        <f t="shared" si="9"/>
        <v>1000000</v>
      </c>
      <c r="AY41" s="611">
        <f t="shared" si="10"/>
        <v>3</v>
      </c>
      <c r="AZ41" s="612">
        <f t="shared" si="11"/>
        <v>3.8693606857010856</v>
      </c>
      <c r="BB41" s="984">
        <f t="shared" si="37"/>
        <v>4.1780629873061379</v>
      </c>
      <c r="BC41" s="985">
        <f t="shared" si="62"/>
        <v>3.7327688612456953</v>
      </c>
      <c r="BD41" s="985">
        <f t="shared" si="62"/>
        <v>3.7112873060279412</v>
      </c>
      <c r="BE41" s="528">
        <f t="shared" si="62"/>
        <v>3.5889895186603877</v>
      </c>
      <c r="BF41" s="913">
        <f t="shared" si="64"/>
        <v>4.1780629873061379</v>
      </c>
      <c r="BG41" s="317">
        <f t="shared" si="64"/>
        <v>3.7327688612456953</v>
      </c>
      <c r="BH41" s="317">
        <f t="shared" si="64"/>
        <v>-1000000</v>
      </c>
      <c r="BI41" s="919">
        <f t="shared" si="64"/>
        <v>-1000000</v>
      </c>
      <c r="BJ41" s="646">
        <f t="shared" si="13"/>
        <v>1.75</v>
      </c>
      <c r="BK41" s="913">
        <f t="shared" si="65"/>
        <v>4.1780629873061379</v>
      </c>
      <c r="BL41" s="317">
        <f t="shared" si="65"/>
        <v>3.7327688612456953</v>
      </c>
      <c r="BM41" s="317"/>
      <c r="BN41" s="317"/>
      <c r="BO41" s="913">
        <f t="shared" si="15"/>
        <v>3</v>
      </c>
      <c r="BP41" s="783">
        <f t="shared" si="39"/>
        <v>1000000</v>
      </c>
      <c r="CK41" s="642">
        <f t="shared" si="50"/>
        <v>35</v>
      </c>
      <c r="CL41" s="609">
        <f t="shared" si="16"/>
        <v>2.4808872299018021</v>
      </c>
      <c r="CM41" s="609">
        <f t="shared" si="40"/>
        <v>1.75</v>
      </c>
      <c r="CN41" s="610">
        <f t="shared" si="54"/>
        <v>8.422015793852978</v>
      </c>
      <c r="CO41" s="611">
        <f t="shared" si="54"/>
        <v>8.4690633535158355</v>
      </c>
      <c r="CP41" s="612">
        <f t="shared" si="54"/>
        <v>8.4897233795999458</v>
      </c>
      <c r="CQ41" s="611">
        <f t="shared" si="55"/>
        <v>2.2503080048793986</v>
      </c>
      <c r="CR41" s="611">
        <f t="shared" si="55"/>
        <v>2.651233301198805</v>
      </c>
      <c r="CS41" s="611">
        <f t="shared" si="55"/>
        <v>3.0521585975182113</v>
      </c>
      <c r="CT41" s="610">
        <f t="shared" si="19"/>
        <v>10.672323798732377</v>
      </c>
      <c r="CU41" s="611">
        <f t="shared" si="19"/>
        <v>11.12029665471464</v>
      </c>
      <c r="CV41" s="612">
        <f t="shared" si="19"/>
        <v>11.541881977118157</v>
      </c>
      <c r="CW41" s="613">
        <f t="shared" si="68"/>
        <v>7.0290261895330168</v>
      </c>
      <c r="CX41" s="613">
        <f t="shared" si="68"/>
        <v>7.0290261895330168</v>
      </c>
      <c r="CY41" s="613">
        <f t="shared" si="68"/>
        <v>7.0290261895330168</v>
      </c>
      <c r="CZ41" s="609">
        <f t="shared" si="21"/>
        <v>8.5058990739490348</v>
      </c>
      <c r="DA41" s="609"/>
      <c r="DB41" s="609">
        <f t="shared" si="42"/>
        <v>1.75</v>
      </c>
      <c r="DC41" s="610">
        <f t="shared" si="66"/>
        <v>0.22140818758580685</v>
      </c>
      <c r="DD41" s="611">
        <f t="shared" si="66"/>
        <v>0.11454955912430044</v>
      </c>
      <c r="DE41" s="612">
        <f t="shared" si="66"/>
        <v>5.7909036236333332E-2</v>
      </c>
      <c r="DF41" s="611">
        <f t="shared" si="69"/>
        <v>8</v>
      </c>
      <c r="DG41" s="611">
        <f t="shared" si="69"/>
        <v>8</v>
      </c>
      <c r="DH41" s="611">
        <f t="shared" si="69"/>
        <v>8</v>
      </c>
      <c r="DI41" s="614">
        <f t="shared" si="23"/>
        <v>8</v>
      </c>
      <c r="DJ41" s="615"/>
      <c r="DK41" s="609">
        <f t="shared" si="43"/>
        <v>1.75</v>
      </c>
      <c r="DL41" s="611">
        <f t="shared" si="56"/>
        <v>3.8796876983949482</v>
      </c>
      <c r="DM41" s="611">
        <f t="shared" si="56"/>
        <v>3.9769059529568054</v>
      </c>
      <c r="DN41" s="611">
        <f t="shared" si="56"/>
        <v>1000000</v>
      </c>
      <c r="DO41" s="610">
        <f t="shared" si="57"/>
        <v>0.34224931429823335</v>
      </c>
      <c r="DP41" s="611">
        <f t="shared" si="57"/>
        <v>0.3615993142982335</v>
      </c>
      <c r="DQ41" s="612">
        <f t="shared" si="57"/>
        <v>0.39255931429823376</v>
      </c>
      <c r="DR41" s="611">
        <f t="shared" si="26"/>
        <v>4.2219370126931812</v>
      </c>
      <c r="DS41" s="611">
        <f t="shared" si="26"/>
        <v>4.338505267255039</v>
      </c>
      <c r="DT41" s="611">
        <f t="shared" si="26"/>
        <v>1000000.3925593143</v>
      </c>
      <c r="DU41" s="609">
        <f t="shared" si="44"/>
        <v>4.2</v>
      </c>
      <c r="DV41" s="611"/>
      <c r="DW41" s="646">
        <f t="shared" si="27"/>
        <v>4.666666666666667</v>
      </c>
      <c r="DX41" s="621">
        <f t="shared" si="58"/>
        <v>7.8898974058910438</v>
      </c>
      <c r="DY41" s="621">
        <f t="shared" si="58"/>
        <v>7.9579277546091998</v>
      </c>
      <c r="DZ41" s="621">
        <f t="shared" si="58"/>
        <v>8.0124261977053735</v>
      </c>
      <c r="EA41" s="610">
        <f t="shared" si="67"/>
        <v>9.0491516873304221</v>
      </c>
      <c r="EB41" s="611">
        <f t="shared" si="67"/>
        <v>9.0403610709627511</v>
      </c>
      <c r="EC41" s="612">
        <f t="shared" si="67"/>
        <v>9.0329367170763035</v>
      </c>
      <c r="ED41" s="610">
        <f t="shared" si="45"/>
        <v>8</v>
      </c>
      <c r="EE41" s="611">
        <f t="shared" si="46"/>
        <v>8.5058990739490348</v>
      </c>
      <c r="EF41" s="645">
        <f t="shared" si="47"/>
        <v>1000000</v>
      </c>
      <c r="EG41" s="902"/>
      <c r="EH41" s="646">
        <f t="shared" si="30"/>
        <v>4.666666666666667</v>
      </c>
      <c r="EI41" s="610">
        <f t="shared" si="59"/>
        <v>1.1592542814393778</v>
      </c>
      <c r="EJ41" s="986">
        <f t="shared" si="59"/>
        <v>1.0824333163535507</v>
      </c>
      <c r="EK41" s="612">
        <f t="shared" si="59"/>
        <v>1.020510519370931</v>
      </c>
    </row>
    <row r="42" spans="3:141" ht="15" customHeight="1" x14ac:dyDescent="0.25">
      <c r="U42" s="642">
        <f t="shared" si="49"/>
        <v>36</v>
      </c>
      <c r="W42" s="609">
        <f t="shared" si="0"/>
        <v>2.5517697221847104</v>
      </c>
      <c r="X42" s="610">
        <f t="shared" si="60"/>
        <v>3.8591606857010854</v>
      </c>
      <c r="Y42" s="611">
        <f t="shared" si="60"/>
        <v>3.8421606857010855</v>
      </c>
      <c r="Z42" s="611">
        <f t="shared" si="60"/>
        <v>3.8149606857010858</v>
      </c>
      <c r="AA42" s="611">
        <f t="shared" si="60"/>
        <v>3.7605606857010856</v>
      </c>
      <c r="AB42" s="982">
        <f t="shared" si="1"/>
        <v>1000000</v>
      </c>
      <c r="AC42" s="919">
        <f t="shared" si="2"/>
        <v>3.8693606857010856</v>
      </c>
      <c r="AD42" s="611">
        <f t="shared" si="51"/>
        <v>3.8549067952388207</v>
      </c>
      <c r="AE42" s="611">
        <f t="shared" si="51"/>
        <v>3.8185567952388206</v>
      </c>
      <c r="AF42" s="611">
        <f t="shared" si="51"/>
        <v>3.7603967952388206</v>
      </c>
      <c r="AG42" s="612">
        <f t="shared" si="51"/>
        <v>3.6440767952388198</v>
      </c>
      <c r="AH42" s="609">
        <f t="shared" si="4"/>
        <v>3</v>
      </c>
      <c r="AI42" s="895">
        <f t="shared" si="34"/>
        <v>-1000000</v>
      </c>
      <c r="AJ42" s="610">
        <f t="shared" si="5"/>
        <v>2.5517697221847104</v>
      </c>
      <c r="AK42" s="609">
        <f t="shared" si="35"/>
        <v>7.3561095377353359E-3</v>
      </c>
      <c r="AL42" s="611">
        <f t="shared" si="61"/>
        <v>-4.2538904622647653E-3</v>
      </c>
      <c r="AM42" s="611">
        <f t="shared" si="61"/>
        <v>-2.3603890462264934E-2</v>
      </c>
      <c r="AN42" s="611">
        <f t="shared" si="61"/>
        <v>-5.4563890462265202E-2</v>
      </c>
      <c r="AO42" s="612">
        <f t="shared" si="61"/>
        <v>-0.11648389046226573</v>
      </c>
      <c r="AP42" s="902">
        <v>0</v>
      </c>
      <c r="AQ42" s="783">
        <f t="shared" si="6"/>
        <v>1000000</v>
      </c>
      <c r="AR42" s="983"/>
      <c r="AS42" s="609">
        <f t="shared" si="7"/>
        <v>2.5517697221847104</v>
      </c>
      <c r="AT42" s="610">
        <f t="shared" si="63"/>
        <v>3.8549067952388207</v>
      </c>
      <c r="AU42" s="611">
        <f t="shared" si="63"/>
        <v>3.8185567952388206</v>
      </c>
      <c r="AV42" s="611">
        <f t="shared" si="63"/>
        <v>3.7603967952388206</v>
      </c>
      <c r="AW42" s="612">
        <f t="shared" si="63"/>
        <v>3.6440767952388198</v>
      </c>
      <c r="AX42" s="982">
        <f t="shared" si="9"/>
        <v>1000000</v>
      </c>
      <c r="AY42" s="611">
        <f t="shared" si="10"/>
        <v>3</v>
      </c>
      <c r="AZ42" s="612">
        <f t="shared" si="11"/>
        <v>3.8693606857010856</v>
      </c>
      <c r="BB42" s="984">
        <f t="shared" si="37"/>
        <v>4.1779295840309212</v>
      </c>
      <c r="BC42" s="985">
        <f t="shared" si="62"/>
        <v>3.7108776383733275</v>
      </c>
      <c r="BD42" s="985">
        <f t="shared" si="62"/>
        <v>3.7045749211328807</v>
      </c>
      <c r="BE42" s="528">
        <f t="shared" si="62"/>
        <v>3.5873067212336389</v>
      </c>
      <c r="BF42" s="913">
        <f t="shared" si="64"/>
        <v>4.1779295840309212</v>
      </c>
      <c r="BG42" s="317">
        <f t="shared" si="64"/>
        <v>3.7108776383733275</v>
      </c>
      <c r="BH42" s="317">
        <f t="shared" si="64"/>
        <v>-1000000</v>
      </c>
      <c r="BI42" s="919">
        <f t="shared" si="64"/>
        <v>-1000000</v>
      </c>
      <c r="BJ42" s="646">
        <f t="shared" si="13"/>
        <v>1.7999999999999998</v>
      </c>
      <c r="BK42" s="913">
        <f t="shared" si="65"/>
        <v>4.1779295840309212</v>
      </c>
      <c r="BL42" s="317">
        <f t="shared" si="65"/>
        <v>3.7108776383733275</v>
      </c>
      <c r="BM42" s="317"/>
      <c r="BN42" s="317"/>
      <c r="BO42" s="913">
        <f t="shared" si="15"/>
        <v>3</v>
      </c>
      <c r="BP42" s="783">
        <f t="shared" si="39"/>
        <v>1000000</v>
      </c>
      <c r="CK42" s="642">
        <f t="shared" si="50"/>
        <v>36</v>
      </c>
      <c r="CL42" s="609">
        <f t="shared" si="16"/>
        <v>2.5517697221847104</v>
      </c>
      <c r="CM42" s="609">
        <f t="shared" si="40"/>
        <v>1.7999999999999998</v>
      </c>
      <c r="CN42" s="610">
        <f t="shared" si="54"/>
        <v>8.4323868031958149</v>
      </c>
      <c r="CO42" s="611">
        <f t="shared" si="54"/>
        <v>8.4743677653413414</v>
      </c>
      <c r="CP42" s="612">
        <f t="shared" si="54"/>
        <v>8.4923744825804555</v>
      </c>
      <c r="CQ42" s="611">
        <f t="shared" si="55"/>
        <v>2.2503080048822945</v>
      </c>
      <c r="CR42" s="611">
        <f t="shared" si="55"/>
        <v>2.6512333012018274</v>
      </c>
      <c r="CS42" s="611">
        <f t="shared" si="55"/>
        <v>3.0521585975213594</v>
      </c>
      <c r="CT42" s="610">
        <f t="shared" si="19"/>
        <v>10.682694808078109</v>
      </c>
      <c r="CU42" s="611">
        <f t="shared" si="19"/>
        <v>11.125601066543169</v>
      </c>
      <c r="CV42" s="612">
        <f t="shared" si="19"/>
        <v>11.544533080101814</v>
      </c>
      <c r="CW42" s="613">
        <f t="shared" si="68"/>
        <v>7.4290261895330154</v>
      </c>
      <c r="CX42" s="613">
        <f t="shared" si="68"/>
        <v>7.4290261895330154</v>
      </c>
      <c r="CY42" s="613">
        <f t="shared" si="68"/>
        <v>7.4290261895330154</v>
      </c>
      <c r="CZ42" s="609">
        <f t="shared" si="21"/>
        <v>8.5058990739490348</v>
      </c>
      <c r="DA42" s="609"/>
      <c r="DB42" s="609">
        <f t="shared" si="42"/>
        <v>1.7999999999999998</v>
      </c>
      <c r="DC42" s="610">
        <f t="shared" si="66"/>
        <v>0.19403412228523684</v>
      </c>
      <c r="DD42" s="611">
        <f t="shared" si="66"/>
        <v>9.8054210830930397E-2</v>
      </c>
      <c r="DE42" s="612">
        <f t="shared" si="66"/>
        <v>4.8418079236879019E-2</v>
      </c>
      <c r="DF42" s="611">
        <f t="shared" si="69"/>
        <v>8</v>
      </c>
      <c r="DG42" s="611">
        <f t="shared" si="69"/>
        <v>8</v>
      </c>
      <c r="DH42" s="611">
        <f t="shared" si="69"/>
        <v>8</v>
      </c>
      <c r="DI42" s="614">
        <f t="shared" si="23"/>
        <v>8</v>
      </c>
      <c r="DJ42" s="615"/>
      <c r="DK42" s="609">
        <f t="shared" si="43"/>
        <v>1.7999999999999998</v>
      </c>
      <c r="DL42" s="611">
        <f t="shared" si="56"/>
        <v>3.8798211016701645</v>
      </c>
      <c r="DM42" s="611">
        <f t="shared" si="56"/>
        <v>3.9933766388468723</v>
      </c>
      <c r="DN42" s="611">
        <f t="shared" si="56"/>
        <v>1000000</v>
      </c>
      <c r="DO42" s="610">
        <f t="shared" si="57"/>
        <v>0.34224931429861027</v>
      </c>
      <c r="DP42" s="611">
        <f t="shared" si="57"/>
        <v>0.36159931429861042</v>
      </c>
      <c r="DQ42" s="612">
        <f t="shared" si="57"/>
        <v>0.39255931429861068</v>
      </c>
      <c r="DR42" s="611">
        <f t="shared" si="26"/>
        <v>4.2220704159687745</v>
      </c>
      <c r="DS42" s="611">
        <f t="shared" si="26"/>
        <v>4.354975953145483</v>
      </c>
      <c r="DT42" s="611">
        <f t="shared" si="26"/>
        <v>1000000.3925593143</v>
      </c>
      <c r="DU42" s="609">
        <f t="shared" si="44"/>
        <v>4.2</v>
      </c>
      <c r="DV42" s="611"/>
      <c r="DW42" s="646">
        <f t="shared" si="27"/>
        <v>4.8</v>
      </c>
      <c r="DX42" s="621">
        <f t="shared" si="58"/>
        <v>7.8731081042777964</v>
      </c>
      <c r="DY42" s="621">
        <f t="shared" si="58"/>
        <v>7.942913081047851</v>
      </c>
      <c r="DZ42" s="621">
        <f t="shared" si="58"/>
        <v>7.9988473977136199</v>
      </c>
      <c r="EA42" s="610">
        <f t="shared" si="67"/>
        <v>9.001225785615345</v>
      </c>
      <c r="EB42" s="611">
        <f t="shared" si="67"/>
        <v>8.9926065953526102</v>
      </c>
      <c r="EC42" s="612">
        <f t="shared" si="67"/>
        <v>8.9853258278512254</v>
      </c>
      <c r="ED42" s="610">
        <f t="shared" si="45"/>
        <v>8</v>
      </c>
      <c r="EE42" s="611">
        <f t="shared" si="46"/>
        <v>8.5058990739490348</v>
      </c>
      <c r="EF42" s="645">
        <f t="shared" si="47"/>
        <v>1000000</v>
      </c>
      <c r="EG42" s="902"/>
      <c r="EH42" s="646">
        <f t="shared" si="30"/>
        <v>4.8</v>
      </c>
      <c r="EI42" s="610">
        <f t="shared" si="59"/>
        <v>1.1281176813375484</v>
      </c>
      <c r="EJ42" s="986">
        <f t="shared" si="59"/>
        <v>1.049693514304759</v>
      </c>
      <c r="EK42" s="612">
        <f t="shared" si="59"/>
        <v>0.98647843013760617</v>
      </c>
    </row>
    <row r="43" spans="3:141" ht="15" customHeight="1" x14ac:dyDescent="0.25">
      <c r="U43" s="642">
        <f t="shared" si="49"/>
        <v>37</v>
      </c>
      <c r="W43" s="609">
        <f t="shared" si="0"/>
        <v>2.6226522144676192</v>
      </c>
      <c r="X43" s="610">
        <f t="shared" si="60"/>
        <v>3.8590377941348204</v>
      </c>
      <c r="Y43" s="611">
        <f t="shared" si="60"/>
        <v>3.841832974857712</v>
      </c>
      <c r="Z43" s="611">
        <f t="shared" si="60"/>
        <v>3.8143052640143384</v>
      </c>
      <c r="AA43" s="611">
        <f t="shared" si="60"/>
        <v>3.7592498423275917</v>
      </c>
      <c r="AB43" s="982">
        <f t="shared" si="1"/>
        <v>1000000</v>
      </c>
      <c r="AC43" s="919">
        <f t="shared" si="2"/>
        <v>3.8693606857010856</v>
      </c>
      <c r="AD43" s="611">
        <f t="shared" si="51"/>
        <v>3.8495134079800075</v>
      </c>
      <c r="AE43" s="611">
        <f t="shared" si="51"/>
        <v>3.8129585887028989</v>
      </c>
      <c r="AF43" s="611">
        <f t="shared" si="51"/>
        <v>3.754470877859525</v>
      </c>
      <c r="AG43" s="612">
        <f t="shared" si="51"/>
        <v>3.6374954561727781</v>
      </c>
      <c r="AH43" s="609">
        <f t="shared" si="4"/>
        <v>3</v>
      </c>
      <c r="AI43" s="895">
        <f t="shared" si="34"/>
        <v>-1000000</v>
      </c>
      <c r="AJ43" s="610">
        <f t="shared" si="5"/>
        <v>2.6226522144676192</v>
      </c>
      <c r="AK43" s="609">
        <f t="shared" si="35"/>
        <v>2.0856138451873191E-3</v>
      </c>
      <c r="AL43" s="611">
        <f t="shared" si="61"/>
        <v>-9.5243861548127817E-3</v>
      </c>
      <c r="AM43" s="611">
        <f t="shared" si="61"/>
        <v>-2.8874386154812949E-2</v>
      </c>
      <c r="AN43" s="611">
        <f t="shared" si="61"/>
        <v>-5.9834386154813221E-2</v>
      </c>
      <c r="AO43" s="612">
        <f t="shared" si="61"/>
        <v>-0.12175438615481375</v>
      </c>
      <c r="AP43" s="902">
        <v>0</v>
      </c>
      <c r="AQ43" s="783">
        <f t="shared" si="6"/>
        <v>1000000</v>
      </c>
      <c r="AR43" s="983"/>
      <c r="AS43" s="609">
        <f t="shared" si="7"/>
        <v>2.6226522144676192</v>
      </c>
      <c r="AT43" s="610">
        <f t="shared" si="63"/>
        <v>3.8495134079800075</v>
      </c>
      <c r="AU43" s="611">
        <f t="shared" si="63"/>
        <v>3.8129585887028989</v>
      </c>
      <c r="AV43" s="611">
        <f t="shared" si="63"/>
        <v>3.754470877859525</v>
      </c>
      <c r="AW43" s="612">
        <f t="shared" si="63"/>
        <v>3.6374954561727781</v>
      </c>
      <c r="AX43" s="982">
        <f t="shared" si="9"/>
        <v>1000000</v>
      </c>
      <c r="AY43" s="611">
        <f t="shared" si="10"/>
        <v>3</v>
      </c>
      <c r="AZ43" s="612">
        <f t="shared" si="11"/>
        <v>3.8693606857010856</v>
      </c>
      <c r="BB43" s="984">
        <f t="shared" si="37"/>
        <v>4.1777926890712376</v>
      </c>
      <c r="BC43" s="985">
        <f t="shared" si="62"/>
        <v>3.683180214917547</v>
      </c>
      <c r="BD43" s="985">
        <f t="shared" si="62"/>
        <v>3.6985680863091726</v>
      </c>
      <c r="BE43" s="528">
        <f t="shared" si="62"/>
        <v>3.585775497231638</v>
      </c>
      <c r="BF43" s="913">
        <f t="shared" si="64"/>
        <v>4.1777926890712376</v>
      </c>
      <c r="BG43" s="317">
        <f t="shared" si="64"/>
        <v>3.683180214917547</v>
      </c>
      <c r="BH43" s="317">
        <f t="shared" si="64"/>
        <v>-1000000</v>
      </c>
      <c r="BI43" s="919">
        <f t="shared" si="64"/>
        <v>-1000000</v>
      </c>
      <c r="BJ43" s="646">
        <f t="shared" si="13"/>
        <v>1.85</v>
      </c>
      <c r="BK43" s="913">
        <f t="shared" si="65"/>
        <v>4.1777926890712376</v>
      </c>
      <c r="BL43" s="317">
        <f t="shared" si="65"/>
        <v>3.683180214917547</v>
      </c>
      <c r="BM43" s="317"/>
      <c r="BN43" s="317"/>
      <c r="BO43" s="913">
        <f t="shared" si="15"/>
        <v>3</v>
      </c>
      <c r="BP43" s="783">
        <f t="shared" si="39"/>
        <v>1000000</v>
      </c>
      <c r="BR43" s="784"/>
      <c r="BS43" s="784"/>
      <c r="BT43" s="784"/>
      <c r="BU43" s="784"/>
      <c r="BV43" s="784"/>
      <c r="BW43" s="784"/>
      <c r="BX43" s="784"/>
      <c r="BY43" s="784"/>
      <c r="BZ43" s="784"/>
      <c r="CA43" s="784"/>
      <c r="CB43" s="784"/>
      <c r="CC43" s="784"/>
      <c r="CD43" s="784"/>
      <c r="CE43" s="784"/>
      <c r="CF43" s="784"/>
      <c r="CG43" s="784"/>
      <c r="CH43" s="784"/>
      <c r="CI43" s="784"/>
      <c r="CJ43" s="784"/>
      <c r="CK43" s="642">
        <f t="shared" si="50"/>
        <v>37</v>
      </c>
      <c r="CL43" s="609">
        <f t="shared" si="16"/>
        <v>2.6226522144676192</v>
      </c>
      <c r="CM43" s="609">
        <f t="shared" si="40"/>
        <v>1.85</v>
      </c>
      <c r="CN43" s="610">
        <f t="shared" si="54"/>
        <v>8.4414755804339201</v>
      </c>
      <c r="CO43" s="611">
        <f t="shared" si="54"/>
        <v>8.478908332059877</v>
      </c>
      <c r="CP43" s="612">
        <f t="shared" si="54"/>
        <v>8.4945910850776123</v>
      </c>
      <c r="CQ43" s="611">
        <f t="shared" si="55"/>
        <v>2.2503080048835891</v>
      </c>
      <c r="CR43" s="611">
        <f t="shared" si="55"/>
        <v>2.6512333012031779</v>
      </c>
      <c r="CS43" s="611">
        <f t="shared" si="55"/>
        <v>3.0521585975227663</v>
      </c>
      <c r="CT43" s="610">
        <f t="shared" si="19"/>
        <v>10.691783585317509</v>
      </c>
      <c r="CU43" s="611">
        <f t="shared" si="19"/>
        <v>11.130141633263055</v>
      </c>
      <c r="CV43" s="612">
        <f t="shared" si="19"/>
        <v>11.546749682600378</v>
      </c>
      <c r="CW43" s="613">
        <f t="shared" si="68"/>
        <v>7.8290261895330175</v>
      </c>
      <c r="CX43" s="613">
        <f t="shared" si="68"/>
        <v>7.8290261895330175</v>
      </c>
      <c r="CY43" s="613">
        <f t="shared" si="68"/>
        <v>7.8290261895330175</v>
      </c>
      <c r="CZ43" s="609">
        <f t="shared" si="21"/>
        <v>8.5058990739490348</v>
      </c>
      <c r="DA43" s="609"/>
      <c r="DB43" s="609">
        <f t="shared" si="42"/>
        <v>1.85</v>
      </c>
      <c r="DC43" s="610">
        <f t="shared" si="66"/>
        <v>0.17004448221687968</v>
      </c>
      <c r="DD43" s="611">
        <f t="shared" si="66"/>
        <v>8.393422321240733E-2</v>
      </c>
      <c r="DE43" s="612">
        <f t="shared" si="66"/>
        <v>4.048263536505526E-2</v>
      </c>
      <c r="DF43" s="611">
        <f t="shared" si="69"/>
        <v>8</v>
      </c>
      <c r="DG43" s="611">
        <f t="shared" si="69"/>
        <v>8</v>
      </c>
      <c r="DH43" s="611">
        <f t="shared" si="69"/>
        <v>8</v>
      </c>
      <c r="DI43" s="614">
        <f t="shared" si="23"/>
        <v>8</v>
      </c>
      <c r="DJ43" s="615"/>
      <c r="DK43" s="609">
        <f t="shared" si="43"/>
        <v>1.85</v>
      </c>
      <c r="DL43" s="611">
        <f t="shared" si="56"/>
        <v>3.8799579966298481</v>
      </c>
      <c r="DM43" s="611">
        <f t="shared" si="56"/>
        <v>4.0158047167912621</v>
      </c>
      <c r="DN43" s="611">
        <f t="shared" si="56"/>
        <v>1000000</v>
      </c>
      <c r="DO43" s="610">
        <f t="shared" si="57"/>
        <v>0.3422493142987787</v>
      </c>
      <c r="DP43" s="611">
        <f t="shared" si="57"/>
        <v>0.36159931429877884</v>
      </c>
      <c r="DQ43" s="612">
        <f t="shared" si="57"/>
        <v>0.39255931429877911</v>
      </c>
      <c r="DR43" s="611">
        <f t="shared" si="26"/>
        <v>4.2222073109286269</v>
      </c>
      <c r="DS43" s="611">
        <f t="shared" si="26"/>
        <v>4.3774040310900411</v>
      </c>
      <c r="DT43" s="611">
        <f t="shared" si="26"/>
        <v>1000000.3925593143</v>
      </c>
      <c r="DU43" s="609">
        <f t="shared" si="44"/>
        <v>4.2</v>
      </c>
      <c r="DV43" s="611"/>
      <c r="DW43" s="646">
        <f t="shared" si="27"/>
        <v>4.9333333333333336</v>
      </c>
      <c r="DX43" s="621">
        <f t="shared" si="58"/>
        <v>7.8563617143685605</v>
      </c>
      <c r="DY43" s="621">
        <f t="shared" si="58"/>
        <v>7.9279325548808064</v>
      </c>
      <c r="DZ43" s="621">
        <f t="shared" si="58"/>
        <v>7.9852964144962293</v>
      </c>
      <c r="EA43" s="610">
        <f t="shared" si="67"/>
        <v>8.9538574383369003</v>
      </c>
      <c r="EB43" s="611">
        <f t="shared" si="67"/>
        <v>8.9454274084668093</v>
      </c>
      <c r="EC43" s="612">
        <f t="shared" si="67"/>
        <v>8.9383052563589516</v>
      </c>
      <c r="ED43" s="610">
        <f t="shared" si="45"/>
        <v>8</v>
      </c>
      <c r="EE43" s="611">
        <f t="shared" si="46"/>
        <v>8.5058990739490348</v>
      </c>
      <c r="EF43" s="645">
        <f t="shared" si="47"/>
        <v>1000000</v>
      </c>
      <c r="EG43" s="902"/>
      <c r="EH43" s="646">
        <f t="shared" si="30"/>
        <v>4.9333333333333336</v>
      </c>
      <c r="EI43" s="610">
        <f t="shared" si="59"/>
        <v>1.0974957239683403</v>
      </c>
      <c r="EJ43" s="986">
        <f t="shared" si="59"/>
        <v>1.0174948535860022</v>
      </c>
      <c r="EK43" s="612">
        <f t="shared" si="59"/>
        <v>0.95300884186272139</v>
      </c>
    </row>
    <row r="44" spans="3:141" ht="15" customHeight="1" x14ac:dyDescent="0.25">
      <c r="U44" s="642">
        <f t="shared" si="49"/>
        <v>38</v>
      </c>
      <c r="W44" s="609">
        <f t="shared" si="0"/>
        <v>2.6935347067505275</v>
      </c>
      <c r="X44" s="610">
        <f t="shared" si="60"/>
        <v>3.8589119052132808</v>
      </c>
      <c r="Y44" s="611">
        <f t="shared" si="60"/>
        <v>3.8414972710669391</v>
      </c>
      <c r="Z44" s="611">
        <f t="shared" si="60"/>
        <v>3.813633856432793</v>
      </c>
      <c r="AA44" s="611">
        <f t="shared" si="60"/>
        <v>3.7579070271645003</v>
      </c>
      <c r="AB44" s="982">
        <f t="shared" si="1"/>
        <v>1000000</v>
      </c>
      <c r="AC44" s="919">
        <f t="shared" si="2"/>
        <v>3.8693606857010856</v>
      </c>
      <c r="AD44" s="611">
        <f t="shared" si="51"/>
        <v>3.8442560665978549</v>
      </c>
      <c r="AE44" s="611">
        <f t="shared" si="51"/>
        <v>3.807491432451513</v>
      </c>
      <c r="AF44" s="611">
        <f t="shared" si="51"/>
        <v>3.7486680178173666</v>
      </c>
      <c r="AG44" s="612">
        <f t="shared" si="51"/>
        <v>3.6310211885490737</v>
      </c>
      <c r="AH44" s="609">
        <f t="shared" si="4"/>
        <v>3</v>
      </c>
      <c r="AI44" s="895">
        <f t="shared" si="34"/>
        <v>-1000000</v>
      </c>
      <c r="AJ44" s="610">
        <f t="shared" si="5"/>
        <v>2.6935347067505275</v>
      </c>
      <c r="AK44" s="609">
        <f t="shared" si="35"/>
        <v>-3.0458386154256561E-3</v>
      </c>
      <c r="AL44" s="611">
        <f t="shared" si="61"/>
        <v>-1.4655838615425756E-2</v>
      </c>
      <c r="AM44" s="611">
        <f t="shared" si="61"/>
        <v>-3.4005838615425922E-2</v>
      </c>
      <c r="AN44" s="611">
        <f t="shared" si="61"/>
        <v>-6.4965838615426194E-2</v>
      </c>
      <c r="AO44" s="612">
        <f t="shared" si="61"/>
        <v>-0.12688583861542674</v>
      </c>
      <c r="AP44" s="902">
        <v>0</v>
      </c>
      <c r="AQ44" s="783">
        <f t="shared" si="6"/>
        <v>1000000</v>
      </c>
      <c r="AR44" s="983"/>
      <c r="AS44" s="609">
        <f t="shared" si="7"/>
        <v>2.6935347067505275</v>
      </c>
      <c r="AT44" s="610">
        <f t="shared" si="63"/>
        <v>3.8442560665978549</v>
      </c>
      <c r="AU44" s="611">
        <f t="shared" si="63"/>
        <v>3.807491432451513</v>
      </c>
      <c r="AV44" s="611">
        <f t="shared" si="63"/>
        <v>3.7486680178173666</v>
      </c>
      <c r="AW44" s="612">
        <f t="shared" si="63"/>
        <v>3.6310211885490737</v>
      </c>
      <c r="AX44" s="982">
        <f t="shared" si="9"/>
        <v>1000000</v>
      </c>
      <c r="AY44" s="611">
        <f t="shared" si="10"/>
        <v>3</v>
      </c>
      <c r="AZ44" s="612">
        <f t="shared" si="11"/>
        <v>3.8693606857010856</v>
      </c>
      <c r="BB44" s="984">
        <f t="shared" si="37"/>
        <v>4.1776521635227324</v>
      </c>
      <c r="BC44" s="985">
        <f t="shared" si="62"/>
        <v>3.6457266414985985</v>
      </c>
      <c r="BD44" s="985">
        <f t="shared" si="62"/>
        <v>3.693161325194009</v>
      </c>
      <c r="BE44" s="528">
        <f t="shared" si="62"/>
        <v>3.5843776428958551</v>
      </c>
      <c r="BF44" s="913">
        <f t="shared" si="64"/>
        <v>4.1776521635227324</v>
      </c>
      <c r="BG44" s="317">
        <f t="shared" si="64"/>
        <v>3.6457266414985985</v>
      </c>
      <c r="BH44" s="317">
        <f t="shared" si="64"/>
        <v>-1000000</v>
      </c>
      <c r="BI44" s="919">
        <f t="shared" si="64"/>
        <v>-1000000</v>
      </c>
      <c r="BJ44" s="646">
        <f t="shared" si="13"/>
        <v>1.9</v>
      </c>
      <c r="BK44" s="913">
        <f t="shared" si="65"/>
        <v>4.1776521635227324</v>
      </c>
      <c r="BL44" s="317">
        <f t="shared" si="65"/>
        <v>3.6457266414985985</v>
      </c>
      <c r="BM44" s="317"/>
      <c r="BN44" s="317"/>
      <c r="BO44" s="913">
        <f t="shared" si="15"/>
        <v>3</v>
      </c>
      <c r="BP44" s="783">
        <f t="shared" si="39"/>
        <v>1000000</v>
      </c>
      <c r="CK44" s="642">
        <f t="shared" si="50"/>
        <v>38</v>
      </c>
      <c r="CL44" s="609">
        <f t="shared" si="16"/>
        <v>2.6935347067505275</v>
      </c>
      <c r="CM44" s="609">
        <f t="shared" si="40"/>
        <v>1.9</v>
      </c>
      <c r="CN44" s="610">
        <f t="shared" si="54"/>
        <v>8.449440655862281</v>
      </c>
      <c r="CO44" s="611">
        <f t="shared" si="54"/>
        <v>8.482795048778657</v>
      </c>
      <c r="CP44" s="612">
        <f t="shared" si="54"/>
        <v>8.4964443992138481</v>
      </c>
      <c r="CQ44" s="611">
        <f t="shared" si="55"/>
        <v>2.2503080048841673</v>
      </c>
      <c r="CR44" s="611">
        <f t="shared" si="55"/>
        <v>2.651233301203781</v>
      </c>
      <c r="CS44" s="611">
        <f t="shared" si="55"/>
        <v>3.0521585975233947</v>
      </c>
      <c r="CT44" s="610">
        <f t="shared" si="19"/>
        <v>10.699748660746447</v>
      </c>
      <c r="CU44" s="611">
        <f t="shared" si="19"/>
        <v>11.134028349982438</v>
      </c>
      <c r="CV44" s="612">
        <f t="shared" si="19"/>
        <v>11.548602996737243</v>
      </c>
      <c r="CW44" s="613">
        <f t="shared" si="68"/>
        <v>8.2290261895330161</v>
      </c>
      <c r="CX44" s="613">
        <f t="shared" si="68"/>
        <v>8.2290261895330161</v>
      </c>
      <c r="CY44" s="613">
        <f t="shared" si="68"/>
        <v>8.2290261895330161</v>
      </c>
      <c r="CZ44" s="609">
        <f t="shared" si="21"/>
        <v>8.5058990739490348</v>
      </c>
      <c r="DA44" s="609"/>
      <c r="DB44" s="609">
        <f t="shared" si="42"/>
        <v>1.9</v>
      </c>
      <c r="DC44" s="610">
        <f t="shared" si="66"/>
        <v>0.14902082991410587</v>
      </c>
      <c r="DD44" s="611">
        <f t="shared" si="66"/>
        <v>7.1847539923272336E-2</v>
      </c>
      <c r="DE44" s="612">
        <f t="shared" si="66"/>
        <v>3.3847764975786211E-2</v>
      </c>
      <c r="DF44" s="611">
        <f t="shared" si="69"/>
        <v>8</v>
      </c>
      <c r="DG44" s="611">
        <f t="shared" si="69"/>
        <v>8</v>
      </c>
      <c r="DH44" s="611">
        <f t="shared" si="69"/>
        <v>8</v>
      </c>
      <c r="DI44" s="614">
        <f t="shared" si="23"/>
        <v>8</v>
      </c>
      <c r="DJ44" s="615"/>
      <c r="DK44" s="609">
        <f t="shared" si="43"/>
        <v>1.9</v>
      </c>
      <c r="DL44" s="611">
        <f t="shared" si="56"/>
        <v>3.8800985221783537</v>
      </c>
      <c r="DM44" s="611">
        <f t="shared" si="56"/>
        <v>4.0481359190855288</v>
      </c>
      <c r="DN44" s="611">
        <f t="shared" si="56"/>
        <v>1000000</v>
      </c>
      <c r="DO44" s="610">
        <f t="shared" si="57"/>
        <v>0.34224931429885391</v>
      </c>
      <c r="DP44" s="611">
        <f t="shared" si="57"/>
        <v>0.36159931429885406</v>
      </c>
      <c r="DQ44" s="612">
        <f t="shared" si="57"/>
        <v>0.39255931429885432</v>
      </c>
      <c r="DR44" s="611">
        <f t="shared" si="26"/>
        <v>4.2223478364772076</v>
      </c>
      <c r="DS44" s="611">
        <f t="shared" si="26"/>
        <v>4.4097352333843833</v>
      </c>
      <c r="DT44" s="611">
        <f t="shared" si="26"/>
        <v>1000000.3925593143</v>
      </c>
      <c r="DU44" s="609">
        <f t="shared" si="44"/>
        <v>4.2</v>
      </c>
      <c r="DV44" s="611"/>
      <c r="DW44" s="646">
        <f t="shared" si="27"/>
        <v>5.0666666666666664</v>
      </c>
      <c r="DX44" s="621">
        <f t="shared" si="58"/>
        <v>7.8396580718565545</v>
      </c>
      <c r="DY44" s="621">
        <f t="shared" si="58"/>
        <v>7.9129860597498807</v>
      </c>
      <c r="DZ44" s="621">
        <f t="shared" si="58"/>
        <v>7.9717731626648183</v>
      </c>
      <c r="EA44" s="610">
        <f t="shared" si="67"/>
        <v>8.9070379748921358</v>
      </c>
      <c r="EB44" s="611">
        <f t="shared" si="67"/>
        <v>8.8988144496676984</v>
      </c>
      <c r="EC44" s="612">
        <f t="shared" si="67"/>
        <v>8.8918656198880281</v>
      </c>
      <c r="ED44" s="610">
        <f t="shared" si="45"/>
        <v>8</v>
      </c>
      <c r="EE44" s="611">
        <f t="shared" si="46"/>
        <v>8.5058990739490348</v>
      </c>
      <c r="EF44" s="645">
        <f t="shared" si="47"/>
        <v>1000000</v>
      </c>
      <c r="EG44" s="902"/>
      <c r="EH44" s="646">
        <f t="shared" si="30"/>
        <v>5.0666666666666664</v>
      </c>
      <c r="EI44" s="610">
        <f t="shared" si="59"/>
        <v>1.0673799030355817</v>
      </c>
      <c r="EJ44" s="986">
        <f t="shared" si="59"/>
        <v>0.98582838991781752</v>
      </c>
      <c r="EK44" s="612">
        <f t="shared" si="59"/>
        <v>0.92009245722320987</v>
      </c>
    </row>
    <row r="45" spans="3:141" ht="15" customHeight="1" x14ac:dyDescent="0.25">
      <c r="U45" s="642">
        <f t="shared" si="49"/>
        <v>39</v>
      </c>
      <c r="W45" s="609">
        <f t="shared" si="0"/>
        <v>2.7644171990334363</v>
      </c>
      <c r="X45" s="610">
        <f t="shared" si="60"/>
        <v>3.8587829079233078</v>
      </c>
      <c r="Y45" s="611">
        <f t="shared" si="60"/>
        <v>3.8411532782936781</v>
      </c>
      <c r="Z45" s="611">
        <f t="shared" si="60"/>
        <v>3.8129458708862707</v>
      </c>
      <c r="AA45" s="611">
        <f t="shared" si="60"/>
        <v>3.7565310560714558</v>
      </c>
      <c r="AB45" s="982">
        <f t="shared" si="1"/>
        <v>1000000</v>
      </c>
      <c r="AC45" s="919">
        <f t="shared" si="2"/>
        <v>3.8693606857010856</v>
      </c>
      <c r="AD45" s="611">
        <f t="shared" si="51"/>
        <v>3.839130991919419</v>
      </c>
      <c r="AE45" s="611">
        <f t="shared" si="51"/>
        <v>3.8021513622897891</v>
      </c>
      <c r="AF45" s="611">
        <f t="shared" si="51"/>
        <v>3.7429839548823813</v>
      </c>
      <c r="AG45" s="612">
        <f t="shared" si="51"/>
        <v>3.6246491400675658</v>
      </c>
      <c r="AH45" s="609">
        <f t="shared" si="4"/>
        <v>3</v>
      </c>
      <c r="AI45" s="895">
        <f t="shared" si="34"/>
        <v>-1000000</v>
      </c>
      <c r="AJ45" s="610">
        <f t="shared" si="5"/>
        <v>2.7644171990334363</v>
      </c>
      <c r="AK45" s="609">
        <f t="shared" si="35"/>
        <v>-8.0419160038887518E-3</v>
      </c>
      <c r="AL45" s="611">
        <f t="shared" si="61"/>
        <v>-1.9651916003888853E-2</v>
      </c>
      <c r="AM45" s="611">
        <f t="shared" si="61"/>
        <v>-3.9001916003889019E-2</v>
      </c>
      <c r="AN45" s="611">
        <f t="shared" si="61"/>
        <v>-6.9961916003889291E-2</v>
      </c>
      <c r="AO45" s="612">
        <f t="shared" si="61"/>
        <v>-0.13188191600388982</v>
      </c>
      <c r="AP45" s="902">
        <v>0</v>
      </c>
      <c r="AQ45" s="783">
        <f t="shared" si="6"/>
        <v>1000000</v>
      </c>
      <c r="AR45" s="983"/>
      <c r="AS45" s="609">
        <f t="shared" si="7"/>
        <v>2.7644171990334363</v>
      </c>
      <c r="AT45" s="610">
        <f t="shared" si="63"/>
        <v>3.839130991919419</v>
      </c>
      <c r="AU45" s="611">
        <f t="shared" si="63"/>
        <v>3.8021513622897891</v>
      </c>
      <c r="AV45" s="611">
        <f t="shared" si="63"/>
        <v>3.7429839548823813</v>
      </c>
      <c r="AW45" s="612">
        <f t="shared" si="63"/>
        <v>3.6246491400675658</v>
      </c>
      <c r="AX45" s="982">
        <f t="shared" si="9"/>
        <v>1000000</v>
      </c>
      <c r="AY45" s="611">
        <f t="shared" si="10"/>
        <v>3</v>
      </c>
      <c r="AZ45" s="612">
        <f t="shared" si="11"/>
        <v>3.8693606857010856</v>
      </c>
      <c r="BB45" s="984">
        <f t="shared" si="37"/>
        <v>4.1775078610142788</v>
      </c>
      <c r="BC45" s="985">
        <f t="shared" si="62"/>
        <v>3.5900953623527365</v>
      </c>
      <c r="BD45" s="985">
        <f t="shared" si="62"/>
        <v>3.6882707619792421</v>
      </c>
      <c r="BE45" s="528">
        <f t="shared" si="62"/>
        <v>3.5830975142654125</v>
      </c>
      <c r="BF45" s="913">
        <f t="shared" si="64"/>
        <v>4.1775078610142788</v>
      </c>
      <c r="BG45" s="317">
        <f t="shared" si="64"/>
        <v>3.5900953623527365</v>
      </c>
      <c r="BH45" s="317">
        <f t="shared" si="64"/>
        <v>-1000000</v>
      </c>
      <c r="BI45" s="919">
        <f t="shared" si="64"/>
        <v>-1000000</v>
      </c>
      <c r="BJ45" s="646">
        <f t="shared" si="13"/>
        <v>1.9500000000000002</v>
      </c>
      <c r="BK45" s="913">
        <f t="shared" si="65"/>
        <v>4.1775078610142788</v>
      </c>
      <c r="BL45" s="317">
        <f t="shared" si="65"/>
        <v>3.5900953623527365</v>
      </c>
      <c r="BM45" s="317"/>
      <c r="BN45" s="317"/>
      <c r="BO45" s="913">
        <f t="shared" si="15"/>
        <v>3</v>
      </c>
      <c r="BP45" s="783">
        <f t="shared" si="39"/>
        <v>1000000</v>
      </c>
      <c r="CK45" s="642">
        <f t="shared" si="50"/>
        <v>39</v>
      </c>
      <c r="CL45" s="609">
        <f t="shared" si="16"/>
        <v>2.7644171990334363</v>
      </c>
      <c r="CM45" s="609">
        <f t="shared" si="40"/>
        <v>1.9500000000000002</v>
      </c>
      <c r="CN45" s="610">
        <f t="shared" ref="CN45:CP64" si="70">$CD$27*(1-EXP(-$CM45/CN$3))</f>
        <v>8.4564209596938547</v>
      </c>
      <c r="CO45" s="611">
        <f t="shared" si="70"/>
        <v>8.4861220711061502</v>
      </c>
      <c r="CP45" s="612">
        <f t="shared" si="70"/>
        <v>8.4979939658555796</v>
      </c>
      <c r="CQ45" s="611">
        <f t="shared" ref="CQ45:CS64" si="71">--$CD$30*((CQ$2-$CD$20)+($CD$22-CQ$2)*EXP(-$CM45/$CI$13))</f>
        <v>2.2503080048844253</v>
      </c>
      <c r="CR45" s="611">
        <f t="shared" si="71"/>
        <v>2.6512333012040505</v>
      </c>
      <c r="CS45" s="611">
        <f t="shared" si="71"/>
        <v>3.0521585975236754</v>
      </c>
      <c r="CT45" s="610">
        <f t="shared" si="19"/>
        <v>10.70672896457828</v>
      </c>
      <c r="CU45" s="611">
        <f t="shared" si="19"/>
        <v>11.1373553723102</v>
      </c>
      <c r="CV45" s="612">
        <f t="shared" si="19"/>
        <v>11.550152563379255</v>
      </c>
      <c r="CW45" s="613">
        <f t="shared" si="68"/>
        <v>8.6290261895330183</v>
      </c>
      <c r="CX45" s="613">
        <f t="shared" si="68"/>
        <v>8.6290261895330183</v>
      </c>
      <c r="CY45" s="613">
        <f t="shared" si="68"/>
        <v>8.6290261895330183</v>
      </c>
      <c r="CZ45" s="609">
        <f t="shared" si="21"/>
        <v>8.5058990739490348</v>
      </c>
      <c r="DA45" s="609"/>
      <c r="DB45" s="609">
        <f t="shared" si="42"/>
        <v>1.9500000000000002</v>
      </c>
      <c r="DC45" s="610">
        <f t="shared" si="66"/>
        <v>0.13059646193532085</v>
      </c>
      <c r="DD45" s="611">
        <f t="shared" si="66"/>
        <v>6.1501361373947072E-2</v>
      </c>
      <c r="DE45" s="612">
        <f t="shared" si="66"/>
        <v>2.8300311570813131E-2</v>
      </c>
      <c r="DF45" s="611">
        <f t="shared" si="69"/>
        <v>8</v>
      </c>
      <c r="DG45" s="611">
        <f t="shared" si="69"/>
        <v>8</v>
      </c>
      <c r="DH45" s="611">
        <f t="shared" si="69"/>
        <v>8</v>
      </c>
      <c r="DI45" s="614">
        <f t="shared" si="23"/>
        <v>8</v>
      </c>
      <c r="DJ45" s="615"/>
      <c r="DK45" s="609">
        <f t="shared" si="43"/>
        <v>1.9500000000000002</v>
      </c>
      <c r="DL45" s="611">
        <f t="shared" ref="DL45:DN64" si="72">IF((DL$3*$DK45)&gt;$CD$27,1000000,($CD$20+($CD$35*DL$3)/(1-(DL$3*$DK45)/($CD$27))))</f>
        <v>3.8802428246868068</v>
      </c>
      <c r="DM45" s="611">
        <f t="shared" si="72"/>
        <v>4.0987877020335688</v>
      </c>
      <c r="DN45" s="611">
        <f t="shared" si="72"/>
        <v>1000000</v>
      </c>
      <c r="DO45" s="610">
        <f t="shared" ref="DO45:DQ64" si="73">($CD$24-$CD$20)+($CD$22-$CD$24)*EXP(-$DK45/$CI$13)+$CD$36*DO$3</f>
        <v>0.34224931429888755</v>
      </c>
      <c r="DP45" s="611">
        <f t="shared" si="73"/>
        <v>0.3615993142988877</v>
      </c>
      <c r="DQ45" s="612">
        <f t="shared" si="73"/>
        <v>0.39255931429888796</v>
      </c>
      <c r="DR45" s="611">
        <f t="shared" si="26"/>
        <v>4.222492138985694</v>
      </c>
      <c r="DS45" s="611">
        <f t="shared" si="26"/>
        <v>4.4603870163324562</v>
      </c>
      <c r="DT45" s="611">
        <f t="shared" si="26"/>
        <v>1000000.3925593143</v>
      </c>
      <c r="DU45" s="609">
        <f t="shared" si="44"/>
        <v>4.2</v>
      </c>
      <c r="DV45" s="611"/>
      <c r="DW45" s="646">
        <f t="shared" si="27"/>
        <v>5.2</v>
      </c>
      <c r="DX45" s="621">
        <f t="shared" ref="DX45:DZ64" si="74">$CD$27*((1-($CD$35*$DW45)/($CD$20-DX$3))/(1+(($CD$36*$DW45)/($CD$20-DX$3))))</f>
        <v>7.8229970132727509</v>
      </c>
      <c r="DY45" s="621">
        <f t="shared" si="74"/>
        <v>7.8980734798249497</v>
      </c>
      <c r="DZ45" s="621">
        <f t="shared" si="74"/>
        <v>7.9582775571801294</v>
      </c>
      <c r="EA45" s="610">
        <f t="shared" si="67"/>
        <v>8.86075886611256</v>
      </c>
      <c r="EB45" s="611">
        <f t="shared" si="67"/>
        <v>8.8527588066816278</v>
      </c>
      <c r="EC45" s="612">
        <f t="shared" si="67"/>
        <v>8.8459976897473673</v>
      </c>
      <c r="ED45" s="610">
        <f t="shared" si="45"/>
        <v>8</v>
      </c>
      <c r="EE45" s="611">
        <f t="shared" si="46"/>
        <v>8.5058990739490348</v>
      </c>
      <c r="EF45" s="645">
        <f t="shared" si="47"/>
        <v>1000000</v>
      </c>
      <c r="EG45" s="902"/>
      <c r="EH45" s="646">
        <f t="shared" si="30"/>
        <v>5.2</v>
      </c>
      <c r="EI45" s="610">
        <f t="shared" ref="EI45:EK64" si="75">$CD$29-($CD$29-EI$1)*((1-EXP(-$DW45/$CD$32))/(1-EXP(-1)))</f>
        <v>1.0377618528398098</v>
      </c>
      <c r="EJ45" s="986">
        <f t="shared" si="75"/>
        <v>0.95468532685667817</v>
      </c>
      <c r="EK45" s="612">
        <f t="shared" si="75"/>
        <v>0.88772013256723725</v>
      </c>
    </row>
    <row r="46" spans="3:141" ht="15" customHeight="1" x14ac:dyDescent="0.25">
      <c r="U46" s="642">
        <f t="shared" si="49"/>
        <v>40</v>
      </c>
      <c r="W46" s="609">
        <f t="shared" si="0"/>
        <v>2.8352996913163446</v>
      </c>
      <c r="X46" s="610">
        <f t="shared" ref="X46:AA65" si="76">$K$25-($M$28*X$3)/(1-$W46/$K$26)</f>
        <v>3.8586506857010856</v>
      </c>
      <c r="Y46" s="611">
        <f t="shared" si="76"/>
        <v>3.8408006857010855</v>
      </c>
      <c r="Z46" s="611">
        <f t="shared" si="76"/>
        <v>3.8122406857010858</v>
      </c>
      <c r="AA46" s="611">
        <f t="shared" si="76"/>
        <v>3.7551206857010855</v>
      </c>
      <c r="AB46" s="982">
        <f t="shared" si="1"/>
        <v>1000000</v>
      </c>
      <c r="AC46" s="919">
        <f t="shared" si="2"/>
        <v>3.8693606857010856</v>
      </c>
      <c r="AD46" s="611">
        <f t="shared" si="51"/>
        <v>3.8341344959924122</v>
      </c>
      <c r="AE46" s="611">
        <f t="shared" si="51"/>
        <v>3.7969344959924118</v>
      </c>
      <c r="AF46" s="611">
        <f t="shared" si="51"/>
        <v>3.7374144959924118</v>
      </c>
      <c r="AG46" s="612">
        <f t="shared" si="51"/>
        <v>3.6183744959924109</v>
      </c>
      <c r="AH46" s="609">
        <f t="shared" si="4"/>
        <v>3</v>
      </c>
      <c r="AI46" s="895">
        <f t="shared" si="34"/>
        <v>-1000000</v>
      </c>
      <c r="AJ46" s="610">
        <f t="shared" si="5"/>
        <v>2.8352996913163446</v>
      </c>
      <c r="AK46" s="609">
        <f t="shared" si="35"/>
        <v>-1.2906189708673358E-2</v>
      </c>
      <c r="AL46" s="611">
        <f t="shared" ref="AL46:AO65" si="77">$AK46-$M$30*AL$3</f>
        <v>-2.4516189708673461E-2</v>
      </c>
      <c r="AM46" s="611">
        <f t="shared" si="77"/>
        <v>-4.3866189708673627E-2</v>
      </c>
      <c r="AN46" s="611">
        <f t="shared" si="77"/>
        <v>-7.4826189708673899E-2</v>
      </c>
      <c r="AO46" s="612">
        <f t="shared" si="77"/>
        <v>-0.13674618970867444</v>
      </c>
      <c r="AP46" s="902">
        <v>0</v>
      </c>
      <c r="AQ46" s="783">
        <f t="shared" si="6"/>
        <v>1000000</v>
      </c>
      <c r="AR46" s="983"/>
      <c r="AS46" s="609">
        <f t="shared" si="7"/>
        <v>2.8352996913163446</v>
      </c>
      <c r="AT46" s="610">
        <f t="shared" si="63"/>
        <v>3.8341344959924122</v>
      </c>
      <c r="AU46" s="611">
        <f t="shared" si="63"/>
        <v>3.7969344959924118</v>
      </c>
      <c r="AV46" s="611">
        <f t="shared" si="63"/>
        <v>3.7374144959924118</v>
      </c>
      <c r="AW46" s="612">
        <f t="shared" si="63"/>
        <v>3.6183744959924109</v>
      </c>
      <c r="AX46" s="982">
        <f t="shared" si="9"/>
        <v>1000000</v>
      </c>
      <c r="AY46" s="611">
        <f t="shared" si="10"/>
        <v>3</v>
      </c>
      <c r="AZ46" s="612">
        <f t="shared" si="11"/>
        <v>3.8693606857010856</v>
      </c>
      <c r="BB46" s="984">
        <f t="shared" si="37"/>
        <v>4.1773596271994258</v>
      </c>
      <c r="BC46" s="985">
        <f t="shared" ref="BC46:BE65" si="78">$K$25+$K$31*(1-(1-EXP(-(BB$3*$BJ46)/($K$27)))/(1-EXP(-1)))-($M$28/(1-(BC$3*$BJ46)/($K$26))+$M$30)*BC$3</f>
        <v>3.4945540497785226</v>
      </c>
      <c r="BD46" s="985">
        <f t="shared" si="78"/>
        <v>3.6838285587495765</v>
      </c>
      <c r="BE46" s="528">
        <f t="shared" si="78"/>
        <v>3.5819216222937031</v>
      </c>
      <c r="BF46" s="913">
        <f t="shared" si="64"/>
        <v>4.1773596271994258</v>
      </c>
      <c r="BG46" s="317">
        <f t="shared" si="64"/>
        <v>3.4945540497785226</v>
      </c>
      <c r="BH46" s="317">
        <f t="shared" si="64"/>
        <v>-1000000</v>
      </c>
      <c r="BI46" s="919">
        <f t="shared" si="64"/>
        <v>-1000000</v>
      </c>
      <c r="BJ46" s="646">
        <f t="shared" si="13"/>
        <v>2</v>
      </c>
      <c r="BK46" s="913">
        <f t="shared" si="65"/>
        <v>4.1773596271994258</v>
      </c>
      <c r="BL46" s="317">
        <f t="shared" si="65"/>
        <v>3.4945540497785226</v>
      </c>
      <c r="BM46" s="317"/>
      <c r="BN46" s="317"/>
      <c r="BO46" s="913">
        <f t="shared" si="15"/>
        <v>3</v>
      </c>
      <c r="BP46" s="783">
        <f t="shared" si="39"/>
        <v>1000000</v>
      </c>
      <c r="CK46" s="642">
        <f t="shared" si="50"/>
        <v>40</v>
      </c>
      <c r="CL46" s="609">
        <f t="shared" si="16"/>
        <v>2.8352996913163446</v>
      </c>
      <c r="CM46" s="609">
        <f t="shared" si="40"/>
        <v>2</v>
      </c>
      <c r="CN46" s="610">
        <f t="shared" si="70"/>
        <v>8.4625382453390845</v>
      </c>
      <c r="CO46" s="611">
        <f t="shared" si="70"/>
        <v>8.4889699960691782</v>
      </c>
      <c r="CP46" s="612">
        <f t="shared" si="70"/>
        <v>8.4992895674647304</v>
      </c>
      <c r="CQ46" s="611">
        <f t="shared" si="71"/>
        <v>2.2503080048845412</v>
      </c>
      <c r="CR46" s="611">
        <f t="shared" si="71"/>
        <v>2.6512333012041709</v>
      </c>
      <c r="CS46" s="611">
        <f t="shared" si="71"/>
        <v>3.0521585975238006</v>
      </c>
      <c r="CT46" s="610">
        <f t="shared" si="19"/>
        <v>10.712846250223626</v>
      </c>
      <c r="CU46" s="611">
        <f t="shared" si="19"/>
        <v>11.140203297273349</v>
      </c>
      <c r="CV46" s="612">
        <f t="shared" si="19"/>
        <v>11.551448164988532</v>
      </c>
      <c r="CW46" s="613">
        <f t="shared" si="68"/>
        <v>9.0290261895330168</v>
      </c>
      <c r="CX46" s="613">
        <f t="shared" si="68"/>
        <v>9.0290261895330168</v>
      </c>
      <c r="CY46" s="613">
        <f t="shared" si="68"/>
        <v>9.0290261895330168</v>
      </c>
      <c r="CZ46" s="609">
        <f t="shared" si="21"/>
        <v>8.5058990739490348</v>
      </c>
      <c r="DA46" s="609"/>
      <c r="DB46" s="609">
        <f t="shared" si="42"/>
        <v>2</v>
      </c>
      <c r="DC46" s="610">
        <f t="shared" si="66"/>
        <v>0.11445001266058422</v>
      </c>
      <c r="DD46" s="611">
        <f t="shared" si="66"/>
        <v>5.264505166136179E-2</v>
      </c>
      <c r="DE46" s="612">
        <f t="shared" si="66"/>
        <v>2.3662053776557241E-2</v>
      </c>
      <c r="DF46" s="611">
        <f t="shared" si="69"/>
        <v>8</v>
      </c>
      <c r="DG46" s="611">
        <f t="shared" si="69"/>
        <v>8</v>
      </c>
      <c r="DH46" s="611">
        <f t="shared" si="69"/>
        <v>8</v>
      </c>
      <c r="DI46" s="614">
        <f t="shared" si="23"/>
        <v>8</v>
      </c>
      <c r="DJ46" s="615"/>
      <c r="DK46" s="609">
        <f t="shared" si="43"/>
        <v>2</v>
      </c>
      <c r="DL46" s="611">
        <f t="shared" si="72"/>
        <v>3.8803910585016603</v>
      </c>
      <c r="DM46" s="611">
        <f t="shared" si="72"/>
        <v>4.1894884082205088</v>
      </c>
      <c r="DN46" s="611">
        <f t="shared" si="72"/>
        <v>1000000</v>
      </c>
      <c r="DO46" s="610">
        <f t="shared" si="73"/>
        <v>0.34224931429890254</v>
      </c>
      <c r="DP46" s="611">
        <f t="shared" si="73"/>
        <v>0.36159931429890269</v>
      </c>
      <c r="DQ46" s="612">
        <f t="shared" si="73"/>
        <v>0.39255931429890295</v>
      </c>
      <c r="DR46" s="611">
        <f t="shared" si="26"/>
        <v>4.222640372800563</v>
      </c>
      <c r="DS46" s="611">
        <f t="shared" si="26"/>
        <v>4.5510877225194113</v>
      </c>
      <c r="DT46" s="611">
        <f t="shared" si="26"/>
        <v>1000000.3925593143</v>
      </c>
      <c r="DU46" s="609">
        <f t="shared" si="44"/>
        <v>4.2</v>
      </c>
      <c r="DV46" s="611"/>
      <c r="DW46" s="646">
        <f t="shared" si="27"/>
        <v>5.333333333333333</v>
      </c>
      <c r="DX46" s="621">
        <f t="shared" si="74"/>
        <v>7.806378375980553</v>
      </c>
      <c r="DY46" s="621">
        <f t="shared" si="74"/>
        <v>7.8831946998009563</v>
      </c>
      <c r="DZ46" s="621">
        <f t="shared" si="74"/>
        <v>7.9448095133502541</v>
      </c>
      <c r="EA46" s="610">
        <f t="shared" si="67"/>
        <v>8.8150117219349653</v>
      </c>
      <c r="EB46" s="611">
        <f t="shared" si="67"/>
        <v>8.8072517131524375</v>
      </c>
      <c r="EC46" s="612">
        <f t="shared" si="67"/>
        <v>8.8006923887244977</v>
      </c>
      <c r="ED46" s="610">
        <f t="shared" si="45"/>
        <v>8</v>
      </c>
      <c r="EE46" s="611">
        <f t="shared" si="46"/>
        <v>8.5058990739490348</v>
      </c>
      <c r="EF46" s="645">
        <f t="shared" si="47"/>
        <v>1000000</v>
      </c>
      <c r="EG46" s="902"/>
      <c r="EH46" s="646">
        <f t="shared" si="30"/>
        <v>5.333333333333333</v>
      </c>
      <c r="EI46" s="610">
        <f t="shared" si="75"/>
        <v>1.0086333459544126</v>
      </c>
      <c r="EJ46" s="986">
        <f t="shared" si="75"/>
        <v>0.92405701335148138</v>
      </c>
      <c r="EK46" s="612">
        <f t="shared" si="75"/>
        <v>0.8558828753742429</v>
      </c>
    </row>
    <row r="47" spans="3:141" ht="15" customHeight="1" x14ac:dyDescent="0.25">
      <c r="U47" s="642">
        <f t="shared" si="49"/>
        <v>41</v>
      </c>
      <c r="W47" s="609">
        <f t="shared" si="0"/>
        <v>2.9061821835992534</v>
      </c>
      <c r="X47" s="610">
        <f t="shared" si="76"/>
        <v>3.8585151160808326</v>
      </c>
      <c r="Y47" s="611">
        <f t="shared" si="76"/>
        <v>3.8404391667137436</v>
      </c>
      <c r="Z47" s="611">
        <f t="shared" si="76"/>
        <v>3.8115176477264021</v>
      </c>
      <c r="AA47" s="611">
        <f t="shared" si="76"/>
        <v>3.7536746097517186</v>
      </c>
      <c r="AB47" s="982">
        <f t="shared" si="1"/>
        <v>1000000</v>
      </c>
      <c r="AC47" s="919">
        <f t="shared" si="2"/>
        <v>3.8693606857010856</v>
      </c>
      <c r="AD47" s="611">
        <f t="shared" si="51"/>
        <v>3.8292629791809292</v>
      </c>
      <c r="AE47" s="611">
        <f t="shared" si="51"/>
        <v>3.79183702981384</v>
      </c>
      <c r="AF47" s="611">
        <f t="shared" si="51"/>
        <v>3.7319555108264981</v>
      </c>
      <c r="AG47" s="612">
        <f t="shared" si="51"/>
        <v>3.6121924728518144</v>
      </c>
      <c r="AH47" s="609">
        <f t="shared" si="4"/>
        <v>3</v>
      </c>
      <c r="AI47" s="895">
        <f t="shared" si="34"/>
        <v>-1000000</v>
      </c>
      <c r="AJ47" s="610">
        <f t="shared" si="5"/>
        <v>2.9061821835992534</v>
      </c>
      <c r="AK47" s="609">
        <f t="shared" si="35"/>
        <v>-1.7642136899903304E-2</v>
      </c>
      <c r="AL47" s="611">
        <f t="shared" si="77"/>
        <v>-2.9252136899903407E-2</v>
      </c>
      <c r="AM47" s="611">
        <f t="shared" si="77"/>
        <v>-4.8602136899903572E-2</v>
      </c>
      <c r="AN47" s="611">
        <f t="shared" si="77"/>
        <v>-7.9562136899903838E-2</v>
      </c>
      <c r="AO47" s="612">
        <f t="shared" si="77"/>
        <v>-0.14148213689990438</v>
      </c>
      <c r="AP47" s="902">
        <v>0</v>
      </c>
      <c r="AQ47" s="783">
        <f t="shared" si="6"/>
        <v>1000000</v>
      </c>
      <c r="AR47" s="983"/>
      <c r="AS47" s="609">
        <f t="shared" si="7"/>
        <v>2.9061821835992534</v>
      </c>
      <c r="AT47" s="610">
        <f t="shared" si="63"/>
        <v>3.8292629791809292</v>
      </c>
      <c r="AU47" s="611">
        <f t="shared" si="63"/>
        <v>3.79183702981384</v>
      </c>
      <c r="AV47" s="611">
        <f t="shared" si="63"/>
        <v>3.7319555108264981</v>
      </c>
      <c r="AW47" s="612">
        <f t="shared" si="63"/>
        <v>3.6121924728518144</v>
      </c>
      <c r="AX47" s="982">
        <f t="shared" si="9"/>
        <v>1000000</v>
      </c>
      <c r="AY47" s="611">
        <f t="shared" si="10"/>
        <v>3</v>
      </c>
      <c r="AZ47" s="612">
        <f t="shared" si="11"/>
        <v>3.8693606857010856</v>
      </c>
      <c r="BB47" s="984">
        <f t="shared" si="37"/>
        <v>4.177207299205703</v>
      </c>
      <c r="BC47" s="985">
        <f t="shared" si="78"/>
        <v>3.2805456206356598</v>
      </c>
      <c r="BD47" s="985">
        <f t="shared" si="78"/>
        <v>3.679779026519391</v>
      </c>
      <c r="BE47" s="528">
        <f t="shared" si="78"/>
        <v>3.5808382997108357</v>
      </c>
      <c r="BF47" s="913">
        <f t="shared" si="64"/>
        <v>4.177207299205703</v>
      </c>
      <c r="BG47" s="317">
        <f t="shared" si="64"/>
        <v>3.2805456206356598</v>
      </c>
      <c r="BH47" s="317">
        <f t="shared" si="64"/>
        <v>-1000000</v>
      </c>
      <c r="BI47" s="919">
        <f t="shared" si="64"/>
        <v>-1000000</v>
      </c>
      <c r="BJ47" s="646">
        <f t="shared" si="13"/>
        <v>2.0499999999999998</v>
      </c>
      <c r="BK47" s="913">
        <f t="shared" si="65"/>
        <v>4.177207299205703</v>
      </c>
      <c r="BL47" s="317">
        <f t="shared" si="65"/>
        <v>3.2805456206356598</v>
      </c>
      <c r="BM47" s="317"/>
      <c r="BN47" s="317"/>
      <c r="BO47" s="913">
        <f t="shared" si="15"/>
        <v>3</v>
      </c>
      <c r="BP47" s="783">
        <f t="shared" si="39"/>
        <v>1000000</v>
      </c>
      <c r="CK47" s="642">
        <f t="shared" si="50"/>
        <v>41</v>
      </c>
      <c r="CL47" s="609">
        <f t="shared" si="16"/>
        <v>2.9061821835992534</v>
      </c>
      <c r="CM47" s="609">
        <f t="shared" si="40"/>
        <v>2.0499999999999998</v>
      </c>
      <c r="CN47" s="610">
        <f t="shared" si="70"/>
        <v>8.4678992130803543</v>
      </c>
      <c r="CO47" s="611">
        <f t="shared" si="70"/>
        <v>8.4914078145737371</v>
      </c>
      <c r="CP47" s="612">
        <f t="shared" si="70"/>
        <v>8.5003728274449255</v>
      </c>
      <c r="CQ47" s="611">
        <f t="shared" si="71"/>
        <v>2.2503080048845923</v>
      </c>
      <c r="CR47" s="611">
        <f t="shared" si="71"/>
        <v>2.6512333012042246</v>
      </c>
      <c r="CS47" s="611">
        <f t="shared" si="71"/>
        <v>3.052158597523857</v>
      </c>
      <c r="CT47" s="610">
        <f t="shared" si="19"/>
        <v>10.718207217964947</v>
      </c>
      <c r="CU47" s="611">
        <f t="shared" si="19"/>
        <v>11.142641115777963</v>
      </c>
      <c r="CV47" s="612">
        <f t="shared" si="19"/>
        <v>11.552531424968782</v>
      </c>
      <c r="CW47" s="613">
        <f t="shared" si="68"/>
        <v>9.4290261895330154</v>
      </c>
      <c r="CX47" s="613">
        <f t="shared" si="68"/>
        <v>9.4290261895330154</v>
      </c>
      <c r="CY47" s="613">
        <f t="shared" si="68"/>
        <v>9.4290261895330154</v>
      </c>
      <c r="CZ47" s="609">
        <f t="shared" si="21"/>
        <v>8.5058990739490348</v>
      </c>
      <c r="DA47" s="609"/>
      <c r="DB47" s="609">
        <f t="shared" si="42"/>
        <v>2.0499999999999998</v>
      </c>
      <c r="DC47" s="610">
        <f t="shared" si="66"/>
        <v>0.10029984889350944</v>
      </c>
      <c r="DD47" s="611">
        <f t="shared" si="66"/>
        <v>4.5064066917716195E-2</v>
      </c>
      <c r="DE47" s="612">
        <f t="shared" si="66"/>
        <v>1.9783979676308801E-2</v>
      </c>
      <c r="DF47" s="611">
        <f t="shared" si="69"/>
        <v>8</v>
      </c>
      <c r="DG47" s="611">
        <f t="shared" si="69"/>
        <v>8</v>
      </c>
      <c r="DH47" s="611">
        <f t="shared" si="69"/>
        <v>8</v>
      </c>
      <c r="DI47" s="614">
        <f t="shared" si="23"/>
        <v>8</v>
      </c>
      <c r="DJ47" s="615"/>
      <c r="DK47" s="609">
        <f t="shared" si="43"/>
        <v>2.0499999999999998</v>
      </c>
      <c r="DL47" s="611">
        <f t="shared" si="72"/>
        <v>3.8805433864953827</v>
      </c>
      <c r="DM47" s="611">
        <f t="shared" si="72"/>
        <v>4.3987912468245609</v>
      </c>
      <c r="DN47" s="611">
        <f t="shared" si="72"/>
        <v>1000000</v>
      </c>
      <c r="DO47" s="610">
        <f t="shared" si="73"/>
        <v>0.34224931429890926</v>
      </c>
      <c r="DP47" s="611">
        <f t="shared" si="73"/>
        <v>0.3615993142989094</v>
      </c>
      <c r="DQ47" s="612">
        <f t="shared" si="73"/>
        <v>0.39255931429890967</v>
      </c>
      <c r="DR47" s="611">
        <f t="shared" si="26"/>
        <v>4.222792700794292</v>
      </c>
      <c r="DS47" s="611">
        <f t="shared" si="26"/>
        <v>4.7603905611234705</v>
      </c>
      <c r="DT47" s="611">
        <f t="shared" si="26"/>
        <v>1000000.3925593143</v>
      </c>
      <c r="DU47" s="609">
        <f t="shared" si="44"/>
        <v>4.2</v>
      </c>
      <c r="DV47" s="611"/>
      <c r="DW47" s="646">
        <f t="shared" si="27"/>
        <v>5.4666666666666668</v>
      </c>
      <c r="DX47" s="621">
        <f t="shared" si="74"/>
        <v>7.7898019981705042</v>
      </c>
      <c r="DY47" s="621">
        <f t="shared" si="74"/>
        <v>7.8683496048949326</v>
      </c>
      <c r="DZ47" s="621">
        <f t="shared" si="74"/>
        <v>7.9313689468288597</v>
      </c>
      <c r="EA47" s="610">
        <f t="shared" si="67"/>
        <v>8.7697882891106822</v>
      </c>
      <c r="EB47" s="611">
        <f t="shared" si="67"/>
        <v>8.7622845462353531</v>
      </c>
      <c r="EC47" s="612">
        <f t="shared" si="67"/>
        <v>8.755940788585816</v>
      </c>
      <c r="ED47" s="610">
        <f t="shared" si="45"/>
        <v>8</v>
      </c>
      <c r="EE47" s="611">
        <f t="shared" si="46"/>
        <v>8.5058990739490348</v>
      </c>
      <c r="EF47" s="645">
        <f t="shared" si="47"/>
        <v>1000000</v>
      </c>
      <c r="EG47" s="902"/>
      <c r="EH47" s="646">
        <f t="shared" si="30"/>
        <v>5.4666666666666668</v>
      </c>
      <c r="EI47" s="610">
        <f t="shared" si="75"/>
        <v>0.97998629094017797</v>
      </c>
      <c r="EJ47" s="986">
        <f t="shared" si="75"/>
        <v>0.8939349413404214</v>
      </c>
      <c r="EK47" s="612">
        <f t="shared" si="75"/>
        <v>0.82457184175695586</v>
      </c>
    </row>
    <row r="48" spans="3:141" ht="15" customHeight="1" x14ac:dyDescent="0.25">
      <c r="U48" s="642">
        <f t="shared" si="49"/>
        <v>42</v>
      </c>
      <c r="W48" s="609">
        <f t="shared" si="0"/>
        <v>2.9770646758821622</v>
      </c>
      <c r="X48" s="610">
        <f t="shared" si="76"/>
        <v>3.8583760703164702</v>
      </c>
      <c r="Y48" s="611">
        <f t="shared" si="76"/>
        <v>3.8400683780087781</v>
      </c>
      <c r="Z48" s="611">
        <f t="shared" si="76"/>
        <v>3.8107760703164701</v>
      </c>
      <c r="AA48" s="611">
        <f t="shared" si="76"/>
        <v>3.7521914549318547</v>
      </c>
      <c r="AB48" s="982">
        <f t="shared" si="1"/>
        <v>1000000</v>
      </c>
      <c r="AC48" s="919">
        <f t="shared" si="2"/>
        <v>3.8693606857010856</v>
      </c>
      <c r="AD48" s="611">
        <f t="shared" si="51"/>
        <v>3.8245129273015004</v>
      </c>
      <c r="AE48" s="611">
        <f t="shared" si="51"/>
        <v>3.7868552349938081</v>
      </c>
      <c r="AF48" s="611">
        <f t="shared" si="51"/>
        <v>3.7266029273014998</v>
      </c>
      <c r="AG48" s="612">
        <f t="shared" si="51"/>
        <v>3.6060983119168837</v>
      </c>
      <c r="AH48" s="609">
        <f t="shared" si="4"/>
        <v>3</v>
      </c>
      <c r="AI48" s="895">
        <f t="shared" si="34"/>
        <v>-1000000</v>
      </c>
      <c r="AJ48" s="610">
        <f t="shared" si="5"/>
        <v>2.9770646758821622</v>
      </c>
      <c r="AK48" s="609">
        <f t="shared" si="35"/>
        <v>-2.2253143014969758E-2</v>
      </c>
      <c r="AL48" s="611">
        <f t="shared" si="77"/>
        <v>-3.3863143014969857E-2</v>
      </c>
      <c r="AM48" s="611">
        <f t="shared" si="77"/>
        <v>-5.321314301497003E-2</v>
      </c>
      <c r="AN48" s="611">
        <f t="shared" si="77"/>
        <v>-8.4173143014970295E-2</v>
      </c>
      <c r="AO48" s="612">
        <f t="shared" si="77"/>
        <v>-0.14609314301497084</v>
      </c>
      <c r="AP48" s="902">
        <v>0</v>
      </c>
      <c r="AQ48" s="783">
        <f t="shared" si="6"/>
        <v>1000000</v>
      </c>
      <c r="AR48" s="983"/>
      <c r="AS48" s="609">
        <f t="shared" si="7"/>
        <v>2.9770646758821622</v>
      </c>
      <c r="AT48" s="610">
        <f t="shared" si="63"/>
        <v>3.8245129273015004</v>
      </c>
      <c r="AU48" s="611">
        <f t="shared" si="63"/>
        <v>3.7868552349938081</v>
      </c>
      <c r="AV48" s="611">
        <f t="shared" si="63"/>
        <v>3.7266029273014998</v>
      </c>
      <c r="AW48" s="612">
        <f t="shared" si="63"/>
        <v>3.6060983119168837</v>
      </c>
      <c r="AX48" s="982">
        <f t="shared" si="9"/>
        <v>1000000</v>
      </c>
      <c r="AY48" s="611">
        <f t="shared" si="10"/>
        <v>3</v>
      </c>
      <c r="AZ48" s="612">
        <f t="shared" si="11"/>
        <v>3.8693606857010856</v>
      </c>
      <c r="BB48" s="984">
        <f t="shared" si="37"/>
        <v>4.1770507050376668</v>
      </c>
      <c r="BC48" s="985">
        <f t="shared" si="78"/>
        <v>2.2760936769935456</v>
      </c>
      <c r="BD48" s="985">
        <f t="shared" si="78"/>
        <v>3.676075846400328</v>
      </c>
      <c r="BE48" s="528">
        <f t="shared" si="78"/>
        <v>3.5798374252902656</v>
      </c>
      <c r="BF48" s="913">
        <f t="shared" si="64"/>
        <v>4.1770507050376668</v>
      </c>
      <c r="BG48" s="317">
        <f t="shared" si="64"/>
        <v>2.2760936769935456</v>
      </c>
      <c r="BH48" s="317">
        <f t="shared" si="64"/>
        <v>-1000000</v>
      </c>
      <c r="BI48" s="919">
        <f t="shared" si="64"/>
        <v>-1000000</v>
      </c>
      <c r="BJ48" s="646">
        <f t="shared" si="13"/>
        <v>2.0999999999999996</v>
      </c>
      <c r="BK48" s="913">
        <f t="shared" si="65"/>
        <v>4.1770507050376668</v>
      </c>
      <c r="BL48" s="317">
        <f t="shared" si="65"/>
        <v>2.2760936769935456</v>
      </c>
      <c r="BM48" s="317"/>
      <c r="BN48" s="317"/>
      <c r="BO48" s="913">
        <f t="shared" si="15"/>
        <v>3</v>
      </c>
      <c r="BP48" s="783">
        <f t="shared" si="39"/>
        <v>1000000</v>
      </c>
      <c r="CK48" s="642">
        <f t="shared" si="50"/>
        <v>42</v>
      </c>
      <c r="CL48" s="609">
        <f t="shared" si="16"/>
        <v>2.9770646758821622</v>
      </c>
      <c r="CM48" s="609">
        <f t="shared" si="40"/>
        <v>2.0999999999999996</v>
      </c>
      <c r="CN48" s="610">
        <f t="shared" si="70"/>
        <v>8.4725973711834257</v>
      </c>
      <c r="CO48" s="611">
        <f t="shared" si="70"/>
        <v>8.4934945827078412</v>
      </c>
      <c r="CP48" s="612">
        <f t="shared" si="70"/>
        <v>8.5012785473640786</v>
      </c>
      <c r="CQ48" s="611">
        <f t="shared" si="71"/>
        <v>2.2503080048846154</v>
      </c>
      <c r="CR48" s="611">
        <f t="shared" si="71"/>
        <v>2.6512333012042486</v>
      </c>
      <c r="CS48" s="611">
        <f t="shared" si="71"/>
        <v>3.0521585975238823</v>
      </c>
      <c r="CT48" s="610">
        <f t="shared" si="19"/>
        <v>10.722905376068042</v>
      </c>
      <c r="CU48" s="611">
        <f t="shared" si="19"/>
        <v>11.14472788391209</v>
      </c>
      <c r="CV48" s="612">
        <f t="shared" si="19"/>
        <v>11.553437144887962</v>
      </c>
      <c r="CW48" s="613">
        <f t="shared" si="68"/>
        <v>9.829026189533014</v>
      </c>
      <c r="CX48" s="613">
        <f t="shared" si="68"/>
        <v>9.829026189533014</v>
      </c>
      <c r="CY48" s="613">
        <f t="shared" si="68"/>
        <v>9.829026189533014</v>
      </c>
      <c r="CZ48" s="609">
        <f t="shared" si="21"/>
        <v>8.5058990739490348</v>
      </c>
      <c r="DA48" s="609"/>
      <c r="DB48" s="609">
        <f t="shared" si="42"/>
        <v>2.0999999999999996</v>
      </c>
      <c r="DC48" s="610">
        <f t="shared" si="66"/>
        <v>8.7899157494606542E-2</v>
      </c>
      <c r="DD48" s="611">
        <f t="shared" si="66"/>
        <v>3.8574757989597162E-2</v>
      </c>
      <c r="DE48" s="612">
        <f t="shared" si="66"/>
        <v>1.6541499547680822E-2</v>
      </c>
      <c r="DF48" s="611">
        <f t="shared" si="69"/>
        <v>8</v>
      </c>
      <c r="DG48" s="611">
        <f t="shared" si="69"/>
        <v>8</v>
      </c>
      <c r="DH48" s="611">
        <f t="shared" si="69"/>
        <v>8</v>
      </c>
      <c r="DI48" s="614">
        <f t="shared" si="23"/>
        <v>8</v>
      </c>
      <c r="DJ48" s="615"/>
      <c r="DK48" s="609">
        <f t="shared" si="43"/>
        <v>2.0999999999999996</v>
      </c>
      <c r="DL48" s="611">
        <f t="shared" si="72"/>
        <v>3.8806999806634188</v>
      </c>
      <c r="DM48" s="611">
        <f t="shared" si="72"/>
        <v>5.3986688498681179</v>
      </c>
      <c r="DN48" s="611">
        <f t="shared" si="72"/>
        <v>1000000</v>
      </c>
      <c r="DO48" s="610">
        <f t="shared" si="73"/>
        <v>0.34224931429891225</v>
      </c>
      <c r="DP48" s="611">
        <f t="shared" si="73"/>
        <v>0.3615993142989124</v>
      </c>
      <c r="DQ48" s="612">
        <f t="shared" si="73"/>
        <v>0.39255931429891266</v>
      </c>
      <c r="DR48" s="611">
        <f t="shared" si="26"/>
        <v>4.2229492949623308</v>
      </c>
      <c r="DS48" s="611">
        <f t="shared" si="26"/>
        <v>5.7602681641670301</v>
      </c>
      <c r="DT48" s="611">
        <f t="shared" si="26"/>
        <v>1000000.3925593143</v>
      </c>
      <c r="DU48" s="609">
        <f t="shared" si="44"/>
        <v>4.2</v>
      </c>
      <c r="DV48" s="611"/>
      <c r="DW48" s="646">
        <f t="shared" si="27"/>
        <v>5.6</v>
      </c>
      <c r="DX48" s="621">
        <f t="shared" si="74"/>
        <v>7.7732677188550277</v>
      </c>
      <c r="DY48" s="621">
        <f t="shared" si="74"/>
        <v>7.8535380808430624</v>
      </c>
      <c r="DZ48" s="621">
        <f t="shared" si="74"/>
        <v>7.9179557736134214</v>
      </c>
      <c r="EA48" s="610">
        <f t="shared" si="67"/>
        <v>8.7250804489526477</v>
      </c>
      <c r="EB48" s="611">
        <f t="shared" si="67"/>
        <v>8.7178488242306464</v>
      </c>
      <c r="EC48" s="612">
        <f t="shared" si="67"/>
        <v>8.7117341076181258</v>
      </c>
      <c r="ED48" s="610">
        <f t="shared" si="45"/>
        <v>8</v>
      </c>
      <c r="EE48" s="611">
        <f t="shared" si="46"/>
        <v>8.5058990739490348</v>
      </c>
      <c r="EF48" s="645">
        <f t="shared" si="47"/>
        <v>1000000</v>
      </c>
      <c r="EG48" s="902"/>
      <c r="EH48" s="646">
        <f t="shared" si="30"/>
        <v>5.6</v>
      </c>
      <c r="EI48" s="610">
        <f t="shared" si="75"/>
        <v>0.95181273009762069</v>
      </c>
      <c r="EJ48" s="986">
        <f t="shared" si="75"/>
        <v>0.86431074338758451</v>
      </c>
      <c r="EK48" s="612">
        <f t="shared" si="75"/>
        <v>0.7937783340047051</v>
      </c>
    </row>
    <row r="49" spans="21:141" ht="15" customHeight="1" x14ac:dyDescent="0.25">
      <c r="U49" s="642">
        <f t="shared" si="49"/>
        <v>43</v>
      </c>
      <c r="W49" s="609">
        <f t="shared" si="0"/>
        <v>3.0479471681650709</v>
      </c>
      <c r="X49" s="610">
        <f t="shared" si="76"/>
        <v>3.8582334129738127</v>
      </c>
      <c r="Y49" s="611">
        <f t="shared" si="76"/>
        <v>3.8396879584283585</v>
      </c>
      <c r="Z49" s="611">
        <f t="shared" si="76"/>
        <v>3.810015231155631</v>
      </c>
      <c r="AA49" s="611">
        <f t="shared" si="76"/>
        <v>3.7506697766101764</v>
      </c>
      <c r="AB49" s="982">
        <f t="shared" si="1"/>
        <v>1000000</v>
      </c>
      <c r="AC49" s="919">
        <f t="shared" si="2"/>
        <v>3.8693606857010856</v>
      </c>
      <c r="AD49" s="611">
        <f t="shared" si="51"/>
        <v>3.8198809087952403</v>
      </c>
      <c r="AE49" s="611">
        <f t="shared" si="51"/>
        <v>3.7819854542497859</v>
      </c>
      <c r="AF49" s="611">
        <f t="shared" si="51"/>
        <v>3.7213527269770581</v>
      </c>
      <c r="AG49" s="612">
        <f t="shared" si="51"/>
        <v>3.6000872724316033</v>
      </c>
      <c r="AH49" s="609">
        <f t="shared" si="4"/>
        <v>3</v>
      </c>
      <c r="AI49" s="895">
        <f t="shared" si="34"/>
        <v>-1000000</v>
      </c>
      <c r="AJ49" s="610">
        <f t="shared" si="5"/>
        <v>3.0479471681650709</v>
      </c>
      <c r="AK49" s="609">
        <f t="shared" si="35"/>
        <v>-2.674250417857223E-2</v>
      </c>
      <c r="AL49" s="611">
        <f t="shared" si="77"/>
        <v>-3.8352504178572333E-2</v>
      </c>
      <c r="AM49" s="611">
        <f t="shared" si="77"/>
        <v>-5.7702504178572499E-2</v>
      </c>
      <c r="AN49" s="611">
        <f t="shared" si="77"/>
        <v>-8.8662504178572771E-2</v>
      </c>
      <c r="AO49" s="612">
        <f t="shared" si="77"/>
        <v>-0.1505825041785733</v>
      </c>
      <c r="AP49" s="902">
        <v>0</v>
      </c>
      <c r="AQ49" s="783">
        <f t="shared" si="6"/>
        <v>1000000</v>
      </c>
      <c r="AR49" s="983"/>
      <c r="AS49" s="609">
        <f t="shared" si="7"/>
        <v>3.0479471681650709</v>
      </c>
      <c r="AT49" s="610">
        <f t="shared" si="63"/>
        <v>3.8198809087952403</v>
      </c>
      <c r="AU49" s="611">
        <f t="shared" si="63"/>
        <v>3.7819854542497859</v>
      </c>
      <c r="AV49" s="611">
        <f t="shared" si="63"/>
        <v>3.7213527269770581</v>
      </c>
      <c r="AW49" s="612">
        <f t="shared" si="63"/>
        <v>3.6000872724316033</v>
      </c>
      <c r="AX49" s="982">
        <f t="shared" si="9"/>
        <v>1000000</v>
      </c>
      <c r="AY49" s="611">
        <f t="shared" si="10"/>
        <v>3</v>
      </c>
      <c r="AZ49" s="612">
        <f t="shared" si="11"/>
        <v>3.8693606857010856</v>
      </c>
      <c r="BB49" s="984">
        <f t="shared" si="37"/>
        <v>4.1768896629290664</v>
      </c>
      <c r="BC49" s="985">
        <f t="shared" si="78"/>
        <v>5.5220042351045118</v>
      </c>
      <c r="BD49" s="985">
        <f t="shared" si="78"/>
        <v>3.6726800446438959</v>
      </c>
      <c r="BE49" s="528">
        <f t="shared" si="78"/>
        <v>3.5789101944214012</v>
      </c>
      <c r="BF49" s="913">
        <f t="shared" si="64"/>
        <v>4.1768896629290664</v>
      </c>
      <c r="BG49" s="317">
        <f t="shared" si="64"/>
        <v>-1000000</v>
      </c>
      <c r="BH49" s="317">
        <f t="shared" si="64"/>
        <v>-1000000</v>
      </c>
      <c r="BI49" s="919">
        <f t="shared" si="64"/>
        <v>-1000000</v>
      </c>
      <c r="BJ49" s="646">
        <f t="shared" si="13"/>
        <v>2.15</v>
      </c>
      <c r="BK49" s="913">
        <f t="shared" si="65"/>
        <v>4.1768896629290664</v>
      </c>
      <c r="BL49" s="317"/>
      <c r="BM49" s="317"/>
      <c r="BN49" s="317"/>
      <c r="BO49" s="913">
        <f t="shared" si="15"/>
        <v>3</v>
      </c>
      <c r="BP49" s="783">
        <f t="shared" si="39"/>
        <v>1000000</v>
      </c>
      <c r="CK49" s="642">
        <f t="shared" si="50"/>
        <v>43</v>
      </c>
      <c r="CL49" s="609">
        <f t="shared" si="16"/>
        <v>3.0479471681650709</v>
      </c>
      <c r="CM49" s="609">
        <f t="shared" si="40"/>
        <v>2.15</v>
      </c>
      <c r="CN49" s="610">
        <f t="shared" si="70"/>
        <v>8.4767146669081406</v>
      </c>
      <c r="CO49" s="611">
        <f t="shared" si="70"/>
        <v>8.4952808523736802</v>
      </c>
      <c r="CP49" s="612">
        <f t="shared" si="70"/>
        <v>8.5020358250139001</v>
      </c>
      <c r="CQ49" s="611">
        <f t="shared" si="71"/>
        <v>2.2503080048846256</v>
      </c>
      <c r="CR49" s="611">
        <f t="shared" si="71"/>
        <v>2.6512333012042597</v>
      </c>
      <c r="CS49" s="611">
        <f t="shared" si="71"/>
        <v>3.0521585975238934</v>
      </c>
      <c r="CT49" s="610">
        <f t="shared" si="19"/>
        <v>10.727022671792767</v>
      </c>
      <c r="CU49" s="611">
        <f t="shared" si="19"/>
        <v>11.14651415357794</v>
      </c>
      <c r="CV49" s="612">
        <f t="shared" si="19"/>
        <v>11.554194422537794</v>
      </c>
      <c r="CW49" s="613">
        <f t="shared" si="68"/>
        <v>10.229026189533016</v>
      </c>
      <c r="CX49" s="613">
        <f t="shared" si="68"/>
        <v>10.229026189533016</v>
      </c>
      <c r="CY49" s="613">
        <f t="shared" si="68"/>
        <v>10.229026189533016</v>
      </c>
      <c r="CZ49" s="609">
        <f t="shared" si="21"/>
        <v>8.5058990739490348</v>
      </c>
      <c r="DA49" s="609"/>
      <c r="DB49" s="609">
        <f t="shared" si="42"/>
        <v>2.15</v>
      </c>
      <c r="DC49" s="610">
        <f t="shared" si="66"/>
        <v>7.7031640361542045E-2</v>
      </c>
      <c r="DD49" s="611">
        <f t="shared" si="66"/>
        <v>3.3019921541515222E-2</v>
      </c>
      <c r="DE49" s="612">
        <f t="shared" si="66"/>
        <v>1.3830443205374963E-2</v>
      </c>
      <c r="DF49" s="611">
        <f t="shared" si="69"/>
        <v>8</v>
      </c>
      <c r="DG49" s="611">
        <f t="shared" si="69"/>
        <v>8</v>
      </c>
      <c r="DH49" s="611">
        <f t="shared" si="69"/>
        <v>8</v>
      </c>
      <c r="DI49" s="614">
        <f t="shared" si="23"/>
        <v>8</v>
      </c>
      <c r="DJ49" s="615"/>
      <c r="DK49" s="609">
        <f t="shared" si="43"/>
        <v>2.15</v>
      </c>
      <c r="DL49" s="611">
        <f t="shared" si="72"/>
        <v>3.8808610227720193</v>
      </c>
      <c r="DM49" s="611">
        <f t="shared" si="72"/>
        <v>1000000</v>
      </c>
      <c r="DN49" s="611">
        <f t="shared" si="72"/>
        <v>1000000</v>
      </c>
      <c r="DO49" s="610">
        <f t="shared" si="73"/>
        <v>0.34224931429891364</v>
      </c>
      <c r="DP49" s="611">
        <f t="shared" si="73"/>
        <v>0.36159931429891379</v>
      </c>
      <c r="DQ49" s="612">
        <f t="shared" si="73"/>
        <v>0.39255931429891405</v>
      </c>
      <c r="DR49" s="611">
        <f t="shared" si="26"/>
        <v>4.2231103370709331</v>
      </c>
      <c r="DS49" s="611">
        <f t="shared" si="26"/>
        <v>1000000.3615993143</v>
      </c>
      <c r="DT49" s="611">
        <f t="shared" si="26"/>
        <v>1000000.3925593143</v>
      </c>
      <c r="DU49" s="609">
        <f t="shared" si="44"/>
        <v>4.2</v>
      </c>
      <c r="DV49" s="611"/>
      <c r="DW49" s="646">
        <f t="shared" si="27"/>
        <v>5.7333333333333334</v>
      </c>
      <c r="DX49" s="621">
        <f t="shared" si="74"/>
        <v>7.7567753778632218</v>
      </c>
      <c r="DY49" s="621">
        <f t="shared" si="74"/>
        <v>7.8387600138977298</v>
      </c>
      <c r="DZ49" s="621">
        <f t="shared" si="74"/>
        <v>7.9045699100434854</v>
      </c>
      <c r="EA49" s="610">
        <f t="shared" si="67"/>
        <v>8.6808802151196804</v>
      </c>
      <c r="EB49" s="611">
        <f t="shared" si="67"/>
        <v>8.6739362042563393</v>
      </c>
      <c r="EC49" s="612">
        <f t="shared" si="67"/>
        <v>8.6680637082108163</v>
      </c>
      <c r="ED49" s="610">
        <f t="shared" si="45"/>
        <v>8</v>
      </c>
      <c r="EE49" s="611">
        <f t="shared" si="46"/>
        <v>8.5058990739490348</v>
      </c>
      <c r="EF49" s="645">
        <f t="shared" si="47"/>
        <v>1000000</v>
      </c>
      <c r="EG49" s="902"/>
      <c r="EH49" s="646">
        <f t="shared" si="30"/>
        <v>5.7333333333333334</v>
      </c>
      <c r="EI49" s="610">
        <f t="shared" si="75"/>
        <v>0.92410483725645887</v>
      </c>
      <c r="EJ49" s="986">
        <f t="shared" si="75"/>
        <v>0.83517619035860857</v>
      </c>
      <c r="EK49" s="612">
        <f t="shared" si="75"/>
        <v>0.76349379816733154</v>
      </c>
    </row>
    <row r="50" spans="21:141" ht="15" customHeight="1" x14ac:dyDescent="0.25">
      <c r="U50" s="642">
        <f t="shared" si="49"/>
        <v>44</v>
      </c>
      <c r="W50" s="609">
        <f t="shared" si="0"/>
        <v>3.1188296604479793</v>
      </c>
      <c r="X50" s="610">
        <f t="shared" si="76"/>
        <v>3.8580870014905595</v>
      </c>
      <c r="Y50" s="611">
        <f t="shared" si="76"/>
        <v>3.8392975278063486</v>
      </c>
      <c r="Z50" s="611">
        <f t="shared" si="76"/>
        <v>3.809234369911612</v>
      </c>
      <c r="AA50" s="611">
        <f t="shared" si="76"/>
        <v>3.7491080541221384</v>
      </c>
      <c r="AB50" s="982">
        <f t="shared" si="1"/>
        <v>1000000</v>
      </c>
      <c r="AC50" s="919">
        <f t="shared" si="2"/>
        <v>3.8693606857010856</v>
      </c>
      <c r="AD50" s="611">
        <f t="shared" si="51"/>
        <v>3.8153635719316439</v>
      </c>
      <c r="AE50" s="611">
        <f t="shared" si="51"/>
        <v>3.7772240982474328</v>
      </c>
      <c r="AF50" s="611">
        <f t="shared" si="51"/>
        <v>3.7162009403526959</v>
      </c>
      <c r="AG50" s="612">
        <f t="shared" si="51"/>
        <v>3.5941546245632217</v>
      </c>
      <c r="AH50" s="609">
        <f t="shared" si="4"/>
        <v>3</v>
      </c>
      <c r="AI50" s="895">
        <f t="shared" si="34"/>
        <v>-1000000</v>
      </c>
      <c r="AJ50" s="610">
        <f t="shared" si="5"/>
        <v>3.1188296604479793</v>
      </c>
      <c r="AK50" s="609">
        <f t="shared" si="35"/>
        <v>-3.1113429558915526E-2</v>
      </c>
      <c r="AL50" s="611">
        <f t="shared" si="77"/>
        <v>-4.2723429558915629E-2</v>
      </c>
      <c r="AM50" s="611">
        <f t="shared" si="77"/>
        <v>-6.2073429558915795E-2</v>
      </c>
      <c r="AN50" s="611">
        <f t="shared" si="77"/>
        <v>-9.3033429558916067E-2</v>
      </c>
      <c r="AO50" s="612">
        <f t="shared" si="77"/>
        <v>-0.15495342955891661</v>
      </c>
      <c r="AP50" s="902">
        <v>0</v>
      </c>
      <c r="AQ50" s="783">
        <f t="shared" si="6"/>
        <v>1000000</v>
      </c>
      <c r="AR50" s="983"/>
      <c r="AS50" s="609">
        <f t="shared" si="7"/>
        <v>3.1188296604479793</v>
      </c>
      <c r="AT50" s="610">
        <f t="shared" si="63"/>
        <v>3.8153635719316439</v>
      </c>
      <c r="AU50" s="611">
        <f t="shared" si="63"/>
        <v>3.7772240982474328</v>
      </c>
      <c r="AV50" s="611">
        <f t="shared" si="63"/>
        <v>3.7162009403526959</v>
      </c>
      <c r="AW50" s="612">
        <f t="shared" si="63"/>
        <v>3.5941546245632217</v>
      </c>
      <c r="AX50" s="982">
        <f t="shared" si="9"/>
        <v>1000000</v>
      </c>
      <c r="AY50" s="611">
        <f t="shared" si="10"/>
        <v>3</v>
      </c>
      <c r="AZ50" s="612">
        <f t="shared" si="11"/>
        <v>3.8693606857010856</v>
      </c>
      <c r="BB50" s="984">
        <f t="shared" si="37"/>
        <v>4.1767239806390206</v>
      </c>
      <c r="BC50" s="985">
        <f t="shared" si="78"/>
        <v>4.3473015572017673</v>
      </c>
      <c r="BD50" s="985">
        <f t="shared" si="78"/>
        <v>3.6695584905580145</v>
      </c>
      <c r="BE50" s="528">
        <f t="shared" si="78"/>
        <v>3.5780489273096756</v>
      </c>
      <c r="BF50" s="913">
        <f t="shared" si="64"/>
        <v>4.1767239806390206</v>
      </c>
      <c r="BG50" s="317">
        <f t="shared" si="64"/>
        <v>-1000000</v>
      </c>
      <c r="BH50" s="317">
        <f t="shared" si="64"/>
        <v>-1000000</v>
      </c>
      <c r="BI50" s="919">
        <f t="shared" si="64"/>
        <v>-1000000</v>
      </c>
      <c r="BJ50" s="646">
        <f t="shared" si="13"/>
        <v>2.1999999999999997</v>
      </c>
      <c r="BK50" s="913">
        <f t="shared" si="65"/>
        <v>4.1767239806390206</v>
      </c>
      <c r="BL50" s="317"/>
      <c r="BM50" s="317"/>
      <c r="BN50" s="317"/>
      <c r="BO50" s="913">
        <f t="shared" si="15"/>
        <v>3</v>
      </c>
      <c r="BP50" s="783">
        <f t="shared" si="39"/>
        <v>1000000</v>
      </c>
      <c r="CK50" s="642">
        <f t="shared" si="50"/>
        <v>44</v>
      </c>
      <c r="CL50" s="609">
        <f t="shared" si="16"/>
        <v>3.1188296604479793</v>
      </c>
      <c r="CM50" s="609">
        <f t="shared" si="40"/>
        <v>2.1999999999999997</v>
      </c>
      <c r="CN50" s="610">
        <f t="shared" si="70"/>
        <v>8.4803229158671662</v>
      </c>
      <c r="CO50" s="611">
        <f t="shared" si="70"/>
        <v>8.4968098959060931</v>
      </c>
      <c r="CP50" s="612">
        <f t="shared" si="70"/>
        <v>8.5026689892259171</v>
      </c>
      <c r="CQ50" s="611">
        <f t="shared" si="71"/>
        <v>2.2503080048846305</v>
      </c>
      <c r="CR50" s="611">
        <f t="shared" si="71"/>
        <v>2.6512333012042641</v>
      </c>
      <c r="CS50" s="611">
        <f t="shared" si="71"/>
        <v>3.0521585975238983</v>
      </c>
      <c r="CT50" s="610">
        <f t="shared" si="19"/>
        <v>10.730630920751796</v>
      </c>
      <c r="CU50" s="611">
        <f t="shared" si="19"/>
        <v>11.148043197110358</v>
      </c>
      <c r="CV50" s="612">
        <f t="shared" si="19"/>
        <v>11.554827586749816</v>
      </c>
      <c r="CW50" s="613">
        <f t="shared" si="68"/>
        <v>10.629026189533015</v>
      </c>
      <c r="CX50" s="613">
        <f t="shared" si="68"/>
        <v>10.629026189533015</v>
      </c>
      <c r="CY50" s="613">
        <f t="shared" si="68"/>
        <v>10.629026189533015</v>
      </c>
      <c r="CZ50" s="609">
        <f t="shared" si="21"/>
        <v>8.5058990739490348</v>
      </c>
      <c r="DA50" s="609"/>
      <c r="DB50" s="609">
        <f t="shared" si="42"/>
        <v>2.1999999999999997</v>
      </c>
      <c r="DC50" s="610">
        <f t="shared" si="66"/>
        <v>6.7507741665919538E-2</v>
      </c>
      <c r="DD50" s="611">
        <f t="shared" si="66"/>
        <v>2.8264991809025624E-2</v>
      </c>
      <c r="DE50" s="612">
        <f t="shared" si="66"/>
        <v>1.1563713356643648E-2</v>
      </c>
      <c r="DF50" s="611">
        <f t="shared" si="69"/>
        <v>8</v>
      </c>
      <c r="DG50" s="611">
        <f t="shared" si="69"/>
        <v>8</v>
      </c>
      <c r="DH50" s="611">
        <f t="shared" si="69"/>
        <v>8</v>
      </c>
      <c r="DI50" s="614">
        <f t="shared" si="23"/>
        <v>8</v>
      </c>
      <c r="DJ50" s="615"/>
      <c r="DK50" s="609">
        <f t="shared" si="43"/>
        <v>2.1999999999999997</v>
      </c>
      <c r="DL50" s="611">
        <f t="shared" si="72"/>
        <v>3.8810267050620655</v>
      </c>
      <c r="DM50" s="611">
        <f t="shared" si="72"/>
        <v>1000000</v>
      </c>
      <c r="DN50" s="611">
        <f t="shared" si="72"/>
        <v>1000000</v>
      </c>
      <c r="DO50" s="610">
        <f t="shared" si="73"/>
        <v>0.3422493142989142</v>
      </c>
      <c r="DP50" s="611">
        <f t="shared" si="73"/>
        <v>0.36159931429891434</v>
      </c>
      <c r="DQ50" s="612">
        <f t="shared" si="73"/>
        <v>0.39255931429891461</v>
      </c>
      <c r="DR50" s="611">
        <f t="shared" si="26"/>
        <v>4.2232760193609797</v>
      </c>
      <c r="DS50" s="611">
        <f t="shared" si="26"/>
        <v>1000000.3615993143</v>
      </c>
      <c r="DT50" s="611">
        <f t="shared" si="26"/>
        <v>1000000.3925593143</v>
      </c>
      <c r="DU50" s="609">
        <f t="shared" si="44"/>
        <v>4.2</v>
      </c>
      <c r="DV50" s="611"/>
      <c r="DW50" s="646">
        <f t="shared" si="27"/>
        <v>5.8666666666666663</v>
      </c>
      <c r="DX50" s="621">
        <f t="shared" si="74"/>
        <v>7.7403248158356837</v>
      </c>
      <c r="DY50" s="621">
        <f t="shared" si="74"/>
        <v>7.8240152908246268</v>
      </c>
      <c r="DZ50" s="621">
        <f t="shared" si="74"/>
        <v>7.8912112727989134</v>
      </c>
      <c r="EA50" s="610">
        <f t="shared" si="67"/>
        <v>8.6371797314373122</v>
      </c>
      <c r="EB50" s="611">
        <f t="shared" si="67"/>
        <v>8.6305384799593856</v>
      </c>
      <c r="EC50" s="612">
        <f t="shared" si="67"/>
        <v>8.6249210944779513</v>
      </c>
      <c r="ED50" s="610">
        <f t="shared" si="45"/>
        <v>8</v>
      </c>
      <c r="EE50" s="611">
        <f t="shared" si="46"/>
        <v>8.5058990739490348</v>
      </c>
      <c r="EF50" s="645">
        <f t="shared" si="47"/>
        <v>1000000</v>
      </c>
      <c r="EG50" s="902"/>
      <c r="EH50" s="646">
        <f t="shared" si="30"/>
        <v>5.8666666666666663</v>
      </c>
      <c r="EI50" s="610">
        <f t="shared" si="75"/>
        <v>0.89685491560162833</v>
      </c>
      <c r="EJ50" s="986">
        <f t="shared" si="75"/>
        <v>0.80652318913475884</v>
      </c>
      <c r="EK50" s="612">
        <f t="shared" si="75"/>
        <v>0.7337098216790372</v>
      </c>
    </row>
    <row r="51" spans="21:141" ht="15" customHeight="1" x14ac:dyDescent="0.25">
      <c r="U51" s="642">
        <f t="shared" si="49"/>
        <v>45</v>
      </c>
      <c r="W51" s="609">
        <f t="shared" si="0"/>
        <v>3.189712152730888</v>
      </c>
      <c r="X51" s="610">
        <f t="shared" si="76"/>
        <v>3.8579366857010857</v>
      </c>
      <c r="Y51" s="611">
        <f t="shared" si="76"/>
        <v>3.8388966857010858</v>
      </c>
      <c r="Z51" s="611">
        <f t="shared" si="76"/>
        <v>3.8084326857010855</v>
      </c>
      <c r="AA51" s="611">
        <f t="shared" si="76"/>
        <v>3.7475046857010854</v>
      </c>
      <c r="AB51" s="982">
        <f t="shared" si="1"/>
        <v>1000000</v>
      </c>
      <c r="AC51" s="919">
        <f t="shared" si="2"/>
        <v>3.8693606857010856</v>
      </c>
      <c r="AD51" s="611">
        <f t="shared" si="51"/>
        <v>3.8109576420393387</v>
      </c>
      <c r="AE51" s="611">
        <f t="shared" si="51"/>
        <v>3.7725676420393386</v>
      </c>
      <c r="AF51" s="611">
        <f t="shared" si="51"/>
        <v>3.711143642039338</v>
      </c>
      <c r="AG51" s="612">
        <f t="shared" si="51"/>
        <v>3.5882956420393377</v>
      </c>
      <c r="AH51" s="609">
        <f t="shared" si="4"/>
        <v>3</v>
      </c>
      <c r="AI51" s="895">
        <f t="shared" si="34"/>
        <v>-1000000</v>
      </c>
      <c r="AJ51" s="610">
        <f t="shared" si="5"/>
        <v>3.189712152730888</v>
      </c>
      <c r="AK51" s="609">
        <f t="shared" si="35"/>
        <v>-3.5369043661746799E-2</v>
      </c>
      <c r="AL51" s="611">
        <f t="shared" si="77"/>
        <v>-4.6979043661746898E-2</v>
      </c>
      <c r="AM51" s="611">
        <f t="shared" si="77"/>
        <v>-6.6329043661747064E-2</v>
      </c>
      <c r="AN51" s="611">
        <f t="shared" si="77"/>
        <v>-9.7289043661747343E-2</v>
      </c>
      <c r="AO51" s="612">
        <f t="shared" si="77"/>
        <v>-0.15920904366174787</v>
      </c>
      <c r="AP51" s="902">
        <v>0</v>
      </c>
      <c r="AQ51" s="783">
        <f t="shared" si="6"/>
        <v>1000000</v>
      </c>
      <c r="AR51" s="983"/>
      <c r="AS51" s="609">
        <f t="shared" si="7"/>
        <v>3.189712152730888</v>
      </c>
      <c r="AT51" s="610">
        <f t="shared" si="63"/>
        <v>3.8109576420393387</v>
      </c>
      <c r="AU51" s="611">
        <f t="shared" si="63"/>
        <v>3.7725676420393386</v>
      </c>
      <c r="AV51" s="611">
        <f t="shared" si="63"/>
        <v>3.711143642039338</v>
      </c>
      <c r="AW51" s="612">
        <f t="shared" si="63"/>
        <v>3.5882956420393377</v>
      </c>
      <c r="AX51" s="982">
        <f t="shared" si="9"/>
        <v>1000000</v>
      </c>
      <c r="AY51" s="611">
        <f t="shared" si="10"/>
        <v>3</v>
      </c>
      <c r="AZ51" s="612">
        <f t="shared" si="11"/>
        <v>3.8693606857010856</v>
      </c>
      <c r="BB51" s="984">
        <f t="shared" si="37"/>
        <v>4.1765534546864602</v>
      </c>
      <c r="BC51" s="985">
        <f t="shared" si="78"/>
        <v>4.1202019541831181</v>
      </c>
      <c r="BD51" s="985">
        <f t="shared" si="78"/>
        <v>3.6666827640649378</v>
      </c>
      <c r="BE51" s="528">
        <f t="shared" si="78"/>
        <v>3.5772469079528291</v>
      </c>
      <c r="BF51" s="913">
        <f t="shared" si="64"/>
        <v>4.1765534546864602</v>
      </c>
      <c r="BG51" s="317">
        <f t="shared" si="64"/>
        <v>-1000000</v>
      </c>
      <c r="BH51" s="317">
        <f t="shared" si="64"/>
        <v>-1000000</v>
      </c>
      <c r="BI51" s="919">
        <f t="shared" si="64"/>
        <v>-1000000</v>
      </c>
      <c r="BJ51" s="646">
        <f t="shared" si="13"/>
        <v>2.25</v>
      </c>
      <c r="BK51" s="913">
        <f t="shared" si="65"/>
        <v>4.1765534546864602</v>
      </c>
      <c r="BL51" s="317"/>
      <c r="BM51" s="317"/>
      <c r="BN51" s="317"/>
      <c r="BO51" s="913">
        <f t="shared" si="15"/>
        <v>3</v>
      </c>
      <c r="BP51" s="783">
        <f t="shared" si="39"/>
        <v>1000000</v>
      </c>
      <c r="CK51" s="642">
        <f t="shared" si="50"/>
        <v>45</v>
      </c>
      <c r="CL51" s="609">
        <f t="shared" si="16"/>
        <v>3.189712152730888</v>
      </c>
      <c r="CM51" s="609">
        <f t="shared" si="40"/>
        <v>2.25</v>
      </c>
      <c r="CN51" s="610">
        <f t="shared" si="70"/>
        <v>8.4834850546642802</v>
      </c>
      <c r="CO51" s="611">
        <f t="shared" si="70"/>
        <v>8.4981187543437215</v>
      </c>
      <c r="CP51" s="612">
        <f t="shared" si="70"/>
        <v>8.5031983814765351</v>
      </c>
      <c r="CQ51" s="611">
        <f t="shared" si="71"/>
        <v>2.2503080048846322</v>
      </c>
      <c r="CR51" s="611">
        <f t="shared" si="71"/>
        <v>2.6512333012042664</v>
      </c>
      <c r="CS51" s="611">
        <f t="shared" si="71"/>
        <v>3.0521585975239005</v>
      </c>
      <c r="CT51" s="610">
        <f t="shared" si="19"/>
        <v>10.733793059548912</v>
      </c>
      <c r="CU51" s="611">
        <f t="shared" si="19"/>
        <v>11.149352055547988</v>
      </c>
      <c r="CV51" s="612">
        <f t="shared" si="19"/>
        <v>11.555356979000436</v>
      </c>
      <c r="CW51" s="613">
        <f t="shared" si="68"/>
        <v>10.733793059548912</v>
      </c>
      <c r="CX51" s="613">
        <f t="shared" si="68"/>
        <v>11.029026189533017</v>
      </c>
      <c r="CY51" s="613">
        <f t="shared" si="68"/>
        <v>11.029026189533017</v>
      </c>
      <c r="CZ51" s="609">
        <f t="shared" si="21"/>
        <v>8.5058990739490348</v>
      </c>
      <c r="DA51" s="609"/>
      <c r="DB51" s="609">
        <f t="shared" si="42"/>
        <v>2.25</v>
      </c>
      <c r="DC51" s="610">
        <f t="shared" si="66"/>
        <v>5.9161341540259406E-2</v>
      </c>
      <c r="DD51" s="611">
        <f t="shared" si="66"/>
        <v>2.4194780746559015E-2</v>
      </c>
      <c r="DE51" s="612">
        <f t="shared" si="66"/>
        <v>9.6684874526036264E-3</v>
      </c>
      <c r="DF51" s="611">
        <f t="shared" si="69"/>
        <v>2.0953374003179337</v>
      </c>
      <c r="DG51" s="611">
        <f t="shared" si="69"/>
        <v>8</v>
      </c>
      <c r="DH51" s="611">
        <f t="shared" si="69"/>
        <v>8</v>
      </c>
      <c r="DI51" s="614">
        <f t="shared" si="23"/>
        <v>8</v>
      </c>
      <c r="DJ51" s="615"/>
      <c r="DK51" s="609">
        <f t="shared" si="43"/>
        <v>2.25</v>
      </c>
      <c r="DL51" s="611">
        <f t="shared" si="72"/>
        <v>3.881197231014625</v>
      </c>
      <c r="DM51" s="611">
        <f t="shared" si="72"/>
        <v>1000000</v>
      </c>
      <c r="DN51" s="611">
        <f t="shared" si="72"/>
        <v>1000000</v>
      </c>
      <c r="DO51" s="610">
        <f t="shared" si="73"/>
        <v>0.34224931429891448</v>
      </c>
      <c r="DP51" s="611">
        <f t="shared" si="73"/>
        <v>0.36159931429891462</v>
      </c>
      <c r="DQ51" s="612">
        <f t="shared" si="73"/>
        <v>0.39255931429891489</v>
      </c>
      <c r="DR51" s="611">
        <f t="shared" si="26"/>
        <v>4.2234465453135392</v>
      </c>
      <c r="DS51" s="611">
        <f t="shared" si="26"/>
        <v>1000000.3615993143</v>
      </c>
      <c r="DT51" s="611">
        <f t="shared" si="26"/>
        <v>1000000.3925593143</v>
      </c>
      <c r="DU51" s="609">
        <f t="shared" si="44"/>
        <v>4.2</v>
      </c>
      <c r="DV51" s="611"/>
      <c r="DW51" s="646">
        <f t="shared" si="27"/>
        <v>6</v>
      </c>
      <c r="DX51" s="621">
        <f t="shared" si="74"/>
        <v>7.7239158742193803</v>
      </c>
      <c r="DY51" s="621">
        <f t="shared" si="74"/>
        <v>7.8093037988998484</v>
      </c>
      <c r="DZ51" s="621">
        <f t="shared" si="74"/>
        <v>7.87787977889817</v>
      </c>
      <c r="EA51" s="610">
        <f t="shared" si="67"/>
        <v>8.593971269754606</v>
      </c>
      <c r="EB51" s="611">
        <f t="shared" si="67"/>
        <v>8.587647579264635</v>
      </c>
      <c r="EC51" s="612">
        <f t="shared" si="67"/>
        <v>8.5822979099196743</v>
      </c>
      <c r="ED51" s="610">
        <f t="shared" si="45"/>
        <v>8</v>
      </c>
      <c r="EE51" s="611">
        <f t="shared" si="46"/>
        <v>8.5058990739490348</v>
      </c>
      <c r="EF51" s="645">
        <f t="shared" si="47"/>
        <v>1000000</v>
      </c>
      <c r="EG51" s="902"/>
      <c r="EH51" s="646">
        <f t="shared" si="30"/>
        <v>6</v>
      </c>
      <c r="EI51" s="610">
        <f t="shared" si="75"/>
        <v>0.87005539553522637</v>
      </c>
      <c r="EJ51" s="986">
        <f t="shared" si="75"/>
        <v>0.77834378036478613</v>
      </c>
      <c r="EK51" s="612">
        <f t="shared" si="75"/>
        <v>0.70441813102150497</v>
      </c>
    </row>
    <row r="52" spans="21:141" ht="15" customHeight="1" x14ac:dyDescent="0.25">
      <c r="U52" s="642">
        <f t="shared" si="49"/>
        <v>46</v>
      </c>
      <c r="W52" s="609">
        <f t="shared" si="0"/>
        <v>3.2605946450137968</v>
      </c>
      <c r="X52" s="610">
        <f t="shared" si="76"/>
        <v>3.8577823073227071</v>
      </c>
      <c r="Y52" s="611">
        <f t="shared" si="76"/>
        <v>3.8384850100254098</v>
      </c>
      <c r="Z52" s="611">
        <f t="shared" si="76"/>
        <v>3.8076093343497344</v>
      </c>
      <c r="AA52" s="611">
        <f t="shared" si="76"/>
        <v>3.7458579829983831</v>
      </c>
      <c r="AB52" s="982">
        <f t="shared" si="1"/>
        <v>1000000</v>
      </c>
      <c r="AC52" s="919">
        <f t="shared" si="2"/>
        <v>3.8693606857010856</v>
      </c>
      <c r="AD52" s="611">
        <f t="shared" si="51"/>
        <v>3.8066599187588346</v>
      </c>
      <c r="AE52" s="611">
        <f t="shared" si="51"/>
        <v>3.768012621461537</v>
      </c>
      <c r="AF52" s="611">
        <f t="shared" si="51"/>
        <v>3.7061769457858618</v>
      </c>
      <c r="AG52" s="612">
        <f t="shared" si="51"/>
        <v>3.5825055944345099</v>
      </c>
      <c r="AH52" s="609">
        <f t="shared" si="4"/>
        <v>3</v>
      </c>
      <c r="AI52" s="895">
        <f t="shared" si="34"/>
        <v>-1000000</v>
      </c>
      <c r="AJ52" s="610">
        <f t="shared" si="5"/>
        <v>3.2605946450137968</v>
      </c>
      <c r="AK52" s="609">
        <f t="shared" si="35"/>
        <v>-3.9512388563872236E-2</v>
      </c>
      <c r="AL52" s="611">
        <f t="shared" si="77"/>
        <v>-5.1122388563872335E-2</v>
      </c>
      <c r="AM52" s="611">
        <f t="shared" si="77"/>
        <v>-7.0472388563872501E-2</v>
      </c>
      <c r="AN52" s="611">
        <f t="shared" si="77"/>
        <v>-0.10143238856387277</v>
      </c>
      <c r="AO52" s="612">
        <f t="shared" si="77"/>
        <v>-0.1633523885638733</v>
      </c>
      <c r="AP52" s="902">
        <v>0</v>
      </c>
      <c r="AQ52" s="783">
        <f t="shared" si="6"/>
        <v>1000000</v>
      </c>
      <c r="AR52" s="983"/>
      <c r="AS52" s="609">
        <f t="shared" si="7"/>
        <v>3.2605946450137968</v>
      </c>
      <c r="AT52" s="610">
        <f t="shared" si="63"/>
        <v>3.8066599187588346</v>
      </c>
      <c r="AU52" s="611">
        <f t="shared" si="63"/>
        <v>3.768012621461537</v>
      </c>
      <c r="AV52" s="611">
        <f t="shared" si="63"/>
        <v>3.7061769457858618</v>
      </c>
      <c r="AW52" s="612">
        <f t="shared" si="63"/>
        <v>3.5825055944345099</v>
      </c>
      <c r="AX52" s="982">
        <f t="shared" si="9"/>
        <v>1000000</v>
      </c>
      <c r="AY52" s="611">
        <f t="shared" si="10"/>
        <v>3</v>
      </c>
      <c r="AZ52" s="612">
        <f t="shared" si="11"/>
        <v>3.8693606857010856</v>
      </c>
      <c r="BB52" s="984">
        <f t="shared" si="37"/>
        <v>4.176377869516438</v>
      </c>
      <c r="BC52" s="985">
        <f t="shared" si="78"/>
        <v>4.0216720328255766</v>
      </c>
      <c r="BD52" s="985">
        <f t="shared" si="78"/>
        <v>3.6640282891474389</v>
      </c>
      <c r="BE52" s="528">
        <f t="shared" si="78"/>
        <v>3.5764982484378316</v>
      </c>
      <c r="BF52" s="913">
        <f t="shared" si="64"/>
        <v>4.176377869516438</v>
      </c>
      <c r="BG52" s="317">
        <f t="shared" si="64"/>
        <v>-1000000</v>
      </c>
      <c r="BH52" s="317">
        <f t="shared" si="64"/>
        <v>-1000000</v>
      </c>
      <c r="BI52" s="919">
        <f t="shared" si="64"/>
        <v>-1000000</v>
      </c>
      <c r="BJ52" s="646">
        <f t="shared" si="13"/>
        <v>2.3000000000000003</v>
      </c>
      <c r="BK52" s="913">
        <f t="shared" si="65"/>
        <v>4.176377869516438</v>
      </c>
      <c r="BL52" s="317"/>
      <c r="BM52" s="317"/>
      <c r="BN52" s="317"/>
      <c r="BO52" s="913">
        <f t="shared" si="15"/>
        <v>3</v>
      </c>
      <c r="BP52" s="783">
        <f t="shared" si="39"/>
        <v>1000000</v>
      </c>
      <c r="CK52" s="642">
        <f t="shared" si="50"/>
        <v>46</v>
      </c>
      <c r="CL52" s="609">
        <f t="shared" si="16"/>
        <v>3.2605946450137968</v>
      </c>
      <c r="CM52" s="609">
        <f t="shared" si="40"/>
        <v>2.3000000000000003</v>
      </c>
      <c r="CN52" s="610">
        <f t="shared" si="70"/>
        <v>8.4862562386612161</v>
      </c>
      <c r="CO52" s="611">
        <f t="shared" si="70"/>
        <v>8.4992391347471798</v>
      </c>
      <c r="CP52" s="612">
        <f t="shared" si="70"/>
        <v>8.5036410093915276</v>
      </c>
      <c r="CQ52" s="611">
        <f t="shared" si="71"/>
        <v>2.2503080048846331</v>
      </c>
      <c r="CR52" s="611">
        <f t="shared" si="71"/>
        <v>2.6512333012042673</v>
      </c>
      <c r="CS52" s="611">
        <f t="shared" si="71"/>
        <v>3.0521585975239014</v>
      </c>
      <c r="CT52" s="610">
        <f t="shared" si="19"/>
        <v>10.73656424354585</v>
      </c>
      <c r="CU52" s="611">
        <f t="shared" si="19"/>
        <v>11.150472435951446</v>
      </c>
      <c r="CV52" s="612">
        <f t="shared" si="19"/>
        <v>11.555799606915429</v>
      </c>
      <c r="CW52" s="613">
        <f t="shared" si="68"/>
        <v>10.73656424354585</v>
      </c>
      <c r="CX52" s="613">
        <f t="shared" si="68"/>
        <v>11.150472435951446</v>
      </c>
      <c r="CY52" s="613">
        <f t="shared" si="68"/>
        <v>11.429026189533019</v>
      </c>
      <c r="CZ52" s="609">
        <f t="shared" si="21"/>
        <v>8.5058990739490348</v>
      </c>
      <c r="DA52" s="609"/>
      <c r="DB52" s="609">
        <f t="shared" si="42"/>
        <v>2.3000000000000003</v>
      </c>
      <c r="DC52" s="610">
        <f t="shared" si="66"/>
        <v>5.1846858544986725E-2</v>
      </c>
      <c r="DD52" s="611">
        <f t="shared" si="66"/>
        <v>2.0710687600044388E-2</v>
      </c>
      <c r="DE52" s="612">
        <f t="shared" si="66"/>
        <v>8.0838781400295462E-3</v>
      </c>
      <c r="DF52" s="611">
        <f t="shared" si="69"/>
        <v>5.5423679938755001E-2</v>
      </c>
      <c r="DG52" s="611">
        <f t="shared" si="69"/>
        <v>2.4289249283685748</v>
      </c>
      <c r="DH52" s="611">
        <f t="shared" si="69"/>
        <v>8</v>
      </c>
      <c r="DI52" s="614">
        <f t="shared" si="23"/>
        <v>8</v>
      </c>
      <c r="DJ52" s="615"/>
      <c r="DK52" s="609">
        <f t="shared" si="43"/>
        <v>2.3000000000000003</v>
      </c>
      <c r="DL52" s="611">
        <f t="shared" si="72"/>
        <v>3.8813728161846477</v>
      </c>
      <c r="DM52" s="611">
        <f t="shared" si="72"/>
        <v>1000000</v>
      </c>
      <c r="DN52" s="611">
        <f t="shared" si="72"/>
        <v>1000000</v>
      </c>
      <c r="DO52" s="610">
        <f t="shared" si="73"/>
        <v>0.34224931429891459</v>
      </c>
      <c r="DP52" s="611">
        <f t="shared" si="73"/>
        <v>0.36159931429891473</v>
      </c>
      <c r="DQ52" s="612">
        <f t="shared" si="73"/>
        <v>0.392559314298915</v>
      </c>
      <c r="DR52" s="611">
        <f t="shared" si="26"/>
        <v>4.2236221304835624</v>
      </c>
      <c r="DS52" s="611">
        <f t="shared" si="26"/>
        <v>1000000.3615993143</v>
      </c>
      <c r="DT52" s="611">
        <f t="shared" si="26"/>
        <v>1000000.3925593143</v>
      </c>
      <c r="DU52" s="609">
        <f t="shared" si="44"/>
        <v>4.2</v>
      </c>
      <c r="DV52" s="611"/>
      <c r="DW52" s="646">
        <f t="shared" si="27"/>
        <v>6.1333333333333337</v>
      </c>
      <c r="DX52" s="621">
        <f t="shared" si="74"/>
        <v>7.7075483952625534</v>
      </c>
      <c r="DY52" s="621">
        <f t="shared" si="74"/>
        <v>7.7946254259070278</v>
      </c>
      <c r="DZ52" s="621">
        <f t="shared" si="74"/>
        <v>7.8645753456965943</v>
      </c>
      <c r="EA52" s="610">
        <f t="shared" si="67"/>
        <v>8.5512472278363543</v>
      </c>
      <c r="EB52" s="611">
        <f t="shared" si="67"/>
        <v>8.5452555621609747</v>
      </c>
      <c r="EC52" s="612">
        <f t="shared" si="67"/>
        <v>8.5401859351222438</v>
      </c>
      <c r="ED52" s="610">
        <f t="shared" si="45"/>
        <v>8</v>
      </c>
      <c r="EE52" s="611">
        <f t="shared" si="46"/>
        <v>8.5058990739490348</v>
      </c>
      <c r="EF52" s="645">
        <f t="shared" si="47"/>
        <v>1000000</v>
      </c>
      <c r="EG52" s="902"/>
      <c r="EH52" s="646">
        <f t="shared" si="30"/>
        <v>6.1333333333333337</v>
      </c>
      <c r="EI52" s="610">
        <f t="shared" si="75"/>
        <v>0.84369883257380063</v>
      </c>
      <c r="EJ52" s="986">
        <f t="shared" si="75"/>
        <v>0.75063013625394781</v>
      </c>
      <c r="EK52" s="612">
        <f t="shared" si="75"/>
        <v>0.675610589425649</v>
      </c>
    </row>
    <row r="53" spans="21:141" ht="15" customHeight="1" x14ac:dyDescent="0.25">
      <c r="U53" s="642">
        <f t="shared" si="49"/>
        <v>47</v>
      </c>
      <c r="W53" s="609">
        <f t="shared" si="0"/>
        <v>3.3314771372967051</v>
      </c>
      <c r="X53" s="610">
        <f t="shared" si="76"/>
        <v>3.8576236993997157</v>
      </c>
      <c r="Y53" s="611">
        <f t="shared" si="76"/>
        <v>3.8380620555640994</v>
      </c>
      <c r="Z53" s="611">
        <f t="shared" si="76"/>
        <v>3.8067634254271132</v>
      </c>
      <c r="AA53" s="611">
        <f t="shared" si="76"/>
        <v>3.7441661651531404</v>
      </c>
      <c r="AB53" s="982">
        <f t="shared" si="1"/>
        <v>1000000</v>
      </c>
      <c r="AC53" s="919">
        <f t="shared" si="2"/>
        <v>3.8693606857010856</v>
      </c>
      <c r="AD53" s="611">
        <f t="shared" si="51"/>
        <v>3.8024672733119647</v>
      </c>
      <c r="AE53" s="611">
        <f t="shared" si="51"/>
        <v>3.7635556294763481</v>
      </c>
      <c r="AF53" s="611">
        <f t="shared" si="51"/>
        <v>3.7012969993393616</v>
      </c>
      <c r="AG53" s="612">
        <f t="shared" si="51"/>
        <v>3.5767797390653882</v>
      </c>
      <c r="AH53" s="609">
        <f t="shared" si="4"/>
        <v>3</v>
      </c>
      <c r="AI53" s="895">
        <f t="shared" si="34"/>
        <v>-1000000</v>
      </c>
      <c r="AJ53" s="610">
        <f t="shared" si="5"/>
        <v>3.3314771372967051</v>
      </c>
      <c r="AK53" s="609">
        <f t="shared" si="35"/>
        <v>-4.3546426087750952E-2</v>
      </c>
      <c r="AL53" s="611">
        <f t="shared" si="77"/>
        <v>-5.5156426087751051E-2</v>
      </c>
      <c r="AM53" s="611">
        <f t="shared" si="77"/>
        <v>-7.4506426087751224E-2</v>
      </c>
      <c r="AN53" s="611">
        <f t="shared" si="77"/>
        <v>-0.10546642608775149</v>
      </c>
      <c r="AO53" s="612">
        <f t="shared" si="77"/>
        <v>-0.16738642608775203</v>
      </c>
      <c r="AP53" s="902">
        <v>0</v>
      </c>
      <c r="AQ53" s="783">
        <f t="shared" si="6"/>
        <v>1000000</v>
      </c>
      <c r="AR53" s="983"/>
      <c r="AS53" s="609">
        <f t="shared" si="7"/>
        <v>3.3314771372967051</v>
      </c>
      <c r="AT53" s="610">
        <f t="shared" si="63"/>
        <v>3.8024672733119647</v>
      </c>
      <c r="AU53" s="611">
        <f t="shared" si="63"/>
        <v>3.7635556294763481</v>
      </c>
      <c r="AV53" s="611">
        <f t="shared" si="63"/>
        <v>3.7012969993393616</v>
      </c>
      <c r="AW53" s="612">
        <f t="shared" si="63"/>
        <v>3.5767797390653882</v>
      </c>
      <c r="AX53" s="982">
        <f t="shared" si="9"/>
        <v>1000000</v>
      </c>
      <c r="AY53" s="611">
        <f t="shared" si="10"/>
        <v>3</v>
      </c>
      <c r="AZ53" s="612">
        <f t="shared" si="11"/>
        <v>3.8693606857010856</v>
      </c>
      <c r="BB53" s="984">
        <f t="shared" si="37"/>
        <v>4.1761969965911101</v>
      </c>
      <c r="BC53" s="985">
        <f t="shared" si="78"/>
        <v>3.9655085412849838</v>
      </c>
      <c r="BD53" s="985">
        <f t="shared" si="78"/>
        <v>3.6615736616122985</v>
      </c>
      <c r="BE53" s="528">
        <f t="shared" si="78"/>
        <v>3.5757977741799749</v>
      </c>
      <c r="BF53" s="913">
        <f t="shared" si="64"/>
        <v>4.1761969965911101</v>
      </c>
      <c r="BG53" s="317">
        <f t="shared" si="64"/>
        <v>-1000000</v>
      </c>
      <c r="BH53" s="317">
        <f t="shared" si="64"/>
        <v>-1000000</v>
      </c>
      <c r="BI53" s="919">
        <f t="shared" si="64"/>
        <v>-1000000</v>
      </c>
      <c r="BJ53" s="646">
        <f t="shared" si="13"/>
        <v>2.35</v>
      </c>
      <c r="BK53" s="913">
        <f t="shared" si="65"/>
        <v>4.1761969965911101</v>
      </c>
      <c r="BL53" s="317"/>
      <c r="BM53" s="317"/>
      <c r="BN53" s="317"/>
      <c r="BO53" s="913">
        <f t="shared" si="15"/>
        <v>3</v>
      </c>
      <c r="BP53" s="783">
        <f t="shared" si="39"/>
        <v>1000000</v>
      </c>
      <c r="CK53" s="642">
        <f t="shared" si="50"/>
        <v>47</v>
      </c>
      <c r="CL53" s="609">
        <f t="shared" si="16"/>
        <v>3.3314771372967051</v>
      </c>
      <c r="CM53" s="609">
        <f t="shared" si="40"/>
        <v>2.35</v>
      </c>
      <c r="CN53" s="610">
        <f t="shared" si="70"/>
        <v>8.4886848040208029</v>
      </c>
      <c r="CO53" s="611">
        <f t="shared" si="70"/>
        <v>8.5001981783017513</v>
      </c>
      <c r="CP53" s="612">
        <f t="shared" si="70"/>
        <v>8.5040110931449284</v>
      </c>
      <c r="CQ53" s="611">
        <f t="shared" si="71"/>
        <v>2.2503080048846336</v>
      </c>
      <c r="CR53" s="611">
        <f t="shared" si="71"/>
        <v>2.6512333012042677</v>
      </c>
      <c r="CS53" s="611">
        <f t="shared" si="71"/>
        <v>3.0521585975239018</v>
      </c>
      <c r="CT53" s="610">
        <f t="shared" si="19"/>
        <v>10.738992808905437</v>
      </c>
      <c r="CU53" s="611">
        <f t="shared" si="19"/>
        <v>11.151431479506019</v>
      </c>
      <c r="CV53" s="612">
        <f t="shared" si="19"/>
        <v>11.556169690668831</v>
      </c>
      <c r="CW53" s="613">
        <f t="shared" si="68"/>
        <v>10.738992808905437</v>
      </c>
      <c r="CX53" s="613">
        <f t="shared" si="68"/>
        <v>11.151431479506019</v>
      </c>
      <c r="CY53" s="613">
        <f t="shared" si="68"/>
        <v>11.556169690668831</v>
      </c>
      <c r="CZ53" s="609">
        <f t="shared" si="21"/>
        <v>8.5058990739490348</v>
      </c>
      <c r="DA53" s="609"/>
      <c r="DB53" s="609">
        <f t="shared" si="42"/>
        <v>2.35</v>
      </c>
      <c r="DC53" s="610">
        <f t="shared" si="66"/>
        <v>4.5436710375390738E-2</v>
      </c>
      <c r="DD53" s="611">
        <f t="shared" si="66"/>
        <v>1.7728310306255612E-2</v>
      </c>
      <c r="DE53" s="612">
        <f t="shared" si="66"/>
        <v>6.7589771516245777E-3</v>
      </c>
      <c r="DF53" s="611">
        <f t="shared" si="69"/>
        <v>4.8571307191736142E-2</v>
      </c>
      <c r="DG53" s="611">
        <f t="shared" si="69"/>
        <v>1.9180871091464338E-2</v>
      </c>
      <c r="DH53" s="611">
        <f t="shared" si="69"/>
        <v>2.5428700227162526</v>
      </c>
      <c r="DI53" s="614">
        <f t="shared" si="23"/>
        <v>8</v>
      </c>
      <c r="DJ53" s="615"/>
      <c r="DK53" s="609">
        <f t="shared" si="43"/>
        <v>2.35</v>
      </c>
      <c r="DL53" s="611">
        <f t="shared" si="72"/>
        <v>3.8815536891099751</v>
      </c>
      <c r="DM53" s="611">
        <f t="shared" si="72"/>
        <v>1000000</v>
      </c>
      <c r="DN53" s="611">
        <f t="shared" si="72"/>
        <v>1000000</v>
      </c>
      <c r="DO53" s="610">
        <f t="shared" si="73"/>
        <v>0.34224931429891464</v>
      </c>
      <c r="DP53" s="611">
        <f t="shared" si="73"/>
        <v>0.36159931429891479</v>
      </c>
      <c r="DQ53" s="612">
        <f t="shared" si="73"/>
        <v>0.39255931429891505</v>
      </c>
      <c r="DR53" s="611">
        <f t="shared" si="26"/>
        <v>4.2238030034088894</v>
      </c>
      <c r="DS53" s="611">
        <f t="shared" si="26"/>
        <v>1000000.3615993143</v>
      </c>
      <c r="DT53" s="611">
        <f t="shared" si="26"/>
        <v>1000000.3925593143</v>
      </c>
      <c r="DU53" s="609">
        <f t="shared" si="44"/>
        <v>4.2</v>
      </c>
      <c r="DV53" s="611"/>
      <c r="DW53" s="646">
        <f t="shared" si="27"/>
        <v>6.2666666666666666</v>
      </c>
      <c r="DX53" s="621">
        <f t="shared" si="74"/>
        <v>7.6912222220096638</v>
      </c>
      <c r="DY53" s="621">
        <f t="shared" si="74"/>
        <v>7.7799800601344735</v>
      </c>
      <c r="DZ53" s="621">
        <f t="shared" si="74"/>
        <v>7.8512978908846938</v>
      </c>
      <c r="EA53" s="610">
        <f t="shared" si="67"/>
        <v>8.5090001272900508</v>
      </c>
      <c r="EB53" s="611">
        <f t="shared" si="67"/>
        <v>8.5033546185240407</v>
      </c>
      <c r="EC53" s="612">
        <f t="shared" si="67"/>
        <v>8.4985770854960396</v>
      </c>
      <c r="ED53" s="610">
        <f t="shared" si="45"/>
        <v>8</v>
      </c>
      <c r="EE53" s="611">
        <f t="shared" si="46"/>
        <v>8.5058990739490348</v>
      </c>
      <c r="EF53" s="645">
        <f t="shared" si="47"/>
        <v>1000000</v>
      </c>
      <c r="EG53" s="902"/>
      <c r="EH53" s="646">
        <f t="shared" si="30"/>
        <v>6.2666666666666666</v>
      </c>
      <c r="EI53" s="610">
        <f t="shared" si="75"/>
        <v>0.81777790528038663</v>
      </c>
      <c r="EJ53" s="986">
        <f t="shared" si="75"/>
        <v>0.72337455838956699</v>
      </c>
      <c r="EK53" s="612">
        <f t="shared" si="75"/>
        <v>0.64727919461134586</v>
      </c>
    </row>
    <row r="54" spans="21:141" ht="15" customHeight="1" x14ac:dyDescent="0.25">
      <c r="U54" s="642">
        <f t="shared" si="49"/>
        <v>48</v>
      </c>
      <c r="W54" s="609">
        <f t="shared" si="0"/>
        <v>3.4023596295796139</v>
      </c>
      <c r="X54" s="610">
        <f t="shared" si="76"/>
        <v>3.8574606857010858</v>
      </c>
      <c r="Y54" s="611">
        <f t="shared" si="76"/>
        <v>3.8376273523677522</v>
      </c>
      <c r="Z54" s="611">
        <f t="shared" si="76"/>
        <v>3.8058940190344188</v>
      </c>
      <c r="AA54" s="611">
        <f t="shared" si="76"/>
        <v>3.7424273523677525</v>
      </c>
      <c r="AB54" s="982">
        <f t="shared" si="1"/>
        <v>1000000</v>
      </c>
      <c r="AC54" s="919">
        <f t="shared" si="2"/>
        <v>3.8693606857010856</v>
      </c>
      <c r="AD54" s="611">
        <f t="shared" si="51"/>
        <v>3.798376645782366</v>
      </c>
      <c r="AE54" s="611">
        <f t="shared" si="51"/>
        <v>3.7591933124490322</v>
      </c>
      <c r="AF54" s="611">
        <f t="shared" si="51"/>
        <v>3.6964999791156985</v>
      </c>
      <c r="AG54" s="612">
        <f t="shared" si="51"/>
        <v>3.5711133124490315</v>
      </c>
      <c r="AH54" s="609">
        <f t="shared" si="4"/>
        <v>3</v>
      </c>
      <c r="AI54" s="895">
        <f t="shared" si="34"/>
        <v>-1000000</v>
      </c>
      <c r="AJ54" s="610">
        <f t="shared" si="5"/>
        <v>3.4023596295796139</v>
      </c>
      <c r="AK54" s="609">
        <f t="shared" si="35"/>
        <v>-4.74740399187197E-2</v>
      </c>
      <c r="AL54" s="611">
        <f t="shared" si="77"/>
        <v>-5.90840399187198E-2</v>
      </c>
      <c r="AM54" s="611">
        <f t="shared" si="77"/>
        <v>-7.8434039918719972E-2</v>
      </c>
      <c r="AN54" s="611">
        <f t="shared" si="77"/>
        <v>-0.10939403991872024</v>
      </c>
      <c r="AO54" s="612">
        <f t="shared" si="77"/>
        <v>-0.17131403991872077</v>
      </c>
      <c r="AP54" s="902">
        <v>0</v>
      </c>
      <c r="AQ54" s="783">
        <f t="shared" si="6"/>
        <v>1000000</v>
      </c>
      <c r="AR54" s="983"/>
      <c r="AS54" s="609">
        <f t="shared" si="7"/>
        <v>3.4023596295796139</v>
      </c>
      <c r="AT54" s="610">
        <f t="shared" si="63"/>
        <v>3.798376645782366</v>
      </c>
      <c r="AU54" s="611">
        <f t="shared" si="63"/>
        <v>3.7591933124490322</v>
      </c>
      <c r="AV54" s="611">
        <f t="shared" si="63"/>
        <v>3.6964999791156985</v>
      </c>
      <c r="AW54" s="612">
        <f t="shared" si="63"/>
        <v>3.5711133124490315</v>
      </c>
      <c r="AX54" s="982">
        <f t="shared" si="9"/>
        <v>1000000</v>
      </c>
      <c r="AY54" s="611">
        <f t="shared" si="10"/>
        <v>3</v>
      </c>
      <c r="AZ54" s="612">
        <f t="shared" si="11"/>
        <v>3.8693606857010856</v>
      </c>
      <c r="BB54" s="984">
        <f t="shared" si="37"/>
        <v>4.176010593397347</v>
      </c>
      <c r="BC54" s="985">
        <f t="shared" si="78"/>
        <v>3.9285372264496545</v>
      </c>
      <c r="BD54" s="985">
        <f t="shared" si="78"/>
        <v>3.6593001209543354</v>
      </c>
      <c r="BE54" s="528">
        <f t="shared" si="78"/>
        <v>3.5751409265651515</v>
      </c>
      <c r="BF54" s="913">
        <f t="shared" si="64"/>
        <v>4.176010593397347</v>
      </c>
      <c r="BG54" s="317">
        <f t="shared" si="64"/>
        <v>-1000000</v>
      </c>
      <c r="BH54" s="317">
        <f t="shared" si="64"/>
        <v>-1000000</v>
      </c>
      <c r="BI54" s="919">
        <f t="shared" si="64"/>
        <v>-1000000</v>
      </c>
      <c r="BJ54" s="646">
        <f t="shared" si="13"/>
        <v>2.4000000000000004</v>
      </c>
      <c r="BK54" s="913">
        <f t="shared" si="65"/>
        <v>4.176010593397347</v>
      </c>
      <c r="BL54" s="317"/>
      <c r="BM54" s="317"/>
      <c r="BN54" s="317"/>
      <c r="BO54" s="913">
        <f t="shared" si="15"/>
        <v>3</v>
      </c>
      <c r="BP54" s="783">
        <f t="shared" si="39"/>
        <v>1000000</v>
      </c>
      <c r="CK54" s="642">
        <f t="shared" si="50"/>
        <v>48</v>
      </c>
      <c r="CL54" s="609">
        <f t="shared" si="16"/>
        <v>3.4023596295796139</v>
      </c>
      <c r="CM54" s="609">
        <f t="shared" si="40"/>
        <v>2.4000000000000004</v>
      </c>
      <c r="CN54" s="610">
        <f t="shared" si="70"/>
        <v>8.4908131108067479</v>
      </c>
      <c r="CO54" s="611">
        <f t="shared" si="70"/>
        <v>8.5010191178118735</v>
      </c>
      <c r="CP54" s="612">
        <f t="shared" si="70"/>
        <v>8.5043205223062923</v>
      </c>
      <c r="CQ54" s="611">
        <f t="shared" si="71"/>
        <v>2.250308004884634</v>
      </c>
      <c r="CR54" s="611">
        <f t="shared" si="71"/>
        <v>2.6512333012042681</v>
      </c>
      <c r="CS54" s="611">
        <f t="shared" si="71"/>
        <v>3.0521585975239023</v>
      </c>
      <c r="CT54" s="610">
        <f t="shared" si="19"/>
        <v>10.741121115691382</v>
      </c>
      <c r="CU54" s="611">
        <f t="shared" si="19"/>
        <v>11.152252419016142</v>
      </c>
      <c r="CV54" s="612">
        <f t="shared" si="19"/>
        <v>11.556479119830195</v>
      </c>
      <c r="CW54" s="613">
        <f t="shared" ref="CW54:CY69" si="79">IF((CW53+$CD$32*($CM54-$CM53))&lt;CT54,(CW53+$CD$32*($CM54-$CM53)),CT54)</f>
        <v>10.741121115691382</v>
      </c>
      <c r="CX54" s="613">
        <f t="shared" si="79"/>
        <v>11.152252419016142</v>
      </c>
      <c r="CY54" s="613">
        <f t="shared" si="79"/>
        <v>11.556479119830195</v>
      </c>
      <c r="CZ54" s="609">
        <f t="shared" si="21"/>
        <v>8.5058990739490348</v>
      </c>
      <c r="DA54" s="609"/>
      <c r="DB54" s="609">
        <f t="shared" si="42"/>
        <v>2.4000000000000004</v>
      </c>
      <c r="DC54" s="610">
        <f t="shared" si="66"/>
        <v>3.9819088517118018E-2</v>
      </c>
      <c r="DD54" s="611">
        <f t="shared" si="66"/>
        <v>1.5175400855077613E-2</v>
      </c>
      <c r="DE54" s="612">
        <f t="shared" si="66"/>
        <v>5.6512197914010114E-3</v>
      </c>
      <c r="DF54" s="611">
        <f t="shared" si="69"/>
        <v>4.2566135718899771E-2</v>
      </c>
      <c r="DG54" s="611">
        <f t="shared" si="69"/>
        <v>1.6418790202443658E-2</v>
      </c>
      <c r="DH54" s="611">
        <f t="shared" si="69"/>
        <v>6.1885832272778555E-3</v>
      </c>
      <c r="DI54" s="614">
        <f t="shared" si="23"/>
        <v>8</v>
      </c>
      <c r="DJ54" s="615"/>
      <c r="DK54" s="609">
        <f t="shared" si="43"/>
        <v>2.4000000000000004</v>
      </c>
      <c r="DL54" s="611">
        <f t="shared" si="72"/>
        <v>3.8817400923037391</v>
      </c>
      <c r="DM54" s="611">
        <f t="shared" si="72"/>
        <v>1000000</v>
      </c>
      <c r="DN54" s="611">
        <f t="shared" si="72"/>
        <v>1000000</v>
      </c>
      <c r="DO54" s="610">
        <f t="shared" si="73"/>
        <v>0.3422493142989147</v>
      </c>
      <c r="DP54" s="611">
        <f t="shared" si="73"/>
        <v>0.36159931429891484</v>
      </c>
      <c r="DQ54" s="612">
        <f t="shared" si="73"/>
        <v>0.39255931429891511</v>
      </c>
      <c r="DR54" s="611">
        <f t="shared" si="26"/>
        <v>4.2239894066026533</v>
      </c>
      <c r="DS54" s="611">
        <f t="shared" si="26"/>
        <v>1000000.3615993143</v>
      </c>
      <c r="DT54" s="611">
        <f t="shared" si="26"/>
        <v>1000000.3925593143</v>
      </c>
      <c r="DU54" s="609">
        <f t="shared" si="44"/>
        <v>4.2</v>
      </c>
      <c r="DV54" s="611"/>
      <c r="DW54" s="646">
        <f t="shared" si="27"/>
        <v>6.4</v>
      </c>
      <c r="DX54" s="621">
        <f t="shared" si="74"/>
        <v>7.6749371982963677</v>
      </c>
      <c r="DY54" s="621">
        <f t="shared" si="74"/>
        <v>7.765367590372346</v>
      </c>
      <c r="DZ54" s="621">
        <f t="shared" si="74"/>
        <v>7.8380473324864495</v>
      </c>
      <c r="EA54" s="610">
        <f t="shared" si="67"/>
        <v>8.4672226115270952</v>
      </c>
      <c r="EB54" s="611">
        <f t="shared" si="67"/>
        <v>8.4619370659748814</v>
      </c>
      <c r="EC54" s="612">
        <f t="shared" si="67"/>
        <v>8.4574634090509786</v>
      </c>
      <c r="ED54" s="610">
        <f t="shared" si="45"/>
        <v>8</v>
      </c>
      <c r="EE54" s="611">
        <f t="shared" si="46"/>
        <v>8.5058990739490348</v>
      </c>
      <c r="EF54" s="645">
        <f t="shared" si="47"/>
        <v>1000000</v>
      </c>
      <c r="EG54" s="902"/>
      <c r="EH54" s="646">
        <f t="shared" si="30"/>
        <v>6.4</v>
      </c>
      <c r="EI54" s="610">
        <f t="shared" si="75"/>
        <v>0.79228541323072799</v>
      </c>
      <c r="EJ54" s="986">
        <f t="shared" si="75"/>
        <v>0.69656947560253601</v>
      </c>
      <c r="EK54" s="612">
        <f t="shared" si="75"/>
        <v>0.61941607656452913</v>
      </c>
    </row>
    <row r="55" spans="21:141" ht="15" customHeight="1" x14ac:dyDescent="0.25">
      <c r="U55" s="642">
        <f t="shared" si="49"/>
        <v>49</v>
      </c>
      <c r="W55" s="609">
        <f t="shared" si="0"/>
        <v>3.4732421218625227</v>
      </c>
      <c r="X55" s="610">
        <f t="shared" si="76"/>
        <v>3.8572930800672829</v>
      </c>
      <c r="Y55" s="611">
        <f t="shared" si="76"/>
        <v>3.8371804040109447</v>
      </c>
      <c r="Z55" s="611">
        <f t="shared" si="76"/>
        <v>3.8050001223208039</v>
      </c>
      <c r="AA55" s="611">
        <f t="shared" si="76"/>
        <v>3.7406395589405221</v>
      </c>
      <c r="AB55" s="982">
        <f t="shared" si="1"/>
        <v>1000000</v>
      </c>
      <c r="AC55" s="919">
        <f t="shared" si="2"/>
        <v>3.8693606857010856</v>
      </c>
      <c r="AD55" s="611">
        <f t="shared" si="51"/>
        <v>3.7943850424009207</v>
      </c>
      <c r="AE55" s="611">
        <f t="shared" si="51"/>
        <v>3.7549223663445823</v>
      </c>
      <c r="AF55" s="611">
        <f t="shared" si="51"/>
        <v>3.6917820846544411</v>
      </c>
      <c r="AG55" s="612">
        <f t="shared" si="51"/>
        <v>3.5655015212741592</v>
      </c>
      <c r="AH55" s="609">
        <f t="shared" si="4"/>
        <v>3</v>
      </c>
      <c r="AI55" s="895">
        <f t="shared" si="34"/>
        <v>-1000000</v>
      </c>
      <c r="AJ55" s="610">
        <f t="shared" si="5"/>
        <v>3.4732421218625227</v>
      </c>
      <c r="AK55" s="609">
        <f t="shared" si="35"/>
        <v>-5.1298037666361998E-2</v>
      </c>
      <c r="AL55" s="611">
        <f t="shared" si="77"/>
        <v>-6.2908037666362104E-2</v>
      </c>
      <c r="AM55" s="611">
        <f t="shared" si="77"/>
        <v>-8.2258037666362263E-2</v>
      </c>
      <c r="AN55" s="611">
        <f t="shared" si="77"/>
        <v>-0.11321803766636254</v>
      </c>
      <c r="AO55" s="612">
        <f t="shared" si="77"/>
        <v>-0.17513803766636307</v>
      </c>
      <c r="AP55" s="902">
        <v>0</v>
      </c>
      <c r="AQ55" s="783">
        <f t="shared" si="6"/>
        <v>1000000</v>
      </c>
      <c r="AR55" s="983"/>
      <c r="AS55" s="609">
        <f t="shared" si="7"/>
        <v>3.4732421218625227</v>
      </c>
      <c r="AT55" s="610">
        <f t="shared" si="63"/>
        <v>3.7943850424009207</v>
      </c>
      <c r="AU55" s="611">
        <f t="shared" si="63"/>
        <v>3.7549223663445823</v>
      </c>
      <c r="AV55" s="611">
        <f t="shared" si="63"/>
        <v>3.6917820846544411</v>
      </c>
      <c r="AW55" s="612">
        <f t="shared" si="63"/>
        <v>3.5655015212741592</v>
      </c>
      <c r="AX55" s="982">
        <f t="shared" si="9"/>
        <v>1000000</v>
      </c>
      <c r="AY55" s="611">
        <f t="shared" si="10"/>
        <v>3</v>
      </c>
      <c r="AZ55" s="612">
        <f t="shared" si="11"/>
        <v>3.8693606857010856</v>
      </c>
      <c r="BB55" s="984">
        <f t="shared" si="37"/>
        <v>4.1758184023618918</v>
      </c>
      <c r="BC55" s="985">
        <f t="shared" si="78"/>
        <v>3.9019080462616098</v>
      </c>
      <c r="BD55" s="985">
        <f t="shared" si="78"/>
        <v>3.6571911305340707</v>
      </c>
      <c r="BE55" s="528">
        <f t="shared" si="78"/>
        <v>3.5745236801163398</v>
      </c>
      <c r="BF55" s="913">
        <f t="shared" si="64"/>
        <v>4.1758184023618918</v>
      </c>
      <c r="BG55" s="317">
        <f t="shared" si="64"/>
        <v>-1000000</v>
      </c>
      <c r="BH55" s="317">
        <f t="shared" si="64"/>
        <v>-1000000</v>
      </c>
      <c r="BI55" s="919">
        <f t="shared" si="64"/>
        <v>-1000000</v>
      </c>
      <c r="BJ55" s="646">
        <f t="shared" si="13"/>
        <v>2.4500000000000002</v>
      </c>
      <c r="BK55" s="913">
        <f t="shared" si="65"/>
        <v>4.1758184023618918</v>
      </c>
      <c r="BL55" s="317"/>
      <c r="BM55" s="317"/>
      <c r="BN55" s="317"/>
      <c r="BO55" s="913">
        <f t="shared" si="15"/>
        <v>3</v>
      </c>
      <c r="BP55" s="783">
        <f t="shared" si="39"/>
        <v>1000000</v>
      </c>
      <c r="CK55" s="642">
        <f t="shared" si="50"/>
        <v>49</v>
      </c>
      <c r="CL55" s="609">
        <f t="shared" si="16"/>
        <v>3.4732421218625227</v>
      </c>
      <c r="CM55" s="609">
        <f t="shared" si="40"/>
        <v>2.4500000000000002</v>
      </c>
      <c r="CN55" s="610">
        <f t="shared" si="70"/>
        <v>8.4926782818457802</v>
      </c>
      <c r="CO55" s="611">
        <f t="shared" si="70"/>
        <v>8.5017218405152022</v>
      </c>
      <c r="CP55" s="612">
        <f t="shared" si="70"/>
        <v>8.5045792378133136</v>
      </c>
      <c r="CQ55" s="611">
        <f t="shared" si="71"/>
        <v>2.250308004884634</v>
      </c>
      <c r="CR55" s="611">
        <f t="shared" si="71"/>
        <v>2.6512333012042681</v>
      </c>
      <c r="CS55" s="611">
        <f t="shared" si="71"/>
        <v>3.0521585975239023</v>
      </c>
      <c r="CT55" s="610">
        <f t="shared" si="19"/>
        <v>10.742986286730414</v>
      </c>
      <c r="CU55" s="611">
        <f t="shared" si="19"/>
        <v>11.15295514171947</v>
      </c>
      <c r="CV55" s="612">
        <f t="shared" si="19"/>
        <v>11.556737835337216</v>
      </c>
      <c r="CW55" s="613">
        <f t="shared" si="79"/>
        <v>10.742986286730414</v>
      </c>
      <c r="CX55" s="613">
        <f t="shared" si="79"/>
        <v>11.15295514171947</v>
      </c>
      <c r="CY55" s="613">
        <f t="shared" si="79"/>
        <v>11.556737835337216</v>
      </c>
      <c r="CZ55" s="609">
        <f t="shared" si="21"/>
        <v>8.5058990739490348</v>
      </c>
      <c r="DA55" s="609"/>
      <c r="DB55" s="609">
        <f t="shared" si="42"/>
        <v>2.4500000000000002</v>
      </c>
      <c r="DC55" s="610">
        <f t="shared" si="66"/>
        <v>3.4896008034792071E-2</v>
      </c>
      <c r="DD55" s="611">
        <f t="shared" si="66"/>
        <v>1.2990115083390454E-2</v>
      </c>
      <c r="DE55" s="612">
        <f t="shared" si="66"/>
        <v>4.7250174714758434E-3</v>
      </c>
      <c r="DF55" s="611">
        <f t="shared" ref="DF55:DH70" si="80">(CW55-CW54)/($DB55-$DB54)</f>
        <v>3.7303420780645656E-2</v>
      </c>
      <c r="DG55" s="611">
        <f t="shared" si="80"/>
        <v>1.4054454066574401E-2</v>
      </c>
      <c r="DH55" s="611">
        <f t="shared" si="80"/>
        <v>5.1743101404255936E-3</v>
      </c>
      <c r="DI55" s="614">
        <f t="shared" si="23"/>
        <v>8</v>
      </c>
      <c r="DJ55" s="615"/>
      <c r="DK55" s="609">
        <f t="shared" si="43"/>
        <v>2.4500000000000002</v>
      </c>
      <c r="DL55" s="611">
        <f t="shared" si="72"/>
        <v>3.8819322833391938</v>
      </c>
      <c r="DM55" s="611">
        <f t="shared" si="72"/>
        <v>1000000</v>
      </c>
      <c r="DN55" s="611">
        <f t="shared" si="72"/>
        <v>1000000</v>
      </c>
      <c r="DO55" s="610">
        <f t="shared" si="73"/>
        <v>0.3422493142989147</v>
      </c>
      <c r="DP55" s="611">
        <f t="shared" si="73"/>
        <v>0.36159931429891484</v>
      </c>
      <c r="DQ55" s="612">
        <f t="shared" si="73"/>
        <v>0.39255931429891511</v>
      </c>
      <c r="DR55" s="611">
        <f t="shared" si="26"/>
        <v>4.2241815976381085</v>
      </c>
      <c r="DS55" s="611">
        <f t="shared" si="26"/>
        <v>1000000.3615993143</v>
      </c>
      <c r="DT55" s="611">
        <f t="shared" si="26"/>
        <v>1000000.3925593143</v>
      </c>
      <c r="DU55" s="609">
        <f t="shared" si="44"/>
        <v>4.2</v>
      </c>
      <c r="DV55" s="611"/>
      <c r="DW55" s="646">
        <f t="shared" si="27"/>
        <v>6.5333333333333332</v>
      </c>
      <c r="DX55" s="621">
        <f t="shared" si="74"/>
        <v>7.6586931687445547</v>
      </c>
      <c r="DY55" s="621">
        <f t="shared" si="74"/>
        <v>7.7507879059098395</v>
      </c>
      <c r="DZ55" s="621">
        <f t="shared" si="74"/>
        <v>7.8248235888576287</v>
      </c>
      <c r="EA55" s="610">
        <f t="shared" si="67"/>
        <v>8.4259074437576693</v>
      </c>
      <c r="EB55" s="611">
        <f t="shared" si="67"/>
        <v>8.4209953477740047</v>
      </c>
      <c r="EC55" s="612">
        <f t="shared" si="67"/>
        <v>8.4168370842086517</v>
      </c>
      <c r="ED55" s="610">
        <f t="shared" si="45"/>
        <v>8</v>
      </c>
      <c r="EE55" s="611">
        <f t="shared" si="46"/>
        <v>8.5058990739490348</v>
      </c>
      <c r="EF55" s="645">
        <f t="shared" si="47"/>
        <v>1000000</v>
      </c>
      <c r="EG55" s="902"/>
      <c r="EH55" s="646">
        <f t="shared" si="30"/>
        <v>6.5333333333333332</v>
      </c>
      <c r="EI55" s="610">
        <f t="shared" si="75"/>
        <v>0.76721427501311457</v>
      </c>
      <c r="EJ55" s="986">
        <f t="shared" si="75"/>
        <v>0.67020744186416592</v>
      </c>
      <c r="EK55" s="612">
        <f t="shared" si="75"/>
        <v>0.59201349535102255</v>
      </c>
    </row>
    <row r="56" spans="21:141" ht="15" customHeight="1" x14ac:dyDescent="0.25">
      <c r="U56" s="642">
        <f t="shared" si="49"/>
        <v>50</v>
      </c>
      <c r="W56" s="609">
        <f t="shared" si="0"/>
        <v>3.5441246141454315</v>
      </c>
      <c r="X56" s="610">
        <f t="shared" si="76"/>
        <v>3.8571206857010858</v>
      </c>
      <c r="Y56" s="611">
        <f t="shared" si="76"/>
        <v>3.8367206857010858</v>
      </c>
      <c r="Z56" s="611">
        <f t="shared" si="76"/>
        <v>3.8040806857010856</v>
      </c>
      <c r="AA56" s="611">
        <f t="shared" si="76"/>
        <v>3.7388006857010856</v>
      </c>
      <c r="AB56" s="982">
        <f t="shared" si="1"/>
        <v>1000000</v>
      </c>
      <c r="AC56" s="919">
        <f t="shared" si="2"/>
        <v>3.8693606857010856</v>
      </c>
      <c r="AD56" s="611">
        <f t="shared" si="51"/>
        <v>3.7904895328295898</v>
      </c>
      <c r="AE56" s="611">
        <f t="shared" si="51"/>
        <v>3.7507395328295896</v>
      </c>
      <c r="AF56" s="611">
        <f t="shared" si="51"/>
        <v>3.6871395328295891</v>
      </c>
      <c r="AG56" s="612">
        <f t="shared" si="51"/>
        <v>3.5599395328295889</v>
      </c>
      <c r="AH56" s="609">
        <f t="shared" si="4"/>
        <v>3</v>
      </c>
      <c r="AI56" s="895">
        <f t="shared" si="34"/>
        <v>-1000000</v>
      </c>
      <c r="AJ56" s="610">
        <f t="shared" si="5"/>
        <v>3.5441246141454315</v>
      </c>
      <c r="AK56" s="609">
        <f t="shared" si="35"/>
        <v>-5.5021152871495817E-2</v>
      </c>
      <c r="AL56" s="611">
        <f t="shared" si="77"/>
        <v>-6.6631152871495916E-2</v>
      </c>
      <c r="AM56" s="611">
        <f t="shared" si="77"/>
        <v>-8.5981152871496089E-2</v>
      </c>
      <c r="AN56" s="611">
        <f t="shared" si="77"/>
        <v>-0.11694115287149635</v>
      </c>
      <c r="AO56" s="612">
        <f t="shared" si="77"/>
        <v>-0.1788611528714969</v>
      </c>
      <c r="AP56" s="902">
        <v>0</v>
      </c>
      <c r="AQ56" s="783">
        <f t="shared" si="6"/>
        <v>1000000</v>
      </c>
      <c r="AR56" s="983"/>
      <c r="AS56" s="609">
        <f t="shared" si="7"/>
        <v>3.5441246141454315</v>
      </c>
      <c r="AT56" s="610">
        <f t="shared" si="63"/>
        <v>3.7904895328295898</v>
      </c>
      <c r="AU56" s="611">
        <f t="shared" si="63"/>
        <v>3.7507395328295896</v>
      </c>
      <c r="AV56" s="611">
        <f t="shared" si="63"/>
        <v>3.6871395328295891</v>
      </c>
      <c r="AW56" s="612">
        <f t="shared" si="63"/>
        <v>3.5599395328295889</v>
      </c>
      <c r="AX56" s="982">
        <f t="shared" si="9"/>
        <v>1000000</v>
      </c>
      <c r="AY56" s="611">
        <f t="shared" si="10"/>
        <v>3</v>
      </c>
      <c r="AZ56" s="612">
        <f t="shared" si="11"/>
        <v>3.8693606857010856</v>
      </c>
      <c r="BB56" s="984">
        <f t="shared" si="37"/>
        <v>4.1756201496638852</v>
      </c>
      <c r="BC56" s="985">
        <f t="shared" si="78"/>
        <v>3.8815080488897613</v>
      </c>
      <c r="BD56" s="985">
        <f t="shared" si="78"/>
        <v>3.6552320401968887</v>
      </c>
      <c r="BE56" s="528">
        <f t="shared" si="78"/>
        <v>3.5739424718285946</v>
      </c>
      <c r="BF56" s="913">
        <f t="shared" si="64"/>
        <v>4.1756201496638852</v>
      </c>
      <c r="BG56" s="317">
        <f t="shared" si="64"/>
        <v>-1000000</v>
      </c>
      <c r="BH56" s="317">
        <f t="shared" si="64"/>
        <v>-1000000</v>
      </c>
      <c r="BI56" s="919">
        <f t="shared" si="64"/>
        <v>-1000000</v>
      </c>
      <c r="BJ56" s="646">
        <f t="shared" si="13"/>
        <v>2.5</v>
      </c>
      <c r="BK56" s="913">
        <f t="shared" si="65"/>
        <v>4.1756201496638852</v>
      </c>
      <c r="BL56" s="317"/>
      <c r="BM56" s="317"/>
      <c r="BN56" s="317"/>
      <c r="BO56" s="913">
        <f t="shared" si="15"/>
        <v>3</v>
      </c>
      <c r="BP56" s="783">
        <f t="shared" si="39"/>
        <v>1000000</v>
      </c>
      <c r="CK56" s="642">
        <f t="shared" si="50"/>
        <v>50</v>
      </c>
      <c r="CL56" s="609">
        <f t="shared" si="16"/>
        <v>3.5441246141454315</v>
      </c>
      <c r="CM56" s="609">
        <f t="shared" si="40"/>
        <v>2.5</v>
      </c>
      <c r="CN56" s="610">
        <f t="shared" si="70"/>
        <v>8.494312850239691</v>
      </c>
      <c r="CO56" s="611">
        <f t="shared" si="70"/>
        <v>8.5023233698504175</v>
      </c>
      <c r="CP56" s="612">
        <f t="shared" si="70"/>
        <v>8.5047955513413562</v>
      </c>
      <c r="CQ56" s="611">
        <f t="shared" si="71"/>
        <v>2.250308004884634</v>
      </c>
      <c r="CR56" s="611">
        <f t="shared" si="71"/>
        <v>2.6512333012042681</v>
      </c>
      <c r="CS56" s="611">
        <f t="shared" si="71"/>
        <v>3.0521585975239023</v>
      </c>
      <c r="CT56" s="610">
        <f t="shared" si="19"/>
        <v>10.744620855124325</v>
      </c>
      <c r="CU56" s="611">
        <f t="shared" si="19"/>
        <v>11.153556671054686</v>
      </c>
      <c r="CV56" s="612">
        <f t="shared" si="19"/>
        <v>11.556954148865259</v>
      </c>
      <c r="CW56" s="613">
        <f t="shared" si="79"/>
        <v>10.744620855124325</v>
      </c>
      <c r="CX56" s="613">
        <f t="shared" si="79"/>
        <v>11.153556671054686</v>
      </c>
      <c r="CY56" s="613">
        <f t="shared" si="79"/>
        <v>11.556954148865259</v>
      </c>
      <c r="CZ56" s="609">
        <f t="shared" si="21"/>
        <v>8.5058990739490348</v>
      </c>
      <c r="DA56" s="609"/>
      <c r="DB56" s="609">
        <f t="shared" si="42"/>
        <v>2.5</v>
      </c>
      <c r="DC56" s="610">
        <f t="shared" si="66"/>
        <v>3.0581598477343468E-2</v>
      </c>
      <c r="DD56" s="611">
        <f t="shared" si="66"/>
        <v>1.1119514501870828E-2</v>
      </c>
      <c r="DE56" s="612">
        <f t="shared" si="66"/>
        <v>3.9506143681983354E-3</v>
      </c>
      <c r="DF56" s="611">
        <f t="shared" si="80"/>
        <v>3.2691367878214923E-2</v>
      </c>
      <c r="DG56" s="611">
        <f t="shared" si="80"/>
        <v>1.2030586704305834E-2</v>
      </c>
      <c r="DH56" s="611">
        <f t="shared" si="80"/>
        <v>4.3262705608526787E-3</v>
      </c>
      <c r="DI56" s="614">
        <f t="shared" si="23"/>
        <v>8</v>
      </c>
      <c r="DJ56" s="615"/>
      <c r="DK56" s="609">
        <f t="shared" si="43"/>
        <v>2.5</v>
      </c>
      <c r="DL56" s="611">
        <f t="shared" si="72"/>
        <v>3.8821305360372005</v>
      </c>
      <c r="DM56" s="611">
        <f t="shared" si="72"/>
        <v>1000000</v>
      </c>
      <c r="DN56" s="611">
        <f t="shared" si="72"/>
        <v>1000000</v>
      </c>
      <c r="DO56" s="610">
        <f t="shared" si="73"/>
        <v>0.3422493142989147</v>
      </c>
      <c r="DP56" s="611">
        <f t="shared" si="73"/>
        <v>0.36159931429891484</v>
      </c>
      <c r="DQ56" s="612">
        <f t="shared" si="73"/>
        <v>0.39255931429891511</v>
      </c>
      <c r="DR56" s="611">
        <f t="shared" si="26"/>
        <v>4.2243798503361152</v>
      </c>
      <c r="DS56" s="611">
        <f t="shared" si="26"/>
        <v>1000000.3615993143</v>
      </c>
      <c r="DT56" s="611">
        <f t="shared" si="26"/>
        <v>1000000.3925593143</v>
      </c>
      <c r="DU56" s="609">
        <f t="shared" si="44"/>
        <v>4.2</v>
      </c>
      <c r="DV56" s="611"/>
      <c r="DW56" s="646">
        <f t="shared" si="27"/>
        <v>6.666666666666667</v>
      </c>
      <c r="DX56" s="621">
        <f t="shared" si="74"/>
        <v>7.6424899787573857</v>
      </c>
      <c r="DY56" s="621">
        <f t="shared" si="74"/>
        <v>7.7362408965323803</v>
      </c>
      <c r="DZ56" s="621">
        <f t="shared" si="74"/>
        <v>7.811626578684101</v>
      </c>
      <c r="EA56" s="610">
        <f t="shared" si="67"/>
        <v>8.3850475050186617</v>
      </c>
      <c r="EB56" s="611">
        <f t="shared" si="67"/>
        <v>8.3805220307501767</v>
      </c>
      <c r="EC56" s="612">
        <f t="shared" si="67"/>
        <v>8.376690417650611</v>
      </c>
      <c r="ED56" s="610">
        <f t="shared" si="45"/>
        <v>8</v>
      </c>
      <c r="EE56" s="611">
        <f t="shared" si="46"/>
        <v>8.5058990739490348</v>
      </c>
      <c r="EF56" s="645">
        <f t="shared" si="47"/>
        <v>1000000</v>
      </c>
      <c r="EG56" s="902"/>
      <c r="EH56" s="646">
        <f t="shared" si="30"/>
        <v>6.666666666666667</v>
      </c>
      <c r="EI56" s="610">
        <f t="shared" si="75"/>
        <v>0.74255752626127514</v>
      </c>
      <c r="EJ56" s="986">
        <f t="shared" si="75"/>
        <v>0.64428113421779631</v>
      </c>
      <c r="EK56" s="612">
        <f t="shared" si="75"/>
        <v>0.56506383896651036</v>
      </c>
    </row>
    <row r="57" spans="21:141" ht="15" customHeight="1" x14ac:dyDescent="0.25">
      <c r="U57" s="642">
        <f t="shared" si="49"/>
        <v>51</v>
      </c>
      <c r="W57" s="609">
        <f t="shared" si="0"/>
        <v>3.6150071064283398</v>
      </c>
      <c r="X57" s="610">
        <f t="shared" si="76"/>
        <v>3.8569432943967379</v>
      </c>
      <c r="Y57" s="611">
        <f t="shared" si="76"/>
        <v>3.8362476422228249</v>
      </c>
      <c r="Z57" s="611">
        <f t="shared" si="76"/>
        <v>3.8031345987445637</v>
      </c>
      <c r="AA57" s="611">
        <f t="shared" si="76"/>
        <v>3.7369085117880423</v>
      </c>
      <c r="AB57" s="982">
        <f t="shared" si="1"/>
        <v>1000000</v>
      </c>
      <c r="AC57" s="919">
        <f t="shared" si="2"/>
        <v>3.8693606857010856</v>
      </c>
      <c r="AD57" s="611">
        <f t="shared" si="51"/>
        <v>3.7866872474365243</v>
      </c>
      <c r="AE57" s="611">
        <f t="shared" si="51"/>
        <v>3.7466415952626111</v>
      </c>
      <c r="AF57" s="611">
        <f t="shared" si="51"/>
        <v>3.6825685517843496</v>
      </c>
      <c r="AG57" s="612">
        <f t="shared" si="51"/>
        <v>3.5544224648278275</v>
      </c>
      <c r="AH57" s="609">
        <f t="shared" si="4"/>
        <v>3</v>
      </c>
      <c r="AI57" s="895">
        <f t="shared" si="34"/>
        <v>-1000000</v>
      </c>
      <c r="AJ57" s="610">
        <f t="shared" si="5"/>
        <v>3.6150071064283398</v>
      </c>
      <c r="AK57" s="609">
        <f t="shared" si="35"/>
        <v>-5.8646046960213527E-2</v>
      </c>
      <c r="AL57" s="611">
        <f t="shared" si="77"/>
        <v>-7.0256046960213633E-2</v>
      </c>
      <c r="AM57" s="611">
        <f t="shared" si="77"/>
        <v>-8.9606046960213792E-2</v>
      </c>
      <c r="AN57" s="611">
        <f t="shared" si="77"/>
        <v>-0.12056604696021406</v>
      </c>
      <c r="AO57" s="612">
        <f t="shared" si="77"/>
        <v>-0.18248604696021459</v>
      </c>
      <c r="AP57" s="902">
        <v>0</v>
      </c>
      <c r="AQ57" s="783">
        <f t="shared" si="6"/>
        <v>1000000</v>
      </c>
      <c r="AR57" s="983"/>
      <c r="AS57" s="609">
        <f t="shared" si="7"/>
        <v>3.6150071064283398</v>
      </c>
      <c r="AT57" s="610">
        <f t="shared" si="63"/>
        <v>3.7866872474365243</v>
      </c>
      <c r="AU57" s="611">
        <f t="shared" si="63"/>
        <v>3.7466415952626111</v>
      </c>
      <c r="AV57" s="611">
        <f t="shared" si="63"/>
        <v>3.6825685517843496</v>
      </c>
      <c r="AW57" s="612">
        <f t="shared" si="63"/>
        <v>3.5544224648278275</v>
      </c>
      <c r="AX57" s="982">
        <f t="shared" si="9"/>
        <v>1000000</v>
      </c>
      <c r="AY57" s="611">
        <f t="shared" si="10"/>
        <v>3</v>
      </c>
      <c r="AZ57" s="612">
        <f t="shared" si="11"/>
        <v>3.8693606857010856</v>
      </c>
      <c r="BB57" s="984">
        <f t="shared" si="37"/>
        <v>4.1754155439332177</v>
      </c>
      <c r="BC57" s="985">
        <f t="shared" si="78"/>
        <v>3.8651651944999439</v>
      </c>
      <c r="BD57" s="985">
        <f t="shared" si="78"/>
        <v>3.6534098123793832</v>
      </c>
      <c r="BE57" s="528">
        <f t="shared" si="78"/>
        <v>3.5733941407347642</v>
      </c>
      <c r="BF57" s="913">
        <f t="shared" si="64"/>
        <v>4.1754155439332177</v>
      </c>
      <c r="BG57" s="317">
        <f t="shared" si="64"/>
        <v>-1000000</v>
      </c>
      <c r="BH57" s="317">
        <f t="shared" si="64"/>
        <v>-1000000</v>
      </c>
      <c r="BI57" s="919">
        <f t="shared" si="64"/>
        <v>-1000000</v>
      </c>
      <c r="BJ57" s="646">
        <f t="shared" si="13"/>
        <v>2.5499999999999998</v>
      </c>
      <c r="BK57" s="913">
        <f t="shared" si="65"/>
        <v>4.1754155439332177</v>
      </c>
      <c r="BL57" s="317"/>
      <c r="BM57" s="317"/>
      <c r="BN57" s="317"/>
      <c r="BO57" s="913">
        <f t="shared" si="15"/>
        <v>3</v>
      </c>
      <c r="BP57" s="783">
        <f t="shared" si="39"/>
        <v>1000000</v>
      </c>
      <c r="CK57" s="642">
        <f t="shared" si="50"/>
        <v>51</v>
      </c>
      <c r="CL57" s="609">
        <f t="shared" si="16"/>
        <v>3.6150071064283398</v>
      </c>
      <c r="CM57" s="609">
        <f t="shared" si="40"/>
        <v>2.5499999999999998</v>
      </c>
      <c r="CN57" s="610">
        <f t="shared" si="70"/>
        <v>8.4957453268214387</v>
      </c>
      <c r="CO57" s="611">
        <f t="shared" si="70"/>
        <v>8.502838277849559</v>
      </c>
      <c r="CP57" s="612">
        <f t="shared" si="70"/>
        <v>8.5049764123301426</v>
      </c>
      <c r="CQ57" s="611">
        <f t="shared" si="71"/>
        <v>2.250308004884634</v>
      </c>
      <c r="CR57" s="611">
        <f t="shared" si="71"/>
        <v>2.6512333012042681</v>
      </c>
      <c r="CS57" s="611">
        <f t="shared" si="71"/>
        <v>3.0521585975239023</v>
      </c>
      <c r="CT57" s="610">
        <f t="shared" si="19"/>
        <v>10.746053331706072</v>
      </c>
      <c r="CU57" s="611">
        <f t="shared" si="19"/>
        <v>11.154071579053827</v>
      </c>
      <c r="CV57" s="612">
        <f t="shared" si="19"/>
        <v>11.557135009854045</v>
      </c>
      <c r="CW57" s="613">
        <f t="shared" si="79"/>
        <v>10.746053331706072</v>
      </c>
      <c r="CX57" s="613">
        <f t="shared" si="79"/>
        <v>11.154071579053827</v>
      </c>
      <c r="CY57" s="613">
        <f t="shared" si="79"/>
        <v>11.557135009854045</v>
      </c>
      <c r="CZ57" s="609">
        <f t="shared" si="21"/>
        <v>8.5058990739490348</v>
      </c>
      <c r="DA57" s="609"/>
      <c r="DB57" s="609">
        <f t="shared" si="42"/>
        <v>2.5499999999999998</v>
      </c>
      <c r="DC57" s="610">
        <f t="shared" si="66"/>
        <v>2.6800606089298781E-2</v>
      </c>
      <c r="DD57" s="611">
        <f t="shared" si="66"/>
        <v>9.5182838615043494E-3</v>
      </c>
      <c r="DE57" s="612">
        <f t="shared" si="66"/>
        <v>3.3031314657428219E-3</v>
      </c>
      <c r="DF57" s="611">
        <f t="shared" si="80"/>
        <v>2.8649531634954529E-2</v>
      </c>
      <c r="DG57" s="611">
        <f t="shared" si="80"/>
        <v>1.029815998283116E-2</v>
      </c>
      <c r="DH57" s="611">
        <f t="shared" si="80"/>
        <v>3.617219775726723E-3</v>
      </c>
      <c r="DI57" s="614">
        <f t="shared" si="23"/>
        <v>8</v>
      </c>
      <c r="DJ57" s="615"/>
      <c r="DK57" s="609">
        <f t="shared" si="43"/>
        <v>2.5499999999999998</v>
      </c>
      <c r="DL57" s="611">
        <f t="shared" si="72"/>
        <v>3.8823351417678684</v>
      </c>
      <c r="DM57" s="611">
        <f t="shared" si="72"/>
        <v>1000000</v>
      </c>
      <c r="DN57" s="611">
        <f t="shared" si="72"/>
        <v>1000000</v>
      </c>
      <c r="DO57" s="610">
        <f t="shared" si="73"/>
        <v>0.3422493142989147</v>
      </c>
      <c r="DP57" s="611">
        <f t="shared" si="73"/>
        <v>0.36159931429891484</v>
      </c>
      <c r="DQ57" s="612">
        <f t="shared" si="73"/>
        <v>0.39255931429891511</v>
      </c>
      <c r="DR57" s="611">
        <f t="shared" si="26"/>
        <v>4.2245844560667827</v>
      </c>
      <c r="DS57" s="611">
        <f t="shared" si="26"/>
        <v>1000000.3615993143</v>
      </c>
      <c r="DT57" s="611">
        <f t="shared" si="26"/>
        <v>1000000.3925593143</v>
      </c>
      <c r="DU57" s="609">
        <f t="shared" si="44"/>
        <v>4.2</v>
      </c>
      <c r="DV57" s="611"/>
      <c r="DW57" s="646">
        <f t="shared" si="27"/>
        <v>6.8</v>
      </c>
      <c r="DX57" s="621">
        <f t="shared" si="74"/>
        <v>7.6263274745144045</v>
      </c>
      <c r="DY57" s="621">
        <f t="shared" si="74"/>
        <v>7.7217264525188556</v>
      </c>
      <c r="DZ57" s="621">
        <f t="shared" si="74"/>
        <v>7.7984562209801869</v>
      </c>
      <c r="EA57" s="610">
        <f t="shared" si="67"/>
        <v>8.3446357922341932</v>
      </c>
      <c r="EB57" s="611">
        <f t="shared" si="67"/>
        <v>8.3405098032634513</v>
      </c>
      <c r="EC57" s="612">
        <f t="shared" si="67"/>
        <v>8.3370158422022289</v>
      </c>
      <c r="ED57" s="610">
        <f t="shared" si="45"/>
        <v>8</v>
      </c>
      <c r="EE57" s="611">
        <f t="shared" si="46"/>
        <v>8.5058990739490348</v>
      </c>
      <c r="EF57" s="645">
        <f t="shared" si="47"/>
        <v>1000000</v>
      </c>
      <c r="EG57" s="902"/>
      <c r="EH57" s="646">
        <f t="shared" si="30"/>
        <v>6.8</v>
      </c>
      <c r="EI57" s="610">
        <f t="shared" si="75"/>
        <v>0.71830831771978954</v>
      </c>
      <c r="EJ57" s="986">
        <f t="shared" si="75"/>
        <v>0.61878335074459478</v>
      </c>
      <c r="EK57" s="612">
        <f t="shared" si="75"/>
        <v>0.5385596212220416</v>
      </c>
    </row>
    <row r="58" spans="21:141" ht="15" customHeight="1" x14ac:dyDescent="0.25">
      <c r="U58" s="642">
        <f t="shared" si="49"/>
        <v>52</v>
      </c>
      <c r="W58" s="609">
        <f t="shared" si="0"/>
        <v>3.6858895987112485</v>
      </c>
      <c r="X58" s="610">
        <f t="shared" si="76"/>
        <v>3.8567606857010857</v>
      </c>
      <c r="Y58" s="611">
        <f t="shared" si="76"/>
        <v>3.8357606857010857</v>
      </c>
      <c r="Z58" s="611">
        <f t="shared" si="76"/>
        <v>3.8021606857010855</v>
      </c>
      <c r="AA58" s="611">
        <f t="shared" si="76"/>
        <v>3.7349606857010857</v>
      </c>
      <c r="AB58" s="982">
        <f t="shared" si="1"/>
        <v>1000000</v>
      </c>
      <c r="AC58" s="919">
        <f t="shared" si="2"/>
        <v>3.8693606857010856</v>
      </c>
      <c r="AD58" s="611">
        <f t="shared" si="51"/>
        <v>3.7829753745547134</v>
      </c>
      <c r="AE58" s="611">
        <f t="shared" si="51"/>
        <v>3.7426253745547133</v>
      </c>
      <c r="AF58" s="611">
        <f t="shared" si="51"/>
        <v>3.6780653745547127</v>
      </c>
      <c r="AG58" s="612">
        <f t="shared" si="51"/>
        <v>3.5489453745547128</v>
      </c>
      <c r="AH58" s="609">
        <f t="shared" si="4"/>
        <v>3</v>
      </c>
      <c r="AI58" s="895">
        <f t="shared" si="34"/>
        <v>-1000000</v>
      </c>
      <c r="AJ58" s="610">
        <f t="shared" si="5"/>
        <v>3.6858895987112485</v>
      </c>
      <c r="AK58" s="609">
        <f t="shared" si="35"/>
        <v>-6.2175311146372043E-2</v>
      </c>
      <c r="AL58" s="611">
        <f t="shared" si="77"/>
        <v>-7.3785311146372143E-2</v>
      </c>
      <c r="AM58" s="611">
        <f t="shared" si="77"/>
        <v>-9.3135311146372315E-2</v>
      </c>
      <c r="AN58" s="611">
        <f t="shared" si="77"/>
        <v>-0.12409531114637258</v>
      </c>
      <c r="AO58" s="612">
        <f t="shared" si="77"/>
        <v>-0.18601531114637312</v>
      </c>
      <c r="AP58" s="902">
        <v>0</v>
      </c>
      <c r="AQ58" s="783">
        <f t="shared" si="6"/>
        <v>1000000</v>
      </c>
      <c r="AR58" s="983"/>
      <c r="AS58" s="609">
        <f t="shared" si="7"/>
        <v>3.6858895987112485</v>
      </c>
      <c r="AT58" s="610">
        <f t="shared" si="63"/>
        <v>3.7829753745547134</v>
      </c>
      <c r="AU58" s="611">
        <f t="shared" si="63"/>
        <v>3.7426253745547133</v>
      </c>
      <c r="AV58" s="611">
        <f t="shared" si="63"/>
        <v>3.6780653745547127</v>
      </c>
      <c r="AW58" s="612">
        <f t="shared" si="63"/>
        <v>3.5489453745547128</v>
      </c>
      <c r="AX58" s="982">
        <f t="shared" si="9"/>
        <v>1000000</v>
      </c>
      <c r="AY58" s="611">
        <f t="shared" si="10"/>
        <v>3</v>
      </c>
      <c r="AZ58" s="612">
        <f t="shared" si="11"/>
        <v>3.8693606857010856</v>
      </c>
      <c r="BB58" s="984">
        <f t="shared" si="37"/>
        <v>4.1752042748217182</v>
      </c>
      <c r="BC58" s="985">
        <f t="shared" si="78"/>
        <v>3.8516236830057649</v>
      </c>
      <c r="BD58" s="985">
        <f t="shared" si="78"/>
        <v>3.6517127976441541</v>
      </c>
      <c r="BE58" s="528">
        <f t="shared" si="78"/>
        <v>3.5728758761003436</v>
      </c>
      <c r="BF58" s="913">
        <f t="shared" si="64"/>
        <v>4.1752042748217182</v>
      </c>
      <c r="BG58" s="317">
        <f t="shared" si="64"/>
        <v>-1000000</v>
      </c>
      <c r="BH58" s="317">
        <f t="shared" si="64"/>
        <v>-1000000</v>
      </c>
      <c r="BI58" s="919">
        <f t="shared" si="64"/>
        <v>-1000000</v>
      </c>
      <c r="BJ58" s="646">
        <f t="shared" si="13"/>
        <v>2.6</v>
      </c>
      <c r="BK58" s="913">
        <f t="shared" si="65"/>
        <v>4.1752042748217182</v>
      </c>
      <c r="BL58" s="317"/>
      <c r="BM58" s="317"/>
      <c r="BN58" s="317"/>
      <c r="BO58" s="913">
        <f t="shared" si="15"/>
        <v>3</v>
      </c>
      <c r="BP58" s="783">
        <f t="shared" si="39"/>
        <v>1000000</v>
      </c>
      <c r="CK58" s="642">
        <f t="shared" si="50"/>
        <v>52</v>
      </c>
      <c r="CL58" s="609">
        <f t="shared" si="16"/>
        <v>3.6858895987112485</v>
      </c>
      <c r="CM58" s="609">
        <f t="shared" si="40"/>
        <v>2.6</v>
      </c>
      <c r="CN58" s="610">
        <f t="shared" si="70"/>
        <v>8.4970006974531618</v>
      </c>
      <c r="CO58" s="611">
        <f t="shared" si="70"/>
        <v>8.5032790381451253</v>
      </c>
      <c r="CP58" s="612">
        <f t="shared" si="70"/>
        <v>8.5051276312463173</v>
      </c>
      <c r="CQ58" s="611">
        <f t="shared" si="71"/>
        <v>2.250308004884634</v>
      </c>
      <c r="CR58" s="611">
        <f t="shared" si="71"/>
        <v>2.6512333012042681</v>
      </c>
      <c r="CS58" s="611">
        <f t="shared" si="71"/>
        <v>3.0521585975239023</v>
      </c>
      <c r="CT58" s="610">
        <f t="shared" si="19"/>
        <v>10.747308702337795</v>
      </c>
      <c r="CU58" s="611">
        <f t="shared" si="19"/>
        <v>11.154512339349393</v>
      </c>
      <c r="CV58" s="612">
        <f t="shared" si="19"/>
        <v>11.55728622877022</v>
      </c>
      <c r="CW58" s="613">
        <f t="shared" si="79"/>
        <v>10.747308702337795</v>
      </c>
      <c r="CX58" s="613">
        <f t="shared" si="79"/>
        <v>11.154512339349393</v>
      </c>
      <c r="CY58" s="613">
        <f t="shared" si="79"/>
        <v>11.55728622877022</v>
      </c>
      <c r="CZ58" s="609">
        <f t="shared" si="21"/>
        <v>8.5058990739490348</v>
      </c>
      <c r="DA58" s="609"/>
      <c r="DB58" s="609">
        <f t="shared" si="42"/>
        <v>2.6</v>
      </c>
      <c r="DC58" s="610">
        <f t="shared" si="66"/>
        <v>2.3487081202962577E-2</v>
      </c>
      <c r="DD58" s="611">
        <f t="shared" si="66"/>
        <v>8.1476333928907369E-3</v>
      </c>
      <c r="DE58" s="612">
        <f t="shared" si="66"/>
        <v>2.7617672754419228E-3</v>
      </c>
      <c r="DF58" s="611">
        <f t="shared" si="80"/>
        <v>2.5107412634461788E-2</v>
      </c>
      <c r="DG58" s="611">
        <f t="shared" si="80"/>
        <v>8.8152059113255164E-3</v>
      </c>
      <c r="DH58" s="611">
        <f t="shared" si="80"/>
        <v>3.0243783234950978E-3</v>
      </c>
      <c r="DI58" s="614">
        <f t="shared" si="23"/>
        <v>8</v>
      </c>
      <c r="DJ58" s="615"/>
      <c r="DK58" s="609">
        <f t="shared" si="43"/>
        <v>2.6</v>
      </c>
      <c r="DL58" s="611">
        <f t="shared" si="72"/>
        <v>3.8825464108793679</v>
      </c>
      <c r="DM58" s="611">
        <f t="shared" si="72"/>
        <v>1000000</v>
      </c>
      <c r="DN58" s="611">
        <f t="shared" si="72"/>
        <v>1000000</v>
      </c>
      <c r="DO58" s="610">
        <f t="shared" si="73"/>
        <v>0.3422493142989147</v>
      </c>
      <c r="DP58" s="611">
        <f t="shared" si="73"/>
        <v>0.36159931429891484</v>
      </c>
      <c r="DQ58" s="612">
        <f t="shared" si="73"/>
        <v>0.39255931429891511</v>
      </c>
      <c r="DR58" s="611">
        <f t="shared" si="26"/>
        <v>4.2247957251782822</v>
      </c>
      <c r="DS58" s="611">
        <f t="shared" si="26"/>
        <v>1000000.3615993143</v>
      </c>
      <c r="DT58" s="611">
        <f t="shared" si="26"/>
        <v>1000000.3925593143</v>
      </c>
      <c r="DU58" s="609">
        <f t="shared" si="44"/>
        <v>4.2</v>
      </c>
      <c r="DV58" s="611"/>
      <c r="DW58" s="646">
        <f t="shared" si="27"/>
        <v>6.9333333333333336</v>
      </c>
      <c r="DX58" s="621">
        <f t="shared" si="74"/>
        <v>7.61020550296666</v>
      </c>
      <c r="DY58" s="621">
        <f t="shared" si="74"/>
        <v>7.7072444646388529</v>
      </c>
      <c r="DZ58" s="621">
        <f t="shared" si="74"/>
        <v>7.7853124350869809</v>
      </c>
      <c r="EA58" s="610">
        <f t="shared" si="67"/>
        <v>8.304665416308131</v>
      </c>
      <c r="EB58" s="611">
        <f t="shared" si="67"/>
        <v>8.3009514732018292</v>
      </c>
      <c r="EC58" s="612">
        <f t="shared" si="67"/>
        <v>8.2978059147514642</v>
      </c>
      <c r="ED58" s="610">
        <f t="shared" si="45"/>
        <v>8</v>
      </c>
      <c r="EE58" s="611">
        <f t="shared" si="46"/>
        <v>8.5058990739490348</v>
      </c>
      <c r="EF58" s="645">
        <f t="shared" si="47"/>
        <v>1000000</v>
      </c>
      <c r="EG58" s="902"/>
      <c r="EH58" s="646">
        <f t="shared" si="30"/>
        <v>6.9333333333333336</v>
      </c>
      <c r="EI58" s="610">
        <f t="shared" si="75"/>
        <v>0.69445991334147061</v>
      </c>
      <c r="EJ58" s="986">
        <f t="shared" si="75"/>
        <v>0.59370700856297631</v>
      </c>
      <c r="EK58" s="612">
        <f t="shared" si="75"/>
        <v>0.51249347966448333</v>
      </c>
    </row>
    <row r="59" spans="21:141" ht="15" customHeight="1" x14ac:dyDescent="0.25">
      <c r="U59" s="642">
        <f t="shared" si="49"/>
        <v>53</v>
      </c>
      <c r="W59" s="609">
        <f t="shared" si="0"/>
        <v>3.7567720909941569</v>
      </c>
      <c r="X59" s="610">
        <f t="shared" si="76"/>
        <v>3.8565726259995929</v>
      </c>
      <c r="Y59" s="611">
        <f t="shared" si="76"/>
        <v>3.8352591931637723</v>
      </c>
      <c r="Z59" s="611">
        <f t="shared" si="76"/>
        <v>3.801157700626459</v>
      </c>
      <c r="AA59" s="611">
        <f t="shared" si="76"/>
        <v>3.7329547155518319</v>
      </c>
      <c r="AB59" s="982">
        <f t="shared" si="1"/>
        <v>1000000</v>
      </c>
      <c r="AC59" s="919">
        <f t="shared" si="2"/>
        <v>3.8693606857010856</v>
      </c>
      <c r="AD59" s="611">
        <f t="shared" si="51"/>
        <v>3.7793511577157011</v>
      </c>
      <c r="AE59" s="611">
        <f t="shared" si="51"/>
        <v>3.7386877248798802</v>
      </c>
      <c r="AF59" s="611">
        <f t="shared" si="51"/>
        <v>3.6736262323425666</v>
      </c>
      <c r="AG59" s="612">
        <f t="shared" si="51"/>
        <v>3.5435032472679389</v>
      </c>
      <c r="AH59" s="609">
        <f t="shared" si="4"/>
        <v>3</v>
      </c>
      <c r="AI59" s="895">
        <f t="shared" si="34"/>
        <v>-1000000</v>
      </c>
      <c r="AJ59" s="610">
        <f t="shared" si="5"/>
        <v>3.7567720909941569</v>
      </c>
      <c r="AK59" s="609">
        <f t="shared" si="35"/>
        <v>-6.5611468283891805E-2</v>
      </c>
      <c r="AL59" s="611">
        <f t="shared" si="77"/>
        <v>-7.7221468283891911E-2</v>
      </c>
      <c r="AM59" s="611">
        <f t="shared" si="77"/>
        <v>-9.657146828389207E-2</v>
      </c>
      <c r="AN59" s="611">
        <f t="shared" si="77"/>
        <v>-0.12753146828389234</v>
      </c>
      <c r="AO59" s="612">
        <f t="shared" si="77"/>
        <v>-0.18945146828389287</v>
      </c>
      <c r="AP59" s="902">
        <v>0</v>
      </c>
      <c r="AQ59" s="783">
        <f t="shared" si="6"/>
        <v>1000000</v>
      </c>
      <c r="AR59" s="983"/>
      <c r="AS59" s="609">
        <f t="shared" si="7"/>
        <v>3.7567720909941569</v>
      </c>
      <c r="AT59" s="610">
        <f t="shared" si="63"/>
        <v>3.7793511577157011</v>
      </c>
      <c r="AU59" s="611">
        <f t="shared" si="63"/>
        <v>3.7386877248798802</v>
      </c>
      <c r="AV59" s="611">
        <f t="shared" si="63"/>
        <v>3.6736262323425666</v>
      </c>
      <c r="AW59" s="612">
        <f t="shared" si="63"/>
        <v>3.5435032472679389</v>
      </c>
      <c r="AX59" s="982">
        <f t="shared" si="9"/>
        <v>1000000</v>
      </c>
      <c r="AY59" s="611">
        <f t="shared" si="10"/>
        <v>3</v>
      </c>
      <c r="AZ59" s="612">
        <f t="shared" si="11"/>
        <v>3.8693606857010856</v>
      </c>
      <c r="BB59" s="984">
        <f t="shared" si="37"/>
        <v>4.1749860114324369</v>
      </c>
      <c r="BC59" s="985">
        <f t="shared" si="78"/>
        <v>3.8401064569724834</v>
      </c>
      <c r="BD59" s="985">
        <f t="shared" si="78"/>
        <v>3.6501305490946745</v>
      </c>
      <c r="BE59" s="528">
        <f t="shared" si="78"/>
        <v>3.572385172917909</v>
      </c>
      <c r="BF59" s="913">
        <f t="shared" si="64"/>
        <v>4.1749860114324369</v>
      </c>
      <c r="BG59" s="317">
        <f t="shared" si="64"/>
        <v>-1000000</v>
      </c>
      <c r="BH59" s="317">
        <f t="shared" si="64"/>
        <v>-1000000</v>
      </c>
      <c r="BI59" s="919">
        <f t="shared" si="64"/>
        <v>-1000000</v>
      </c>
      <c r="BJ59" s="646">
        <f t="shared" si="13"/>
        <v>2.65</v>
      </c>
      <c r="BK59" s="913">
        <f t="shared" si="65"/>
        <v>4.1749860114324369</v>
      </c>
      <c r="BL59" s="317"/>
      <c r="BM59" s="317"/>
      <c r="BN59" s="317"/>
      <c r="BO59" s="913">
        <f t="shared" si="15"/>
        <v>3</v>
      </c>
      <c r="BP59" s="783">
        <f t="shared" si="39"/>
        <v>1000000</v>
      </c>
      <c r="CK59" s="642">
        <f t="shared" si="50"/>
        <v>53</v>
      </c>
      <c r="CL59" s="609">
        <f t="shared" si="16"/>
        <v>3.7567720909941569</v>
      </c>
      <c r="CM59" s="609">
        <f t="shared" si="40"/>
        <v>2.65</v>
      </c>
      <c r="CN59" s="610">
        <f t="shared" si="70"/>
        <v>8.4981008588401394</v>
      </c>
      <c r="CO59" s="611">
        <f t="shared" si="70"/>
        <v>8.5036563281434763</v>
      </c>
      <c r="CP59" s="612">
        <f t="shared" si="70"/>
        <v>8.505254066254567</v>
      </c>
      <c r="CQ59" s="611">
        <f t="shared" si="71"/>
        <v>2.250308004884634</v>
      </c>
      <c r="CR59" s="611">
        <f t="shared" si="71"/>
        <v>2.6512333012042681</v>
      </c>
      <c r="CS59" s="611">
        <f t="shared" si="71"/>
        <v>3.0521585975239023</v>
      </c>
      <c r="CT59" s="610">
        <f t="shared" si="19"/>
        <v>10.748408863724773</v>
      </c>
      <c r="CU59" s="611">
        <f t="shared" si="19"/>
        <v>11.154889629347744</v>
      </c>
      <c r="CV59" s="612">
        <f t="shared" si="19"/>
        <v>11.55741266377847</v>
      </c>
      <c r="CW59" s="613">
        <f t="shared" si="79"/>
        <v>10.748408863724773</v>
      </c>
      <c r="CX59" s="613">
        <f t="shared" si="79"/>
        <v>11.154889629347744</v>
      </c>
      <c r="CY59" s="613">
        <f t="shared" si="79"/>
        <v>11.55741266377847</v>
      </c>
      <c r="CZ59" s="609">
        <f t="shared" si="21"/>
        <v>8.5058990739490348</v>
      </c>
      <c r="DA59" s="609"/>
      <c r="DB59" s="609">
        <f t="shared" si="42"/>
        <v>2.65</v>
      </c>
      <c r="DC59" s="610">
        <f t="shared" si="66"/>
        <v>2.0583227916432301E-2</v>
      </c>
      <c r="DD59" s="611">
        <f t="shared" si="66"/>
        <v>6.9743591251182745E-3</v>
      </c>
      <c r="DE59" s="612">
        <f t="shared" si="66"/>
        <v>2.3091295526098082E-3</v>
      </c>
      <c r="DF59" s="611">
        <f t="shared" si="80"/>
        <v>2.200322773955329E-2</v>
      </c>
      <c r="DG59" s="611">
        <f t="shared" si="80"/>
        <v>7.5457999670192335E-3</v>
      </c>
      <c r="DH59" s="611">
        <f t="shared" si="80"/>
        <v>2.5287001649943E-3</v>
      </c>
      <c r="DI59" s="614">
        <f t="shared" si="23"/>
        <v>8</v>
      </c>
      <c r="DJ59" s="615"/>
      <c r="DK59" s="609">
        <f t="shared" si="43"/>
        <v>2.65</v>
      </c>
      <c r="DL59" s="611">
        <f t="shared" si="72"/>
        <v>3.8827646742686488</v>
      </c>
      <c r="DM59" s="611">
        <f t="shared" si="72"/>
        <v>1000000</v>
      </c>
      <c r="DN59" s="611">
        <f t="shared" si="72"/>
        <v>1000000</v>
      </c>
      <c r="DO59" s="610">
        <f t="shared" si="73"/>
        <v>0.3422493142989147</v>
      </c>
      <c r="DP59" s="611">
        <f t="shared" si="73"/>
        <v>0.36159931429891484</v>
      </c>
      <c r="DQ59" s="612">
        <f t="shared" si="73"/>
        <v>0.39255931429891511</v>
      </c>
      <c r="DR59" s="611">
        <f t="shared" si="26"/>
        <v>4.2250139885675635</v>
      </c>
      <c r="DS59" s="611">
        <f t="shared" si="26"/>
        <v>1000000.3615993143</v>
      </c>
      <c r="DT59" s="611">
        <f t="shared" si="26"/>
        <v>1000000.3925593143</v>
      </c>
      <c r="DU59" s="609">
        <f t="shared" si="44"/>
        <v>4.2</v>
      </c>
      <c r="DV59" s="611"/>
      <c r="DW59" s="646">
        <f t="shared" si="27"/>
        <v>7.0666666666666664</v>
      </c>
      <c r="DX59" s="621">
        <f t="shared" si="74"/>
        <v>7.5941239118318764</v>
      </c>
      <c r="DY59" s="621">
        <f t="shared" si="74"/>
        <v>7.6927948241499235</v>
      </c>
      <c r="DZ59" s="621">
        <f t="shared" si="74"/>
        <v>7.7721951406707257</v>
      </c>
      <c r="EA59" s="610">
        <f t="shared" si="67"/>
        <v>8.265129600248077</v>
      </c>
      <c r="EB59" s="611">
        <f t="shared" si="67"/>
        <v>8.2618399660110153</v>
      </c>
      <c r="EC59" s="612">
        <f t="shared" si="67"/>
        <v>8.2590533142020774</v>
      </c>
      <c r="ED59" s="610">
        <f t="shared" si="45"/>
        <v>8</v>
      </c>
      <c r="EE59" s="611">
        <f t="shared" si="46"/>
        <v>8.5058990739490348</v>
      </c>
      <c r="EF59" s="645">
        <f t="shared" si="47"/>
        <v>1000000</v>
      </c>
      <c r="EG59" s="902"/>
      <c r="EH59" s="646">
        <f t="shared" si="30"/>
        <v>7.0666666666666664</v>
      </c>
      <c r="EI59" s="610">
        <f t="shared" si="75"/>
        <v>0.67100568841620012</v>
      </c>
      <c r="EJ59" s="986">
        <f t="shared" si="75"/>
        <v>0.56904514186109179</v>
      </c>
      <c r="EK59" s="612">
        <f t="shared" si="75"/>
        <v>0.48685817353135219</v>
      </c>
    </row>
    <row r="60" spans="21:141" ht="15" customHeight="1" x14ac:dyDescent="0.25">
      <c r="U60" s="642">
        <f t="shared" si="49"/>
        <v>54</v>
      </c>
      <c r="W60" s="609">
        <f t="shared" si="0"/>
        <v>3.8276545832770656</v>
      </c>
      <c r="X60" s="610">
        <f t="shared" si="76"/>
        <v>3.8563788675192674</v>
      </c>
      <c r="Y60" s="611">
        <f t="shared" si="76"/>
        <v>3.8347425038829037</v>
      </c>
      <c r="Z60" s="611">
        <f t="shared" si="76"/>
        <v>3.8001243220647218</v>
      </c>
      <c r="AA60" s="611">
        <f t="shared" si="76"/>
        <v>3.7308879584283585</v>
      </c>
      <c r="AB60" s="982">
        <f t="shared" si="1"/>
        <v>1000000</v>
      </c>
      <c r="AC60" s="919">
        <f t="shared" si="2"/>
        <v>3.8693606857010856</v>
      </c>
      <c r="AD60" s="611">
        <f t="shared" si="51"/>
        <v>3.7758118928490769</v>
      </c>
      <c r="AE60" s="611">
        <f t="shared" si="51"/>
        <v>3.734825529212713</v>
      </c>
      <c r="AF60" s="611">
        <f t="shared" si="51"/>
        <v>3.6692473473945308</v>
      </c>
      <c r="AG60" s="612">
        <f t="shared" si="51"/>
        <v>3.5380909837581669</v>
      </c>
      <c r="AH60" s="609">
        <f t="shared" si="4"/>
        <v>3</v>
      </c>
      <c r="AI60" s="895">
        <f t="shared" si="34"/>
        <v>-1000000</v>
      </c>
      <c r="AJ60" s="610">
        <f t="shared" si="5"/>
        <v>3.8276545832770656</v>
      </c>
      <c r="AK60" s="609">
        <f t="shared" si="35"/>
        <v>-6.8956974670190463E-2</v>
      </c>
      <c r="AL60" s="611">
        <f t="shared" si="77"/>
        <v>-8.0566974670190569E-2</v>
      </c>
      <c r="AM60" s="611">
        <f t="shared" si="77"/>
        <v>-9.9916974670190728E-2</v>
      </c>
      <c r="AN60" s="611">
        <f t="shared" si="77"/>
        <v>-0.13087697467019099</v>
      </c>
      <c r="AO60" s="612">
        <f t="shared" si="77"/>
        <v>-0.19279697467019152</v>
      </c>
      <c r="AP60" s="902">
        <v>0</v>
      </c>
      <c r="AQ60" s="783">
        <f t="shared" si="6"/>
        <v>1000000</v>
      </c>
      <c r="AR60" s="983"/>
      <c r="AS60" s="609">
        <f t="shared" si="7"/>
        <v>3.8276545832770656</v>
      </c>
      <c r="AT60" s="610">
        <f t="shared" si="63"/>
        <v>3.7758118928490769</v>
      </c>
      <c r="AU60" s="611">
        <f t="shared" si="63"/>
        <v>3.734825529212713</v>
      </c>
      <c r="AV60" s="611">
        <f t="shared" si="63"/>
        <v>3.6692473473945308</v>
      </c>
      <c r="AW60" s="612">
        <f t="shared" si="63"/>
        <v>3.5380909837581669</v>
      </c>
      <c r="AX60" s="982">
        <f t="shared" si="9"/>
        <v>1000000</v>
      </c>
      <c r="AY60" s="611">
        <f t="shared" si="10"/>
        <v>3</v>
      </c>
      <c r="AZ60" s="612">
        <f t="shared" si="11"/>
        <v>3.8693606857010856</v>
      </c>
      <c r="BB60" s="984">
        <f t="shared" si="37"/>
        <v>4.1747604005902961</v>
      </c>
      <c r="BC60" s="985">
        <f t="shared" si="78"/>
        <v>3.8301065496990576</v>
      </c>
      <c r="BD60" s="985">
        <f t="shared" si="78"/>
        <v>3.6486536676698007</v>
      </c>
      <c r="BE60" s="528">
        <f t="shared" si="78"/>
        <v>3.5719197935931102</v>
      </c>
      <c r="BF60" s="913">
        <f t="shared" si="64"/>
        <v>4.1747604005902961</v>
      </c>
      <c r="BG60" s="317">
        <f t="shared" si="64"/>
        <v>-1000000</v>
      </c>
      <c r="BH60" s="317">
        <f t="shared" si="64"/>
        <v>-1000000</v>
      </c>
      <c r="BI60" s="919">
        <f t="shared" si="64"/>
        <v>-1000000</v>
      </c>
      <c r="BJ60" s="646">
        <f t="shared" si="13"/>
        <v>2.7</v>
      </c>
      <c r="BK60" s="913">
        <f t="shared" si="65"/>
        <v>4.1747604005902961</v>
      </c>
      <c r="BL60" s="317"/>
      <c r="BM60" s="317"/>
      <c r="BN60" s="317"/>
      <c r="BO60" s="913">
        <f t="shared" si="15"/>
        <v>3</v>
      </c>
      <c r="BP60" s="783">
        <f t="shared" si="39"/>
        <v>1000000</v>
      </c>
      <c r="CK60" s="642">
        <f t="shared" si="50"/>
        <v>54</v>
      </c>
      <c r="CL60" s="609">
        <f t="shared" si="16"/>
        <v>3.8276545832770656</v>
      </c>
      <c r="CM60" s="609">
        <f t="shared" si="40"/>
        <v>2.7</v>
      </c>
      <c r="CN60" s="610">
        <f t="shared" si="70"/>
        <v>8.4990650004623927</v>
      </c>
      <c r="CO60" s="611">
        <f t="shared" si="70"/>
        <v>8.5039792876847233</v>
      </c>
      <c r="CP60" s="612">
        <f t="shared" si="70"/>
        <v>8.5053597792944124</v>
      </c>
      <c r="CQ60" s="611">
        <f t="shared" si="71"/>
        <v>2.250308004884634</v>
      </c>
      <c r="CR60" s="611">
        <f t="shared" si="71"/>
        <v>2.6512333012042681</v>
      </c>
      <c r="CS60" s="611">
        <f t="shared" si="71"/>
        <v>3.0521585975239023</v>
      </c>
      <c r="CT60" s="610">
        <f t="shared" si="19"/>
        <v>10.749373005347026</v>
      </c>
      <c r="CU60" s="611">
        <f t="shared" si="19"/>
        <v>11.155212588888991</v>
      </c>
      <c r="CV60" s="612">
        <f t="shared" si="19"/>
        <v>11.557518376818315</v>
      </c>
      <c r="CW60" s="613">
        <f t="shared" si="79"/>
        <v>10.749373005347026</v>
      </c>
      <c r="CX60" s="613">
        <f t="shared" si="79"/>
        <v>11.155212588888991</v>
      </c>
      <c r="CY60" s="613">
        <f t="shared" si="79"/>
        <v>11.557518376818315</v>
      </c>
      <c r="CZ60" s="609">
        <f t="shared" si="21"/>
        <v>8.5058990739490348</v>
      </c>
      <c r="DA60" s="609"/>
      <c r="DB60" s="609">
        <f t="shared" si="42"/>
        <v>2.7</v>
      </c>
      <c r="DC60" s="610">
        <f t="shared" si="66"/>
        <v>1.8038395993043108E-2</v>
      </c>
      <c r="DD60" s="611">
        <f t="shared" si="66"/>
        <v>5.9700385204571474E-3</v>
      </c>
      <c r="DE60" s="612">
        <f t="shared" si="66"/>
        <v>1.9306765411226823E-3</v>
      </c>
      <c r="DF60" s="611">
        <f t="shared" si="80"/>
        <v>1.9282832445064353E-2</v>
      </c>
      <c r="DG60" s="611">
        <f t="shared" si="80"/>
        <v>6.4591908249411398E-3</v>
      </c>
      <c r="DH60" s="611">
        <f t="shared" si="80"/>
        <v>2.1142607969082293E-3</v>
      </c>
      <c r="DI60" s="614">
        <f t="shared" si="23"/>
        <v>8</v>
      </c>
      <c r="DJ60" s="615"/>
      <c r="DK60" s="609">
        <f t="shared" si="43"/>
        <v>2.7</v>
      </c>
      <c r="DL60" s="611">
        <f t="shared" si="72"/>
        <v>3.8829902851107896</v>
      </c>
      <c r="DM60" s="611">
        <f t="shared" si="72"/>
        <v>1000000</v>
      </c>
      <c r="DN60" s="611">
        <f t="shared" si="72"/>
        <v>1000000</v>
      </c>
      <c r="DO60" s="610">
        <f t="shared" si="73"/>
        <v>0.3422493142989147</v>
      </c>
      <c r="DP60" s="611">
        <f t="shared" si="73"/>
        <v>0.36159931429891484</v>
      </c>
      <c r="DQ60" s="612">
        <f t="shared" si="73"/>
        <v>0.39255931429891511</v>
      </c>
      <c r="DR60" s="611">
        <f t="shared" si="26"/>
        <v>4.2252395994097043</v>
      </c>
      <c r="DS60" s="611">
        <f t="shared" si="26"/>
        <v>1000000.3615993143</v>
      </c>
      <c r="DT60" s="611">
        <f t="shared" si="26"/>
        <v>1000000.3925593143</v>
      </c>
      <c r="DU60" s="609">
        <f t="shared" si="44"/>
        <v>4.2</v>
      </c>
      <c r="DV60" s="611"/>
      <c r="DW60" s="646">
        <f t="shared" si="27"/>
        <v>7.2</v>
      </c>
      <c r="DX60" s="621">
        <f t="shared" si="74"/>
        <v>7.5780825495896718</v>
      </c>
      <c r="DY60" s="621">
        <f t="shared" si="74"/>
        <v>7.67837742279485</v>
      </c>
      <c r="DZ60" s="621">
        <f t="shared" si="74"/>
        <v>7.7591042577211589</v>
      </c>
      <c r="EA60" s="610">
        <f t="shared" si="67"/>
        <v>8.2260216773203574</v>
      </c>
      <c r="EB60" s="611">
        <f t="shared" si="67"/>
        <v>8.2231683227566847</v>
      </c>
      <c r="EC60" s="612">
        <f t="shared" si="67"/>
        <v>8.2207508394605977</v>
      </c>
      <c r="ED60" s="610">
        <f t="shared" si="45"/>
        <v>8</v>
      </c>
      <c r="EE60" s="611">
        <f t="shared" si="46"/>
        <v>8.5058990739490348</v>
      </c>
      <c r="EF60" s="645">
        <f t="shared" si="47"/>
        <v>1000000</v>
      </c>
      <c r="EG60" s="902"/>
      <c r="EH60" s="646">
        <f t="shared" si="30"/>
        <v>7.2</v>
      </c>
      <c r="EI60" s="610">
        <f t="shared" si="75"/>
        <v>0.64793912773068474</v>
      </c>
      <c r="EJ60" s="986">
        <f t="shared" si="75"/>
        <v>0.54479089996183427</v>
      </c>
      <c r="EK60" s="612">
        <f t="shared" si="75"/>
        <v>0.46164658173943929</v>
      </c>
    </row>
    <row r="61" spans="21:141" ht="15" customHeight="1" x14ac:dyDescent="0.25">
      <c r="U61" s="642">
        <f t="shared" si="49"/>
        <v>55</v>
      </c>
      <c r="W61" s="609">
        <f t="shared" si="0"/>
        <v>3.898537075559974</v>
      </c>
      <c r="X61" s="610">
        <f t="shared" si="76"/>
        <v>3.8561791472395472</v>
      </c>
      <c r="Y61" s="611">
        <f t="shared" si="76"/>
        <v>3.8342099164703165</v>
      </c>
      <c r="Z61" s="611">
        <f t="shared" si="76"/>
        <v>3.799059147239547</v>
      </c>
      <c r="AA61" s="611">
        <f t="shared" si="76"/>
        <v>3.7287576087780088</v>
      </c>
      <c r="AB61" s="982">
        <f t="shared" si="1"/>
        <v>1000000</v>
      </c>
      <c r="AC61" s="919">
        <f t="shared" si="2"/>
        <v>3.8693606857010856</v>
      </c>
      <c r="AD61" s="611">
        <f t="shared" si="51"/>
        <v>3.7723549254375088</v>
      </c>
      <c r="AE61" s="611">
        <f t="shared" si="51"/>
        <v>3.7310356946682779</v>
      </c>
      <c r="AF61" s="611">
        <f t="shared" si="51"/>
        <v>3.664924925437508</v>
      </c>
      <c r="AG61" s="612">
        <f t="shared" si="51"/>
        <v>3.5327033869759692</v>
      </c>
      <c r="AH61" s="609">
        <f t="shared" si="4"/>
        <v>3</v>
      </c>
      <c r="AI61" s="895">
        <f t="shared" si="34"/>
        <v>-1000000</v>
      </c>
      <c r="AJ61" s="610">
        <f t="shared" si="5"/>
        <v>3.898537075559974</v>
      </c>
      <c r="AK61" s="609">
        <f t="shared" si="35"/>
        <v>-7.2214221802038348E-2</v>
      </c>
      <c r="AL61" s="611">
        <f t="shared" si="77"/>
        <v>-8.3824221802038454E-2</v>
      </c>
      <c r="AM61" s="611">
        <f t="shared" si="77"/>
        <v>-0.10317422180203861</v>
      </c>
      <c r="AN61" s="611">
        <f t="shared" si="77"/>
        <v>-0.13413422180203888</v>
      </c>
      <c r="AO61" s="612">
        <f t="shared" si="77"/>
        <v>-0.19605422180203941</v>
      </c>
      <c r="AP61" s="902">
        <v>0</v>
      </c>
      <c r="AQ61" s="783">
        <f t="shared" si="6"/>
        <v>1000000</v>
      </c>
      <c r="AR61" s="983"/>
      <c r="AS61" s="609">
        <f t="shared" si="7"/>
        <v>3.898537075559974</v>
      </c>
      <c r="AT61" s="610">
        <f t="shared" si="63"/>
        <v>3.7723549254375088</v>
      </c>
      <c r="AU61" s="611">
        <f t="shared" si="63"/>
        <v>3.7310356946682779</v>
      </c>
      <c r="AV61" s="611">
        <f t="shared" si="63"/>
        <v>3.664924925437508</v>
      </c>
      <c r="AW61" s="612">
        <f t="shared" si="63"/>
        <v>3.5327033869759692</v>
      </c>
      <c r="AX61" s="982">
        <f t="shared" si="9"/>
        <v>1000000</v>
      </c>
      <c r="AY61" s="611">
        <f t="shared" si="10"/>
        <v>3</v>
      </c>
      <c r="AZ61" s="612">
        <f t="shared" si="11"/>
        <v>3.8693606857010856</v>
      </c>
      <c r="BB61" s="984">
        <f t="shared" si="37"/>
        <v>4.1745270649351092</v>
      </c>
      <c r="BC61" s="985">
        <f t="shared" si="78"/>
        <v>3.8212788221028364</v>
      </c>
      <c r="BD61" s="985">
        <f t="shared" si="78"/>
        <v>3.6472736721881969</v>
      </c>
      <c r="BE61" s="528">
        <f t="shared" si="78"/>
        <v>3.5714777348954345</v>
      </c>
      <c r="BF61" s="913">
        <f t="shared" si="64"/>
        <v>4.1745270649351092</v>
      </c>
      <c r="BG61" s="317">
        <f t="shared" si="64"/>
        <v>-1000000</v>
      </c>
      <c r="BH61" s="317">
        <f t="shared" si="64"/>
        <v>-1000000</v>
      </c>
      <c r="BI61" s="919">
        <f t="shared" si="64"/>
        <v>-1000000</v>
      </c>
      <c r="BJ61" s="646">
        <f t="shared" si="13"/>
        <v>2.75</v>
      </c>
      <c r="BK61" s="913">
        <f t="shared" si="65"/>
        <v>4.1745270649351092</v>
      </c>
      <c r="BL61" s="317"/>
      <c r="BM61" s="317"/>
      <c r="BN61" s="317"/>
      <c r="BO61" s="913">
        <f t="shared" si="15"/>
        <v>3</v>
      </c>
      <c r="BP61" s="783">
        <f t="shared" si="39"/>
        <v>1000000</v>
      </c>
      <c r="CK61" s="642">
        <f t="shared" si="50"/>
        <v>55</v>
      </c>
      <c r="CL61" s="609">
        <f t="shared" si="16"/>
        <v>3.898537075559974</v>
      </c>
      <c r="CM61" s="609">
        <f t="shared" si="40"/>
        <v>2.75</v>
      </c>
      <c r="CN61" s="610">
        <f t="shared" si="70"/>
        <v>8.4999099392857005</v>
      </c>
      <c r="CO61" s="611">
        <f t="shared" si="70"/>
        <v>8.5042557404551076</v>
      </c>
      <c r="CP61" s="612">
        <f t="shared" si="70"/>
        <v>8.5054481665769242</v>
      </c>
      <c r="CQ61" s="611">
        <f t="shared" si="71"/>
        <v>2.250308004884634</v>
      </c>
      <c r="CR61" s="611">
        <f t="shared" si="71"/>
        <v>2.6512333012042681</v>
      </c>
      <c r="CS61" s="611">
        <f t="shared" si="71"/>
        <v>3.0521585975239023</v>
      </c>
      <c r="CT61" s="610">
        <f t="shared" si="19"/>
        <v>10.750217944170334</v>
      </c>
      <c r="CU61" s="611">
        <f t="shared" si="19"/>
        <v>11.155489041659376</v>
      </c>
      <c r="CV61" s="612">
        <f t="shared" si="19"/>
        <v>11.557606764100827</v>
      </c>
      <c r="CW61" s="613">
        <f t="shared" si="79"/>
        <v>10.750217944170334</v>
      </c>
      <c r="CX61" s="613">
        <f t="shared" si="79"/>
        <v>11.155489041659376</v>
      </c>
      <c r="CY61" s="613">
        <f t="shared" si="79"/>
        <v>11.557606764100827</v>
      </c>
      <c r="CZ61" s="609">
        <f t="shared" si="21"/>
        <v>8.5058990739490348</v>
      </c>
      <c r="DA61" s="609"/>
      <c r="DB61" s="609">
        <f t="shared" si="42"/>
        <v>2.75</v>
      </c>
      <c r="DC61" s="610">
        <f t="shared" si="66"/>
        <v>1.5808197398527037E-2</v>
      </c>
      <c r="DD61" s="611">
        <f t="shared" si="66"/>
        <v>5.1103419391438209E-3</v>
      </c>
      <c r="DE61" s="612">
        <f t="shared" si="66"/>
        <v>1.61424979478895E-3</v>
      </c>
      <c r="DF61" s="611">
        <f t="shared" si="80"/>
        <v>1.6898776466156621E-2</v>
      </c>
      <c r="DG61" s="611">
        <f t="shared" si="80"/>
        <v>5.5290554076847997E-3</v>
      </c>
      <c r="DH61" s="611">
        <f t="shared" si="80"/>
        <v>1.7677456502340823E-3</v>
      </c>
      <c r="DI61" s="614">
        <f t="shared" si="23"/>
        <v>8</v>
      </c>
      <c r="DJ61" s="615"/>
      <c r="DK61" s="609">
        <f t="shared" si="43"/>
        <v>2.75</v>
      </c>
      <c r="DL61" s="611">
        <f t="shared" si="72"/>
        <v>3.8832236207659765</v>
      </c>
      <c r="DM61" s="611">
        <f t="shared" si="72"/>
        <v>1000000</v>
      </c>
      <c r="DN61" s="611">
        <f t="shared" si="72"/>
        <v>1000000</v>
      </c>
      <c r="DO61" s="610">
        <f t="shared" si="73"/>
        <v>0.3422493142989147</v>
      </c>
      <c r="DP61" s="611">
        <f t="shared" si="73"/>
        <v>0.36159931429891484</v>
      </c>
      <c r="DQ61" s="612">
        <f t="shared" si="73"/>
        <v>0.39255931429891511</v>
      </c>
      <c r="DR61" s="611">
        <f t="shared" si="26"/>
        <v>4.2254729350648912</v>
      </c>
      <c r="DS61" s="611">
        <f t="shared" si="26"/>
        <v>1000000.3615993143</v>
      </c>
      <c r="DT61" s="611">
        <f t="shared" si="26"/>
        <v>1000000.3925593143</v>
      </c>
      <c r="DU61" s="609">
        <f t="shared" si="44"/>
        <v>4.2</v>
      </c>
      <c r="DV61" s="611"/>
      <c r="DW61" s="646">
        <f t="shared" si="27"/>
        <v>7.333333333333333</v>
      </c>
      <c r="DX61" s="621">
        <f t="shared" si="74"/>
        <v>7.5620812654767748</v>
      </c>
      <c r="DY61" s="621">
        <f t="shared" si="74"/>
        <v>7.6639921527989596</v>
      </c>
      <c r="DZ61" s="621">
        <f t="shared" si="74"/>
        <v>7.7460397065498947</v>
      </c>
      <c r="EA61" s="610">
        <f t="shared" si="67"/>
        <v>8.1873350892354111</v>
      </c>
      <c r="EB61" s="611">
        <f t="shared" si="67"/>
        <v>8.1849296982187898</v>
      </c>
      <c r="EC61" s="612">
        <f t="shared" si="67"/>
        <v>8.1828914074565837</v>
      </c>
      <c r="ED61" s="610">
        <f t="shared" si="45"/>
        <v>8</v>
      </c>
      <c r="EE61" s="611">
        <f t="shared" si="46"/>
        <v>8.5058990739490348</v>
      </c>
      <c r="EF61" s="645">
        <f t="shared" si="47"/>
        <v>1000000</v>
      </c>
      <c r="EG61" s="902"/>
      <c r="EH61" s="646">
        <f t="shared" si="30"/>
        <v>7.333333333333333</v>
      </c>
      <c r="EI61" s="610">
        <f t="shared" si="75"/>
        <v>0.62525382375863625</v>
      </c>
      <c r="EJ61" s="986">
        <f t="shared" si="75"/>
        <v>0.52093754541983017</v>
      </c>
      <c r="EK61" s="612">
        <f t="shared" si="75"/>
        <v>0.43685170090668901</v>
      </c>
    </row>
    <row r="62" spans="21:141" ht="15" customHeight="1" x14ac:dyDescent="0.25">
      <c r="U62" s="642">
        <f t="shared" si="49"/>
        <v>56</v>
      </c>
      <c r="W62" s="609">
        <f t="shared" si="0"/>
        <v>3.9694195678428827</v>
      </c>
      <c r="X62" s="610">
        <f t="shared" si="76"/>
        <v>3.8559731857010857</v>
      </c>
      <c r="Y62" s="611">
        <f t="shared" si="76"/>
        <v>3.8336606857010858</v>
      </c>
      <c r="Z62" s="611">
        <f t="shared" si="76"/>
        <v>3.7979606857010855</v>
      </c>
      <c r="AA62" s="611">
        <f t="shared" si="76"/>
        <v>3.7265606857010858</v>
      </c>
      <c r="AB62" s="982">
        <f t="shared" si="1"/>
        <v>1000000</v>
      </c>
      <c r="AC62" s="919">
        <f t="shared" si="2"/>
        <v>3.8693606857010856</v>
      </c>
      <c r="AD62" s="611">
        <f t="shared" si="51"/>
        <v>3.7689776476159929</v>
      </c>
      <c r="AE62" s="611">
        <f t="shared" si="51"/>
        <v>3.7273151476159927</v>
      </c>
      <c r="AF62" s="611">
        <f t="shared" si="51"/>
        <v>3.6606551476159921</v>
      </c>
      <c r="AG62" s="612">
        <f t="shared" si="51"/>
        <v>3.5273351476159918</v>
      </c>
      <c r="AH62" s="609">
        <f t="shared" si="4"/>
        <v>3</v>
      </c>
      <c r="AI62" s="895">
        <f t="shared" si="34"/>
        <v>-1000000</v>
      </c>
      <c r="AJ62" s="610">
        <f t="shared" si="5"/>
        <v>3.9694195678428827</v>
      </c>
      <c r="AK62" s="609">
        <f t="shared" si="35"/>
        <v>-7.5385538085092754E-2</v>
      </c>
      <c r="AL62" s="611">
        <f t="shared" si="77"/>
        <v>-8.6995538085092861E-2</v>
      </c>
      <c r="AM62" s="611">
        <f t="shared" si="77"/>
        <v>-0.10634553808509302</v>
      </c>
      <c r="AN62" s="611">
        <f t="shared" si="77"/>
        <v>-0.1373055380850933</v>
      </c>
      <c r="AO62" s="612">
        <f t="shared" si="77"/>
        <v>-0.19922553808509383</v>
      </c>
      <c r="AP62" s="902">
        <v>0</v>
      </c>
      <c r="AQ62" s="783">
        <f t="shared" si="6"/>
        <v>1000000</v>
      </c>
      <c r="AR62" s="983"/>
      <c r="AS62" s="609">
        <f t="shared" si="7"/>
        <v>3.9694195678428827</v>
      </c>
      <c r="AT62" s="610">
        <f t="shared" si="63"/>
        <v>3.7689776476159929</v>
      </c>
      <c r="AU62" s="611">
        <f t="shared" si="63"/>
        <v>3.7273151476159927</v>
      </c>
      <c r="AV62" s="611">
        <f t="shared" si="63"/>
        <v>3.6606551476159921</v>
      </c>
      <c r="AW62" s="612">
        <f t="shared" si="63"/>
        <v>3.5273351476159918</v>
      </c>
      <c r="AX62" s="982">
        <f t="shared" si="9"/>
        <v>1000000</v>
      </c>
      <c r="AY62" s="611">
        <f t="shared" si="10"/>
        <v>3</v>
      </c>
      <c r="AZ62" s="612">
        <f t="shared" si="11"/>
        <v>3.8693606857010856</v>
      </c>
      <c r="BB62" s="984">
        <f t="shared" si="37"/>
        <v>4.1742856008153026</v>
      </c>
      <c r="BC62" s="985">
        <f t="shared" si="78"/>
        <v>3.8133799210063466</v>
      </c>
      <c r="BD62" s="985">
        <f t="shared" si="78"/>
        <v>3.6459828894011057</v>
      </c>
      <c r="BE62" s="528">
        <f t="shared" si="78"/>
        <v>3.5710571993960412</v>
      </c>
      <c r="BF62" s="913">
        <f t="shared" si="64"/>
        <v>4.1742856008153026</v>
      </c>
      <c r="BG62" s="317">
        <f t="shared" si="64"/>
        <v>-1000000</v>
      </c>
      <c r="BH62" s="317">
        <f t="shared" si="64"/>
        <v>-1000000</v>
      </c>
      <c r="BI62" s="919">
        <f t="shared" si="64"/>
        <v>-1000000</v>
      </c>
      <c r="BJ62" s="646">
        <f t="shared" si="13"/>
        <v>2.8</v>
      </c>
      <c r="BK62" s="913">
        <f t="shared" si="65"/>
        <v>4.1742856008153026</v>
      </c>
      <c r="BL62" s="317"/>
      <c r="BM62" s="317"/>
      <c r="BN62" s="317"/>
      <c r="BO62" s="913">
        <f t="shared" si="15"/>
        <v>3</v>
      </c>
      <c r="BP62" s="783">
        <f t="shared" si="39"/>
        <v>1000000</v>
      </c>
      <c r="CK62" s="642">
        <f t="shared" si="50"/>
        <v>56</v>
      </c>
      <c r="CL62" s="609">
        <f t="shared" si="16"/>
        <v>3.9694195678428827</v>
      </c>
      <c r="CM62" s="609">
        <f t="shared" si="40"/>
        <v>2.8</v>
      </c>
      <c r="CN62" s="610">
        <f t="shared" si="70"/>
        <v>8.500650413090229</v>
      </c>
      <c r="CO62" s="611">
        <f t="shared" si="70"/>
        <v>8.5044923835155917</v>
      </c>
      <c r="CP62" s="612">
        <f t="shared" si="70"/>
        <v>8.505522067693768</v>
      </c>
      <c r="CQ62" s="611">
        <f t="shared" si="71"/>
        <v>2.250308004884634</v>
      </c>
      <c r="CR62" s="611">
        <f t="shared" si="71"/>
        <v>2.6512333012042681</v>
      </c>
      <c r="CS62" s="611">
        <f t="shared" si="71"/>
        <v>3.0521585975239023</v>
      </c>
      <c r="CT62" s="610">
        <f t="shared" si="19"/>
        <v>10.750958417974863</v>
      </c>
      <c r="CU62" s="611">
        <f t="shared" si="19"/>
        <v>11.15572568471986</v>
      </c>
      <c r="CV62" s="612">
        <f t="shared" si="19"/>
        <v>11.557680665217671</v>
      </c>
      <c r="CW62" s="613">
        <f t="shared" si="79"/>
        <v>10.750958417974863</v>
      </c>
      <c r="CX62" s="613">
        <f t="shared" si="79"/>
        <v>11.15572568471986</v>
      </c>
      <c r="CY62" s="613">
        <f t="shared" si="79"/>
        <v>11.557680665217671</v>
      </c>
      <c r="CZ62" s="609">
        <f t="shared" si="21"/>
        <v>8.5058990739490348</v>
      </c>
      <c r="DA62" s="609"/>
      <c r="DB62" s="609">
        <f t="shared" si="42"/>
        <v>2.8</v>
      </c>
      <c r="DC62" s="610">
        <f t="shared" si="66"/>
        <v>1.3853732066153555E-2</v>
      </c>
      <c r="DD62" s="611">
        <f t="shared" si="66"/>
        <v>4.3744432545089317E-3</v>
      </c>
      <c r="DE62" s="612">
        <f t="shared" si="66"/>
        <v>1.3496835666014294E-3</v>
      </c>
      <c r="DF62" s="611">
        <f t="shared" si="80"/>
        <v>1.4809476090569314E-2</v>
      </c>
      <c r="DG62" s="611">
        <f t="shared" si="80"/>
        <v>4.7328612096819876E-3</v>
      </c>
      <c r="DH62" s="611">
        <f t="shared" si="80"/>
        <v>1.478022336876E-3</v>
      </c>
      <c r="DI62" s="614">
        <f t="shared" si="23"/>
        <v>8</v>
      </c>
      <c r="DJ62" s="615"/>
      <c r="DK62" s="609">
        <f t="shared" si="43"/>
        <v>2.8</v>
      </c>
      <c r="DL62" s="611">
        <f t="shared" si="72"/>
        <v>3.883465084885783</v>
      </c>
      <c r="DM62" s="611">
        <f t="shared" si="72"/>
        <v>1000000</v>
      </c>
      <c r="DN62" s="611">
        <f t="shared" si="72"/>
        <v>1000000</v>
      </c>
      <c r="DO62" s="610">
        <f t="shared" si="73"/>
        <v>0.3422493142989147</v>
      </c>
      <c r="DP62" s="611">
        <f t="shared" si="73"/>
        <v>0.36159931429891484</v>
      </c>
      <c r="DQ62" s="612">
        <f t="shared" si="73"/>
        <v>0.39255931429891511</v>
      </c>
      <c r="DR62" s="611">
        <f t="shared" si="26"/>
        <v>4.2257143991846977</v>
      </c>
      <c r="DS62" s="611">
        <f t="shared" si="26"/>
        <v>1000000.3615993143</v>
      </c>
      <c r="DT62" s="611">
        <f t="shared" si="26"/>
        <v>1000000.3925593143</v>
      </c>
      <c r="DU62" s="609">
        <f t="shared" si="44"/>
        <v>4.2</v>
      </c>
      <c r="DV62" s="611"/>
      <c r="DW62" s="646">
        <f t="shared" si="27"/>
        <v>7.4666666666666668</v>
      </c>
      <c r="DX62" s="621">
        <f t="shared" si="74"/>
        <v>7.5461199094823277</v>
      </c>
      <c r="DY62" s="621">
        <f t="shared" si="74"/>
        <v>7.6496389068674189</v>
      </c>
      <c r="DZ62" s="621">
        <f t="shared" si="74"/>
        <v>7.733001407788807</v>
      </c>
      <c r="EA62" s="610">
        <f t="shared" si="67"/>
        <v>8.1490633843631883</v>
      </c>
      <c r="EB62" s="611">
        <f t="shared" si="67"/>
        <v>8.1471173590173027</v>
      </c>
      <c r="EC62" s="612">
        <f t="shared" si="67"/>
        <v>8.1454680511955786</v>
      </c>
      <c r="ED62" s="610">
        <f t="shared" si="45"/>
        <v>8</v>
      </c>
      <c r="EE62" s="611">
        <f t="shared" si="46"/>
        <v>8.5058990739490348</v>
      </c>
      <c r="EF62" s="645">
        <f t="shared" si="47"/>
        <v>1000000</v>
      </c>
      <c r="EG62" s="902"/>
      <c r="EH62" s="646">
        <f t="shared" si="30"/>
        <v>7.4666666666666668</v>
      </c>
      <c r="EI62" s="610">
        <f t="shared" si="75"/>
        <v>0.60294347488086064</v>
      </c>
      <c r="EJ62" s="986">
        <f t="shared" si="75"/>
        <v>0.4974784521498834</v>
      </c>
      <c r="EK62" s="612">
        <f t="shared" si="75"/>
        <v>0.41246664340677075</v>
      </c>
    </row>
    <row r="63" spans="21:141" ht="15" customHeight="1" x14ac:dyDescent="0.25">
      <c r="U63" s="642">
        <f t="shared" si="49"/>
        <v>57</v>
      </c>
      <c r="W63" s="609">
        <f t="shared" si="0"/>
        <v>4.0403020601257911</v>
      </c>
      <c r="X63" s="610">
        <f t="shared" si="76"/>
        <v>3.8557606857010858</v>
      </c>
      <c r="Y63" s="611">
        <f t="shared" si="76"/>
        <v>3.8330940190344189</v>
      </c>
      <c r="Z63" s="611">
        <f t="shared" si="76"/>
        <v>3.7968273523677523</v>
      </c>
      <c r="AA63" s="611">
        <f t="shared" si="76"/>
        <v>3.7242940190344189</v>
      </c>
      <c r="AB63" s="982">
        <f t="shared" si="1"/>
        <v>1000000</v>
      </c>
      <c r="AC63" s="919">
        <f t="shared" si="2"/>
        <v>3.8693606857010856</v>
      </c>
      <c r="AD63" s="611">
        <f t="shared" si="51"/>
        <v>3.7656774952027541</v>
      </c>
      <c r="AE63" s="611">
        <f t="shared" si="51"/>
        <v>3.723660828536087</v>
      </c>
      <c r="AF63" s="611">
        <f t="shared" si="51"/>
        <v>3.6564341618694201</v>
      </c>
      <c r="AG63" s="612">
        <f t="shared" si="51"/>
        <v>3.5219808285360861</v>
      </c>
      <c r="AH63" s="609">
        <f t="shared" si="4"/>
        <v>3</v>
      </c>
      <c r="AI63" s="895">
        <f t="shared" si="34"/>
        <v>-1000000</v>
      </c>
      <c r="AJ63" s="610">
        <f t="shared" si="5"/>
        <v>4.0403020601257911</v>
      </c>
      <c r="AK63" s="609">
        <f t="shared" si="35"/>
        <v>-7.8473190498331763E-2</v>
      </c>
      <c r="AL63" s="611">
        <f t="shared" si="77"/>
        <v>-9.0083190498331869E-2</v>
      </c>
      <c r="AM63" s="611">
        <f t="shared" si="77"/>
        <v>-0.10943319049833203</v>
      </c>
      <c r="AN63" s="611">
        <f t="shared" si="77"/>
        <v>-0.14039319049833229</v>
      </c>
      <c r="AO63" s="612">
        <f t="shared" si="77"/>
        <v>-0.20231319049833285</v>
      </c>
      <c r="AP63" s="902">
        <v>0</v>
      </c>
      <c r="AQ63" s="783">
        <f t="shared" si="6"/>
        <v>1000000</v>
      </c>
      <c r="AR63" s="983"/>
      <c r="AS63" s="609">
        <f t="shared" si="7"/>
        <v>4.0403020601257911</v>
      </c>
      <c r="AT63" s="610">
        <f t="shared" si="63"/>
        <v>3.7656774952027541</v>
      </c>
      <c r="AU63" s="611">
        <f t="shared" si="63"/>
        <v>3.723660828536087</v>
      </c>
      <c r="AV63" s="611">
        <f t="shared" si="63"/>
        <v>3.6564341618694201</v>
      </c>
      <c r="AW63" s="612">
        <f t="shared" si="63"/>
        <v>3.5219808285360861</v>
      </c>
      <c r="AX63" s="982">
        <f t="shared" si="9"/>
        <v>1000000</v>
      </c>
      <c r="AY63" s="611">
        <f t="shared" si="10"/>
        <v>3</v>
      </c>
      <c r="AZ63" s="612">
        <f t="shared" si="11"/>
        <v>3.8693606857010856</v>
      </c>
      <c r="BB63" s="984">
        <f t="shared" si="37"/>
        <v>4.1740355759576158</v>
      </c>
      <c r="BC63" s="985">
        <f t="shared" si="78"/>
        <v>3.8062331321054956</v>
      </c>
      <c r="BD63" s="985">
        <f t="shared" si="78"/>
        <v>3.6447743603523919</v>
      </c>
      <c r="BE63" s="528">
        <f t="shared" si="78"/>
        <v>3.570656570738088</v>
      </c>
      <c r="BF63" s="913">
        <f t="shared" si="64"/>
        <v>4.1740355759576158</v>
      </c>
      <c r="BG63" s="317">
        <f t="shared" si="64"/>
        <v>-1000000</v>
      </c>
      <c r="BH63" s="317">
        <f t="shared" si="64"/>
        <v>-1000000</v>
      </c>
      <c r="BI63" s="919">
        <f t="shared" si="64"/>
        <v>-1000000</v>
      </c>
      <c r="BJ63" s="646">
        <f t="shared" si="13"/>
        <v>2.8499999999999996</v>
      </c>
      <c r="BK63" s="913">
        <f t="shared" si="65"/>
        <v>4.1740355759576158</v>
      </c>
      <c r="BL63" s="317"/>
      <c r="BM63" s="317"/>
      <c r="BN63" s="317"/>
      <c r="BO63" s="913">
        <f t="shared" si="15"/>
        <v>3</v>
      </c>
      <c r="BP63" s="783">
        <f t="shared" si="39"/>
        <v>1000000</v>
      </c>
      <c r="CK63" s="642">
        <f t="shared" si="50"/>
        <v>57</v>
      </c>
      <c r="CL63" s="609">
        <f t="shared" si="16"/>
        <v>4.0403020601257911</v>
      </c>
      <c r="CM63" s="609">
        <f t="shared" si="40"/>
        <v>2.8499999999999996</v>
      </c>
      <c r="CN63" s="610">
        <f t="shared" si="70"/>
        <v>8.5012993375331174</v>
      </c>
      <c r="CO63" s="611">
        <f t="shared" si="70"/>
        <v>8.5046949495379796</v>
      </c>
      <c r="CP63" s="612">
        <f t="shared" si="70"/>
        <v>8.5055838568439235</v>
      </c>
      <c r="CQ63" s="611">
        <f t="shared" si="71"/>
        <v>2.250308004884634</v>
      </c>
      <c r="CR63" s="611">
        <f t="shared" si="71"/>
        <v>2.6512333012042681</v>
      </c>
      <c r="CS63" s="611">
        <f t="shared" si="71"/>
        <v>3.0521585975239023</v>
      </c>
      <c r="CT63" s="610">
        <f t="shared" si="19"/>
        <v>10.751607342417751</v>
      </c>
      <c r="CU63" s="611">
        <f t="shared" si="19"/>
        <v>11.155928250742248</v>
      </c>
      <c r="CV63" s="612">
        <f t="shared" si="19"/>
        <v>11.557742454367826</v>
      </c>
      <c r="CW63" s="613">
        <f t="shared" si="79"/>
        <v>10.751607342417751</v>
      </c>
      <c r="CX63" s="613">
        <f t="shared" si="79"/>
        <v>11.155928250742248</v>
      </c>
      <c r="CY63" s="613">
        <f t="shared" si="79"/>
        <v>11.557742454367826</v>
      </c>
      <c r="CZ63" s="609">
        <f t="shared" si="21"/>
        <v>8.5058990739490348</v>
      </c>
      <c r="DA63" s="609"/>
      <c r="DB63" s="609">
        <f t="shared" si="42"/>
        <v>2.8499999999999996</v>
      </c>
      <c r="DC63" s="610">
        <f t="shared" si="66"/>
        <v>1.2140909385320203E-2</v>
      </c>
      <c r="DD63" s="611">
        <f t="shared" si="66"/>
        <v>3.7445153406162656E-3</v>
      </c>
      <c r="DE63" s="612">
        <f t="shared" si="66"/>
        <v>1.1284782168376408E-3</v>
      </c>
      <c r="DF63" s="611">
        <f t="shared" si="80"/>
        <v>1.2978488857768913E-2</v>
      </c>
      <c r="DG63" s="611">
        <f t="shared" si="80"/>
        <v>4.0513204477577039E-3</v>
      </c>
      <c r="DH63" s="611">
        <f t="shared" si="80"/>
        <v>1.235783003110673E-3</v>
      </c>
      <c r="DI63" s="614">
        <f t="shared" si="23"/>
        <v>8</v>
      </c>
      <c r="DJ63" s="615"/>
      <c r="DK63" s="609">
        <f t="shared" si="43"/>
        <v>2.8499999999999996</v>
      </c>
      <c r="DL63" s="611">
        <f t="shared" si="72"/>
        <v>3.8837151097434699</v>
      </c>
      <c r="DM63" s="611">
        <f t="shared" si="72"/>
        <v>1000000</v>
      </c>
      <c r="DN63" s="611">
        <f t="shared" si="72"/>
        <v>1000000</v>
      </c>
      <c r="DO63" s="610">
        <f t="shared" si="73"/>
        <v>0.3422493142989147</v>
      </c>
      <c r="DP63" s="611">
        <f t="shared" si="73"/>
        <v>0.36159931429891484</v>
      </c>
      <c r="DQ63" s="612">
        <f t="shared" si="73"/>
        <v>0.39255931429891511</v>
      </c>
      <c r="DR63" s="611">
        <f t="shared" si="26"/>
        <v>4.2259644240423846</v>
      </c>
      <c r="DS63" s="611">
        <f t="shared" si="26"/>
        <v>1000000.3615993143</v>
      </c>
      <c r="DT63" s="611">
        <f t="shared" si="26"/>
        <v>1000000.3925593143</v>
      </c>
      <c r="DU63" s="609">
        <f t="shared" si="44"/>
        <v>4.2</v>
      </c>
      <c r="DV63" s="611"/>
      <c r="DW63" s="646">
        <f t="shared" si="27"/>
        <v>7.6</v>
      </c>
      <c r="DX63" s="621">
        <f t="shared" si="74"/>
        <v>7.53019833234318</v>
      </c>
      <c r="DY63" s="621">
        <f t="shared" si="74"/>
        <v>7.6353175781825868</v>
      </c>
      <c r="DZ63" s="621">
        <f t="shared" si="74"/>
        <v>7.7199892823884149</v>
      </c>
      <c r="EA63" s="610">
        <f t="shared" si="67"/>
        <v>8.1112002159779486</v>
      </c>
      <c r="EB63" s="611">
        <f t="shared" si="67"/>
        <v>8.1097246817689381</v>
      </c>
      <c r="EC63" s="612">
        <f t="shared" si="67"/>
        <v>8.1084739178442184</v>
      </c>
      <c r="ED63" s="610">
        <f t="shared" si="45"/>
        <v>8</v>
      </c>
      <c r="EE63" s="611">
        <f t="shared" si="46"/>
        <v>8.5058990739490348</v>
      </c>
      <c r="EF63" s="645">
        <f t="shared" si="47"/>
        <v>1000000</v>
      </c>
      <c r="EG63" s="902"/>
      <c r="EH63" s="646">
        <f t="shared" si="30"/>
        <v>7.6</v>
      </c>
      <c r="EI63" s="610">
        <f t="shared" si="75"/>
        <v>0.58100188363476768</v>
      </c>
      <c r="EJ63" s="986">
        <f t="shared" si="75"/>
        <v>0.47440710358635219</v>
      </c>
      <c r="EK63" s="612">
        <f t="shared" si="75"/>
        <v>0.3884846354558027</v>
      </c>
    </row>
    <row r="64" spans="21:141" ht="15" customHeight="1" x14ac:dyDescent="0.25">
      <c r="U64" s="642">
        <f t="shared" si="49"/>
        <v>58</v>
      </c>
      <c r="W64" s="609">
        <f t="shared" si="0"/>
        <v>4.1111845524086998</v>
      </c>
      <c r="X64" s="610">
        <f t="shared" si="76"/>
        <v>3.8555413308623758</v>
      </c>
      <c r="Y64" s="611">
        <f t="shared" si="76"/>
        <v>3.8325090727978597</v>
      </c>
      <c r="Z64" s="611">
        <f t="shared" si="76"/>
        <v>3.7956574598946342</v>
      </c>
      <c r="AA64" s="611">
        <f t="shared" si="76"/>
        <v>3.7219542340881824</v>
      </c>
      <c r="AB64" s="982">
        <f t="shared" si="1"/>
        <v>1000000</v>
      </c>
      <c r="AC64" s="919">
        <f t="shared" si="2"/>
        <v>3.8693606857010856</v>
      </c>
      <c r="AD64" s="611">
        <f t="shared" si="51"/>
        <v>3.7624519446477978</v>
      </c>
      <c r="AE64" s="611">
        <f t="shared" si="51"/>
        <v>3.7200696865832814</v>
      </c>
      <c r="AF64" s="611">
        <f t="shared" si="51"/>
        <v>3.6522580736800556</v>
      </c>
      <c r="AG64" s="612">
        <f t="shared" si="51"/>
        <v>3.5166348478736031</v>
      </c>
      <c r="AH64" s="609">
        <f t="shared" si="4"/>
        <v>3</v>
      </c>
      <c r="AI64" s="895">
        <f t="shared" si="34"/>
        <v>-1000000</v>
      </c>
      <c r="AJ64" s="610">
        <f t="shared" si="5"/>
        <v>4.1111845524086998</v>
      </c>
      <c r="AK64" s="609">
        <f t="shared" si="35"/>
        <v>-8.1479386214578148E-2</v>
      </c>
      <c r="AL64" s="611">
        <f t="shared" si="77"/>
        <v>-9.3089386214578254E-2</v>
      </c>
      <c r="AM64" s="611">
        <f t="shared" si="77"/>
        <v>-0.11243938621457841</v>
      </c>
      <c r="AN64" s="611">
        <f t="shared" si="77"/>
        <v>-0.14339938621457868</v>
      </c>
      <c r="AO64" s="612">
        <f t="shared" si="77"/>
        <v>-0.20531938621457924</v>
      </c>
      <c r="AP64" s="902">
        <v>0</v>
      </c>
      <c r="AQ64" s="783">
        <f t="shared" si="6"/>
        <v>1000000</v>
      </c>
      <c r="AR64" s="983"/>
      <c r="AS64" s="609">
        <f t="shared" si="7"/>
        <v>4.1111845524086998</v>
      </c>
      <c r="AT64" s="610">
        <f t="shared" si="63"/>
        <v>3.7624519446477978</v>
      </c>
      <c r="AU64" s="611">
        <f t="shared" si="63"/>
        <v>3.7200696865832814</v>
      </c>
      <c r="AV64" s="611">
        <f t="shared" si="63"/>
        <v>3.6522580736800556</v>
      </c>
      <c r="AW64" s="612">
        <f t="shared" si="63"/>
        <v>3.5166348478736031</v>
      </c>
      <c r="AX64" s="982">
        <f t="shared" si="9"/>
        <v>1000000</v>
      </c>
      <c r="AY64" s="611">
        <f t="shared" si="10"/>
        <v>3</v>
      </c>
      <c r="AZ64" s="612">
        <f t="shared" si="11"/>
        <v>3.8693606857010856</v>
      </c>
      <c r="BB64" s="984">
        <f t="shared" si="37"/>
        <v>4.1737765268844731</v>
      </c>
      <c r="BC64" s="985">
        <f t="shared" si="78"/>
        <v>3.7997068634495941</v>
      </c>
      <c r="BD64" s="985">
        <f t="shared" si="78"/>
        <v>3.6436417601321232</v>
      </c>
      <c r="BE64" s="528">
        <f t="shared" si="78"/>
        <v>3.5702743921870792</v>
      </c>
      <c r="BF64" s="913">
        <f t="shared" si="64"/>
        <v>4.1737765268844731</v>
      </c>
      <c r="BG64" s="317">
        <f t="shared" si="64"/>
        <v>-1000000</v>
      </c>
      <c r="BH64" s="317">
        <f t="shared" si="64"/>
        <v>-1000000</v>
      </c>
      <c r="BI64" s="919">
        <f t="shared" si="64"/>
        <v>-1000000</v>
      </c>
      <c r="BJ64" s="646">
        <f t="shared" si="13"/>
        <v>2.9</v>
      </c>
      <c r="BK64" s="913">
        <f t="shared" si="65"/>
        <v>4.1737765268844731</v>
      </c>
      <c r="BL64" s="317"/>
      <c r="BM64" s="317"/>
      <c r="BN64" s="317"/>
      <c r="BO64" s="913">
        <f t="shared" si="15"/>
        <v>3</v>
      </c>
      <c r="BP64" s="783">
        <f t="shared" si="39"/>
        <v>1000000</v>
      </c>
      <c r="CK64" s="642">
        <f t="shared" si="50"/>
        <v>58</v>
      </c>
      <c r="CL64" s="609">
        <f t="shared" si="16"/>
        <v>4.1111845524086998</v>
      </c>
      <c r="CM64" s="609">
        <f t="shared" si="40"/>
        <v>2.9</v>
      </c>
      <c r="CN64" s="610">
        <f t="shared" si="70"/>
        <v>8.5018680314288435</v>
      </c>
      <c r="CO64" s="611">
        <f t="shared" si="70"/>
        <v>8.5048683456787444</v>
      </c>
      <c r="CP64" s="612">
        <f t="shared" si="70"/>
        <v>8.5056355191088517</v>
      </c>
      <c r="CQ64" s="611">
        <f t="shared" si="71"/>
        <v>2.250308004884634</v>
      </c>
      <c r="CR64" s="611">
        <f t="shared" si="71"/>
        <v>2.6512333012042681</v>
      </c>
      <c r="CS64" s="611">
        <f t="shared" si="71"/>
        <v>3.0521585975239023</v>
      </c>
      <c r="CT64" s="610">
        <f t="shared" si="19"/>
        <v>10.752176036313477</v>
      </c>
      <c r="CU64" s="611">
        <f t="shared" si="19"/>
        <v>11.156101646883013</v>
      </c>
      <c r="CV64" s="612">
        <f t="shared" si="19"/>
        <v>11.557794116632754</v>
      </c>
      <c r="CW64" s="613">
        <f t="shared" si="79"/>
        <v>10.752176036313477</v>
      </c>
      <c r="CX64" s="613">
        <f t="shared" si="79"/>
        <v>11.156101646883013</v>
      </c>
      <c r="CY64" s="613">
        <f t="shared" si="79"/>
        <v>11.557794116632754</v>
      </c>
      <c r="CZ64" s="609">
        <f t="shared" si="21"/>
        <v>8.5058990739490348</v>
      </c>
      <c r="DA64" s="609"/>
      <c r="DB64" s="609">
        <f t="shared" si="42"/>
        <v>2.9</v>
      </c>
      <c r="DC64" s="610">
        <f t="shared" si="66"/>
        <v>1.063985357871019E-2</v>
      </c>
      <c r="DD64" s="611">
        <f t="shared" si="66"/>
        <v>3.2052982106141287E-3</v>
      </c>
      <c r="DE64" s="612">
        <f t="shared" si="66"/>
        <v>9.4352714768818112E-4</v>
      </c>
      <c r="DF64" s="611">
        <f t="shared" si="80"/>
        <v>1.1373877914522207E-2</v>
      </c>
      <c r="DG64" s="611">
        <f t="shared" si="80"/>
        <v>3.4679228152967125E-3</v>
      </c>
      <c r="DH64" s="611">
        <f t="shared" si="80"/>
        <v>1.0332452985650721E-3</v>
      </c>
      <c r="DI64" s="614">
        <f t="shared" si="23"/>
        <v>8</v>
      </c>
      <c r="DJ64" s="615"/>
      <c r="DK64" s="609">
        <f t="shared" si="43"/>
        <v>2.9</v>
      </c>
      <c r="DL64" s="611">
        <f t="shared" si="72"/>
        <v>3.8839741588166121</v>
      </c>
      <c r="DM64" s="611">
        <f t="shared" si="72"/>
        <v>1000000</v>
      </c>
      <c r="DN64" s="611">
        <f t="shared" si="72"/>
        <v>1000000</v>
      </c>
      <c r="DO64" s="610">
        <f t="shared" si="73"/>
        <v>0.3422493142989147</v>
      </c>
      <c r="DP64" s="611">
        <f t="shared" si="73"/>
        <v>0.36159931429891484</v>
      </c>
      <c r="DQ64" s="612">
        <f t="shared" si="73"/>
        <v>0.39255931429891511</v>
      </c>
      <c r="DR64" s="611">
        <f t="shared" si="26"/>
        <v>4.2262234731155264</v>
      </c>
      <c r="DS64" s="611">
        <f t="shared" si="26"/>
        <v>1000000.3615993143</v>
      </c>
      <c r="DT64" s="611">
        <f t="shared" si="26"/>
        <v>1000000.3925593143</v>
      </c>
      <c r="DU64" s="609">
        <f t="shared" si="44"/>
        <v>4.2</v>
      </c>
      <c r="DV64" s="611"/>
      <c r="DW64" s="646">
        <f t="shared" si="27"/>
        <v>7.7333333333333334</v>
      </c>
      <c r="DX64" s="621">
        <f t="shared" si="74"/>
        <v>7.5143163855392379</v>
      </c>
      <c r="DY64" s="621">
        <f t="shared" si="74"/>
        <v>7.6210280604013469</v>
      </c>
      <c r="DZ64" s="621">
        <f t="shared" si="74"/>
        <v>7.7070032516162978</v>
      </c>
      <c r="EA64" s="610">
        <f t="shared" si="67"/>
        <v>8.0737393405320503</v>
      </c>
      <c r="EB64" s="611">
        <f t="shared" si="67"/>
        <v>8.0727451512742974</v>
      </c>
      <c r="EC64" s="612">
        <f t="shared" si="67"/>
        <v>8.0719022668469993</v>
      </c>
      <c r="ED64" s="610">
        <f t="shared" si="45"/>
        <v>8</v>
      </c>
      <c r="EE64" s="611">
        <f t="shared" si="46"/>
        <v>8.5058990739490348</v>
      </c>
      <c r="EF64" s="645">
        <f t="shared" si="47"/>
        <v>1000000</v>
      </c>
      <c r="EG64" s="902"/>
      <c r="EH64" s="646">
        <f t="shared" si="30"/>
        <v>7.7333333333333334</v>
      </c>
      <c r="EI64" s="610">
        <f t="shared" si="75"/>
        <v>0.55942295499281203</v>
      </c>
      <c r="EJ64" s="986">
        <f t="shared" si="75"/>
        <v>0.45171709087294998</v>
      </c>
      <c r="EK64" s="612">
        <f t="shared" si="75"/>
        <v>0.3648990152307019</v>
      </c>
    </row>
    <row r="65" spans="21:141" ht="15" customHeight="1" x14ac:dyDescent="0.25">
      <c r="U65" s="642">
        <f t="shared" si="49"/>
        <v>59</v>
      </c>
      <c r="W65" s="609">
        <f t="shared" si="0"/>
        <v>4.1820670446916086</v>
      </c>
      <c r="X65" s="610">
        <f t="shared" si="76"/>
        <v>3.8553147840617412</v>
      </c>
      <c r="Y65" s="611">
        <f t="shared" si="76"/>
        <v>3.8319049479961675</v>
      </c>
      <c r="Z65" s="611">
        <f t="shared" si="76"/>
        <v>3.7944492102912495</v>
      </c>
      <c r="AA65" s="611">
        <f t="shared" si="76"/>
        <v>3.7195377348814134</v>
      </c>
      <c r="AB65" s="982">
        <f t="shared" si="1"/>
        <v>1000000</v>
      </c>
      <c r="AC65" s="919">
        <f t="shared" si="2"/>
        <v>3.8693606857010856</v>
      </c>
      <c r="AD65" s="611">
        <f t="shared" si="51"/>
        <v>3.7592985098834695</v>
      </c>
      <c r="AE65" s="611">
        <f t="shared" si="51"/>
        <v>3.7165386738178956</v>
      </c>
      <c r="AF65" s="611">
        <f t="shared" si="51"/>
        <v>3.6481229361129772</v>
      </c>
      <c r="AG65" s="612">
        <f t="shared" si="51"/>
        <v>3.5112914607031405</v>
      </c>
      <c r="AH65" s="609">
        <f t="shared" si="4"/>
        <v>3</v>
      </c>
      <c r="AI65" s="895">
        <f t="shared" si="34"/>
        <v>-1000000</v>
      </c>
      <c r="AJ65" s="610">
        <f t="shared" si="5"/>
        <v>4.1820670446916086</v>
      </c>
      <c r="AK65" s="609">
        <f t="shared" si="35"/>
        <v>-8.4406274178271595E-2</v>
      </c>
      <c r="AL65" s="611">
        <f t="shared" si="77"/>
        <v>-9.6016274178271702E-2</v>
      </c>
      <c r="AM65" s="611">
        <f t="shared" si="77"/>
        <v>-0.11536627417827186</v>
      </c>
      <c r="AN65" s="611">
        <f t="shared" si="77"/>
        <v>-0.14632627417827213</v>
      </c>
      <c r="AO65" s="612">
        <f t="shared" si="77"/>
        <v>-0.20824627417827268</v>
      </c>
      <c r="AP65" s="902">
        <v>0</v>
      </c>
      <c r="AQ65" s="783">
        <f t="shared" si="6"/>
        <v>1000000</v>
      </c>
      <c r="AR65" s="983"/>
      <c r="AS65" s="609">
        <f t="shared" si="7"/>
        <v>4.1820670446916086</v>
      </c>
      <c r="AT65" s="610">
        <f t="shared" si="63"/>
        <v>3.7592985098834695</v>
      </c>
      <c r="AU65" s="611">
        <f t="shared" si="63"/>
        <v>3.7165386738178956</v>
      </c>
      <c r="AV65" s="611">
        <f t="shared" si="63"/>
        <v>3.6481229361129772</v>
      </c>
      <c r="AW65" s="612">
        <f t="shared" si="63"/>
        <v>3.5112914607031405</v>
      </c>
      <c r="AX65" s="982">
        <f t="shared" si="9"/>
        <v>1000000</v>
      </c>
      <c r="AY65" s="611">
        <f t="shared" si="10"/>
        <v>3</v>
      </c>
      <c r="AZ65" s="612">
        <f t="shared" si="11"/>
        <v>3.8693606857010856</v>
      </c>
      <c r="BB65" s="984">
        <f t="shared" si="37"/>
        <v>4.173507956046576</v>
      </c>
      <c r="BC65" s="985">
        <f t="shared" si="78"/>
        <v>3.7937009664587533</v>
      </c>
      <c r="BD65" s="985">
        <f t="shared" si="78"/>
        <v>3.6425793287110166</v>
      </c>
      <c r="BE65" s="528">
        <f t="shared" si="78"/>
        <v>3.5699093479937685</v>
      </c>
      <c r="BF65" s="913">
        <f t="shared" si="64"/>
        <v>4.173507956046576</v>
      </c>
      <c r="BG65" s="317">
        <f t="shared" si="64"/>
        <v>-1000000</v>
      </c>
      <c r="BH65" s="317">
        <f t="shared" si="64"/>
        <v>-1000000</v>
      </c>
      <c r="BI65" s="919">
        <f t="shared" si="64"/>
        <v>-1000000</v>
      </c>
      <c r="BJ65" s="646">
        <f t="shared" si="13"/>
        <v>2.9499999999999997</v>
      </c>
      <c r="BK65" s="913">
        <f t="shared" si="65"/>
        <v>4.173507956046576</v>
      </c>
      <c r="BL65" s="317"/>
      <c r="BM65" s="317"/>
      <c r="BN65" s="317"/>
      <c r="BO65" s="913">
        <f t="shared" si="15"/>
        <v>3</v>
      </c>
      <c r="BP65" s="783">
        <f t="shared" si="39"/>
        <v>1000000</v>
      </c>
      <c r="CK65" s="642">
        <f t="shared" si="50"/>
        <v>59</v>
      </c>
      <c r="CL65" s="609">
        <f t="shared" si="16"/>
        <v>4.1820670446916086</v>
      </c>
      <c r="CM65" s="609">
        <f t="shared" si="40"/>
        <v>2.9499999999999997</v>
      </c>
      <c r="CN65" s="610">
        <f t="shared" ref="CN65:CP84" si="81">$CD$27*(1-EXP(-$CM65/CN$3))</f>
        <v>8.5023664141767572</v>
      </c>
      <c r="CO65" s="611">
        <f t="shared" si="81"/>
        <v>8.5050167724547521</v>
      </c>
      <c r="CP65" s="612">
        <f t="shared" si="81"/>
        <v>8.505678714226617</v>
      </c>
      <c r="CQ65" s="611">
        <f t="shared" ref="CQ65:CS84" si="82">--$CD$30*((CQ$2-$CD$20)+($CD$22-CQ$2)*EXP(-$CM65/$CI$13))</f>
        <v>2.250308004884634</v>
      </c>
      <c r="CR65" s="611">
        <f t="shared" si="82"/>
        <v>2.6512333012042681</v>
      </c>
      <c r="CS65" s="611">
        <f t="shared" si="82"/>
        <v>3.0521585975239023</v>
      </c>
      <c r="CT65" s="610">
        <f t="shared" si="19"/>
        <v>10.752674419061391</v>
      </c>
      <c r="CU65" s="611">
        <f t="shared" si="19"/>
        <v>11.15625007365902</v>
      </c>
      <c r="CV65" s="612">
        <f t="shared" si="19"/>
        <v>11.55783731175052</v>
      </c>
      <c r="CW65" s="613">
        <f t="shared" si="79"/>
        <v>10.752674419061391</v>
      </c>
      <c r="CX65" s="613">
        <f t="shared" si="79"/>
        <v>11.15625007365902</v>
      </c>
      <c r="CY65" s="613">
        <f t="shared" si="79"/>
        <v>11.55783731175052</v>
      </c>
      <c r="CZ65" s="609">
        <f t="shared" si="21"/>
        <v>8.5058990739490348</v>
      </c>
      <c r="DA65" s="609"/>
      <c r="DB65" s="609">
        <f t="shared" si="42"/>
        <v>2.9499999999999997</v>
      </c>
      <c r="DC65" s="610">
        <f t="shared" si="66"/>
        <v>9.3243825963541249E-3</v>
      </c>
      <c r="DD65" s="611">
        <f t="shared" si="66"/>
        <v>2.7437293439623862E-3</v>
      </c>
      <c r="DE65" s="612">
        <f t="shared" si="66"/>
        <v>7.8888849172414465E-4</v>
      </c>
      <c r="DF65" s="611">
        <f t="shared" si="80"/>
        <v>9.9676549582739318E-3</v>
      </c>
      <c r="DG65" s="611">
        <f t="shared" si="80"/>
        <v>2.9685355201536472E-3</v>
      </c>
      <c r="DH65" s="611">
        <f t="shared" si="80"/>
        <v>8.6390235530587082E-4</v>
      </c>
      <c r="DI65" s="614">
        <f t="shared" si="23"/>
        <v>8</v>
      </c>
      <c r="DJ65" s="615"/>
      <c r="DK65" s="609">
        <f t="shared" si="43"/>
        <v>2.9499999999999997</v>
      </c>
      <c r="DL65" s="611">
        <f t="shared" ref="DL65:DN84" si="83">IF((DL$3*$DK65)&gt;$CD$27,1000000,($CD$20+($CD$35*DL$3)/(1-(DL$3*$DK65)/($CD$27))))</f>
        <v>3.8842427296545092</v>
      </c>
      <c r="DM65" s="611">
        <f t="shared" si="83"/>
        <v>1000000</v>
      </c>
      <c r="DN65" s="611">
        <f t="shared" si="83"/>
        <v>1000000</v>
      </c>
      <c r="DO65" s="610">
        <f t="shared" ref="DO65:DQ84" si="84">($CD$24-$CD$20)+($CD$22-$CD$24)*EXP(-$DK65/$CI$13)+$CD$36*DO$3</f>
        <v>0.3422493142989147</v>
      </c>
      <c r="DP65" s="611">
        <f t="shared" si="84"/>
        <v>0.36159931429891484</v>
      </c>
      <c r="DQ65" s="612">
        <f t="shared" si="84"/>
        <v>0.39255931429891511</v>
      </c>
      <c r="DR65" s="611">
        <f t="shared" si="26"/>
        <v>4.2264920439534244</v>
      </c>
      <c r="DS65" s="611">
        <f t="shared" si="26"/>
        <v>1000000.3615993143</v>
      </c>
      <c r="DT65" s="611">
        <f t="shared" si="26"/>
        <v>1000000.3925593143</v>
      </c>
      <c r="DU65" s="609">
        <f t="shared" si="44"/>
        <v>4.2</v>
      </c>
      <c r="DV65" s="611"/>
      <c r="DW65" s="646">
        <f t="shared" si="27"/>
        <v>7.8666666666666663</v>
      </c>
      <c r="DX65" s="621">
        <f t="shared" ref="DX65:DZ84" si="85">$CD$27*((1-($CD$35*$DW65)/($CD$20-DX$3))/(1+(($CD$36*$DW65)/($CD$20-DX$3))))</f>
        <v>7.4984739212888609</v>
      </c>
      <c r="DY65" s="621">
        <f t="shared" si="85"/>
        <v>7.6067702476524843</v>
      </c>
      <c r="DZ65" s="621">
        <f t="shared" si="85"/>
        <v>7.6940432370554941</v>
      </c>
      <c r="EA65" s="610">
        <f t="shared" si="67"/>
        <v>8.0366746159582565</v>
      </c>
      <c r="EB65" s="611">
        <f t="shared" si="67"/>
        <v>8.0361723587349552</v>
      </c>
      <c r="EC65" s="612">
        <f t="shared" si="67"/>
        <v>8.035746468074132</v>
      </c>
      <c r="ED65" s="610">
        <f t="shared" si="45"/>
        <v>8</v>
      </c>
      <c r="EE65" s="611">
        <f t="shared" si="46"/>
        <v>8.5058990739490348</v>
      </c>
      <c r="EF65" s="645">
        <f t="shared" si="47"/>
        <v>1000000</v>
      </c>
      <c r="EG65" s="902"/>
      <c r="EH65" s="646">
        <f t="shared" si="30"/>
        <v>7.8666666666666663</v>
      </c>
      <c r="EI65" s="610">
        <f t="shared" ref="EI65:EK84" si="86">$CD$29-($CD$29-EI$1)*((1-EXP(-$DW65/$CD$32))/(1-EXP(-1)))</f>
        <v>0.53820069466939557</v>
      </c>
      <c r="EJ65" s="986">
        <f t="shared" si="86"/>
        <v>0.42940211108246995</v>
      </c>
      <c r="EK65" s="612">
        <f t="shared" si="86"/>
        <v>0.34170323101863831</v>
      </c>
    </row>
    <row r="66" spans="21:141" ht="15" customHeight="1" x14ac:dyDescent="0.25">
      <c r="U66" s="642">
        <f t="shared" si="49"/>
        <v>60</v>
      </c>
      <c r="W66" s="609">
        <f t="shared" si="0"/>
        <v>4.2529495369745174</v>
      </c>
      <c r="X66" s="610">
        <f t="shared" ref="X66:AA85" si="87">$K$25-($M$28*X$3)/(1-$W66/$K$26)</f>
        <v>3.8550806857010858</v>
      </c>
      <c r="Y66" s="611">
        <f t="shared" si="87"/>
        <v>3.8312806857010857</v>
      </c>
      <c r="Z66" s="611">
        <f t="shared" si="87"/>
        <v>3.7932006857010858</v>
      </c>
      <c r="AA66" s="611">
        <f t="shared" si="87"/>
        <v>3.7170406857010856</v>
      </c>
      <c r="AB66" s="982">
        <f t="shared" si="1"/>
        <v>1000000</v>
      </c>
      <c r="AC66" s="919">
        <f t="shared" si="2"/>
        <v>3.8693606857010856</v>
      </c>
      <c r="AD66" s="611">
        <f t="shared" si="51"/>
        <v>3.7562147390594691</v>
      </c>
      <c r="AE66" s="611">
        <f t="shared" si="51"/>
        <v>3.7130647390594689</v>
      </c>
      <c r="AF66" s="611">
        <f t="shared" si="51"/>
        <v>3.6440247390594687</v>
      </c>
      <c r="AG66" s="612">
        <f t="shared" si="51"/>
        <v>3.5059447390594678</v>
      </c>
      <c r="AH66" s="609">
        <f t="shared" si="4"/>
        <v>3</v>
      </c>
      <c r="AI66" s="895">
        <f t="shared" si="34"/>
        <v>-1000000</v>
      </c>
      <c r="AJ66" s="610">
        <f t="shared" si="5"/>
        <v>4.2529495369745174</v>
      </c>
      <c r="AK66" s="609">
        <f t="shared" si="35"/>
        <v>-8.7255946641616733E-2</v>
      </c>
      <c r="AL66" s="611">
        <f t="shared" ref="AL66:AO85" si="88">$AK66-$M$30*AL$3</f>
        <v>-9.8865946641616839E-2</v>
      </c>
      <c r="AM66" s="611">
        <f t="shared" si="88"/>
        <v>-0.118215946641617</v>
      </c>
      <c r="AN66" s="611">
        <f t="shared" si="88"/>
        <v>-0.14917594664161726</v>
      </c>
      <c r="AO66" s="612">
        <f t="shared" si="88"/>
        <v>-0.21109594664161779</v>
      </c>
      <c r="AP66" s="902">
        <v>0</v>
      </c>
      <c r="AQ66" s="783">
        <f t="shared" si="6"/>
        <v>1000000</v>
      </c>
      <c r="AR66" s="983"/>
      <c r="AS66" s="609">
        <f t="shared" si="7"/>
        <v>4.2529495369745174</v>
      </c>
      <c r="AT66" s="610">
        <f t="shared" si="63"/>
        <v>3.7562147390594691</v>
      </c>
      <c r="AU66" s="611">
        <f t="shared" si="63"/>
        <v>3.7130647390594689</v>
      </c>
      <c r="AV66" s="611">
        <f t="shared" si="63"/>
        <v>3.6440247390594687</v>
      </c>
      <c r="AW66" s="612">
        <f t="shared" si="63"/>
        <v>3.5059447390594678</v>
      </c>
      <c r="AX66" s="982">
        <f t="shared" si="9"/>
        <v>1000000</v>
      </c>
      <c r="AY66" s="611">
        <f t="shared" si="10"/>
        <v>3</v>
      </c>
      <c r="AZ66" s="612">
        <f t="shared" si="11"/>
        <v>3.8693606857010856</v>
      </c>
      <c r="BB66" s="984">
        <f t="shared" si="37"/>
        <v>4.1732293286333784</v>
      </c>
      <c r="BC66" s="985">
        <f t="shared" ref="BC66:BE85" si="89">$K$25+$K$31*(1-(1-EXP(-(BB$3*$BJ66)/($K$27)))/(1-EXP(-1)))-($M$28/(1-(BC$3*$BJ66)/($K$26))+$M$30)*BC$3</f>
        <v>3.7881377541913603</v>
      </c>
      <c r="BD66" s="985">
        <f t="shared" si="89"/>
        <v>3.6415818110059375</v>
      </c>
      <c r="BE66" s="528">
        <f t="shared" si="89"/>
        <v>3.5695602471731416</v>
      </c>
      <c r="BF66" s="913">
        <f t="shared" si="64"/>
        <v>4.1732293286333784</v>
      </c>
      <c r="BG66" s="317">
        <f t="shared" si="64"/>
        <v>-1000000</v>
      </c>
      <c r="BH66" s="317">
        <f t="shared" si="64"/>
        <v>-1000000</v>
      </c>
      <c r="BI66" s="919">
        <f t="shared" si="64"/>
        <v>-1000000</v>
      </c>
      <c r="BJ66" s="646">
        <f t="shared" si="13"/>
        <v>3</v>
      </c>
      <c r="BK66" s="913">
        <f t="shared" si="65"/>
        <v>4.1732293286333784</v>
      </c>
      <c r="BL66" s="317"/>
      <c r="BM66" s="317"/>
      <c r="BN66" s="317"/>
      <c r="BO66" s="913">
        <f t="shared" si="15"/>
        <v>3</v>
      </c>
      <c r="BP66" s="783">
        <f t="shared" si="39"/>
        <v>1000000</v>
      </c>
      <c r="CK66" s="642">
        <f t="shared" si="50"/>
        <v>60</v>
      </c>
      <c r="CL66" s="609">
        <f t="shared" si="16"/>
        <v>4.2529495369745174</v>
      </c>
      <c r="CM66" s="609">
        <f t="shared" si="40"/>
        <v>3</v>
      </c>
      <c r="CN66" s="610">
        <f t="shared" si="81"/>
        <v>8.5028031787794447</v>
      </c>
      <c r="CO66" s="611">
        <f t="shared" si="81"/>
        <v>8.5051438255006779</v>
      </c>
      <c r="CP66" s="612">
        <f t="shared" si="81"/>
        <v>8.5057148299137886</v>
      </c>
      <c r="CQ66" s="611">
        <f t="shared" si="82"/>
        <v>2.250308004884634</v>
      </c>
      <c r="CR66" s="611">
        <f t="shared" si="82"/>
        <v>2.6512333012042681</v>
      </c>
      <c r="CS66" s="611">
        <f t="shared" si="82"/>
        <v>3.0521585975239023</v>
      </c>
      <c r="CT66" s="610">
        <f t="shared" si="19"/>
        <v>10.753111183664078</v>
      </c>
      <c r="CU66" s="611">
        <f t="shared" si="19"/>
        <v>11.156377126704946</v>
      </c>
      <c r="CV66" s="612">
        <f t="shared" si="19"/>
        <v>11.557873427437691</v>
      </c>
      <c r="CW66" s="613">
        <f t="shared" si="79"/>
        <v>10.753111183664078</v>
      </c>
      <c r="CX66" s="613">
        <f t="shared" si="79"/>
        <v>11.156377126704946</v>
      </c>
      <c r="CY66" s="613">
        <f t="shared" si="79"/>
        <v>11.557873427437691</v>
      </c>
      <c r="CZ66" s="609">
        <f t="shared" si="21"/>
        <v>8.5058990739490348</v>
      </c>
      <c r="DA66" s="609"/>
      <c r="DB66" s="609">
        <f t="shared" si="42"/>
        <v>3</v>
      </c>
      <c r="DC66" s="610">
        <f t="shared" si="66"/>
        <v>8.1715514372455601E-3</v>
      </c>
      <c r="DD66" s="611">
        <f t="shared" si="66"/>
        <v>2.3486272472219966E-3</v>
      </c>
      <c r="DE66" s="612">
        <f t="shared" si="66"/>
        <v>6.5959421930747409E-4</v>
      </c>
      <c r="DF66" s="611">
        <f t="shared" si="80"/>
        <v>8.7352920537497412E-3</v>
      </c>
      <c r="DG66" s="611">
        <f t="shared" si="80"/>
        <v>2.5410609185172327E-3</v>
      </c>
      <c r="DH66" s="611">
        <f t="shared" si="80"/>
        <v>7.2231374343089847E-4</v>
      </c>
      <c r="DI66" s="614">
        <f t="shared" si="23"/>
        <v>8</v>
      </c>
      <c r="DJ66" s="615"/>
      <c r="DK66" s="609">
        <f t="shared" si="43"/>
        <v>3</v>
      </c>
      <c r="DL66" s="611">
        <f t="shared" si="83"/>
        <v>3.8845213570677073</v>
      </c>
      <c r="DM66" s="611">
        <f t="shared" si="83"/>
        <v>1000000</v>
      </c>
      <c r="DN66" s="611">
        <f t="shared" si="83"/>
        <v>1000000</v>
      </c>
      <c r="DO66" s="610">
        <f t="shared" si="84"/>
        <v>0.3422493142989147</v>
      </c>
      <c r="DP66" s="611">
        <f t="shared" si="84"/>
        <v>0.36159931429891484</v>
      </c>
      <c r="DQ66" s="612">
        <f t="shared" si="84"/>
        <v>0.39255931429891511</v>
      </c>
      <c r="DR66" s="611">
        <f t="shared" si="26"/>
        <v>4.226770671366622</v>
      </c>
      <c r="DS66" s="611">
        <f t="shared" si="26"/>
        <v>1000000.3615993143</v>
      </c>
      <c r="DT66" s="611">
        <f t="shared" si="26"/>
        <v>1000000.3925593143</v>
      </c>
      <c r="DU66" s="609">
        <f t="shared" si="44"/>
        <v>4.2</v>
      </c>
      <c r="DV66" s="611"/>
      <c r="DW66" s="1047">
        <f t="shared" si="27"/>
        <v>8</v>
      </c>
      <c r="DX66" s="621">
        <f t="shared" si="85"/>
        <v>7.4826707925442557</v>
      </c>
      <c r="DY66" s="621">
        <f t="shared" si="85"/>
        <v>7.5925440345340736</v>
      </c>
      <c r="DZ66" s="621">
        <f t="shared" si="85"/>
        <v>7.6811091606029329</v>
      </c>
      <c r="EA66" s="1048">
        <f t="shared" si="67"/>
        <v>8</v>
      </c>
      <c r="EB66" s="986">
        <f t="shared" si="67"/>
        <v>8</v>
      </c>
      <c r="EC66" s="1049">
        <f t="shared" si="67"/>
        <v>8</v>
      </c>
      <c r="ED66" s="1048">
        <f t="shared" si="45"/>
        <v>8</v>
      </c>
      <c r="EE66" s="986">
        <f t="shared" si="46"/>
        <v>8.5058990739490348</v>
      </c>
      <c r="EF66" s="1050">
        <f t="shared" si="47"/>
        <v>-1000000</v>
      </c>
      <c r="EG66" s="1051"/>
      <c r="EH66" s="646">
        <f t="shared" si="30"/>
        <v>8</v>
      </c>
      <c r="EI66" s="1048">
        <f t="shared" si="86"/>
        <v>0.51732920745574429</v>
      </c>
      <c r="EJ66" s="986">
        <f t="shared" si="86"/>
        <v>0.40745596546592644</v>
      </c>
      <c r="EK66" s="1049">
        <f t="shared" si="86"/>
        <v>0.31889083939706708</v>
      </c>
    </row>
    <row r="67" spans="21:141" ht="15" customHeight="1" x14ac:dyDescent="0.25">
      <c r="U67" s="642">
        <f t="shared" si="49"/>
        <v>61</v>
      </c>
      <c r="W67" s="609">
        <f t="shared" si="0"/>
        <v>4.3238320292574262</v>
      </c>
      <c r="X67" s="610">
        <f t="shared" si="87"/>
        <v>3.8548386518027806</v>
      </c>
      <c r="Y67" s="611">
        <f t="shared" si="87"/>
        <v>3.8306352619722719</v>
      </c>
      <c r="Z67" s="611">
        <f t="shared" si="87"/>
        <v>3.7919098382434586</v>
      </c>
      <c r="AA67" s="611">
        <f t="shared" si="87"/>
        <v>3.7144589907858312</v>
      </c>
      <c r="AB67" s="982">
        <f t="shared" si="1"/>
        <v>1000000</v>
      </c>
      <c r="AC67" s="919">
        <f t="shared" si="2"/>
        <v>3.8693606857010856</v>
      </c>
      <c r="AD67" s="611">
        <f t="shared" si="51"/>
        <v>3.7531982111425748</v>
      </c>
      <c r="AE67" s="611">
        <f t="shared" si="51"/>
        <v>3.7096448213120659</v>
      </c>
      <c r="AF67" s="611">
        <f t="shared" si="51"/>
        <v>3.6399593975832523</v>
      </c>
      <c r="AG67" s="612">
        <f t="shared" si="51"/>
        <v>3.5005885501256242</v>
      </c>
      <c r="AH67" s="609">
        <f t="shared" si="4"/>
        <v>3</v>
      </c>
      <c r="AI67" s="895">
        <f t="shared" si="34"/>
        <v>-1000000</v>
      </c>
      <c r="AJ67" s="610">
        <f t="shared" si="5"/>
        <v>4.3238320292574262</v>
      </c>
      <c r="AK67" s="609">
        <f t="shared" si="35"/>
        <v>-9.0030440660205727E-2</v>
      </c>
      <c r="AL67" s="611">
        <f t="shared" si="88"/>
        <v>-0.10164044066020583</v>
      </c>
      <c r="AM67" s="611">
        <f t="shared" si="88"/>
        <v>-0.12099044066020599</v>
      </c>
      <c r="AN67" s="611">
        <f t="shared" si="88"/>
        <v>-0.15195044066020627</v>
      </c>
      <c r="AO67" s="612">
        <f t="shared" si="88"/>
        <v>-0.2138704406602068</v>
      </c>
      <c r="AP67" s="902">
        <v>0</v>
      </c>
      <c r="AQ67" s="783">
        <f t="shared" si="6"/>
        <v>1000000</v>
      </c>
      <c r="AR67" s="983"/>
      <c r="AS67" s="609">
        <f t="shared" si="7"/>
        <v>4.3238320292574262</v>
      </c>
      <c r="AT67" s="610">
        <f t="shared" si="63"/>
        <v>3.7531982111425748</v>
      </c>
      <c r="AU67" s="611">
        <f t="shared" si="63"/>
        <v>3.7096448213120659</v>
      </c>
      <c r="AV67" s="611">
        <f t="shared" si="63"/>
        <v>3.6399593975832523</v>
      </c>
      <c r="AW67" s="612">
        <f t="shared" si="63"/>
        <v>3.5005885501256242</v>
      </c>
      <c r="AX67" s="982">
        <f t="shared" si="9"/>
        <v>1000000</v>
      </c>
      <c r="AY67" s="611">
        <f t="shared" si="10"/>
        <v>3</v>
      </c>
      <c r="AZ67" s="612">
        <f t="shared" si="11"/>
        <v>3.8693606857010856</v>
      </c>
      <c r="BB67" s="984">
        <f t="shared" si="37"/>
        <v>4.1729400690184386</v>
      </c>
      <c r="BC67" s="985">
        <f t="shared" si="89"/>
        <v>3.7829559367043366</v>
      </c>
      <c r="BD67" s="985">
        <f t="shared" si="89"/>
        <v>3.6406444046858182</v>
      </c>
      <c r="BE67" s="528">
        <f t="shared" si="89"/>
        <v>3.5692260093624779</v>
      </c>
      <c r="BF67" s="913">
        <f t="shared" si="64"/>
        <v>4.1729400690184386</v>
      </c>
      <c r="BG67" s="317">
        <f t="shared" si="64"/>
        <v>-1000000</v>
      </c>
      <c r="BH67" s="317">
        <f t="shared" si="64"/>
        <v>-1000000</v>
      </c>
      <c r="BI67" s="919">
        <f t="shared" si="64"/>
        <v>-1000000</v>
      </c>
      <c r="BJ67" s="646">
        <f t="shared" si="13"/>
        <v>3.05</v>
      </c>
      <c r="BK67" s="913">
        <f t="shared" si="65"/>
        <v>4.1729400690184386</v>
      </c>
      <c r="BL67" s="317"/>
      <c r="BM67" s="317"/>
      <c r="BN67" s="317"/>
      <c r="BO67" s="913">
        <f t="shared" si="15"/>
        <v>3</v>
      </c>
      <c r="BP67" s="783">
        <f t="shared" si="39"/>
        <v>1000000</v>
      </c>
      <c r="CK67" s="642">
        <f t="shared" si="50"/>
        <v>61</v>
      </c>
      <c r="CL67" s="609">
        <f t="shared" si="16"/>
        <v>4.3238320292574262</v>
      </c>
      <c r="CM67" s="609">
        <f t="shared" si="40"/>
        <v>3.05</v>
      </c>
      <c r="CN67" s="610">
        <f t="shared" si="81"/>
        <v>8.5031859434697576</v>
      </c>
      <c r="CO67" s="611">
        <f t="shared" si="81"/>
        <v>8.50525258267316</v>
      </c>
      <c r="CP67" s="612">
        <f t="shared" si="81"/>
        <v>8.5057450264481957</v>
      </c>
      <c r="CQ67" s="611">
        <f t="shared" si="82"/>
        <v>2.250308004884634</v>
      </c>
      <c r="CR67" s="611">
        <f t="shared" si="82"/>
        <v>2.6512333012042681</v>
      </c>
      <c r="CS67" s="611">
        <f t="shared" si="82"/>
        <v>3.0521585975239023</v>
      </c>
      <c r="CT67" s="610">
        <f t="shared" si="19"/>
        <v>10.753493948354391</v>
      </c>
      <c r="CU67" s="611">
        <f t="shared" si="19"/>
        <v>11.156485883877428</v>
      </c>
      <c r="CV67" s="612">
        <f t="shared" si="19"/>
        <v>11.557903623972098</v>
      </c>
      <c r="CW67" s="613">
        <f t="shared" si="79"/>
        <v>10.753493948354391</v>
      </c>
      <c r="CX67" s="613">
        <f t="shared" si="79"/>
        <v>11.156485883877428</v>
      </c>
      <c r="CY67" s="613">
        <f t="shared" si="79"/>
        <v>11.557903623972098</v>
      </c>
      <c r="CZ67" s="609">
        <f t="shared" si="21"/>
        <v>8.5058990739490348</v>
      </c>
      <c r="DA67" s="609"/>
      <c r="DB67" s="609">
        <f t="shared" si="42"/>
        <v>3.05</v>
      </c>
      <c r="DC67" s="610">
        <f t="shared" si="66"/>
        <v>7.1612519329332441E-3</v>
      </c>
      <c r="DD67" s="611">
        <f t="shared" si="66"/>
        <v>2.0104205826758119E-3</v>
      </c>
      <c r="DE67" s="612">
        <f t="shared" si="66"/>
        <v>5.5149053219547993E-4</v>
      </c>
      <c r="DF67" s="611">
        <f t="shared" si="80"/>
        <v>7.6552938062590939E-3</v>
      </c>
      <c r="DG67" s="611">
        <f t="shared" si="80"/>
        <v>2.1751434496408784E-3</v>
      </c>
      <c r="DH67" s="611">
        <f t="shared" si="80"/>
        <v>6.0393068814335255E-4</v>
      </c>
      <c r="DI67" s="614">
        <f t="shared" si="23"/>
        <v>8</v>
      </c>
      <c r="DJ67" s="615"/>
      <c r="DK67" s="609">
        <f t="shared" si="43"/>
        <v>3.05</v>
      </c>
      <c r="DL67" s="611">
        <f t="shared" si="83"/>
        <v>3.884810616682647</v>
      </c>
      <c r="DM67" s="611">
        <f t="shared" si="83"/>
        <v>1000000</v>
      </c>
      <c r="DN67" s="611">
        <f t="shared" si="83"/>
        <v>1000000</v>
      </c>
      <c r="DO67" s="610">
        <f t="shared" si="84"/>
        <v>0.3422493142989147</v>
      </c>
      <c r="DP67" s="611">
        <f t="shared" si="84"/>
        <v>0.36159931429891484</v>
      </c>
      <c r="DQ67" s="612">
        <f t="shared" si="84"/>
        <v>0.39255931429891511</v>
      </c>
      <c r="DR67" s="611">
        <f t="shared" si="26"/>
        <v>4.2270599309815617</v>
      </c>
      <c r="DS67" s="611">
        <f t="shared" si="26"/>
        <v>1000000.3615993143</v>
      </c>
      <c r="DT67" s="611">
        <f t="shared" si="26"/>
        <v>1000000.3925593143</v>
      </c>
      <c r="DU67" s="609">
        <f t="shared" si="44"/>
        <v>4.2</v>
      </c>
      <c r="DV67" s="611"/>
      <c r="DW67" s="646">
        <f t="shared" si="27"/>
        <v>8.1333333333333329</v>
      </c>
      <c r="DX67" s="621">
        <f t="shared" si="85"/>
        <v>7.4669068529869485</v>
      </c>
      <c r="DY67" s="621">
        <f t="shared" si="85"/>
        <v>7.578349316110871</v>
      </c>
      <c r="DZ67" s="621">
        <f t="shared" si="85"/>
        <v>7.6682009444678574</v>
      </c>
      <c r="EA67" s="610">
        <f t="shared" si="67"/>
        <v>7.9637095485692635</v>
      </c>
      <c r="EB67" s="611">
        <f t="shared" si="67"/>
        <v>7.964221873841514</v>
      </c>
      <c r="EC67" s="612">
        <f t="shared" si="67"/>
        <v>7.9646564479117092</v>
      </c>
      <c r="ED67" s="610">
        <f t="shared" si="45"/>
        <v>8</v>
      </c>
      <c r="EE67" s="611">
        <f t="shared" si="46"/>
        <v>8.5058990739490348</v>
      </c>
      <c r="EF67" s="645">
        <f t="shared" si="47"/>
        <v>-1000000</v>
      </c>
      <c r="EG67" s="902"/>
      <c r="EH67" s="646">
        <f t="shared" si="30"/>
        <v>8.1333333333333329</v>
      </c>
      <c r="EI67" s="610">
        <f t="shared" si="86"/>
        <v>0.49680269558231505</v>
      </c>
      <c r="EJ67" s="986">
        <f t="shared" si="86"/>
        <v>0.385872557730643</v>
      </c>
      <c r="EK67" s="612">
        <f t="shared" si="86"/>
        <v>0.2964555034438523</v>
      </c>
    </row>
    <row r="68" spans="21:141" ht="15" customHeight="1" x14ac:dyDescent="0.25">
      <c r="U68" s="642">
        <f t="shared" si="49"/>
        <v>62</v>
      </c>
      <c r="W68" s="609">
        <f t="shared" si="0"/>
        <v>4.3947145215403349</v>
      </c>
      <c r="X68" s="610">
        <f t="shared" si="87"/>
        <v>3.854588271907982</v>
      </c>
      <c r="Y68" s="611">
        <f t="shared" si="87"/>
        <v>3.8299675822528099</v>
      </c>
      <c r="Z68" s="611">
        <f t="shared" si="87"/>
        <v>3.7905744788045337</v>
      </c>
      <c r="AA68" s="611">
        <f t="shared" si="87"/>
        <v>3.7117882719079822</v>
      </c>
      <c r="AB68" s="982">
        <f t="shared" si="1"/>
        <v>1000000</v>
      </c>
      <c r="AC68" s="919">
        <f t="shared" si="2"/>
        <v>3.8693606857010856</v>
      </c>
      <c r="AD68" s="611">
        <f t="shared" si="51"/>
        <v>3.7502465323587981</v>
      </c>
      <c r="AE68" s="611">
        <f t="shared" si="51"/>
        <v>3.7062758427036258</v>
      </c>
      <c r="AF68" s="611">
        <f t="shared" si="51"/>
        <v>3.6359227392553493</v>
      </c>
      <c r="AG68" s="612">
        <f t="shared" si="51"/>
        <v>3.4952165323587971</v>
      </c>
      <c r="AH68" s="609">
        <f t="shared" si="4"/>
        <v>3</v>
      </c>
      <c r="AI68" s="895">
        <f t="shared" si="34"/>
        <v>-1000000</v>
      </c>
      <c r="AJ68" s="610">
        <f t="shared" si="5"/>
        <v>4.3947145215403349</v>
      </c>
      <c r="AK68" s="609">
        <f t="shared" si="35"/>
        <v>-9.273173954918397E-2</v>
      </c>
      <c r="AL68" s="611">
        <f t="shared" si="88"/>
        <v>-0.10434173954918408</v>
      </c>
      <c r="AM68" s="611">
        <f t="shared" si="88"/>
        <v>-0.12369173954918423</v>
      </c>
      <c r="AN68" s="611">
        <f t="shared" si="88"/>
        <v>-0.15465173954918451</v>
      </c>
      <c r="AO68" s="612">
        <f t="shared" si="88"/>
        <v>-0.21657173954918504</v>
      </c>
      <c r="AP68" s="902">
        <v>0</v>
      </c>
      <c r="AQ68" s="783">
        <f t="shared" si="6"/>
        <v>1000000</v>
      </c>
      <c r="AR68" s="983"/>
      <c r="AS68" s="609">
        <f t="shared" si="7"/>
        <v>4.3947145215403349</v>
      </c>
      <c r="AT68" s="610">
        <f t="shared" si="63"/>
        <v>3.7502465323587981</v>
      </c>
      <c r="AU68" s="611">
        <f t="shared" si="63"/>
        <v>3.7062758427036258</v>
      </c>
      <c r="AV68" s="611">
        <f t="shared" si="63"/>
        <v>3.6359227392553493</v>
      </c>
      <c r="AW68" s="612">
        <f t="shared" si="63"/>
        <v>3.4952165323587971</v>
      </c>
      <c r="AX68" s="982">
        <f t="shared" si="9"/>
        <v>1000000</v>
      </c>
      <c r="AY68" s="611">
        <f t="shared" si="10"/>
        <v>3</v>
      </c>
      <c r="AZ68" s="612">
        <f t="shared" si="11"/>
        <v>3.8693606857010856</v>
      </c>
      <c r="BB68" s="984">
        <f t="shared" si="37"/>
        <v>4.1726395567899299</v>
      </c>
      <c r="BC68" s="985">
        <f t="shared" si="89"/>
        <v>3.7781064247755682</v>
      </c>
      <c r="BD68" s="985">
        <f t="shared" si="89"/>
        <v>3.6397627145083611</v>
      </c>
      <c r="BE68" s="528">
        <f t="shared" si="89"/>
        <v>3.5689056524714671</v>
      </c>
      <c r="BF68" s="913">
        <f t="shared" si="64"/>
        <v>4.1726395567899299</v>
      </c>
      <c r="BG68" s="317">
        <f t="shared" si="64"/>
        <v>-1000000</v>
      </c>
      <c r="BH68" s="317">
        <f t="shared" si="64"/>
        <v>-1000000</v>
      </c>
      <c r="BI68" s="919">
        <f t="shared" si="64"/>
        <v>-1000000</v>
      </c>
      <c r="BJ68" s="646">
        <f t="shared" si="13"/>
        <v>3.1000000000000005</v>
      </c>
      <c r="BK68" s="913">
        <f t="shared" si="65"/>
        <v>4.1726395567899299</v>
      </c>
      <c r="BL68" s="317"/>
      <c r="BM68" s="317"/>
      <c r="BN68" s="317"/>
      <c r="BO68" s="913">
        <f t="shared" si="15"/>
        <v>3</v>
      </c>
      <c r="BP68" s="783">
        <f t="shared" si="39"/>
        <v>1000000</v>
      </c>
      <c r="CK68" s="642">
        <f t="shared" si="50"/>
        <v>62</v>
      </c>
      <c r="CL68" s="609">
        <f t="shared" si="16"/>
        <v>4.3947145215403349</v>
      </c>
      <c r="CM68" s="609">
        <f t="shared" si="40"/>
        <v>3.1000000000000005</v>
      </c>
      <c r="CN68" s="610">
        <f t="shared" si="81"/>
        <v>8.5035213845912381</v>
      </c>
      <c r="CO68" s="611">
        <f t="shared" si="81"/>
        <v>8.5053456786117891</v>
      </c>
      <c r="CP68" s="612">
        <f t="shared" si="81"/>
        <v>8.5057702739448295</v>
      </c>
      <c r="CQ68" s="611">
        <f t="shared" si="82"/>
        <v>2.250308004884634</v>
      </c>
      <c r="CR68" s="611">
        <f t="shared" si="82"/>
        <v>2.6512333012042681</v>
      </c>
      <c r="CS68" s="611">
        <f t="shared" si="82"/>
        <v>3.0521585975239023</v>
      </c>
      <c r="CT68" s="610">
        <f t="shared" si="19"/>
        <v>10.753829389475872</v>
      </c>
      <c r="CU68" s="611">
        <f t="shared" si="19"/>
        <v>11.156578979816057</v>
      </c>
      <c r="CV68" s="612">
        <f t="shared" si="19"/>
        <v>11.557928871468732</v>
      </c>
      <c r="CW68" s="613">
        <f t="shared" si="79"/>
        <v>10.753829389475872</v>
      </c>
      <c r="CX68" s="613">
        <f t="shared" si="79"/>
        <v>11.156578979816057</v>
      </c>
      <c r="CY68" s="613">
        <f t="shared" si="79"/>
        <v>11.557928871468732</v>
      </c>
      <c r="CZ68" s="609">
        <f t="shared" si="21"/>
        <v>8.5058990739490348</v>
      </c>
      <c r="DA68" s="609"/>
      <c r="DB68" s="609">
        <f t="shared" si="42"/>
        <v>3.1000000000000005</v>
      </c>
      <c r="DC68" s="610">
        <f t="shared" si="66"/>
        <v>6.2758620123459048E-3</v>
      </c>
      <c r="DD68" s="611">
        <f t="shared" si="66"/>
        <v>1.7209163029285534E-3</v>
      </c>
      <c r="DE68" s="612">
        <f t="shared" si="66"/>
        <v>4.611044157127079E-4</v>
      </c>
      <c r="DF68" s="611">
        <f t="shared" si="80"/>
        <v>6.7088224296084787E-3</v>
      </c>
      <c r="DG68" s="611">
        <f t="shared" si="80"/>
        <v>1.8619187725832111E-3</v>
      </c>
      <c r="DH68" s="611">
        <f t="shared" si="80"/>
        <v>5.049499326759061E-4</v>
      </c>
      <c r="DI68" s="614">
        <f t="shared" si="23"/>
        <v>8</v>
      </c>
      <c r="DJ68" s="615"/>
      <c r="DK68" s="609">
        <f t="shared" si="43"/>
        <v>3.1000000000000005</v>
      </c>
      <c r="DL68" s="611">
        <f t="shared" si="83"/>
        <v>3.8851111289111557</v>
      </c>
      <c r="DM68" s="611">
        <f t="shared" si="83"/>
        <v>1000000</v>
      </c>
      <c r="DN68" s="611">
        <f t="shared" si="83"/>
        <v>1000000</v>
      </c>
      <c r="DO68" s="610">
        <f t="shared" si="84"/>
        <v>0.3422493142989147</v>
      </c>
      <c r="DP68" s="611">
        <f t="shared" si="84"/>
        <v>0.36159931429891484</v>
      </c>
      <c r="DQ68" s="612">
        <f t="shared" si="84"/>
        <v>0.39255931429891511</v>
      </c>
      <c r="DR68" s="611">
        <f t="shared" si="26"/>
        <v>4.2273604432100704</v>
      </c>
      <c r="DS68" s="611">
        <f t="shared" si="26"/>
        <v>1000000.3615993143</v>
      </c>
      <c r="DT68" s="611">
        <f t="shared" si="26"/>
        <v>1000000.3925593143</v>
      </c>
      <c r="DU68" s="609">
        <f t="shared" si="44"/>
        <v>4.2</v>
      </c>
      <c r="DV68" s="611"/>
      <c r="DW68" s="646">
        <f t="shared" si="27"/>
        <v>8.2666666666666675</v>
      </c>
      <c r="DX68" s="621">
        <f t="shared" si="85"/>
        <v>7.4511819570232536</v>
      </c>
      <c r="DY68" s="621">
        <f t="shared" si="85"/>
        <v>7.5641859879117481</v>
      </c>
      <c r="DZ68" s="621">
        <f t="shared" si="85"/>
        <v>7.6553185111702744</v>
      </c>
      <c r="EA68" s="610">
        <f t="shared" si="67"/>
        <v>7.9277974141315202</v>
      </c>
      <c r="EB68" s="611">
        <f t="shared" si="67"/>
        <v>7.9288318802585476</v>
      </c>
      <c r="EC68" s="612">
        <f t="shared" si="67"/>
        <v>7.9297095021472419</v>
      </c>
      <c r="ED68" s="610">
        <f t="shared" si="45"/>
        <v>8</v>
      </c>
      <c r="EE68" s="611">
        <f t="shared" si="46"/>
        <v>8.5058990739490348</v>
      </c>
      <c r="EF68" s="645">
        <f t="shared" si="47"/>
        <v>-1000000</v>
      </c>
      <c r="EG68" s="902"/>
      <c r="EH68" s="646">
        <f t="shared" si="30"/>
        <v>8.2666666666666675</v>
      </c>
      <c r="EI68" s="610">
        <f t="shared" si="86"/>
        <v>0.47661545710826703</v>
      </c>
      <c r="EJ68" s="986">
        <f t="shared" si="86"/>
        <v>0.36464589234679945</v>
      </c>
      <c r="EK68" s="612">
        <f t="shared" si="86"/>
        <v>0.27439099097696751</v>
      </c>
    </row>
    <row r="69" spans="21:141" ht="15" customHeight="1" x14ac:dyDescent="0.25">
      <c r="U69" s="642">
        <f t="shared" si="49"/>
        <v>63</v>
      </c>
      <c r="W69" s="609">
        <f t="shared" ref="W69:W126" si="90">(U69/$U$126)*$K$26</f>
        <v>4.4655970138232437</v>
      </c>
      <c r="X69" s="610">
        <f t="shared" si="87"/>
        <v>3.8543291067537173</v>
      </c>
      <c r="Y69" s="611">
        <f t="shared" si="87"/>
        <v>3.8292764751747699</v>
      </c>
      <c r="Z69" s="611">
        <f t="shared" si="87"/>
        <v>3.7891922646484542</v>
      </c>
      <c r="AA69" s="611">
        <f t="shared" si="87"/>
        <v>3.7090238435958223</v>
      </c>
      <c r="AB69" s="982">
        <f t="shared" ref="AB69:AB126" si="91">IF(W69&lt;$K$26,1000000,-1000000)</f>
        <v>1000000</v>
      </c>
      <c r="AC69" s="919">
        <f t="shared" ref="AC69:AC126" si="92">$K$25</f>
        <v>3.8693606857010856</v>
      </c>
      <c r="AD69" s="611">
        <f t="shared" si="51"/>
        <v>3.747357332452717</v>
      </c>
      <c r="AE69" s="611">
        <f t="shared" si="51"/>
        <v>3.7029547008737693</v>
      </c>
      <c r="AF69" s="611">
        <f t="shared" si="51"/>
        <v>3.6319104903474533</v>
      </c>
      <c r="AG69" s="612">
        <f t="shared" si="51"/>
        <v>3.4898220692948212</v>
      </c>
      <c r="AH69" s="609">
        <f t="shared" ref="AH69:AH126" si="93">$C$31</f>
        <v>3</v>
      </c>
      <c r="AI69" s="895">
        <f t="shared" si="34"/>
        <v>-1000000</v>
      </c>
      <c r="AJ69" s="610">
        <f t="shared" ref="AJ69:AJ128" si="94">$W69</f>
        <v>4.4655970138232437</v>
      </c>
      <c r="AK69" s="609">
        <f t="shared" si="35"/>
        <v>-9.5361774301000152E-2</v>
      </c>
      <c r="AL69" s="611">
        <f t="shared" si="88"/>
        <v>-0.10697177430100026</v>
      </c>
      <c r="AM69" s="611">
        <f t="shared" si="88"/>
        <v>-0.12632177430100042</v>
      </c>
      <c r="AN69" s="611">
        <f t="shared" si="88"/>
        <v>-0.15728177430100068</v>
      </c>
      <c r="AO69" s="612">
        <f t="shared" si="88"/>
        <v>-0.21920177430100124</v>
      </c>
      <c r="AP69" s="902">
        <v>0</v>
      </c>
      <c r="AQ69" s="783">
        <f t="shared" ref="AQ69:AQ126" si="95">IF(AJ69&lt;$K$26,1000000,-1000000)</f>
        <v>1000000</v>
      </c>
      <c r="AR69" s="983"/>
      <c r="AS69" s="609">
        <f t="shared" ref="AS69:AS128" si="96">$W69</f>
        <v>4.4655970138232437</v>
      </c>
      <c r="AT69" s="610">
        <f t="shared" ref="AT69:AW100" si="97">X69+AL69</f>
        <v>3.747357332452717</v>
      </c>
      <c r="AU69" s="611">
        <f t="shared" si="97"/>
        <v>3.7029547008737693</v>
      </c>
      <c r="AV69" s="611">
        <f t="shared" si="97"/>
        <v>3.6319104903474533</v>
      </c>
      <c r="AW69" s="612">
        <f t="shared" si="97"/>
        <v>3.4898220692948212</v>
      </c>
      <c r="AX69" s="982">
        <f t="shared" ref="AX69:AX126" si="98">IF(W69&lt;$K$26,1000000,-1000000)</f>
        <v>1000000</v>
      </c>
      <c r="AY69" s="611">
        <f t="shared" ref="AY69:AY126" si="99">$C$31</f>
        <v>3</v>
      </c>
      <c r="AZ69" s="612">
        <f t="shared" ref="AZ69:AZ126" si="100">$K$25</f>
        <v>3.8693606857010856</v>
      </c>
      <c r="BB69" s="984">
        <f t="shared" si="37"/>
        <v>4.1723271223086993</v>
      </c>
      <c r="BC69" s="985">
        <f t="shared" si="89"/>
        <v>3.773549363107819</v>
      </c>
      <c r="BD69" s="985">
        <f t="shared" si="89"/>
        <v>3.6389327121992392</v>
      </c>
      <c r="BE69" s="528">
        <f t="shared" si="89"/>
        <v>3.5685982818794471</v>
      </c>
      <c r="BF69" s="913">
        <f t="shared" ref="BF69:BI100" si="101">IF(BB$3*$BJ69&lt;$K$26,BB69,-1000000)</f>
        <v>4.1723271223086993</v>
      </c>
      <c r="BG69" s="317">
        <f t="shared" si="101"/>
        <v>-1000000</v>
      </c>
      <c r="BH69" s="317">
        <f t="shared" si="101"/>
        <v>-1000000</v>
      </c>
      <c r="BI69" s="919">
        <f t="shared" si="101"/>
        <v>-1000000</v>
      </c>
      <c r="BJ69" s="646">
        <f t="shared" ref="BJ69:BJ126" si="102">(U69/$U$126)*$BJ$3</f>
        <v>3.1500000000000004</v>
      </c>
      <c r="BK69" s="913">
        <f t="shared" ref="BK69:BK119" si="103">IF(BF69&gt;0,BF69,-1000000)</f>
        <v>4.1723271223086993</v>
      </c>
      <c r="BL69" s="317"/>
      <c r="BM69" s="317"/>
      <c r="BN69" s="317"/>
      <c r="BO69" s="913">
        <f t="shared" ref="BO69:BO126" si="104">$C$31</f>
        <v>3</v>
      </c>
      <c r="BP69" s="783">
        <f t="shared" si="39"/>
        <v>1000000</v>
      </c>
      <c r="CK69" s="642">
        <f t="shared" si="50"/>
        <v>63</v>
      </c>
      <c r="CL69" s="609">
        <f t="shared" ref="CL69:CL126" si="105">($CK69/$CK$126)*$CD$27</f>
        <v>4.4655970138232437</v>
      </c>
      <c r="CM69" s="609">
        <f t="shared" si="40"/>
        <v>3.1500000000000004</v>
      </c>
      <c r="CN69" s="610">
        <f t="shared" si="81"/>
        <v>8.5038153530497418</v>
      </c>
      <c r="CO69" s="611">
        <f t="shared" si="81"/>
        <v>8.5054253685631878</v>
      </c>
      <c r="CP69" s="612">
        <f t="shared" si="81"/>
        <v>8.5057913835224248</v>
      </c>
      <c r="CQ69" s="611">
        <f t="shared" si="82"/>
        <v>2.250308004884634</v>
      </c>
      <c r="CR69" s="611">
        <f t="shared" si="82"/>
        <v>2.6512333012042681</v>
      </c>
      <c r="CS69" s="611">
        <f t="shared" si="82"/>
        <v>3.0521585975239023</v>
      </c>
      <c r="CT69" s="610">
        <f t="shared" ref="CT69:CV126" si="106">CN69+CQ69</f>
        <v>10.754123357934375</v>
      </c>
      <c r="CU69" s="611">
        <f t="shared" si="106"/>
        <v>11.156658669767456</v>
      </c>
      <c r="CV69" s="612">
        <f t="shared" si="106"/>
        <v>11.557949981046328</v>
      </c>
      <c r="CW69" s="613">
        <f t="shared" si="79"/>
        <v>10.754123357934375</v>
      </c>
      <c r="CX69" s="613">
        <f t="shared" si="79"/>
        <v>11.156658669767456</v>
      </c>
      <c r="CY69" s="613">
        <f t="shared" si="79"/>
        <v>11.557949981046328</v>
      </c>
      <c r="CZ69" s="609">
        <f t="shared" ref="CZ69:CZ126" si="107">$CD$27</f>
        <v>8.5058990739490348</v>
      </c>
      <c r="DA69" s="609"/>
      <c r="DB69" s="609">
        <f t="shared" si="42"/>
        <v>3.1500000000000004</v>
      </c>
      <c r="DC69" s="610">
        <f t="shared" ref="DC69:DE100" si="108">((CQ$2-$CD$20)/$CD$37)*EXP(-$CM69/CN$3)-(($CD$22-CQ$2)/$CD$35)*EXP(-$CM69/CQ$3)</f>
        <v>5.4999383301787951E-3</v>
      </c>
      <c r="DD69" s="611">
        <f t="shared" si="108"/>
        <v>1.4731011745530104E-3</v>
      </c>
      <c r="DE69" s="612">
        <f t="shared" si="108"/>
        <v>3.8553206225196694E-4</v>
      </c>
      <c r="DF69" s="611">
        <f t="shared" si="80"/>
        <v>5.8793691700742765E-3</v>
      </c>
      <c r="DG69" s="611">
        <f t="shared" si="80"/>
        <v>1.5937990279724147E-3</v>
      </c>
      <c r="DH69" s="611">
        <f t="shared" si="80"/>
        <v>4.2219155190537246E-4</v>
      </c>
      <c r="DI69" s="614">
        <f t="shared" ref="DI69:DI126" si="109">$CD$32</f>
        <v>8</v>
      </c>
      <c r="DJ69" s="615"/>
      <c r="DK69" s="609">
        <f t="shared" si="43"/>
        <v>3.1500000000000004</v>
      </c>
      <c r="DL69" s="611">
        <f t="shared" si="83"/>
        <v>3.8854235633923864</v>
      </c>
      <c r="DM69" s="611">
        <f t="shared" si="83"/>
        <v>1000000</v>
      </c>
      <c r="DN69" s="611">
        <f t="shared" si="83"/>
        <v>1000000</v>
      </c>
      <c r="DO69" s="610">
        <f t="shared" si="84"/>
        <v>0.3422493142989147</v>
      </c>
      <c r="DP69" s="611">
        <f t="shared" si="84"/>
        <v>0.36159931429891484</v>
      </c>
      <c r="DQ69" s="612">
        <f t="shared" si="84"/>
        <v>0.39255931429891511</v>
      </c>
      <c r="DR69" s="611">
        <f t="shared" ref="DR69:DT126" si="110">(DL69+DO69)</f>
        <v>4.2276728776913011</v>
      </c>
      <c r="DS69" s="611">
        <f t="shared" si="110"/>
        <v>1000000.3615993143</v>
      </c>
      <c r="DT69" s="611">
        <f t="shared" si="110"/>
        <v>1000000.3925593143</v>
      </c>
      <c r="DU69" s="609">
        <f t="shared" si="44"/>
        <v>4.2</v>
      </c>
      <c r="DV69" s="611"/>
      <c r="DW69" s="646">
        <f t="shared" ref="DW69:DW126" si="111">($CK69/$CK$126)*$B$9</f>
        <v>8.4</v>
      </c>
      <c r="DX69" s="621">
        <f t="shared" si="85"/>
        <v>7.4354959597797921</v>
      </c>
      <c r="DY69" s="621">
        <f t="shared" si="85"/>
        <v>7.5500539459271128</v>
      </c>
      <c r="DZ69" s="621">
        <f t="shared" si="85"/>
        <v>7.6424617835393907</v>
      </c>
      <c r="EA69" s="610">
        <f t="shared" ref="EA69:EC100" si="112">DX69+EI69</f>
        <v>7.8922578441173439</v>
      </c>
      <c r="EB69" s="611">
        <f t="shared" si="112"/>
        <v>7.8938240188090791</v>
      </c>
      <c r="EC69" s="612">
        <f t="shared" si="112"/>
        <v>7.8951529563626863</v>
      </c>
      <c r="ED69" s="610">
        <f t="shared" si="45"/>
        <v>8</v>
      </c>
      <c r="EE69" s="611">
        <f t="shared" si="46"/>
        <v>8.5058990739490348</v>
      </c>
      <c r="EF69" s="645">
        <f t="shared" si="47"/>
        <v>-1000000</v>
      </c>
      <c r="EG69" s="902"/>
      <c r="EH69" s="646">
        <f t="shared" ref="EH69:EH126" si="113">DW69</f>
        <v>8.4</v>
      </c>
      <c r="EI69" s="610">
        <f t="shared" si="86"/>
        <v>0.45676188433755138</v>
      </c>
      <c r="EJ69" s="986">
        <f t="shared" si="86"/>
        <v>0.34377007288196593</v>
      </c>
      <c r="EK69" s="612">
        <f t="shared" si="86"/>
        <v>0.25269117282329567</v>
      </c>
    </row>
    <row r="70" spans="21:141" ht="15" customHeight="1" x14ac:dyDescent="0.25">
      <c r="U70" s="642">
        <f t="shared" si="49"/>
        <v>64</v>
      </c>
      <c r="W70" s="609">
        <f t="shared" si="90"/>
        <v>4.5364795061061516</v>
      </c>
      <c r="X70" s="610">
        <f t="shared" si="87"/>
        <v>3.8540606857010857</v>
      </c>
      <c r="Y70" s="611">
        <f t="shared" si="87"/>
        <v>3.8285606857010857</v>
      </c>
      <c r="Z70" s="611">
        <f t="shared" si="87"/>
        <v>3.7877606857010857</v>
      </c>
      <c r="AA70" s="611">
        <f t="shared" si="87"/>
        <v>3.7061606857010858</v>
      </c>
      <c r="AB70" s="982">
        <f t="shared" si="91"/>
        <v>1000000</v>
      </c>
      <c r="AC70" s="919">
        <f t="shared" si="92"/>
        <v>3.8693606857010856</v>
      </c>
      <c r="AD70" s="611">
        <f t="shared" si="51"/>
        <v>3.7445282607353318</v>
      </c>
      <c r="AE70" s="611">
        <f t="shared" si="51"/>
        <v>3.6996782607353316</v>
      </c>
      <c r="AF70" s="611">
        <f t="shared" si="51"/>
        <v>3.6279182607353313</v>
      </c>
      <c r="AG70" s="612">
        <f t="shared" si="51"/>
        <v>3.4843982607353308</v>
      </c>
      <c r="AH70" s="609">
        <f t="shared" si="93"/>
        <v>3</v>
      </c>
      <c r="AI70" s="895">
        <f t="shared" ref="AI70:AI126" si="114">IF(W70&lt;$C$25,-1000000,1000000)</f>
        <v>-1000000</v>
      </c>
      <c r="AJ70" s="610">
        <f t="shared" si="94"/>
        <v>4.5364795061061516</v>
      </c>
      <c r="AK70" s="609">
        <f t="shared" ref="AK70:AK128" si="115">($K$31)*((EXP(-(($AJ70)/($K$27)))-EXP(-1))/(1-EXP(-1)))</f>
        <v>-9.7922424965753818E-2</v>
      </c>
      <c r="AL70" s="611">
        <f t="shared" si="88"/>
        <v>-0.10953242496575392</v>
      </c>
      <c r="AM70" s="611">
        <f t="shared" si="88"/>
        <v>-0.12888242496575408</v>
      </c>
      <c r="AN70" s="611">
        <f t="shared" si="88"/>
        <v>-0.15984242496575435</v>
      </c>
      <c r="AO70" s="612">
        <f t="shared" si="88"/>
        <v>-0.22176242496575488</v>
      </c>
      <c r="AP70" s="902">
        <v>0</v>
      </c>
      <c r="AQ70" s="783">
        <f t="shared" si="95"/>
        <v>1000000</v>
      </c>
      <c r="AR70" s="983"/>
      <c r="AS70" s="609">
        <f t="shared" si="96"/>
        <v>4.5364795061061516</v>
      </c>
      <c r="AT70" s="610">
        <f t="shared" si="97"/>
        <v>3.7445282607353318</v>
      </c>
      <c r="AU70" s="611">
        <f t="shared" si="97"/>
        <v>3.6996782607353316</v>
      </c>
      <c r="AV70" s="611">
        <f t="shared" si="97"/>
        <v>3.6279182607353313</v>
      </c>
      <c r="AW70" s="612">
        <f t="shared" si="97"/>
        <v>3.4843982607353308</v>
      </c>
      <c r="AX70" s="982">
        <f t="shared" si="98"/>
        <v>1000000</v>
      </c>
      <c r="AY70" s="611">
        <f t="shared" si="99"/>
        <v>3</v>
      </c>
      <c r="AZ70" s="612">
        <f t="shared" si="100"/>
        <v>3.8693606857010856</v>
      </c>
      <c r="BB70" s="984">
        <f t="shared" ref="BB70:BB126" si="116">$K$25+$K$31*(1-(1-EXP(-(BA$4*$BJ70)/($K$27)))/(1-EXP(-1)))-($M$28/(1-(BB$3*$BJ70)/($K$26))+$M$30)*BB$3</f>
        <v>4.1720020417269543</v>
      </c>
      <c r="BC70" s="985">
        <f t="shared" si="89"/>
        <v>3.7692519921825474</v>
      </c>
      <c r="BD70" s="985">
        <f t="shared" si="89"/>
        <v>3.6381507010611474</v>
      </c>
      <c r="BE70" s="528">
        <f t="shared" si="89"/>
        <v>3.5683030809703875</v>
      </c>
      <c r="BF70" s="913">
        <f t="shared" si="101"/>
        <v>4.1720020417269543</v>
      </c>
      <c r="BG70" s="317">
        <f t="shared" si="101"/>
        <v>-1000000</v>
      </c>
      <c r="BH70" s="317">
        <f t="shared" si="101"/>
        <v>-1000000</v>
      </c>
      <c r="BI70" s="919">
        <f t="shared" si="101"/>
        <v>-1000000</v>
      </c>
      <c r="BJ70" s="646">
        <f t="shared" si="102"/>
        <v>3.2</v>
      </c>
      <c r="BK70" s="913">
        <f t="shared" si="103"/>
        <v>4.1720020417269543</v>
      </c>
      <c r="BL70" s="317"/>
      <c r="BM70" s="317"/>
      <c r="BN70" s="317"/>
      <c r="BO70" s="913">
        <f t="shared" si="104"/>
        <v>3</v>
      </c>
      <c r="BP70" s="783">
        <f t="shared" ref="BP70:BP126" si="117">IF(BJ70&lt;$C$27,-1000000,IF(BJ70=$C$27,0,1000000))</f>
        <v>1000000</v>
      </c>
      <c r="CK70" s="642">
        <f t="shared" si="50"/>
        <v>64</v>
      </c>
      <c r="CL70" s="609">
        <f t="shared" si="105"/>
        <v>4.5364795061061516</v>
      </c>
      <c r="CM70" s="609">
        <f t="shared" ref="CM70:CM126" si="118">($CK70/$CK$126)*$CM$1</f>
        <v>3.2</v>
      </c>
      <c r="CN70" s="610">
        <f t="shared" si="81"/>
        <v>8.5040729763674001</v>
      </c>
      <c r="CO70" s="611">
        <f t="shared" si="81"/>
        <v>8.5054935830142959</v>
      </c>
      <c r="CP70" s="612">
        <f t="shared" si="81"/>
        <v>8.5058090333620431</v>
      </c>
      <c r="CQ70" s="611">
        <f t="shared" si="82"/>
        <v>2.250308004884634</v>
      </c>
      <c r="CR70" s="611">
        <f t="shared" si="82"/>
        <v>2.6512333012042681</v>
      </c>
      <c r="CS70" s="611">
        <f t="shared" si="82"/>
        <v>3.0521585975239023</v>
      </c>
      <c r="CT70" s="610">
        <f t="shared" si="106"/>
        <v>10.754380981252034</v>
      </c>
      <c r="CU70" s="611">
        <f t="shared" si="106"/>
        <v>11.156726884218564</v>
      </c>
      <c r="CV70" s="612">
        <f t="shared" si="106"/>
        <v>11.557967630885946</v>
      </c>
      <c r="CW70" s="613">
        <f t="shared" ref="CW70:CY85" si="119">IF((CW69+$CD$32*($CM70-$CM69))&lt;CT70,(CW69+$CD$32*($CM70-$CM69)),CT70)</f>
        <v>10.754380981252034</v>
      </c>
      <c r="CX70" s="613">
        <f t="shared" si="119"/>
        <v>11.156726884218564</v>
      </c>
      <c r="CY70" s="613">
        <f t="shared" si="119"/>
        <v>11.557967630885946</v>
      </c>
      <c r="CZ70" s="609">
        <f t="shared" si="107"/>
        <v>8.5058990739490348</v>
      </c>
      <c r="DA70" s="609"/>
      <c r="DB70" s="609">
        <f t="shared" ref="DB70:DB126" si="120">$CM70</f>
        <v>3.2</v>
      </c>
      <c r="DC70" s="610">
        <f t="shared" si="108"/>
        <v>4.8199468975358688E-3</v>
      </c>
      <c r="DD70" s="611">
        <f t="shared" si="108"/>
        <v>1.2609718826979762E-3</v>
      </c>
      <c r="DE70" s="612">
        <f t="shared" si="108"/>
        <v>3.223455815197877E-4</v>
      </c>
      <c r="DF70" s="611">
        <f t="shared" si="80"/>
        <v>5.152466353166592E-3</v>
      </c>
      <c r="DG70" s="611">
        <f t="shared" si="80"/>
        <v>1.364289022163239E-3</v>
      </c>
      <c r="DH70" s="611">
        <f t="shared" si="80"/>
        <v>3.5299679236544659E-4</v>
      </c>
      <c r="DI70" s="614">
        <f t="shared" si="109"/>
        <v>8</v>
      </c>
      <c r="DJ70" s="615"/>
      <c r="DK70" s="609">
        <f t="shared" ref="DK70:DK126" si="121">$CM70</f>
        <v>3.2</v>
      </c>
      <c r="DL70" s="611">
        <f t="shared" si="83"/>
        <v>3.8857486439741313</v>
      </c>
      <c r="DM70" s="611">
        <f t="shared" si="83"/>
        <v>1000000</v>
      </c>
      <c r="DN70" s="611">
        <f t="shared" si="83"/>
        <v>1000000</v>
      </c>
      <c r="DO70" s="610">
        <f t="shared" si="84"/>
        <v>0.3422493142989147</v>
      </c>
      <c r="DP70" s="611">
        <f t="shared" si="84"/>
        <v>0.36159931429891484</v>
      </c>
      <c r="DQ70" s="612">
        <f t="shared" si="84"/>
        <v>0.39255931429891511</v>
      </c>
      <c r="DR70" s="611">
        <f t="shared" si="110"/>
        <v>4.227997958273046</v>
      </c>
      <c r="DS70" s="611">
        <f t="shared" si="110"/>
        <v>1000000.3615993143</v>
      </c>
      <c r="DT70" s="611">
        <f t="shared" si="110"/>
        <v>1000000.3925593143</v>
      </c>
      <c r="DU70" s="609">
        <f t="shared" ref="DU70:DU126" si="122">$CD$24</f>
        <v>4.2</v>
      </c>
      <c r="DV70" s="611"/>
      <c r="DW70" s="646">
        <f t="shared" si="111"/>
        <v>8.5333333333333332</v>
      </c>
      <c r="DX70" s="621">
        <f t="shared" si="85"/>
        <v>7.4198487170990575</v>
      </c>
      <c r="DY70" s="621">
        <f t="shared" si="85"/>
        <v>7.53595308660638</v>
      </c>
      <c r="DZ70" s="621">
        <f t="shared" si="85"/>
        <v>7.6296306847120876</v>
      </c>
      <c r="EA70" s="610">
        <f t="shared" si="112"/>
        <v>7.8570851793602401</v>
      </c>
      <c r="EB70" s="611">
        <f t="shared" si="112"/>
        <v>7.8591923869695481</v>
      </c>
      <c r="EC70" s="612">
        <f t="shared" si="112"/>
        <v>7.8609807058281262</v>
      </c>
      <c r="ED70" s="610">
        <f t="shared" ref="ED70:ED126" si="123">$CD$28</f>
        <v>8</v>
      </c>
      <c r="EE70" s="611">
        <f t="shared" ref="EE70:EE126" si="124">$CD$27</f>
        <v>8.5058990739490348</v>
      </c>
      <c r="EF70" s="645">
        <f t="shared" ref="EF70:EF126" si="125">IF(DW70&lt;$CD$32,1000000,-1000000)</f>
        <v>-1000000</v>
      </c>
      <c r="EG70" s="902"/>
      <c r="EH70" s="646">
        <f t="shared" si="113"/>
        <v>8.5333333333333332</v>
      </c>
      <c r="EI70" s="610">
        <f t="shared" si="86"/>
        <v>0.43723646226118218</v>
      </c>
      <c r="EJ70" s="986">
        <f t="shared" si="86"/>
        <v>0.32323930036316817</v>
      </c>
      <c r="EK70" s="612">
        <f t="shared" si="86"/>
        <v>0.23135002111603864</v>
      </c>
    </row>
    <row r="71" spans="21:141" ht="15" customHeight="1" x14ac:dyDescent="0.25">
      <c r="U71" s="642">
        <f t="shared" si="49"/>
        <v>65</v>
      </c>
      <c r="W71" s="609">
        <f t="shared" si="90"/>
        <v>4.6073619983890604</v>
      </c>
      <c r="X71" s="610">
        <f t="shared" si="87"/>
        <v>3.8537825038829037</v>
      </c>
      <c r="Y71" s="611">
        <f t="shared" si="87"/>
        <v>3.8278188675192673</v>
      </c>
      <c r="Z71" s="611">
        <f t="shared" si="87"/>
        <v>3.7862770493374494</v>
      </c>
      <c r="AA71" s="611">
        <f t="shared" si="87"/>
        <v>3.7031934129738131</v>
      </c>
      <c r="AB71" s="982">
        <f t="shared" si="91"/>
        <v>1000000</v>
      </c>
      <c r="AC71" s="919">
        <f t="shared" si="92"/>
        <v>3.8693606857010856</v>
      </c>
      <c r="AD71" s="611">
        <f t="shared" si="51"/>
        <v>3.7417569818877756</v>
      </c>
      <c r="AE71" s="611">
        <f t="shared" si="51"/>
        <v>3.696443345524139</v>
      </c>
      <c r="AF71" s="611">
        <f t="shared" si="51"/>
        <v>3.6239415273423208</v>
      </c>
      <c r="AG71" s="612">
        <f t="shared" si="51"/>
        <v>3.4789378909786839</v>
      </c>
      <c r="AH71" s="609">
        <f t="shared" si="93"/>
        <v>3</v>
      </c>
      <c r="AI71" s="895">
        <f t="shared" si="114"/>
        <v>-1000000</v>
      </c>
      <c r="AJ71" s="610">
        <f t="shared" si="94"/>
        <v>4.6073619983890604</v>
      </c>
      <c r="AK71" s="609">
        <f t="shared" si="115"/>
        <v>-0.10041552199512799</v>
      </c>
      <c r="AL71" s="611">
        <f t="shared" si="88"/>
        <v>-0.11202552199512809</v>
      </c>
      <c r="AM71" s="611">
        <f t="shared" si="88"/>
        <v>-0.13137552199512825</v>
      </c>
      <c r="AN71" s="611">
        <f t="shared" si="88"/>
        <v>-0.16233552199512852</v>
      </c>
      <c r="AO71" s="612">
        <f t="shared" si="88"/>
        <v>-0.22425552199512905</v>
      </c>
      <c r="AP71" s="902">
        <v>0</v>
      </c>
      <c r="AQ71" s="783">
        <f t="shared" si="95"/>
        <v>1000000</v>
      </c>
      <c r="AR71" s="983"/>
      <c r="AS71" s="609">
        <f t="shared" si="96"/>
        <v>4.6073619983890604</v>
      </c>
      <c r="AT71" s="610">
        <f t="shared" si="97"/>
        <v>3.7417569818877756</v>
      </c>
      <c r="AU71" s="611">
        <f t="shared" si="97"/>
        <v>3.696443345524139</v>
      </c>
      <c r="AV71" s="611">
        <f t="shared" si="97"/>
        <v>3.6239415273423208</v>
      </c>
      <c r="AW71" s="612">
        <f t="shared" si="97"/>
        <v>3.4789378909786839</v>
      </c>
      <c r="AX71" s="982">
        <f t="shared" si="98"/>
        <v>1000000</v>
      </c>
      <c r="AY71" s="611">
        <f t="shared" si="99"/>
        <v>3</v>
      </c>
      <c r="AZ71" s="612">
        <f t="shared" si="100"/>
        <v>3.8693606857010856</v>
      </c>
      <c r="BB71" s="984">
        <f t="shared" si="116"/>
        <v>4.1716635313895845</v>
      </c>
      <c r="BC71" s="985">
        <f t="shared" si="89"/>
        <v>3.7651870806365872</v>
      </c>
      <c r="BD71" s="985">
        <f t="shared" si="89"/>
        <v>3.6374132846403273</v>
      </c>
      <c r="BE71" s="528">
        <f t="shared" si="89"/>
        <v>3.5680193028263276</v>
      </c>
      <c r="BF71" s="913">
        <f t="shared" si="101"/>
        <v>4.1716635313895845</v>
      </c>
      <c r="BG71" s="317">
        <f t="shared" si="101"/>
        <v>-1000000</v>
      </c>
      <c r="BH71" s="317">
        <f t="shared" si="101"/>
        <v>-1000000</v>
      </c>
      <c r="BI71" s="919">
        <f t="shared" si="101"/>
        <v>-1000000</v>
      </c>
      <c r="BJ71" s="646">
        <f t="shared" si="102"/>
        <v>3.25</v>
      </c>
      <c r="BK71" s="913">
        <f t="shared" si="103"/>
        <v>4.1716635313895845</v>
      </c>
      <c r="BL71" s="317"/>
      <c r="BM71" s="317"/>
      <c r="BN71" s="317"/>
      <c r="BO71" s="913">
        <f t="shared" si="104"/>
        <v>3</v>
      </c>
      <c r="BP71" s="783">
        <f t="shared" si="117"/>
        <v>1000000</v>
      </c>
      <c r="CK71" s="642">
        <f t="shared" si="50"/>
        <v>65</v>
      </c>
      <c r="CL71" s="609">
        <f t="shared" si="105"/>
        <v>4.6073619983890604</v>
      </c>
      <c r="CM71" s="609">
        <f t="shared" si="118"/>
        <v>3.25</v>
      </c>
      <c r="CN71" s="610">
        <f t="shared" si="81"/>
        <v>8.5042987481190337</v>
      </c>
      <c r="CO71" s="611">
        <f t="shared" si="81"/>
        <v>8.5055519744583634</v>
      </c>
      <c r="CP71" s="612">
        <f t="shared" si="81"/>
        <v>8.5058237904947749</v>
      </c>
      <c r="CQ71" s="611">
        <f t="shared" si="82"/>
        <v>2.250308004884634</v>
      </c>
      <c r="CR71" s="611">
        <f t="shared" si="82"/>
        <v>2.6512333012042681</v>
      </c>
      <c r="CS71" s="611">
        <f t="shared" si="82"/>
        <v>3.0521585975239023</v>
      </c>
      <c r="CT71" s="610">
        <f t="shared" si="106"/>
        <v>10.754606753003667</v>
      </c>
      <c r="CU71" s="611">
        <f t="shared" si="106"/>
        <v>11.156785275662632</v>
      </c>
      <c r="CV71" s="612">
        <f t="shared" si="106"/>
        <v>11.557982388018678</v>
      </c>
      <c r="CW71" s="613">
        <f t="shared" si="119"/>
        <v>10.754606753003667</v>
      </c>
      <c r="CX71" s="613">
        <f t="shared" si="119"/>
        <v>11.156785275662632</v>
      </c>
      <c r="CY71" s="613">
        <f t="shared" si="119"/>
        <v>11.557982388018678</v>
      </c>
      <c r="CZ71" s="609">
        <f t="shared" si="107"/>
        <v>8.5058990739490348</v>
      </c>
      <c r="DA71" s="609"/>
      <c r="DB71" s="609">
        <f t="shared" si="120"/>
        <v>3.25</v>
      </c>
      <c r="DC71" s="610">
        <f t="shared" si="108"/>
        <v>4.2240270163739178E-3</v>
      </c>
      <c r="DD71" s="611">
        <f t="shared" si="108"/>
        <v>1.0793896009466931E-3</v>
      </c>
      <c r="DE71" s="612">
        <f t="shared" si="108"/>
        <v>2.6951500043444134E-4</v>
      </c>
      <c r="DF71" s="611">
        <f t="shared" ref="DF71:DH86" si="126">(CW71-CW70)/($DB71-$DB70)</f>
        <v>4.5154350326726145E-3</v>
      </c>
      <c r="DG71" s="611">
        <f t="shared" si="126"/>
        <v>1.1678288813499235E-3</v>
      </c>
      <c r="DH71" s="611">
        <f t="shared" si="126"/>
        <v>2.9514265463603909E-4</v>
      </c>
      <c r="DI71" s="614">
        <f t="shared" si="109"/>
        <v>8</v>
      </c>
      <c r="DJ71" s="615"/>
      <c r="DK71" s="609">
        <f t="shared" si="121"/>
        <v>3.25</v>
      </c>
      <c r="DL71" s="611">
        <f t="shared" si="83"/>
        <v>3.8860871543115012</v>
      </c>
      <c r="DM71" s="611">
        <f t="shared" si="83"/>
        <v>1000000</v>
      </c>
      <c r="DN71" s="611">
        <f t="shared" si="83"/>
        <v>1000000</v>
      </c>
      <c r="DO71" s="610">
        <f t="shared" si="84"/>
        <v>0.3422493142989147</v>
      </c>
      <c r="DP71" s="611">
        <f t="shared" si="84"/>
        <v>0.36159931429891484</v>
      </c>
      <c r="DQ71" s="612">
        <f t="shared" si="84"/>
        <v>0.39255931429891511</v>
      </c>
      <c r="DR71" s="611">
        <f t="shared" si="110"/>
        <v>4.2283364686104159</v>
      </c>
      <c r="DS71" s="611">
        <f t="shared" si="110"/>
        <v>1000000.3615993143</v>
      </c>
      <c r="DT71" s="611">
        <f t="shared" si="110"/>
        <v>1000000.3925593143</v>
      </c>
      <c r="DU71" s="609">
        <f t="shared" si="122"/>
        <v>4.2</v>
      </c>
      <c r="DV71" s="611"/>
      <c r="DW71" s="646">
        <f t="shared" si="111"/>
        <v>8.6666666666666661</v>
      </c>
      <c r="DX71" s="621">
        <f t="shared" si="85"/>
        <v>7.4042400855349788</v>
      </c>
      <c r="DY71" s="621">
        <f t="shared" si="85"/>
        <v>7.5218833068554281</v>
      </c>
      <c r="DZ71" s="621">
        <f t="shared" si="85"/>
        <v>7.6168251381313761</v>
      </c>
      <c r="EA71" s="610">
        <f t="shared" si="112"/>
        <v>7.8222738525602349</v>
      </c>
      <c r="EB71" s="611">
        <f t="shared" si="112"/>
        <v>7.8249311785214548</v>
      </c>
      <c r="EC71" s="612">
        <f t="shared" si="112"/>
        <v>7.8271867457516526</v>
      </c>
      <c r="ED71" s="610">
        <f t="shared" si="123"/>
        <v>8</v>
      </c>
      <c r="EE71" s="611">
        <f t="shared" si="124"/>
        <v>8.5058990739490348</v>
      </c>
      <c r="EF71" s="645">
        <f t="shared" si="125"/>
        <v>-1000000</v>
      </c>
      <c r="EG71" s="902"/>
      <c r="EH71" s="646">
        <f t="shared" si="113"/>
        <v>8.6666666666666661</v>
      </c>
      <c r="EI71" s="610">
        <f t="shared" si="86"/>
        <v>0.41803376702525563</v>
      </c>
      <c r="EJ71" s="986">
        <f t="shared" si="86"/>
        <v>0.30304787166602631</v>
      </c>
      <c r="EK71" s="612">
        <f t="shared" si="86"/>
        <v>0.21036160762027656</v>
      </c>
    </row>
    <row r="72" spans="21:141" ht="15" customHeight="1" x14ac:dyDescent="0.25">
      <c r="U72" s="642">
        <f t="shared" ref="U72:U126" si="127">U71+1</f>
        <v>66</v>
      </c>
      <c r="W72" s="609">
        <f t="shared" si="90"/>
        <v>4.6782444906719691</v>
      </c>
      <c r="X72" s="610">
        <f t="shared" si="87"/>
        <v>3.8534940190344189</v>
      </c>
      <c r="Y72" s="611">
        <f t="shared" si="87"/>
        <v>3.8270495745899744</v>
      </c>
      <c r="Z72" s="611">
        <f t="shared" si="87"/>
        <v>3.7847384634788632</v>
      </c>
      <c r="AA72" s="611">
        <f t="shared" si="87"/>
        <v>3.7001162412566413</v>
      </c>
      <c r="AB72" s="982">
        <f t="shared" si="91"/>
        <v>1000000</v>
      </c>
      <c r="AC72" s="919">
        <f t="shared" si="92"/>
        <v>3.8693606857010856</v>
      </c>
      <c r="AD72" s="611">
        <f t="shared" si="51"/>
        <v>3.739041171483553</v>
      </c>
      <c r="AE72" s="611">
        <f t="shared" si="51"/>
        <v>3.6932467270391083</v>
      </c>
      <c r="AF72" s="611">
        <f t="shared" si="51"/>
        <v>3.6199756159279968</v>
      </c>
      <c r="AG72" s="612">
        <f t="shared" si="51"/>
        <v>3.4734333937057742</v>
      </c>
      <c r="AH72" s="609">
        <f t="shared" si="93"/>
        <v>3</v>
      </c>
      <c r="AI72" s="895">
        <f t="shared" si="114"/>
        <v>-1000000</v>
      </c>
      <c r="AJ72" s="610">
        <f t="shared" si="94"/>
        <v>4.6782444906719691</v>
      </c>
      <c r="AK72" s="609">
        <f t="shared" si="115"/>
        <v>-0.10284284755086603</v>
      </c>
      <c r="AL72" s="611">
        <f t="shared" si="88"/>
        <v>-0.11445284755086614</v>
      </c>
      <c r="AM72" s="611">
        <f t="shared" si="88"/>
        <v>-0.1338028475508663</v>
      </c>
      <c r="AN72" s="611">
        <f t="shared" si="88"/>
        <v>-0.16476284755086656</v>
      </c>
      <c r="AO72" s="612">
        <f t="shared" si="88"/>
        <v>-0.22668284755086709</v>
      </c>
      <c r="AP72" s="902">
        <v>0</v>
      </c>
      <c r="AQ72" s="783">
        <f t="shared" si="95"/>
        <v>1000000</v>
      </c>
      <c r="AR72" s="983"/>
      <c r="AS72" s="609">
        <f t="shared" si="96"/>
        <v>4.6782444906719691</v>
      </c>
      <c r="AT72" s="610">
        <f t="shared" si="97"/>
        <v>3.739041171483553</v>
      </c>
      <c r="AU72" s="611">
        <f t="shared" si="97"/>
        <v>3.6932467270391083</v>
      </c>
      <c r="AV72" s="611">
        <f t="shared" si="97"/>
        <v>3.6199756159279968</v>
      </c>
      <c r="AW72" s="612">
        <f t="shared" si="97"/>
        <v>3.4734333937057742</v>
      </c>
      <c r="AX72" s="982">
        <f t="shared" si="98"/>
        <v>1000000</v>
      </c>
      <c r="AY72" s="611">
        <f t="shared" si="99"/>
        <v>3</v>
      </c>
      <c r="AZ72" s="612">
        <f t="shared" si="100"/>
        <v>3.8693606857010856</v>
      </c>
      <c r="BB72" s="984">
        <f t="shared" si="116"/>
        <v>4.1713107415269661</v>
      </c>
      <c r="BC72" s="985">
        <f t="shared" si="89"/>
        <v>3.7613317580176844</v>
      </c>
      <c r="BD72" s="985">
        <f t="shared" si="89"/>
        <v>3.6367173388909655</v>
      </c>
      <c r="BE72" s="528">
        <f t="shared" si="89"/>
        <v>3.5677462629254819</v>
      </c>
      <c r="BF72" s="913">
        <f t="shared" si="101"/>
        <v>4.1713107415269661</v>
      </c>
      <c r="BG72" s="317">
        <f t="shared" si="101"/>
        <v>-1000000</v>
      </c>
      <c r="BH72" s="317">
        <f t="shared" si="101"/>
        <v>-1000000</v>
      </c>
      <c r="BI72" s="919">
        <f t="shared" si="101"/>
        <v>-1000000</v>
      </c>
      <c r="BJ72" s="646">
        <f t="shared" si="102"/>
        <v>3.3000000000000003</v>
      </c>
      <c r="BK72" s="913">
        <f t="shared" si="103"/>
        <v>4.1713107415269661</v>
      </c>
      <c r="BL72" s="317"/>
      <c r="BM72" s="317"/>
      <c r="BN72" s="317"/>
      <c r="BO72" s="913">
        <f t="shared" si="104"/>
        <v>3</v>
      </c>
      <c r="BP72" s="783">
        <f t="shared" si="117"/>
        <v>1000000</v>
      </c>
      <c r="CK72" s="642">
        <f t="shared" ref="CK72:CK126" si="128">CK71+1</f>
        <v>66</v>
      </c>
      <c r="CL72" s="609">
        <f t="shared" si="105"/>
        <v>4.6782444906719691</v>
      </c>
      <c r="CM72" s="609">
        <f t="shared" si="118"/>
        <v>3.3000000000000003</v>
      </c>
      <c r="CN72" s="610">
        <f t="shared" si="81"/>
        <v>8.5044966063109815</v>
      </c>
      <c r="CO72" s="611">
        <f t="shared" si="81"/>
        <v>8.5056019574265616</v>
      </c>
      <c r="CP72" s="612">
        <f t="shared" si="81"/>
        <v>8.50583612901859</v>
      </c>
      <c r="CQ72" s="611">
        <f t="shared" si="82"/>
        <v>2.250308004884634</v>
      </c>
      <c r="CR72" s="611">
        <f t="shared" si="82"/>
        <v>2.6512333012042681</v>
      </c>
      <c r="CS72" s="611">
        <f t="shared" si="82"/>
        <v>3.0521585975239023</v>
      </c>
      <c r="CT72" s="610">
        <f t="shared" si="106"/>
        <v>10.754804611195615</v>
      </c>
      <c r="CU72" s="611">
        <f t="shared" si="106"/>
        <v>11.15683525863083</v>
      </c>
      <c r="CV72" s="612">
        <f t="shared" si="106"/>
        <v>11.557994726542493</v>
      </c>
      <c r="CW72" s="613">
        <f t="shared" si="119"/>
        <v>10.754804611195615</v>
      </c>
      <c r="CX72" s="613">
        <f t="shared" si="119"/>
        <v>11.15683525863083</v>
      </c>
      <c r="CY72" s="613">
        <f t="shared" si="119"/>
        <v>11.557994726542493</v>
      </c>
      <c r="CZ72" s="609">
        <f t="shared" si="107"/>
        <v>8.5058990739490348</v>
      </c>
      <c r="DA72" s="609"/>
      <c r="DB72" s="609">
        <f t="shared" si="120"/>
        <v>3.3000000000000003</v>
      </c>
      <c r="DC72" s="610">
        <f t="shared" si="108"/>
        <v>3.7017844001929552E-3</v>
      </c>
      <c r="DD72" s="611">
        <f t="shared" si="108"/>
        <v>9.2395550338446016E-4</v>
      </c>
      <c r="DE72" s="612">
        <f t="shared" si="108"/>
        <v>2.2534304679066273E-4</v>
      </c>
      <c r="DF72" s="611">
        <f t="shared" si="126"/>
        <v>3.9571638389545929E-3</v>
      </c>
      <c r="DG72" s="611">
        <f t="shared" si="126"/>
        <v>9.9965936396272949E-4</v>
      </c>
      <c r="DH72" s="611">
        <f t="shared" si="126"/>
        <v>2.4677047630205931E-4</v>
      </c>
      <c r="DI72" s="614">
        <f t="shared" si="109"/>
        <v>8</v>
      </c>
      <c r="DJ72" s="615"/>
      <c r="DK72" s="609">
        <f t="shared" si="121"/>
        <v>3.3000000000000003</v>
      </c>
      <c r="DL72" s="611">
        <f t="shared" si="83"/>
        <v>3.8864399441741191</v>
      </c>
      <c r="DM72" s="611">
        <f t="shared" si="83"/>
        <v>1000000</v>
      </c>
      <c r="DN72" s="611">
        <f t="shared" si="83"/>
        <v>1000000</v>
      </c>
      <c r="DO72" s="610">
        <f t="shared" si="84"/>
        <v>0.3422493142989147</v>
      </c>
      <c r="DP72" s="611">
        <f t="shared" si="84"/>
        <v>0.36159931429891484</v>
      </c>
      <c r="DQ72" s="612">
        <f t="shared" si="84"/>
        <v>0.39255931429891511</v>
      </c>
      <c r="DR72" s="611">
        <f t="shared" si="110"/>
        <v>4.2286892584730342</v>
      </c>
      <c r="DS72" s="611">
        <f t="shared" si="110"/>
        <v>1000000.3615993143</v>
      </c>
      <c r="DT72" s="611">
        <f t="shared" si="110"/>
        <v>1000000.3925593143</v>
      </c>
      <c r="DU72" s="609">
        <f t="shared" si="122"/>
        <v>4.2</v>
      </c>
      <c r="DV72" s="611"/>
      <c r="DW72" s="646">
        <f t="shared" si="111"/>
        <v>8.8000000000000007</v>
      </c>
      <c r="DX72" s="621">
        <f t="shared" si="85"/>
        <v>7.3886699223485559</v>
      </c>
      <c r="DY72" s="621">
        <f t="shared" si="85"/>
        <v>7.5078445040340975</v>
      </c>
      <c r="DZ72" s="621">
        <f t="shared" si="85"/>
        <v>7.6040450675448845</v>
      </c>
      <c r="EA72" s="610">
        <f t="shared" si="112"/>
        <v>7.7878183867728401</v>
      </c>
      <c r="EB72" s="611">
        <f t="shared" si="112"/>
        <v>7.791034681964609</v>
      </c>
      <c r="EC72" s="612">
        <f t="shared" si="112"/>
        <v>7.7937651696310724</v>
      </c>
      <c r="ED72" s="610">
        <f t="shared" si="123"/>
        <v>8</v>
      </c>
      <c r="EE72" s="611">
        <f t="shared" si="124"/>
        <v>8.5058990739490348</v>
      </c>
      <c r="EF72" s="645">
        <f t="shared" si="125"/>
        <v>-1000000</v>
      </c>
      <c r="EG72" s="902"/>
      <c r="EH72" s="646">
        <f t="shared" si="113"/>
        <v>8.8000000000000007</v>
      </c>
      <c r="EI72" s="610">
        <f t="shared" si="86"/>
        <v>0.3991484644242842</v>
      </c>
      <c r="EJ72" s="986">
        <f t="shared" si="86"/>
        <v>0.28319017793051104</v>
      </c>
      <c r="EK72" s="612">
        <f t="shared" si="86"/>
        <v>0.18972010208618784</v>
      </c>
    </row>
    <row r="73" spans="21:141" ht="15" customHeight="1" x14ac:dyDescent="0.25">
      <c r="U73" s="642">
        <f t="shared" si="127"/>
        <v>67</v>
      </c>
      <c r="W73" s="609">
        <f t="shared" si="90"/>
        <v>4.7491269829548779</v>
      </c>
      <c r="X73" s="610">
        <f t="shared" si="87"/>
        <v>3.8531946479652364</v>
      </c>
      <c r="Y73" s="611">
        <f t="shared" si="87"/>
        <v>3.8262512517388214</v>
      </c>
      <c r="Z73" s="611">
        <f t="shared" si="87"/>
        <v>3.7831418177765572</v>
      </c>
      <c r="AA73" s="611">
        <f t="shared" si="87"/>
        <v>3.6969229498520289</v>
      </c>
      <c r="AB73" s="982">
        <f t="shared" si="91"/>
        <v>1000000</v>
      </c>
      <c r="AC73" s="919">
        <f t="shared" si="92"/>
        <v>3.8693606857010856</v>
      </c>
      <c r="AD73" s="611">
        <f t="shared" si="51"/>
        <v>3.7363785111865067</v>
      </c>
      <c r="AE73" s="611">
        <f t="shared" si="51"/>
        <v>3.6900851149600915</v>
      </c>
      <c r="AF73" s="611">
        <f t="shared" si="51"/>
        <v>3.616015680997827</v>
      </c>
      <c r="AG73" s="612">
        <f t="shared" si="51"/>
        <v>3.467876813073298</v>
      </c>
      <c r="AH73" s="609">
        <f t="shared" si="93"/>
        <v>3</v>
      </c>
      <c r="AI73" s="895">
        <f t="shared" si="114"/>
        <v>-1000000</v>
      </c>
      <c r="AJ73" s="610">
        <f t="shared" si="94"/>
        <v>4.7491269829548779</v>
      </c>
      <c r="AK73" s="609">
        <f t="shared" si="115"/>
        <v>-0.10520613677872975</v>
      </c>
      <c r="AL73" s="611">
        <f t="shared" si="88"/>
        <v>-0.11681613677872986</v>
      </c>
      <c r="AM73" s="611">
        <f t="shared" si="88"/>
        <v>-0.13616613677873002</v>
      </c>
      <c r="AN73" s="611">
        <f t="shared" si="88"/>
        <v>-0.16712613677873028</v>
      </c>
      <c r="AO73" s="612">
        <f t="shared" si="88"/>
        <v>-0.22904613677873081</v>
      </c>
      <c r="AP73" s="902">
        <v>0</v>
      </c>
      <c r="AQ73" s="783">
        <f t="shared" si="95"/>
        <v>1000000</v>
      </c>
      <c r="AR73" s="983"/>
      <c r="AS73" s="609">
        <f t="shared" si="96"/>
        <v>4.7491269829548779</v>
      </c>
      <c r="AT73" s="610">
        <f t="shared" si="97"/>
        <v>3.7363785111865067</v>
      </c>
      <c r="AU73" s="611">
        <f t="shared" si="97"/>
        <v>3.6900851149600915</v>
      </c>
      <c r="AV73" s="611">
        <f t="shared" si="97"/>
        <v>3.616015680997827</v>
      </c>
      <c r="AW73" s="612">
        <f t="shared" si="97"/>
        <v>3.467876813073298</v>
      </c>
      <c r="AX73" s="982">
        <f t="shared" si="98"/>
        <v>1000000</v>
      </c>
      <c r="AY73" s="611">
        <f t="shared" si="99"/>
        <v>3</v>
      </c>
      <c r="AZ73" s="612">
        <f t="shared" si="100"/>
        <v>3.8693606857010856</v>
      </c>
      <c r="BB73" s="984">
        <f t="shared" si="116"/>
        <v>4.1709427491323972</v>
      </c>
      <c r="BC73" s="985">
        <f t="shared" si="89"/>
        <v>3.7576666333986992</v>
      </c>
      <c r="BD73" s="985">
        <f t="shared" si="89"/>
        <v>3.6360599873690687</v>
      </c>
      <c r="BE73" s="528">
        <f t="shared" si="89"/>
        <v>3.5674833327129321</v>
      </c>
      <c r="BF73" s="913">
        <f t="shared" si="101"/>
        <v>4.1709427491323972</v>
      </c>
      <c r="BG73" s="317">
        <f t="shared" si="101"/>
        <v>-1000000</v>
      </c>
      <c r="BH73" s="317">
        <f t="shared" si="101"/>
        <v>-1000000</v>
      </c>
      <c r="BI73" s="919">
        <f t="shared" si="101"/>
        <v>-1000000</v>
      </c>
      <c r="BJ73" s="646">
        <f t="shared" si="102"/>
        <v>3.35</v>
      </c>
      <c r="BK73" s="913">
        <f t="shared" si="103"/>
        <v>4.1709427491323972</v>
      </c>
      <c r="BL73" s="317"/>
      <c r="BM73" s="317"/>
      <c r="BN73" s="317"/>
      <c r="BO73" s="913">
        <f t="shared" si="104"/>
        <v>3</v>
      </c>
      <c r="BP73" s="783">
        <f t="shared" si="117"/>
        <v>1000000</v>
      </c>
      <c r="CK73" s="642">
        <f t="shared" si="128"/>
        <v>67</v>
      </c>
      <c r="CL73" s="609">
        <f t="shared" si="105"/>
        <v>4.7491269829548779</v>
      </c>
      <c r="CM73" s="609">
        <f t="shared" si="118"/>
        <v>3.35</v>
      </c>
      <c r="CN73" s="610">
        <f t="shared" si="81"/>
        <v>8.5046700020694779</v>
      </c>
      <c r="CO73" s="611">
        <f t="shared" si="81"/>
        <v>8.5056447427549546</v>
      </c>
      <c r="CP73" s="612">
        <f t="shared" si="81"/>
        <v>8.5058464453295386</v>
      </c>
      <c r="CQ73" s="611">
        <f t="shared" si="82"/>
        <v>2.250308004884634</v>
      </c>
      <c r="CR73" s="611">
        <f t="shared" si="82"/>
        <v>2.6512333012042681</v>
      </c>
      <c r="CS73" s="611">
        <f t="shared" si="82"/>
        <v>3.0521585975239023</v>
      </c>
      <c r="CT73" s="610">
        <f t="shared" si="106"/>
        <v>10.754978006954111</v>
      </c>
      <c r="CU73" s="611">
        <f t="shared" si="106"/>
        <v>11.156878043959223</v>
      </c>
      <c r="CV73" s="612">
        <f t="shared" si="106"/>
        <v>11.558005042853441</v>
      </c>
      <c r="CW73" s="613">
        <f t="shared" si="119"/>
        <v>10.754978006954111</v>
      </c>
      <c r="CX73" s="613">
        <f t="shared" si="119"/>
        <v>11.156878043959223</v>
      </c>
      <c r="CY73" s="613">
        <f t="shared" si="119"/>
        <v>11.558005042853441</v>
      </c>
      <c r="CZ73" s="609">
        <f t="shared" si="107"/>
        <v>8.5058990739490348</v>
      </c>
      <c r="DA73" s="609"/>
      <c r="DB73" s="609">
        <f t="shared" si="120"/>
        <v>3.35</v>
      </c>
      <c r="DC73" s="610">
        <f t="shared" si="108"/>
        <v>3.2441098724968215E-3</v>
      </c>
      <c r="DD73" s="611">
        <f t="shared" si="108"/>
        <v>7.9090420315860869E-4</v>
      </c>
      <c r="DE73" s="612">
        <f t="shared" si="108"/>
        <v>1.8841062150546522E-4</v>
      </c>
      <c r="DF73" s="611">
        <f t="shared" si="126"/>
        <v>3.4679151699279608E-3</v>
      </c>
      <c r="DG73" s="611">
        <f t="shared" si="126"/>
        <v>8.5570656786160574E-4</v>
      </c>
      <c r="DH73" s="611">
        <f t="shared" si="126"/>
        <v>2.0632621897220888E-4</v>
      </c>
      <c r="DI73" s="614">
        <f t="shared" si="109"/>
        <v>8</v>
      </c>
      <c r="DJ73" s="615"/>
      <c r="DK73" s="609">
        <f t="shared" si="121"/>
        <v>3.35</v>
      </c>
      <c r="DL73" s="611">
        <f t="shared" si="83"/>
        <v>3.8868079365686885</v>
      </c>
      <c r="DM73" s="611">
        <f t="shared" si="83"/>
        <v>1000000</v>
      </c>
      <c r="DN73" s="611">
        <f t="shared" si="83"/>
        <v>1000000</v>
      </c>
      <c r="DO73" s="610">
        <f t="shared" si="84"/>
        <v>0.3422493142989147</v>
      </c>
      <c r="DP73" s="611">
        <f t="shared" si="84"/>
        <v>0.36159931429891484</v>
      </c>
      <c r="DQ73" s="612">
        <f t="shared" si="84"/>
        <v>0.39255931429891511</v>
      </c>
      <c r="DR73" s="611">
        <f t="shared" si="110"/>
        <v>4.2290572508676032</v>
      </c>
      <c r="DS73" s="611">
        <f t="shared" si="110"/>
        <v>1000000.3615993143</v>
      </c>
      <c r="DT73" s="611">
        <f t="shared" si="110"/>
        <v>1000000.3925593143</v>
      </c>
      <c r="DU73" s="609">
        <f t="shared" si="122"/>
        <v>4.2</v>
      </c>
      <c r="DV73" s="611"/>
      <c r="DW73" s="646">
        <f t="shared" si="111"/>
        <v>8.9333333333333336</v>
      </c>
      <c r="DX73" s="621">
        <f t="shared" si="85"/>
        <v>7.3731380855034931</v>
      </c>
      <c r="DY73" s="621">
        <f t="shared" si="85"/>
        <v>7.4938365759536856</v>
      </c>
      <c r="DZ73" s="621">
        <f t="shared" si="85"/>
        <v>7.5912903970033341</v>
      </c>
      <c r="EA73" s="610">
        <f t="shared" si="112"/>
        <v>7.7537133939229399</v>
      </c>
      <c r="EB73" s="611">
        <f t="shared" si="112"/>
        <v>7.7574972789565857</v>
      </c>
      <c r="EC73" s="612">
        <f t="shared" si="112"/>
        <v>7.7607101676328458</v>
      </c>
      <c r="ED73" s="610">
        <f t="shared" si="123"/>
        <v>8</v>
      </c>
      <c r="EE73" s="611">
        <f t="shared" si="124"/>
        <v>8.5058990739490348</v>
      </c>
      <c r="EF73" s="645">
        <f t="shared" si="125"/>
        <v>-1000000</v>
      </c>
      <c r="EG73" s="902"/>
      <c r="EH73" s="646">
        <f t="shared" si="113"/>
        <v>8.9333333333333336</v>
      </c>
      <c r="EI73" s="610">
        <f t="shared" si="86"/>
        <v>0.38057530841944631</v>
      </c>
      <c r="EJ73" s="986">
        <f t="shared" si="86"/>
        <v>0.26366070300290012</v>
      </c>
      <c r="EK73" s="612">
        <f t="shared" si="86"/>
        <v>0.16941977062951219</v>
      </c>
    </row>
    <row r="74" spans="21:141" ht="15" customHeight="1" x14ac:dyDescent="0.25">
      <c r="U74" s="642">
        <f t="shared" si="127"/>
        <v>68</v>
      </c>
      <c r="W74" s="609">
        <f t="shared" si="90"/>
        <v>4.8200094752377867</v>
      </c>
      <c r="X74" s="610">
        <f t="shared" si="87"/>
        <v>3.8528837626241623</v>
      </c>
      <c r="Y74" s="611">
        <f t="shared" si="87"/>
        <v>3.8254222241626241</v>
      </c>
      <c r="Z74" s="611">
        <f t="shared" si="87"/>
        <v>3.7814837626241626</v>
      </c>
      <c r="AA74" s="611">
        <f t="shared" si="87"/>
        <v>3.6936068395472397</v>
      </c>
      <c r="AB74" s="982">
        <f t="shared" si="91"/>
        <v>1000000</v>
      </c>
      <c r="AC74" s="919">
        <f t="shared" si="92"/>
        <v>3.8693606857010856</v>
      </c>
      <c r="AD74" s="611">
        <f t="shared" si="51"/>
        <v>3.7337666835753138</v>
      </c>
      <c r="AE74" s="611">
        <f t="shared" si="51"/>
        <v>3.6869551451137754</v>
      </c>
      <c r="AF74" s="611">
        <f t="shared" si="51"/>
        <v>3.6120566835753136</v>
      </c>
      <c r="AG74" s="612">
        <f t="shared" si="51"/>
        <v>3.4622597604983905</v>
      </c>
      <c r="AH74" s="609">
        <f t="shared" si="93"/>
        <v>3</v>
      </c>
      <c r="AI74" s="895">
        <f t="shared" si="114"/>
        <v>-1000000</v>
      </c>
      <c r="AJ74" s="610">
        <f t="shared" si="94"/>
        <v>4.8200094752377867</v>
      </c>
      <c r="AK74" s="609">
        <f t="shared" si="115"/>
        <v>-0.10750707904884831</v>
      </c>
      <c r="AL74" s="611">
        <f t="shared" si="88"/>
        <v>-0.11911707904884841</v>
      </c>
      <c r="AM74" s="611">
        <f t="shared" si="88"/>
        <v>-0.13846707904884858</v>
      </c>
      <c r="AN74" s="611">
        <f t="shared" si="88"/>
        <v>-0.16942707904884885</v>
      </c>
      <c r="AO74" s="612">
        <f t="shared" si="88"/>
        <v>-0.23134707904884938</v>
      </c>
      <c r="AP74" s="902">
        <v>0</v>
      </c>
      <c r="AQ74" s="783">
        <f t="shared" si="95"/>
        <v>1000000</v>
      </c>
      <c r="AR74" s="983"/>
      <c r="AS74" s="609">
        <f t="shared" si="96"/>
        <v>4.8200094752377867</v>
      </c>
      <c r="AT74" s="610">
        <f t="shared" si="97"/>
        <v>3.7337666835753138</v>
      </c>
      <c r="AU74" s="611">
        <f t="shared" si="97"/>
        <v>3.6869551451137754</v>
      </c>
      <c r="AV74" s="611">
        <f t="shared" si="97"/>
        <v>3.6120566835753136</v>
      </c>
      <c r="AW74" s="612">
        <f t="shared" si="97"/>
        <v>3.4622597604983905</v>
      </c>
      <c r="AX74" s="982">
        <f t="shared" si="98"/>
        <v>1000000</v>
      </c>
      <c r="AY74" s="611">
        <f t="shared" si="99"/>
        <v>3</v>
      </c>
      <c r="AZ74" s="612">
        <f t="shared" si="100"/>
        <v>3.8693606857010856</v>
      </c>
      <c r="BB74" s="984">
        <f t="shared" si="116"/>
        <v>4.1705585498984625</v>
      </c>
      <c r="BC74" s="985">
        <f t="shared" si="89"/>
        <v>3.754175121299423</v>
      </c>
      <c r="BD74" s="985">
        <f t="shared" si="89"/>
        <v>3.6354385790616424</v>
      </c>
      <c r="BE74" s="528">
        <f t="shared" si="89"/>
        <v>3.5672299339302667</v>
      </c>
      <c r="BF74" s="913">
        <f t="shared" si="101"/>
        <v>4.1705585498984625</v>
      </c>
      <c r="BG74" s="317">
        <f t="shared" si="101"/>
        <v>-1000000</v>
      </c>
      <c r="BH74" s="317">
        <f t="shared" si="101"/>
        <v>-1000000</v>
      </c>
      <c r="BI74" s="919">
        <f t="shared" si="101"/>
        <v>-1000000</v>
      </c>
      <c r="BJ74" s="646">
        <f t="shared" si="102"/>
        <v>3.4</v>
      </c>
      <c r="BK74" s="913">
        <f t="shared" si="103"/>
        <v>4.1705585498984625</v>
      </c>
      <c r="BL74" s="317"/>
      <c r="BM74" s="317"/>
      <c r="BN74" s="317"/>
      <c r="BO74" s="913">
        <f t="shared" si="104"/>
        <v>3</v>
      </c>
      <c r="BP74" s="783">
        <f t="shared" si="117"/>
        <v>1000000</v>
      </c>
      <c r="CK74" s="642">
        <f t="shared" si="128"/>
        <v>68</v>
      </c>
      <c r="CL74" s="609">
        <f t="shared" si="105"/>
        <v>4.8200094752377867</v>
      </c>
      <c r="CM74" s="609">
        <f t="shared" si="118"/>
        <v>3.4</v>
      </c>
      <c r="CN74" s="610">
        <f t="shared" si="81"/>
        <v>8.5048219598366419</v>
      </c>
      <c r="CO74" s="611">
        <f t="shared" si="81"/>
        <v>8.5056813669169813</v>
      </c>
      <c r="CP74" s="612">
        <f t="shared" si="81"/>
        <v>8.5058550708566418</v>
      </c>
      <c r="CQ74" s="611">
        <f t="shared" si="82"/>
        <v>2.250308004884634</v>
      </c>
      <c r="CR74" s="611">
        <f t="shared" si="82"/>
        <v>2.6512333012042681</v>
      </c>
      <c r="CS74" s="611">
        <f t="shared" si="82"/>
        <v>3.0521585975239023</v>
      </c>
      <c r="CT74" s="610">
        <f t="shared" si="106"/>
        <v>10.755129964721275</v>
      </c>
      <c r="CU74" s="611">
        <f t="shared" si="106"/>
        <v>11.156914668121249</v>
      </c>
      <c r="CV74" s="612">
        <f t="shared" si="106"/>
        <v>11.558013668380545</v>
      </c>
      <c r="CW74" s="613">
        <f t="shared" si="119"/>
        <v>10.755129964721275</v>
      </c>
      <c r="CX74" s="613">
        <f t="shared" si="119"/>
        <v>11.156914668121249</v>
      </c>
      <c r="CY74" s="613">
        <f t="shared" si="119"/>
        <v>11.558013668380545</v>
      </c>
      <c r="CZ74" s="609">
        <f t="shared" si="107"/>
        <v>8.5058990739490348</v>
      </c>
      <c r="DA74" s="609"/>
      <c r="DB74" s="609">
        <f t="shared" si="120"/>
        <v>3.4</v>
      </c>
      <c r="DC74" s="610">
        <f t="shared" si="108"/>
        <v>2.8430204806856887E-3</v>
      </c>
      <c r="DD74" s="611">
        <f t="shared" si="108"/>
        <v>6.7701253608277859E-4</v>
      </c>
      <c r="DE74" s="612">
        <f t="shared" si="108"/>
        <v>1.5753120764827895E-4</v>
      </c>
      <c r="DF74" s="611">
        <f t="shared" si="126"/>
        <v>3.0391553432807081E-3</v>
      </c>
      <c r="DG74" s="611">
        <f t="shared" si="126"/>
        <v>7.3248324053310204E-4</v>
      </c>
      <c r="DH74" s="611">
        <f t="shared" si="126"/>
        <v>1.7251054206468615E-4</v>
      </c>
      <c r="DI74" s="614">
        <f t="shared" si="109"/>
        <v>8</v>
      </c>
      <c r="DJ74" s="615"/>
      <c r="DK74" s="609">
        <f t="shared" si="121"/>
        <v>3.4</v>
      </c>
      <c r="DL74" s="611">
        <f t="shared" si="83"/>
        <v>3.8871921358026236</v>
      </c>
      <c r="DM74" s="611">
        <f t="shared" si="83"/>
        <v>1000000</v>
      </c>
      <c r="DN74" s="611">
        <f t="shared" si="83"/>
        <v>1000000</v>
      </c>
      <c r="DO74" s="610">
        <f t="shared" si="84"/>
        <v>0.3422493142989147</v>
      </c>
      <c r="DP74" s="611">
        <f t="shared" si="84"/>
        <v>0.36159931429891484</v>
      </c>
      <c r="DQ74" s="612">
        <f t="shared" si="84"/>
        <v>0.39255931429891511</v>
      </c>
      <c r="DR74" s="611">
        <f t="shared" si="110"/>
        <v>4.2294414501015378</v>
      </c>
      <c r="DS74" s="611">
        <f t="shared" si="110"/>
        <v>1000000.3615993143</v>
      </c>
      <c r="DT74" s="611">
        <f t="shared" si="110"/>
        <v>1000000.3925593143</v>
      </c>
      <c r="DU74" s="609">
        <f t="shared" si="122"/>
        <v>4.2</v>
      </c>
      <c r="DV74" s="611"/>
      <c r="DW74" s="646">
        <f t="shared" si="111"/>
        <v>9.0666666666666664</v>
      </c>
      <c r="DX74" s="621">
        <f t="shared" si="85"/>
        <v>7.3576444336618891</v>
      </c>
      <c r="DY74" s="621">
        <f t="shared" si="85"/>
        <v>7.479859420874476</v>
      </c>
      <c r="DZ74" s="621">
        <f t="shared" si="85"/>
        <v>7.5785610508590482</v>
      </c>
      <c r="EA74" s="610">
        <f t="shared" si="112"/>
        <v>7.7199535733432016</v>
      </c>
      <c r="EB74" s="611">
        <f t="shared" si="112"/>
        <v>7.7243134427779463</v>
      </c>
      <c r="EC74" s="612">
        <f t="shared" si="112"/>
        <v>7.7280160249978023</v>
      </c>
      <c r="ED74" s="610">
        <f t="shared" si="123"/>
        <v>8</v>
      </c>
      <c r="EE74" s="611">
        <f t="shared" si="124"/>
        <v>8.5058990739490348</v>
      </c>
      <c r="EF74" s="645">
        <f t="shared" si="125"/>
        <v>-1000000</v>
      </c>
      <c r="EG74" s="902"/>
      <c r="EH74" s="646">
        <f t="shared" si="113"/>
        <v>9.0666666666666664</v>
      </c>
      <c r="EI74" s="610">
        <f t="shared" si="86"/>
        <v>0.36230913968131251</v>
      </c>
      <c r="EJ74" s="986">
        <f t="shared" si="86"/>
        <v>0.24445402190346988</v>
      </c>
      <c r="EK74" s="612">
        <f t="shared" si="86"/>
        <v>0.14945497413875408</v>
      </c>
    </row>
    <row r="75" spans="21:141" ht="15" customHeight="1" x14ac:dyDescent="0.25">
      <c r="U75" s="642">
        <f t="shared" si="127"/>
        <v>69</v>
      </c>
      <c r="W75" s="609">
        <f t="shared" si="90"/>
        <v>4.8908919675206945</v>
      </c>
      <c r="X75" s="610">
        <f t="shared" si="87"/>
        <v>3.8525606857010857</v>
      </c>
      <c r="Y75" s="611">
        <f t="shared" si="87"/>
        <v>3.8245606857010856</v>
      </c>
      <c r="Z75" s="611">
        <f t="shared" si="87"/>
        <v>3.7797606857010857</v>
      </c>
      <c r="AA75" s="611">
        <f t="shared" si="87"/>
        <v>3.6901606857010858</v>
      </c>
      <c r="AB75" s="982">
        <f t="shared" si="91"/>
        <v>1000000</v>
      </c>
      <c r="AC75" s="919">
        <f t="shared" si="92"/>
        <v>3.8693606857010856</v>
      </c>
      <c r="AD75" s="611">
        <f t="shared" si="51"/>
        <v>3.7312033665377404</v>
      </c>
      <c r="AE75" s="611">
        <f t="shared" si="51"/>
        <v>3.6838533665377402</v>
      </c>
      <c r="AF75" s="611">
        <f t="shared" si="51"/>
        <v>3.6080933665377399</v>
      </c>
      <c r="AG75" s="612">
        <f t="shared" si="51"/>
        <v>3.4565733665377398</v>
      </c>
      <c r="AH75" s="609">
        <f t="shared" si="93"/>
        <v>3</v>
      </c>
      <c r="AI75" s="895">
        <f t="shared" si="114"/>
        <v>-1000000</v>
      </c>
      <c r="AJ75" s="610">
        <f t="shared" si="94"/>
        <v>4.8908919675206945</v>
      </c>
      <c r="AK75" s="609">
        <f t="shared" si="115"/>
        <v>-0.109747319163345</v>
      </c>
      <c r="AL75" s="611">
        <f t="shared" si="88"/>
        <v>-0.12135731916334511</v>
      </c>
      <c r="AM75" s="611">
        <f t="shared" si="88"/>
        <v>-0.14070731916334528</v>
      </c>
      <c r="AN75" s="611">
        <f t="shared" si="88"/>
        <v>-0.17166731916334554</v>
      </c>
      <c r="AO75" s="612">
        <f t="shared" si="88"/>
        <v>-0.23358731916334607</v>
      </c>
      <c r="AP75" s="902">
        <v>0</v>
      </c>
      <c r="AQ75" s="783">
        <f t="shared" si="95"/>
        <v>1000000</v>
      </c>
      <c r="AR75" s="983"/>
      <c r="AS75" s="609">
        <f t="shared" si="96"/>
        <v>4.8908919675206945</v>
      </c>
      <c r="AT75" s="610">
        <f t="shared" si="97"/>
        <v>3.7312033665377404</v>
      </c>
      <c r="AU75" s="611">
        <f t="shared" si="97"/>
        <v>3.6838533665377402</v>
      </c>
      <c r="AV75" s="611">
        <f t="shared" si="97"/>
        <v>3.6080933665377399</v>
      </c>
      <c r="AW75" s="612">
        <f t="shared" si="97"/>
        <v>3.4565733665377398</v>
      </c>
      <c r="AX75" s="982">
        <f t="shared" si="98"/>
        <v>1000000</v>
      </c>
      <c r="AY75" s="611">
        <f t="shared" si="99"/>
        <v>3</v>
      </c>
      <c r="AZ75" s="612">
        <f t="shared" si="100"/>
        <v>3.8693606857010856</v>
      </c>
      <c r="BB75" s="984">
        <f t="shared" si="116"/>
        <v>4.1701570490640254</v>
      </c>
      <c r="BC75" s="985">
        <f t="shared" si="89"/>
        <v>3.7508429201045788</v>
      </c>
      <c r="BD75" s="985">
        <f t="shared" si="89"/>
        <v>3.6348506685177191</v>
      </c>
      <c r="BE75" s="528">
        <f t="shared" si="89"/>
        <v>3.5669855336062697</v>
      </c>
      <c r="BF75" s="913">
        <f t="shared" si="101"/>
        <v>4.1701570490640254</v>
      </c>
      <c r="BG75" s="317">
        <f t="shared" si="101"/>
        <v>-1000000</v>
      </c>
      <c r="BH75" s="317">
        <f t="shared" si="101"/>
        <v>-1000000</v>
      </c>
      <c r="BI75" s="919">
        <f t="shared" si="101"/>
        <v>-1000000</v>
      </c>
      <c r="BJ75" s="646">
        <f t="shared" si="102"/>
        <v>3.4499999999999997</v>
      </c>
      <c r="BK75" s="913">
        <f t="shared" si="103"/>
        <v>4.1701570490640254</v>
      </c>
      <c r="BL75" s="317"/>
      <c r="BM75" s="317"/>
      <c r="BN75" s="317"/>
      <c r="BO75" s="913">
        <f t="shared" si="104"/>
        <v>3</v>
      </c>
      <c r="BP75" s="783">
        <f t="shared" si="117"/>
        <v>1000000</v>
      </c>
      <c r="CK75" s="642">
        <f t="shared" si="128"/>
        <v>69</v>
      </c>
      <c r="CL75" s="609">
        <f t="shared" si="105"/>
        <v>4.8908919675206945</v>
      </c>
      <c r="CM75" s="609">
        <f t="shared" si="118"/>
        <v>3.4499999999999997</v>
      </c>
      <c r="CN75" s="610">
        <f t="shared" si="81"/>
        <v>8.5049551301240953</v>
      </c>
      <c r="CO75" s="611">
        <f t="shared" si="81"/>
        <v>8.5057127171319813</v>
      </c>
      <c r="CP75" s="612">
        <f t="shared" si="81"/>
        <v>8.5058622827096162</v>
      </c>
      <c r="CQ75" s="611">
        <f t="shared" si="82"/>
        <v>2.250308004884634</v>
      </c>
      <c r="CR75" s="611">
        <f t="shared" si="82"/>
        <v>2.6512333012042681</v>
      </c>
      <c r="CS75" s="611">
        <f t="shared" si="82"/>
        <v>3.0521585975239023</v>
      </c>
      <c r="CT75" s="610">
        <f t="shared" si="106"/>
        <v>10.755263135008729</v>
      </c>
      <c r="CU75" s="611">
        <f t="shared" si="106"/>
        <v>11.156946018336249</v>
      </c>
      <c r="CV75" s="612">
        <f t="shared" si="106"/>
        <v>11.558020880233519</v>
      </c>
      <c r="CW75" s="613">
        <f t="shared" si="119"/>
        <v>10.755263135008729</v>
      </c>
      <c r="CX75" s="613">
        <f t="shared" si="119"/>
        <v>11.156946018336249</v>
      </c>
      <c r="CY75" s="613">
        <f t="shared" si="119"/>
        <v>11.558020880233519</v>
      </c>
      <c r="CZ75" s="609">
        <f t="shared" si="107"/>
        <v>8.5058990739490348</v>
      </c>
      <c r="DA75" s="609"/>
      <c r="DB75" s="609">
        <f t="shared" si="120"/>
        <v>3.4499999999999997</v>
      </c>
      <c r="DC75" s="610">
        <f t="shared" si="108"/>
        <v>2.4915202540219117E-3</v>
      </c>
      <c r="DD75" s="611">
        <f t="shared" si="108"/>
        <v>5.7952147957079253E-4</v>
      </c>
      <c r="DE75" s="612">
        <f t="shared" si="108"/>
        <v>1.3171275156801762E-4</v>
      </c>
      <c r="DF75" s="611">
        <f t="shared" si="126"/>
        <v>2.6634057490682135E-3</v>
      </c>
      <c r="DG75" s="611">
        <f t="shared" si="126"/>
        <v>6.2700430000006918E-4</v>
      </c>
      <c r="DH75" s="611">
        <f t="shared" si="126"/>
        <v>1.44237059487296E-4</v>
      </c>
      <c r="DI75" s="614">
        <f t="shared" si="109"/>
        <v>8</v>
      </c>
      <c r="DJ75" s="615"/>
      <c r="DK75" s="609">
        <f t="shared" si="121"/>
        <v>3.4499999999999997</v>
      </c>
      <c r="DL75" s="611">
        <f t="shared" si="83"/>
        <v>3.8875936366370603</v>
      </c>
      <c r="DM75" s="611">
        <f t="shared" si="83"/>
        <v>1000000</v>
      </c>
      <c r="DN75" s="611">
        <f t="shared" si="83"/>
        <v>1000000</v>
      </c>
      <c r="DO75" s="610">
        <f t="shared" si="84"/>
        <v>0.3422493142989147</v>
      </c>
      <c r="DP75" s="611">
        <f t="shared" si="84"/>
        <v>0.36159931429891484</v>
      </c>
      <c r="DQ75" s="612">
        <f t="shared" si="84"/>
        <v>0.39255931429891511</v>
      </c>
      <c r="DR75" s="611">
        <f t="shared" si="110"/>
        <v>4.229842950935975</v>
      </c>
      <c r="DS75" s="611">
        <f t="shared" si="110"/>
        <v>1000000.3615993143</v>
      </c>
      <c r="DT75" s="611">
        <f t="shared" si="110"/>
        <v>1000000.3925593143</v>
      </c>
      <c r="DU75" s="609">
        <f t="shared" si="122"/>
        <v>4.2</v>
      </c>
      <c r="DV75" s="611"/>
      <c r="DW75" s="646">
        <f t="shared" si="111"/>
        <v>9.1999999999999993</v>
      </c>
      <c r="DX75" s="621">
        <f t="shared" si="85"/>
        <v>7.3421888261799513</v>
      </c>
      <c r="DY75" s="621">
        <f t="shared" si="85"/>
        <v>7.46591293750327</v>
      </c>
      <c r="DZ75" s="621">
        <f t="shared" si="85"/>
        <v>7.5658569537644418</v>
      </c>
      <c r="EA75" s="610">
        <f t="shared" si="112"/>
        <v>7.6865337103366205</v>
      </c>
      <c r="EB75" s="611">
        <f t="shared" si="112"/>
        <v>7.6914777368227956</v>
      </c>
      <c r="EC75" s="612">
        <f t="shared" si="112"/>
        <v>7.695677120473178</v>
      </c>
      <c r="ED75" s="610">
        <f t="shared" si="123"/>
        <v>8</v>
      </c>
      <c r="EE75" s="611">
        <f t="shared" si="124"/>
        <v>8.5058990739490348</v>
      </c>
      <c r="EF75" s="645">
        <f t="shared" si="125"/>
        <v>-1000000</v>
      </c>
      <c r="EG75" s="902"/>
      <c r="EH75" s="646">
        <f t="shared" si="113"/>
        <v>9.1999999999999993</v>
      </c>
      <c r="EI75" s="610">
        <f t="shared" si="86"/>
        <v>0.34434488415666964</v>
      </c>
      <c r="EJ75" s="986">
        <f t="shared" si="86"/>
        <v>0.22556479931952556</v>
      </c>
      <c r="EK75" s="612">
        <f t="shared" si="86"/>
        <v>0.1298201667087362</v>
      </c>
    </row>
    <row r="76" spans="21:141" ht="15" customHeight="1" x14ac:dyDescent="0.25">
      <c r="U76" s="642">
        <f t="shared" si="127"/>
        <v>70</v>
      </c>
      <c r="W76" s="609">
        <f t="shared" si="90"/>
        <v>4.9617744598036042</v>
      </c>
      <c r="X76" s="610">
        <f t="shared" si="87"/>
        <v>3.8522246857010858</v>
      </c>
      <c r="Y76" s="611">
        <f t="shared" si="87"/>
        <v>3.8236646857010856</v>
      </c>
      <c r="Z76" s="611">
        <f t="shared" si="87"/>
        <v>3.7779686857010857</v>
      </c>
      <c r="AA76" s="611">
        <f t="shared" si="87"/>
        <v>3.6865766857010858</v>
      </c>
      <c r="AB76" s="982">
        <f t="shared" si="91"/>
        <v>1000000</v>
      </c>
      <c r="AC76" s="919">
        <f t="shared" si="92"/>
        <v>3.8693606857010856</v>
      </c>
      <c r="AD76" s="611">
        <f t="shared" si="51"/>
        <v>3.7286862271689802</v>
      </c>
      <c r="AE76" s="611">
        <f t="shared" si="51"/>
        <v>3.6807762271689799</v>
      </c>
      <c r="AF76" s="611">
        <f t="shared" si="51"/>
        <v>3.6041202271689796</v>
      </c>
      <c r="AG76" s="612">
        <f t="shared" si="51"/>
        <v>3.4508082271689795</v>
      </c>
      <c r="AH76" s="609">
        <f t="shared" si="93"/>
        <v>3</v>
      </c>
      <c r="AI76" s="895">
        <f t="shared" si="114"/>
        <v>-1000000</v>
      </c>
      <c r="AJ76" s="610">
        <f t="shared" si="94"/>
        <v>4.9617744598036042</v>
      </c>
      <c r="AK76" s="609">
        <f t="shared" si="115"/>
        <v>-0.11192845853210537</v>
      </c>
      <c r="AL76" s="611">
        <f t="shared" si="88"/>
        <v>-0.12353845853210547</v>
      </c>
      <c r="AM76" s="611">
        <f t="shared" si="88"/>
        <v>-0.14288845853210563</v>
      </c>
      <c r="AN76" s="611">
        <f t="shared" si="88"/>
        <v>-0.1738484585321059</v>
      </c>
      <c r="AO76" s="612">
        <f t="shared" si="88"/>
        <v>-0.23576845853210643</v>
      </c>
      <c r="AP76" s="902">
        <v>0</v>
      </c>
      <c r="AQ76" s="783">
        <f t="shared" si="95"/>
        <v>1000000</v>
      </c>
      <c r="AR76" s="983"/>
      <c r="AS76" s="609">
        <f t="shared" si="96"/>
        <v>4.9617744598036042</v>
      </c>
      <c r="AT76" s="610">
        <f t="shared" si="97"/>
        <v>3.7286862271689802</v>
      </c>
      <c r="AU76" s="611">
        <f t="shared" si="97"/>
        <v>3.6807762271689799</v>
      </c>
      <c r="AV76" s="611">
        <f t="shared" si="97"/>
        <v>3.6041202271689796</v>
      </c>
      <c r="AW76" s="612">
        <f t="shared" si="97"/>
        <v>3.4508082271689795</v>
      </c>
      <c r="AX76" s="982">
        <f t="shared" si="98"/>
        <v>1000000</v>
      </c>
      <c r="AY76" s="611">
        <f t="shared" si="99"/>
        <v>3</v>
      </c>
      <c r="AZ76" s="612">
        <f t="shared" si="100"/>
        <v>3.8693606857010856</v>
      </c>
      <c r="BB76" s="984">
        <f t="shared" si="116"/>
        <v>4.1697370509961678</v>
      </c>
      <c r="BC76" s="985">
        <f t="shared" si="89"/>
        <v>3.7476576041285137</v>
      </c>
      <c r="BD76" s="985">
        <f t="shared" si="89"/>
        <v>3.6342939979977693</v>
      </c>
      <c r="BE76" s="528">
        <f t="shared" si="89"/>
        <v>3.5667496396242155</v>
      </c>
      <c r="BF76" s="913">
        <f t="shared" si="101"/>
        <v>4.1697370509961678</v>
      </c>
      <c r="BG76" s="317">
        <f t="shared" si="101"/>
        <v>-1000000</v>
      </c>
      <c r="BH76" s="317">
        <f t="shared" si="101"/>
        <v>-1000000</v>
      </c>
      <c r="BI76" s="919">
        <f t="shared" si="101"/>
        <v>-1000000</v>
      </c>
      <c r="BJ76" s="646">
        <f t="shared" si="102"/>
        <v>3.5</v>
      </c>
      <c r="BK76" s="913">
        <f t="shared" si="103"/>
        <v>4.1697370509961678</v>
      </c>
      <c r="BL76" s="317"/>
      <c r="BM76" s="317"/>
      <c r="BN76" s="317"/>
      <c r="BO76" s="913">
        <f t="shared" si="104"/>
        <v>3</v>
      </c>
      <c r="BP76" s="783">
        <f t="shared" si="117"/>
        <v>1000000</v>
      </c>
      <c r="CK76" s="642">
        <f t="shared" si="128"/>
        <v>70</v>
      </c>
      <c r="CL76" s="609">
        <f t="shared" si="105"/>
        <v>4.9617744598036042</v>
      </c>
      <c r="CM76" s="609">
        <f t="shared" si="118"/>
        <v>3.5</v>
      </c>
      <c r="CN76" s="610">
        <f t="shared" si="81"/>
        <v>8.5050718357442889</v>
      </c>
      <c r="CO76" s="611">
        <f t="shared" si="81"/>
        <v>8.5057395528580795</v>
      </c>
      <c r="CP76" s="612">
        <f t="shared" si="81"/>
        <v>8.5058683125814945</v>
      </c>
      <c r="CQ76" s="611">
        <f t="shared" si="82"/>
        <v>2.250308004884634</v>
      </c>
      <c r="CR76" s="611">
        <f t="shared" si="82"/>
        <v>2.6512333012042681</v>
      </c>
      <c r="CS76" s="611">
        <f t="shared" si="82"/>
        <v>3.0521585975239023</v>
      </c>
      <c r="CT76" s="610">
        <f t="shared" si="106"/>
        <v>10.755379840628922</v>
      </c>
      <c r="CU76" s="611">
        <f t="shared" si="106"/>
        <v>11.156972854062348</v>
      </c>
      <c r="CV76" s="612">
        <f t="shared" si="106"/>
        <v>11.558026910105397</v>
      </c>
      <c r="CW76" s="613">
        <f t="shared" si="119"/>
        <v>10.755379840628922</v>
      </c>
      <c r="CX76" s="613">
        <f t="shared" si="119"/>
        <v>11.156972854062348</v>
      </c>
      <c r="CY76" s="613">
        <f t="shared" si="119"/>
        <v>11.558026910105397</v>
      </c>
      <c r="CZ76" s="609">
        <f t="shared" si="107"/>
        <v>8.5058990739490348</v>
      </c>
      <c r="DA76" s="609"/>
      <c r="DB76" s="609">
        <f t="shared" si="120"/>
        <v>3.5</v>
      </c>
      <c r="DC76" s="610">
        <f t="shared" si="108"/>
        <v>2.1834781769508125E-3</v>
      </c>
      <c r="DD76" s="611">
        <f t="shared" si="108"/>
        <v>4.9606931538835781E-4</v>
      </c>
      <c r="DE76" s="612">
        <f t="shared" si="108"/>
        <v>1.1012579148350013E-4</v>
      </c>
      <c r="DF76" s="611">
        <f t="shared" si="126"/>
        <v>2.3341124038722557E-3</v>
      </c>
      <c r="DG76" s="611">
        <f t="shared" si="126"/>
        <v>5.3671452196368537E-4</v>
      </c>
      <c r="DH76" s="611">
        <f t="shared" si="126"/>
        <v>1.205974375650947E-4</v>
      </c>
      <c r="DI76" s="614">
        <f t="shared" si="109"/>
        <v>8</v>
      </c>
      <c r="DJ76" s="615"/>
      <c r="DK76" s="609">
        <f t="shared" si="121"/>
        <v>3.5</v>
      </c>
      <c r="DL76" s="611">
        <f t="shared" si="83"/>
        <v>3.8880136347049179</v>
      </c>
      <c r="DM76" s="611">
        <f t="shared" si="83"/>
        <v>1000000</v>
      </c>
      <c r="DN76" s="611">
        <f t="shared" si="83"/>
        <v>1000000</v>
      </c>
      <c r="DO76" s="610">
        <f t="shared" si="84"/>
        <v>0.3422493142989147</v>
      </c>
      <c r="DP76" s="611">
        <f t="shared" si="84"/>
        <v>0.36159931429891484</v>
      </c>
      <c r="DQ76" s="612">
        <f t="shared" si="84"/>
        <v>0.39255931429891511</v>
      </c>
      <c r="DR76" s="611">
        <f t="shared" si="110"/>
        <v>4.2302629490038326</v>
      </c>
      <c r="DS76" s="611">
        <f t="shared" si="110"/>
        <v>1000000.3615993143</v>
      </c>
      <c r="DT76" s="611">
        <f t="shared" si="110"/>
        <v>1000000.3925593143</v>
      </c>
      <c r="DU76" s="609">
        <f t="shared" si="122"/>
        <v>4.2</v>
      </c>
      <c r="DV76" s="611"/>
      <c r="DW76" s="646">
        <f t="shared" si="111"/>
        <v>9.3333333333333339</v>
      </c>
      <c r="DX76" s="621">
        <f t="shared" si="85"/>
        <v>7.326771123103728</v>
      </c>
      <c r="DY76" s="621">
        <f t="shared" si="85"/>
        <v>7.4519970249909351</v>
      </c>
      <c r="DZ76" s="621">
        <f t="shared" si="85"/>
        <v>7.5531780306705478</v>
      </c>
      <c r="EA76" s="610">
        <f t="shared" si="112"/>
        <v>7.6534486747627533</v>
      </c>
      <c r="EB76" s="611">
        <f t="shared" si="112"/>
        <v>7.6589848131142677</v>
      </c>
      <c r="EC76" s="612">
        <f t="shared" si="112"/>
        <v>7.663687924770576</v>
      </c>
      <c r="ED76" s="610">
        <f t="shared" si="123"/>
        <v>8</v>
      </c>
      <c r="EE76" s="611">
        <f t="shared" si="124"/>
        <v>8.5058990739490348</v>
      </c>
      <c r="EF76" s="645">
        <f t="shared" si="125"/>
        <v>-1000000</v>
      </c>
      <c r="EG76" s="902"/>
      <c r="EH76" s="646">
        <f t="shared" si="113"/>
        <v>9.3333333333333339</v>
      </c>
      <c r="EI76" s="610">
        <f t="shared" si="86"/>
        <v>0.32667755165902523</v>
      </c>
      <c r="EJ76" s="986">
        <f t="shared" si="86"/>
        <v>0.20698778812333263</v>
      </c>
      <c r="EK76" s="612">
        <f t="shared" si="86"/>
        <v>0.11050989410002776</v>
      </c>
    </row>
    <row r="77" spans="21:141" ht="15" customHeight="1" x14ac:dyDescent="0.25">
      <c r="U77" s="642">
        <f t="shared" si="127"/>
        <v>71</v>
      </c>
      <c r="W77" s="609">
        <f t="shared" si="90"/>
        <v>5.0326569520865121</v>
      </c>
      <c r="X77" s="610">
        <f t="shared" si="87"/>
        <v>3.8518749714153713</v>
      </c>
      <c r="Y77" s="611">
        <f t="shared" si="87"/>
        <v>3.8227321142725144</v>
      </c>
      <c r="Z77" s="611">
        <f t="shared" si="87"/>
        <v>3.7761035428439427</v>
      </c>
      <c r="AA77" s="611">
        <f t="shared" si="87"/>
        <v>3.6828463999867997</v>
      </c>
      <c r="AB77" s="982">
        <f t="shared" si="91"/>
        <v>1000000</v>
      </c>
      <c r="AC77" s="919">
        <f t="shared" si="92"/>
        <v>3.8693606857010856</v>
      </c>
      <c r="AD77" s="611">
        <f t="shared" si="51"/>
        <v>3.7262129150978449</v>
      </c>
      <c r="AE77" s="611">
        <f t="shared" si="51"/>
        <v>3.6777200579549878</v>
      </c>
      <c r="AF77" s="611">
        <f t="shared" si="51"/>
        <v>3.6001314865264158</v>
      </c>
      <c r="AG77" s="612">
        <f t="shared" si="51"/>
        <v>3.4449543436692727</v>
      </c>
      <c r="AH77" s="609">
        <f t="shared" si="93"/>
        <v>3</v>
      </c>
      <c r="AI77" s="895">
        <f t="shared" si="114"/>
        <v>-1000000</v>
      </c>
      <c r="AJ77" s="610">
        <f t="shared" si="94"/>
        <v>5.0326569520865121</v>
      </c>
      <c r="AK77" s="609">
        <f t="shared" si="115"/>
        <v>-0.11405205631752621</v>
      </c>
      <c r="AL77" s="611">
        <f t="shared" si="88"/>
        <v>-0.12566205631752631</v>
      </c>
      <c r="AM77" s="611">
        <f t="shared" si="88"/>
        <v>-0.14501205631752648</v>
      </c>
      <c r="AN77" s="611">
        <f t="shared" si="88"/>
        <v>-0.17597205631752674</v>
      </c>
      <c r="AO77" s="612">
        <f t="shared" si="88"/>
        <v>-0.2378920563175273</v>
      </c>
      <c r="AP77" s="902">
        <v>0</v>
      </c>
      <c r="AQ77" s="783">
        <f t="shared" si="95"/>
        <v>1000000</v>
      </c>
      <c r="AR77" s="983"/>
      <c r="AS77" s="609">
        <f t="shared" si="96"/>
        <v>5.0326569520865121</v>
      </c>
      <c r="AT77" s="610">
        <f t="shared" si="97"/>
        <v>3.7262129150978449</v>
      </c>
      <c r="AU77" s="611">
        <f t="shared" si="97"/>
        <v>3.6777200579549878</v>
      </c>
      <c r="AV77" s="611">
        <f t="shared" si="97"/>
        <v>3.6001314865264158</v>
      </c>
      <c r="AW77" s="612">
        <f t="shared" si="97"/>
        <v>3.4449543436692727</v>
      </c>
      <c r="AX77" s="982">
        <f t="shared" si="98"/>
        <v>1000000</v>
      </c>
      <c r="AY77" s="611">
        <f t="shared" si="99"/>
        <v>3</v>
      </c>
      <c r="AZ77" s="612">
        <f t="shared" si="100"/>
        <v>3.8693606857010856</v>
      </c>
      <c r="BB77" s="984">
        <f t="shared" si="116"/>
        <v>4.1692972472982932</v>
      </c>
      <c r="BC77" s="985">
        <f t="shared" si="89"/>
        <v>3.7446083013932383</v>
      </c>
      <c r="BD77" s="985">
        <f t="shared" si="89"/>
        <v>3.6337664813993595</v>
      </c>
      <c r="BE77" s="528">
        <f t="shared" si="89"/>
        <v>3.566521796792824</v>
      </c>
      <c r="BF77" s="913">
        <f t="shared" si="101"/>
        <v>4.1692972472982932</v>
      </c>
      <c r="BG77" s="317">
        <f t="shared" si="101"/>
        <v>-1000000</v>
      </c>
      <c r="BH77" s="317">
        <f t="shared" si="101"/>
        <v>-1000000</v>
      </c>
      <c r="BI77" s="919">
        <f t="shared" si="101"/>
        <v>-1000000</v>
      </c>
      <c r="BJ77" s="646">
        <f t="shared" si="102"/>
        <v>3.55</v>
      </c>
      <c r="BK77" s="913">
        <f t="shared" si="103"/>
        <v>4.1692972472982932</v>
      </c>
      <c r="BL77" s="317"/>
      <c r="BM77" s="317"/>
      <c r="BN77" s="317"/>
      <c r="BO77" s="913">
        <f t="shared" si="104"/>
        <v>3</v>
      </c>
      <c r="BP77" s="783">
        <f t="shared" si="117"/>
        <v>1000000</v>
      </c>
      <c r="CK77" s="642">
        <f t="shared" si="128"/>
        <v>71</v>
      </c>
      <c r="CL77" s="609">
        <f t="shared" si="105"/>
        <v>5.0326569520865121</v>
      </c>
      <c r="CM77" s="609">
        <f t="shared" si="118"/>
        <v>3.55</v>
      </c>
      <c r="CN77" s="610">
        <f t="shared" si="81"/>
        <v>8.5051741123259923</v>
      </c>
      <c r="CO77" s="611">
        <f t="shared" si="81"/>
        <v>8.5057625241900183</v>
      </c>
      <c r="CP77" s="612">
        <f t="shared" si="81"/>
        <v>8.5058733541921612</v>
      </c>
      <c r="CQ77" s="611">
        <f t="shared" si="82"/>
        <v>2.250308004884634</v>
      </c>
      <c r="CR77" s="611">
        <f t="shared" si="82"/>
        <v>2.6512333012042681</v>
      </c>
      <c r="CS77" s="611">
        <f t="shared" si="82"/>
        <v>3.0521585975239023</v>
      </c>
      <c r="CT77" s="610">
        <f t="shared" si="106"/>
        <v>10.755482117210626</v>
      </c>
      <c r="CU77" s="611">
        <f t="shared" si="106"/>
        <v>11.156995825394286</v>
      </c>
      <c r="CV77" s="612">
        <f t="shared" si="106"/>
        <v>11.558031951716064</v>
      </c>
      <c r="CW77" s="613">
        <f t="shared" si="119"/>
        <v>10.755482117210626</v>
      </c>
      <c r="CX77" s="613">
        <f t="shared" si="119"/>
        <v>11.156995825394286</v>
      </c>
      <c r="CY77" s="613">
        <f t="shared" si="119"/>
        <v>11.558031951716064</v>
      </c>
      <c r="CZ77" s="609">
        <f t="shared" si="107"/>
        <v>8.5058990739490348</v>
      </c>
      <c r="DA77" s="609"/>
      <c r="DB77" s="609">
        <f t="shared" si="120"/>
        <v>3.55</v>
      </c>
      <c r="DC77" s="610">
        <f t="shared" si="108"/>
        <v>1.9135212493353966E-3</v>
      </c>
      <c r="DD77" s="611">
        <f t="shared" si="108"/>
        <v>4.2463441709206489E-4</v>
      </c>
      <c r="DE77" s="612">
        <f t="shared" si="108"/>
        <v>9.2076809614022258E-5</v>
      </c>
      <c r="DF77" s="611">
        <f t="shared" si="126"/>
        <v>2.0455316340672954E-3</v>
      </c>
      <c r="DG77" s="611">
        <f t="shared" si="126"/>
        <v>4.594266387769624E-4</v>
      </c>
      <c r="DH77" s="611">
        <f t="shared" si="126"/>
        <v>1.0083221333445671E-4</v>
      </c>
      <c r="DI77" s="614">
        <f t="shared" si="109"/>
        <v>8</v>
      </c>
      <c r="DJ77" s="615"/>
      <c r="DK77" s="609">
        <f t="shared" si="121"/>
        <v>3.55</v>
      </c>
      <c r="DL77" s="611">
        <f t="shared" si="83"/>
        <v>3.888453438402792</v>
      </c>
      <c r="DM77" s="611">
        <f t="shared" si="83"/>
        <v>1000000</v>
      </c>
      <c r="DN77" s="611">
        <f t="shared" si="83"/>
        <v>1000000</v>
      </c>
      <c r="DO77" s="610">
        <f t="shared" si="84"/>
        <v>0.3422493142989147</v>
      </c>
      <c r="DP77" s="611">
        <f t="shared" si="84"/>
        <v>0.36159931429891484</v>
      </c>
      <c r="DQ77" s="612">
        <f t="shared" si="84"/>
        <v>0.39255931429891511</v>
      </c>
      <c r="DR77" s="611">
        <f t="shared" si="110"/>
        <v>4.2307027527017063</v>
      </c>
      <c r="DS77" s="611">
        <f t="shared" si="110"/>
        <v>1000000.3615993143</v>
      </c>
      <c r="DT77" s="611">
        <f t="shared" si="110"/>
        <v>1000000.3925593143</v>
      </c>
      <c r="DU77" s="609">
        <f t="shared" si="122"/>
        <v>4.2</v>
      </c>
      <c r="DV77" s="611"/>
      <c r="DW77" s="646">
        <f t="shared" si="111"/>
        <v>9.4666666666666668</v>
      </c>
      <c r="DX77" s="621">
        <f t="shared" si="85"/>
        <v>7.3113911851649016</v>
      </c>
      <c r="DY77" s="621">
        <f t="shared" si="85"/>
        <v>7.438111582929988</v>
      </c>
      <c r="DZ77" s="621">
        <f t="shared" si="85"/>
        <v>7.5405242068255314</v>
      </c>
      <c r="EA77" s="610">
        <f t="shared" si="112"/>
        <v>7.6206934196473188</v>
      </c>
      <c r="EB77" s="611">
        <f t="shared" si="112"/>
        <v>7.6268294108445414</v>
      </c>
      <c r="EC77" s="612">
        <f t="shared" si="112"/>
        <v>7.6320429990493821</v>
      </c>
      <c r="ED77" s="610">
        <f t="shared" si="123"/>
        <v>8</v>
      </c>
      <c r="EE77" s="611">
        <f t="shared" si="124"/>
        <v>8.5058990739490348</v>
      </c>
      <c r="EF77" s="645">
        <f t="shared" si="125"/>
        <v>-1000000</v>
      </c>
      <c r="EG77" s="902"/>
      <c r="EH77" s="646">
        <f t="shared" si="113"/>
        <v>9.4666666666666668</v>
      </c>
      <c r="EI77" s="610">
        <f t="shared" si="86"/>
        <v>0.30930223448241767</v>
      </c>
      <c r="EJ77" s="986">
        <f t="shared" si="86"/>
        <v>0.18871782791455294</v>
      </c>
      <c r="EK77" s="612">
        <f t="shared" si="86"/>
        <v>9.1518792223850731E-2</v>
      </c>
    </row>
    <row r="78" spans="21:141" ht="15" customHeight="1" x14ac:dyDescent="0.25">
      <c r="U78" s="642">
        <f t="shared" si="127"/>
        <v>72</v>
      </c>
      <c r="W78" s="609">
        <f t="shared" si="90"/>
        <v>5.1035394443694209</v>
      </c>
      <c r="X78" s="610">
        <f t="shared" si="87"/>
        <v>3.8515106857010855</v>
      </c>
      <c r="Y78" s="611">
        <f t="shared" si="87"/>
        <v>3.8217606857010855</v>
      </c>
      <c r="Z78" s="611">
        <f t="shared" si="87"/>
        <v>3.7741606857010854</v>
      </c>
      <c r="AA78" s="611">
        <f t="shared" si="87"/>
        <v>3.6789606857010857</v>
      </c>
      <c r="AB78" s="982">
        <f t="shared" si="91"/>
        <v>1000000</v>
      </c>
      <c r="AC78" s="919">
        <f t="shared" si="92"/>
        <v>3.8693606857010856</v>
      </c>
      <c r="AD78" s="611">
        <f t="shared" si="51"/>
        <v>3.7237810551520201</v>
      </c>
      <c r="AE78" s="611">
        <f t="shared" si="51"/>
        <v>3.6746810551520199</v>
      </c>
      <c r="AF78" s="611">
        <f t="shared" si="51"/>
        <v>3.5961210551520195</v>
      </c>
      <c r="AG78" s="612">
        <f t="shared" si="51"/>
        <v>3.4390010551520191</v>
      </c>
      <c r="AH78" s="609">
        <f t="shared" si="93"/>
        <v>3</v>
      </c>
      <c r="AI78" s="895">
        <f t="shared" si="114"/>
        <v>-1000000</v>
      </c>
      <c r="AJ78" s="610">
        <f t="shared" si="94"/>
        <v>5.1035394443694209</v>
      </c>
      <c r="AK78" s="609">
        <f t="shared" si="115"/>
        <v>-0.11611963054906531</v>
      </c>
      <c r="AL78" s="611">
        <f t="shared" si="88"/>
        <v>-0.12772963054906541</v>
      </c>
      <c r="AM78" s="611">
        <f t="shared" si="88"/>
        <v>-0.14707963054906559</v>
      </c>
      <c r="AN78" s="611">
        <f t="shared" si="88"/>
        <v>-0.17803963054906585</v>
      </c>
      <c r="AO78" s="612">
        <f t="shared" si="88"/>
        <v>-0.23995963054906638</v>
      </c>
      <c r="AP78" s="902">
        <v>0</v>
      </c>
      <c r="AQ78" s="783">
        <f t="shared" si="95"/>
        <v>1000000</v>
      </c>
      <c r="AR78" s="983"/>
      <c r="AS78" s="609">
        <f t="shared" si="96"/>
        <v>5.1035394443694209</v>
      </c>
      <c r="AT78" s="610">
        <f t="shared" si="97"/>
        <v>3.7237810551520201</v>
      </c>
      <c r="AU78" s="611">
        <f t="shared" si="97"/>
        <v>3.6746810551520199</v>
      </c>
      <c r="AV78" s="611">
        <f t="shared" si="97"/>
        <v>3.5961210551520195</v>
      </c>
      <c r="AW78" s="612">
        <f t="shared" si="97"/>
        <v>3.4390010551520191</v>
      </c>
      <c r="AX78" s="982">
        <f t="shared" si="98"/>
        <v>1000000</v>
      </c>
      <c r="AY78" s="611">
        <f t="shared" si="99"/>
        <v>3</v>
      </c>
      <c r="AZ78" s="612">
        <f t="shared" si="100"/>
        <v>3.8693606857010856</v>
      </c>
      <c r="BB78" s="984">
        <f t="shared" si="116"/>
        <v>4.168836203195271</v>
      </c>
      <c r="BC78" s="985">
        <f t="shared" si="89"/>
        <v>3.7416854367688877</v>
      </c>
      <c r="BD78" s="985">
        <f t="shared" si="89"/>
        <v>3.6332661897513017</v>
      </c>
      <c r="BE78" s="528">
        <f t="shared" si="89"/>
        <v>3.5663015833577694</v>
      </c>
      <c r="BF78" s="913">
        <f t="shared" si="101"/>
        <v>4.168836203195271</v>
      </c>
      <c r="BG78" s="317">
        <f t="shared" si="101"/>
        <v>-1000000</v>
      </c>
      <c r="BH78" s="317">
        <f t="shared" si="101"/>
        <v>-1000000</v>
      </c>
      <c r="BI78" s="919">
        <f t="shared" si="101"/>
        <v>-1000000</v>
      </c>
      <c r="BJ78" s="646">
        <f t="shared" si="102"/>
        <v>3.5999999999999996</v>
      </c>
      <c r="BK78" s="913">
        <f t="shared" si="103"/>
        <v>4.168836203195271</v>
      </c>
      <c r="BL78" s="317"/>
      <c r="BM78" s="317"/>
      <c r="BN78" s="317"/>
      <c r="BO78" s="913">
        <f t="shared" si="104"/>
        <v>3</v>
      </c>
      <c r="BP78" s="783">
        <f t="shared" si="117"/>
        <v>1000000</v>
      </c>
      <c r="CK78" s="642">
        <f t="shared" si="128"/>
        <v>72</v>
      </c>
      <c r="CL78" s="609">
        <f t="shared" si="105"/>
        <v>5.1035394443694209</v>
      </c>
      <c r="CM78" s="609">
        <f t="shared" si="118"/>
        <v>3.5999999999999996</v>
      </c>
      <c r="CN78" s="610">
        <f t="shared" si="81"/>
        <v>8.5052637438205778</v>
      </c>
      <c r="CO78" s="611">
        <f t="shared" si="81"/>
        <v>8.5057821876077</v>
      </c>
      <c r="CP78" s="612">
        <f t="shared" si="81"/>
        <v>8.5058775695119255</v>
      </c>
      <c r="CQ78" s="611">
        <f t="shared" si="82"/>
        <v>2.250308004884634</v>
      </c>
      <c r="CR78" s="611">
        <f t="shared" si="82"/>
        <v>2.6512333012042681</v>
      </c>
      <c r="CS78" s="611">
        <f t="shared" si="82"/>
        <v>3.0521585975239023</v>
      </c>
      <c r="CT78" s="610">
        <f t="shared" si="106"/>
        <v>10.755571748705211</v>
      </c>
      <c r="CU78" s="611">
        <f t="shared" si="106"/>
        <v>11.157015488811968</v>
      </c>
      <c r="CV78" s="612">
        <f t="shared" si="106"/>
        <v>11.558036167035828</v>
      </c>
      <c r="CW78" s="613">
        <f t="shared" si="119"/>
        <v>10.755571748705211</v>
      </c>
      <c r="CX78" s="613">
        <f t="shared" si="119"/>
        <v>11.157015488811968</v>
      </c>
      <c r="CY78" s="613">
        <f t="shared" si="119"/>
        <v>11.558036167035828</v>
      </c>
      <c r="CZ78" s="609">
        <f t="shared" si="107"/>
        <v>8.5058990739490348</v>
      </c>
      <c r="DA78" s="609"/>
      <c r="DB78" s="609">
        <f t="shared" si="120"/>
        <v>3.5999999999999996</v>
      </c>
      <c r="DC78" s="610">
        <f t="shared" si="108"/>
        <v>1.6769407683164465E-3</v>
      </c>
      <c r="DD78" s="611">
        <f t="shared" si="108"/>
        <v>3.6348627618290662E-4</v>
      </c>
      <c r="DE78" s="612">
        <f t="shared" si="108"/>
        <v>7.6985951741987205E-5</v>
      </c>
      <c r="DF78" s="611">
        <f t="shared" si="126"/>
        <v>1.7926298917103685E-3</v>
      </c>
      <c r="DG78" s="611">
        <f t="shared" si="126"/>
        <v>3.9326835363340392E-4</v>
      </c>
      <c r="DH78" s="611">
        <f t="shared" si="126"/>
        <v>8.4306395287115108E-5</v>
      </c>
      <c r="DI78" s="614">
        <f t="shared" si="109"/>
        <v>8</v>
      </c>
      <c r="DJ78" s="615"/>
      <c r="DK78" s="609">
        <f t="shared" si="121"/>
        <v>3.5999999999999996</v>
      </c>
      <c r="DL78" s="611">
        <f t="shared" si="83"/>
        <v>3.8889144825058146</v>
      </c>
      <c r="DM78" s="611">
        <f t="shared" si="83"/>
        <v>1000000</v>
      </c>
      <c r="DN78" s="611">
        <f t="shared" si="83"/>
        <v>1000000</v>
      </c>
      <c r="DO78" s="610">
        <f t="shared" si="84"/>
        <v>0.3422493142989147</v>
      </c>
      <c r="DP78" s="611">
        <f t="shared" si="84"/>
        <v>0.36159931429891484</v>
      </c>
      <c r="DQ78" s="612">
        <f t="shared" si="84"/>
        <v>0.39255931429891511</v>
      </c>
      <c r="DR78" s="611">
        <f t="shared" si="110"/>
        <v>4.2311637968047293</v>
      </c>
      <c r="DS78" s="611">
        <f t="shared" si="110"/>
        <v>1000000.3615993143</v>
      </c>
      <c r="DT78" s="611">
        <f t="shared" si="110"/>
        <v>1000000.3925593143</v>
      </c>
      <c r="DU78" s="609">
        <f t="shared" si="122"/>
        <v>4.2</v>
      </c>
      <c r="DV78" s="611"/>
      <c r="DW78" s="646">
        <f t="shared" si="111"/>
        <v>9.6</v>
      </c>
      <c r="DX78" s="621">
        <f t="shared" si="85"/>
        <v>7.2960488737765816</v>
      </c>
      <c r="DY78" s="621">
        <f t="shared" si="85"/>
        <v>7.4242565113521684</v>
      </c>
      <c r="DZ78" s="621">
        <f t="shared" si="85"/>
        <v>7.5278954077732232</v>
      </c>
      <c r="EA78" s="610">
        <f t="shared" si="112"/>
        <v>7.5882629798147097</v>
      </c>
      <c r="EB78" s="611">
        <f t="shared" si="112"/>
        <v>7.5950063549389295</v>
      </c>
      <c r="EC78" s="612">
        <f t="shared" si="112"/>
        <v>7.6007369934252349</v>
      </c>
      <c r="ED78" s="610">
        <f t="shared" si="123"/>
        <v>8</v>
      </c>
      <c r="EE78" s="611">
        <f t="shared" si="124"/>
        <v>8.5058990739490348</v>
      </c>
      <c r="EF78" s="645">
        <f t="shared" si="125"/>
        <v>-1000000</v>
      </c>
      <c r="EG78" s="902"/>
      <c r="EH78" s="646">
        <f t="shared" si="113"/>
        <v>9.6</v>
      </c>
      <c r="EI78" s="610">
        <f t="shared" si="86"/>
        <v>0.29221410603812759</v>
      </c>
      <c r="EJ78" s="986">
        <f t="shared" si="86"/>
        <v>0.1707498435867616</v>
      </c>
      <c r="EK78" s="612">
        <f t="shared" si="86"/>
        <v>7.2841585652012153E-2</v>
      </c>
    </row>
    <row r="79" spans="21:141" ht="15" customHeight="1" x14ac:dyDescent="0.25">
      <c r="U79" s="642">
        <f t="shared" si="127"/>
        <v>73</v>
      </c>
      <c r="W79" s="609">
        <f t="shared" si="90"/>
        <v>5.1744219366523287</v>
      </c>
      <c r="X79" s="610">
        <f t="shared" si="87"/>
        <v>3.8511308984670429</v>
      </c>
      <c r="Y79" s="611">
        <f t="shared" si="87"/>
        <v>3.8207479197436389</v>
      </c>
      <c r="Z79" s="611">
        <f t="shared" si="87"/>
        <v>3.7721351537861918</v>
      </c>
      <c r="AA79" s="611">
        <f t="shared" si="87"/>
        <v>3.6749096218712984</v>
      </c>
      <c r="AB79" s="982">
        <f t="shared" si="91"/>
        <v>1000000</v>
      </c>
      <c r="AC79" s="919">
        <f t="shared" si="92"/>
        <v>3.8693606857010856</v>
      </c>
      <c r="AD79" s="611">
        <f t="shared" si="51"/>
        <v>3.7213882392586557</v>
      </c>
      <c r="AE79" s="611">
        <f t="shared" si="51"/>
        <v>3.6716552605352515</v>
      </c>
      <c r="AF79" s="611">
        <f t="shared" si="51"/>
        <v>3.592082494577804</v>
      </c>
      <c r="AG79" s="612">
        <f t="shared" si="51"/>
        <v>3.43293696266291</v>
      </c>
      <c r="AH79" s="609">
        <f t="shared" si="93"/>
        <v>3</v>
      </c>
      <c r="AI79" s="895">
        <f t="shared" si="114"/>
        <v>-1000000</v>
      </c>
      <c r="AJ79" s="610">
        <f t="shared" si="94"/>
        <v>5.1744219366523287</v>
      </c>
      <c r="AK79" s="609">
        <f t="shared" si="115"/>
        <v>-0.1181326592083871</v>
      </c>
      <c r="AL79" s="611">
        <f t="shared" si="88"/>
        <v>-0.12974265920838721</v>
      </c>
      <c r="AM79" s="611">
        <f t="shared" si="88"/>
        <v>-0.14909265920838738</v>
      </c>
      <c r="AN79" s="611">
        <f t="shared" si="88"/>
        <v>-0.18005265920838764</v>
      </c>
      <c r="AO79" s="612">
        <f t="shared" si="88"/>
        <v>-0.24197265920838817</v>
      </c>
      <c r="AP79" s="902">
        <v>0</v>
      </c>
      <c r="AQ79" s="783">
        <f t="shared" si="95"/>
        <v>1000000</v>
      </c>
      <c r="AR79" s="983"/>
      <c r="AS79" s="609">
        <f t="shared" si="96"/>
        <v>5.1744219366523287</v>
      </c>
      <c r="AT79" s="610">
        <f t="shared" si="97"/>
        <v>3.7213882392586557</v>
      </c>
      <c r="AU79" s="611">
        <f t="shared" si="97"/>
        <v>3.6716552605352515</v>
      </c>
      <c r="AV79" s="611">
        <f t="shared" si="97"/>
        <v>3.592082494577804</v>
      </c>
      <c r="AW79" s="612">
        <f t="shared" si="97"/>
        <v>3.43293696266291</v>
      </c>
      <c r="AX79" s="982">
        <f t="shared" si="98"/>
        <v>1000000</v>
      </c>
      <c r="AY79" s="611">
        <f t="shared" si="99"/>
        <v>3</v>
      </c>
      <c r="AZ79" s="612">
        <f t="shared" si="100"/>
        <v>3.8693606857010856</v>
      </c>
      <c r="BB79" s="984">
        <f t="shared" si="116"/>
        <v>4.1683523418971626</v>
      </c>
      <c r="BC79" s="985">
        <f t="shared" si="89"/>
        <v>3.7388805254685789</v>
      </c>
      <c r="BD79" s="985">
        <f t="shared" si="89"/>
        <v>3.6327913380972499</v>
      </c>
      <c r="BE79" s="528">
        <f t="shared" si="89"/>
        <v>3.5660886078991139</v>
      </c>
      <c r="BF79" s="913">
        <f t="shared" si="101"/>
        <v>4.1683523418971626</v>
      </c>
      <c r="BG79" s="317">
        <f t="shared" si="101"/>
        <v>-1000000</v>
      </c>
      <c r="BH79" s="317">
        <f t="shared" si="101"/>
        <v>-1000000</v>
      </c>
      <c r="BI79" s="919">
        <f t="shared" si="101"/>
        <v>-1000000</v>
      </c>
      <c r="BJ79" s="646">
        <f t="shared" si="102"/>
        <v>3.6499999999999995</v>
      </c>
      <c r="BK79" s="913">
        <f t="shared" si="103"/>
        <v>4.1683523418971626</v>
      </c>
      <c r="BL79" s="317"/>
      <c r="BM79" s="317"/>
      <c r="BN79" s="317"/>
      <c r="BO79" s="913">
        <f t="shared" si="104"/>
        <v>3</v>
      </c>
      <c r="BP79" s="783">
        <f t="shared" si="117"/>
        <v>1000000</v>
      </c>
      <c r="CK79" s="642">
        <f t="shared" si="128"/>
        <v>73</v>
      </c>
      <c r="CL79" s="609">
        <f t="shared" si="105"/>
        <v>5.1744219366523287</v>
      </c>
      <c r="CM79" s="609">
        <f t="shared" si="118"/>
        <v>3.6499999999999995</v>
      </c>
      <c r="CN79" s="610">
        <f t="shared" si="81"/>
        <v>8.5053422936184688</v>
      </c>
      <c r="CO79" s="611">
        <f t="shared" si="81"/>
        <v>8.5057990194568927</v>
      </c>
      <c r="CP79" s="612">
        <f t="shared" si="81"/>
        <v>8.5058810939651011</v>
      </c>
      <c r="CQ79" s="611">
        <f t="shared" si="82"/>
        <v>2.250308004884634</v>
      </c>
      <c r="CR79" s="611">
        <f t="shared" si="82"/>
        <v>2.6512333012042681</v>
      </c>
      <c r="CS79" s="611">
        <f t="shared" si="82"/>
        <v>3.0521585975239023</v>
      </c>
      <c r="CT79" s="610">
        <f t="shared" si="106"/>
        <v>10.755650298503102</v>
      </c>
      <c r="CU79" s="611">
        <f t="shared" si="106"/>
        <v>11.157032320661161</v>
      </c>
      <c r="CV79" s="612">
        <f t="shared" si="106"/>
        <v>11.558039691489004</v>
      </c>
      <c r="CW79" s="613">
        <f t="shared" si="119"/>
        <v>10.755650298503102</v>
      </c>
      <c r="CX79" s="613">
        <f t="shared" si="119"/>
        <v>11.157032320661161</v>
      </c>
      <c r="CY79" s="613">
        <f t="shared" si="119"/>
        <v>11.558039691489004</v>
      </c>
      <c r="CZ79" s="609">
        <f t="shared" si="107"/>
        <v>8.5058990739490348</v>
      </c>
      <c r="DA79" s="609"/>
      <c r="DB79" s="609">
        <f t="shared" si="120"/>
        <v>3.6499999999999995</v>
      </c>
      <c r="DC79" s="610">
        <f t="shared" si="108"/>
        <v>1.4696101971266153E-3</v>
      </c>
      <c r="DD79" s="611">
        <f t="shared" si="108"/>
        <v>3.1114358058421498E-4</v>
      </c>
      <c r="DE79" s="612">
        <f t="shared" si="108"/>
        <v>6.4368398410678693E-5</v>
      </c>
      <c r="DF79" s="611">
        <f t="shared" si="126"/>
        <v>1.5709959578202926E-3</v>
      </c>
      <c r="DG79" s="611">
        <f t="shared" si="126"/>
        <v>3.3663698385311255E-4</v>
      </c>
      <c r="DH79" s="611">
        <f t="shared" si="126"/>
        <v>7.0489063510592831E-5</v>
      </c>
      <c r="DI79" s="614">
        <f t="shared" si="109"/>
        <v>8</v>
      </c>
      <c r="DJ79" s="615"/>
      <c r="DK79" s="609">
        <f t="shared" si="121"/>
        <v>3.6499999999999995</v>
      </c>
      <c r="DL79" s="611">
        <f t="shared" si="83"/>
        <v>3.8893983438039226</v>
      </c>
      <c r="DM79" s="611">
        <f t="shared" si="83"/>
        <v>1000000</v>
      </c>
      <c r="DN79" s="611">
        <f t="shared" si="83"/>
        <v>1000000</v>
      </c>
      <c r="DO79" s="610">
        <f t="shared" si="84"/>
        <v>0.3422493142989147</v>
      </c>
      <c r="DP79" s="611">
        <f t="shared" si="84"/>
        <v>0.36159931429891484</v>
      </c>
      <c r="DQ79" s="612">
        <f t="shared" si="84"/>
        <v>0.39255931429891511</v>
      </c>
      <c r="DR79" s="611">
        <f t="shared" si="110"/>
        <v>4.2316476581028368</v>
      </c>
      <c r="DS79" s="611">
        <f t="shared" si="110"/>
        <v>1000000.3615993143</v>
      </c>
      <c r="DT79" s="611">
        <f t="shared" si="110"/>
        <v>1000000.3925593143</v>
      </c>
      <c r="DU79" s="609">
        <f t="shared" si="122"/>
        <v>4.2</v>
      </c>
      <c r="DV79" s="611"/>
      <c r="DW79" s="646">
        <f t="shared" si="111"/>
        <v>9.7333333333333325</v>
      </c>
      <c r="DX79" s="621">
        <f t="shared" si="85"/>
        <v>7.2807440510291421</v>
      </c>
      <c r="DY79" s="621">
        <f t="shared" si="85"/>
        <v>7.4104317107260407</v>
      </c>
      <c r="DZ79" s="621">
        <f t="shared" si="85"/>
        <v>7.5152915593516569</v>
      </c>
      <c r="EA79" s="610">
        <f t="shared" si="112"/>
        <v>7.556152470543072</v>
      </c>
      <c r="EB79" s="611">
        <f t="shared" si="112"/>
        <v>7.5635105546437043</v>
      </c>
      <c r="EC79" s="612">
        <f t="shared" si="112"/>
        <v>7.5697646455031355</v>
      </c>
      <c r="ED79" s="610">
        <f t="shared" si="123"/>
        <v>8</v>
      </c>
      <c r="EE79" s="611">
        <f t="shared" si="124"/>
        <v>8.5058990739490348</v>
      </c>
      <c r="EF79" s="645">
        <f t="shared" si="125"/>
        <v>-1000000</v>
      </c>
      <c r="EG79" s="902"/>
      <c r="EH79" s="646">
        <f t="shared" si="113"/>
        <v>9.7333333333333325</v>
      </c>
      <c r="EI79" s="610">
        <f t="shared" si="86"/>
        <v>0.27540841951393036</v>
      </c>
      <c r="EJ79" s="986">
        <f t="shared" si="86"/>
        <v>0.15307884391766402</v>
      </c>
      <c r="EK79" s="612">
        <f t="shared" si="86"/>
        <v>5.4473086151478611E-2</v>
      </c>
    </row>
    <row r="80" spans="21:141" ht="15" customHeight="1" x14ac:dyDescent="0.25">
      <c r="U80" s="642">
        <f t="shared" si="127"/>
        <v>74</v>
      </c>
      <c r="W80" s="609">
        <f t="shared" si="90"/>
        <v>5.2453044289352384</v>
      </c>
      <c r="X80" s="610">
        <f t="shared" si="87"/>
        <v>3.8507345987445638</v>
      </c>
      <c r="Y80" s="611">
        <f t="shared" si="87"/>
        <v>3.8196911204836943</v>
      </c>
      <c r="Z80" s="611">
        <f t="shared" si="87"/>
        <v>3.770021555266303</v>
      </c>
      <c r="AA80" s="611">
        <f t="shared" si="87"/>
        <v>3.6706824248315204</v>
      </c>
      <c r="AB80" s="982">
        <f t="shared" si="91"/>
        <v>1000000</v>
      </c>
      <c r="AC80" s="919">
        <f t="shared" si="92"/>
        <v>3.8693606857010856</v>
      </c>
      <c r="AD80" s="611">
        <f t="shared" si="51"/>
        <v>3.7190320174586828</v>
      </c>
      <c r="AE80" s="611">
        <f t="shared" si="51"/>
        <v>3.6686385391978131</v>
      </c>
      <c r="AF80" s="611">
        <f t="shared" si="51"/>
        <v>3.5880089739804215</v>
      </c>
      <c r="AG80" s="612">
        <f t="shared" si="51"/>
        <v>3.4267498435456383</v>
      </c>
      <c r="AH80" s="609">
        <f t="shared" si="93"/>
        <v>3</v>
      </c>
      <c r="AI80" s="895">
        <f t="shared" si="114"/>
        <v>-1000000</v>
      </c>
      <c r="AJ80" s="610">
        <f t="shared" si="94"/>
        <v>5.2453044289352384</v>
      </c>
      <c r="AK80" s="609">
        <f t="shared" si="115"/>
        <v>-0.12009258128588109</v>
      </c>
      <c r="AL80" s="611">
        <f t="shared" si="88"/>
        <v>-0.13170258128588119</v>
      </c>
      <c r="AM80" s="611">
        <f t="shared" si="88"/>
        <v>-0.15105258128588137</v>
      </c>
      <c r="AN80" s="611">
        <f t="shared" si="88"/>
        <v>-0.18201258128588163</v>
      </c>
      <c r="AO80" s="612">
        <f t="shared" si="88"/>
        <v>-0.24393258128588216</v>
      </c>
      <c r="AP80" s="902">
        <v>0</v>
      </c>
      <c r="AQ80" s="783">
        <f t="shared" si="95"/>
        <v>1000000</v>
      </c>
      <c r="AR80" s="983"/>
      <c r="AS80" s="609">
        <f t="shared" si="96"/>
        <v>5.2453044289352384</v>
      </c>
      <c r="AT80" s="610">
        <f t="shared" si="97"/>
        <v>3.7190320174586828</v>
      </c>
      <c r="AU80" s="611">
        <f t="shared" si="97"/>
        <v>3.6686385391978131</v>
      </c>
      <c r="AV80" s="611">
        <f t="shared" si="97"/>
        <v>3.5880089739804215</v>
      </c>
      <c r="AW80" s="612">
        <f t="shared" si="97"/>
        <v>3.4267498435456383</v>
      </c>
      <c r="AX80" s="982">
        <f t="shared" si="98"/>
        <v>1000000</v>
      </c>
      <c r="AY80" s="611">
        <f t="shared" si="99"/>
        <v>3</v>
      </c>
      <c r="AZ80" s="612">
        <f t="shared" si="100"/>
        <v>3.8693606857010856</v>
      </c>
      <c r="BB80" s="984">
        <f t="shared" si="116"/>
        <v>4.1678439265825276</v>
      </c>
      <c r="BC80" s="985">
        <f t="shared" si="89"/>
        <v>3.7361860057044893</v>
      </c>
      <c r="BD80" s="985">
        <f t="shared" si="89"/>
        <v>3.6323402736138375</v>
      </c>
      <c r="BE80" s="528">
        <f t="shared" si="89"/>
        <v>3.5658825065672657</v>
      </c>
      <c r="BF80" s="913">
        <f t="shared" si="101"/>
        <v>4.1678439265825276</v>
      </c>
      <c r="BG80" s="317">
        <f t="shared" si="101"/>
        <v>-1000000</v>
      </c>
      <c r="BH80" s="317">
        <f t="shared" si="101"/>
        <v>-1000000</v>
      </c>
      <c r="BI80" s="919">
        <f t="shared" si="101"/>
        <v>-1000000</v>
      </c>
      <c r="BJ80" s="646">
        <f t="shared" si="102"/>
        <v>3.7</v>
      </c>
      <c r="BK80" s="913">
        <f t="shared" si="103"/>
        <v>4.1678439265825276</v>
      </c>
      <c r="BL80" s="317"/>
      <c r="BM80" s="317"/>
      <c r="BN80" s="317"/>
      <c r="BO80" s="913">
        <f t="shared" si="104"/>
        <v>3</v>
      </c>
      <c r="BP80" s="783">
        <f t="shared" si="117"/>
        <v>1000000</v>
      </c>
      <c r="CK80" s="642">
        <f t="shared" si="128"/>
        <v>74</v>
      </c>
      <c r="CL80" s="609">
        <f t="shared" si="105"/>
        <v>5.2453044289352384</v>
      </c>
      <c r="CM80" s="609">
        <f t="shared" si="118"/>
        <v>3.7</v>
      </c>
      <c r="CN80" s="610">
        <f t="shared" si="81"/>
        <v>8.5054111318184482</v>
      </c>
      <c r="CO80" s="611">
        <f t="shared" si="81"/>
        <v>8.5058134274886896</v>
      </c>
      <c r="CP80" s="612">
        <f t="shared" si="81"/>
        <v>8.5058840407807352</v>
      </c>
      <c r="CQ80" s="611">
        <f t="shared" si="82"/>
        <v>2.250308004884634</v>
      </c>
      <c r="CR80" s="611">
        <f t="shared" si="82"/>
        <v>2.6512333012042681</v>
      </c>
      <c r="CS80" s="611">
        <f t="shared" si="82"/>
        <v>3.0521585975239023</v>
      </c>
      <c r="CT80" s="610">
        <f t="shared" si="106"/>
        <v>10.755719136703082</v>
      </c>
      <c r="CU80" s="611">
        <f t="shared" si="106"/>
        <v>11.157046728692958</v>
      </c>
      <c r="CV80" s="612">
        <f t="shared" si="106"/>
        <v>11.558042638304638</v>
      </c>
      <c r="CW80" s="613">
        <f t="shared" si="119"/>
        <v>10.755719136703082</v>
      </c>
      <c r="CX80" s="613">
        <f t="shared" si="119"/>
        <v>11.157046728692958</v>
      </c>
      <c r="CY80" s="613">
        <f t="shared" si="119"/>
        <v>11.558042638304638</v>
      </c>
      <c r="CZ80" s="609">
        <f t="shared" si="107"/>
        <v>8.5058990739490348</v>
      </c>
      <c r="DA80" s="609"/>
      <c r="DB80" s="609">
        <f t="shared" si="120"/>
        <v>3.7</v>
      </c>
      <c r="DC80" s="610">
        <f t="shared" si="108"/>
        <v>1.2879131882915533E-3</v>
      </c>
      <c r="DD80" s="611">
        <f t="shared" si="108"/>
        <v>2.6633832989625861E-4</v>
      </c>
      <c r="DE80" s="612">
        <f t="shared" si="108"/>
        <v>5.3818789275240446E-5</v>
      </c>
      <c r="DF80" s="611">
        <f t="shared" si="126"/>
        <v>1.3767639995876184E-3</v>
      </c>
      <c r="DG80" s="611">
        <f t="shared" si="126"/>
        <v>2.8816063593950091E-4</v>
      </c>
      <c r="DH80" s="611">
        <f t="shared" si="126"/>
        <v>5.8936312683498796E-5</v>
      </c>
      <c r="DI80" s="614">
        <f t="shared" si="109"/>
        <v>8</v>
      </c>
      <c r="DJ80" s="615"/>
      <c r="DK80" s="609">
        <f t="shared" si="121"/>
        <v>3.7</v>
      </c>
      <c r="DL80" s="611">
        <f t="shared" si="83"/>
        <v>3.8899067591185581</v>
      </c>
      <c r="DM80" s="611">
        <f t="shared" si="83"/>
        <v>1000000</v>
      </c>
      <c r="DN80" s="611">
        <f t="shared" si="83"/>
        <v>1000000</v>
      </c>
      <c r="DO80" s="610">
        <f t="shared" si="84"/>
        <v>0.3422493142989147</v>
      </c>
      <c r="DP80" s="611">
        <f t="shared" si="84"/>
        <v>0.36159931429891484</v>
      </c>
      <c r="DQ80" s="612">
        <f t="shared" si="84"/>
        <v>0.39255931429891511</v>
      </c>
      <c r="DR80" s="611">
        <f t="shared" si="110"/>
        <v>4.2321560734174728</v>
      </c>
      <c r="DS80" s="611">
        <f t="shared" si="110"/>
        <v>1000000.3615993143</v>
      </c>
      <c r="DT80" s="611">
        <f t="shared" si="110"/>
        <v>1000000.3925593143</v>
      </c>
      <c r="DU80" s="609">
        <f t="shared" si="122"/>
        <v>4.2</v>
      </c>
      <c r="DV80" s="611"/>
      <c r="DW80" s="646">
        <f t="shared" si="111"/>
        <v>9.8666666666666671</v>
      </c>
      <c r="DX80" s="621">
        <f t="shared" si="85"/>
        <v>7.2654765796861032</v>
      </c>
      <c r="DY80" s="621">
        <f t="shared" si="85"/>
        <v>7.396637081954613</v>
      </c>
      <c r="DZ80" s="621">
        <f t="shared" si="85"/>
        <v>7.5027125876916232</v>
      </c>
      <c r="EA80" s="610">
        <f t="shared" si="112"/>
        <v>7.5243570862416114</v>
      </c>
      <c r="EB80" s="611">
        <f t="shared" si="112"/>
        <v>7.5323370021372273</v>
      </c>
      <c r="EC80" s="612">
        <f t="shared" si="112"/>
        <v>7.5391207789347909</v>
      </c>
      <c r="ED80" s="610">
        <f t="shared" si="123"/>
        <v>8</v>
      </c>
      <c r="EE80" s="611">
        <f t="shared" si="124"/>
        <v>8.5058990739490348</v>
      </c>
      <c r="EF80" s="645">
        <f t="shared" si="125"/>
        <v>-1000000</v>
      </c>
      <c r="EG80" s="902"/>
      <c r="EH80" s="646">
        <f t="shared" si="113"/>
        <v>9.8666666666666671</v>
      </c>
      <c r="EI80" s="610">
        <f t="shared" si="86"/>
        <v>0.25888050655550821</v>
      </c>
      <c r="EJ80" s="986">
        <f t="shared" si="86"/>
        <v>0.13569992018261479</v>
      </c>
      <c r="EK80" s="612">
        <f t="shared" si="86"/>
        <v>3.6408191243167742E-2</v>
      </c>
    </row>
    <row r="81" spans="21:141" ht="15" customHeight="1" x14ac:dyDescent="0.25">
      <c r="U81" s="642">
        <f t="shared" si="127"/>
        <v>75</v>
      </c>
      <c r="W81" s="609">
        <f t="shared" si="90"/>
        <v>5.3161869212181472</v>
      </c>
      <c r="X81" s="610">
        <f t="shared" si="87"/>
        <v>3.8503206857010857</v>
      </c>
      <c r="Y81" s="611">
        <f t="shared" si="87"/>
        <v>3.8185873523677523</v>
      </c>
      <c r="Z81" s="611">
        <f t="shared" si="87"/>
        <v>3.7678140190344189</v>
      </c>
      <c r="AA81" s="611">
        <f t="shared" si="87"/>
        <v>3.6662673523677523</v>
      </c>
      <c r="AB81" s="982">
        <f t="shared" si="91"/>
        <v>1000000</v>
      </c>
      <c r="AC81" s="919">
        <f t="shared" si="92"/>
        <v>3.8693606857010856</v>
      </c>
      <c r="AD81" s="611">
        <f t="shared" si="51"/>
        <v>3.7167098878917786</v>
      </c>
      <c r="AE81" s="611">
        <f t="shared" si="51"/>
        <v>3.665626554558445</v>
      </c>
      <c r="AF81" s="611">
        <f t="shared" si="51"/>
        <v>3.5838932212251113</v>
      </c>
      <c r="AG81" s="612">
        <f t="shared" si="51"/>
        <v>3.420426554558444</v>
      </c>
      <c r="AH81" s="609">
        <f t="shared" si="93"/>
        <v>3</v>
      </c>
      <c r="AI81" s="895">
        <f t="shared" si="114"/>
        <v>-1000000</v>
      </c>
      <c r="AJ81" s="610">
        <f t="shared" si="94"/>
        <v>5.3161869212181472</v>
      </c>
      <c r="AK81" s="609">
        <f t="shared" si="115"/>
        <v>-0.12200079780930713</v>
      </c>
      <c r="AL81" s="611">
        <f t="shared" si="88"/>
        <v>-0.13361079780930724</v>
      </c>
      <c r="AM81" s="611">
        <f t="shared" si="88"/>
        <v>-0.15296079780930741</v>
      </c>
      <c r="AN81" s="611">
        <f t="shared" si="88"/>
        <v>-0.18392079780930767</v>
      </c>
      <c r="AO81" s="612">
        <f t="shared" si="88"/>
        <v>-0.2458407978093082</v>
      </c>
      <c r="AP81" s="902">
        <v>0</v>
      </c>
      <c r="AQ81" s="783">
        <f t="shared" si="95"/>
        <v>1000000</v>
      </c>
      <c r="AR81" s="983"/>
      <c r="AS81" s="609">
        <f t="shared" si="96"/>
        <v>5.3161869212181472</v>
      </c>
      <c r="AT81" s="610">
        <f t="shared" si="97"/>
        <v>3.7167098878917786</v>
      </c>
      <c r="AU81" s="611">
        <f t="shared" si="97"/>
        <v>3.665626554558445</v>
      </c>
      <c r="AV81" s="611">
        <f t="shared" si="97"/>
        <v>3.5838932212251113</v>
      </c>
      <c r="AW81" s="612">
        <f t="shared" si="97"/>
        <v>3.420426554558444</v>
      </c>
      <c r="AX81" s="982">
        <f t="shared" si="98"/>
        <v>1000000</v>
      </c>
      <c r="AY81" s="611">
        <f t="shared" si="99"/>
        <v>3</v>
      </c>
      <c r="AZ81" s="612">
        <f t="shared" si="100"/>
        <v>3.8693606857010856</v>
      </c>
      <c r="BB81" s="984">
        <f t="shared" si="116"/>
        <v>4.1673090395674821</v>
      </c>
      <c r="BC81" s="985">
        <f t="shared" si="89"/>
        <v>3.7335951020695388</v>
      </c>
      <c r="BD81" s="985">
        <f t="shared" si="89"/>
        <v>3.6319114648287725</v>
      </c>
      <c r="BE81" s="528">
        <f t="shared" si="89"/>
        <v>3.5656829406163362</v>
      </c>
      <c r="BF81" s="913">
        <f t="shared" si="101"/>
        <v>4.1673090395674821</v>
      </c>
      <c r="BG81" s="317">
        <f t="shared" si="101"/>
        <v>-1000000</v>
      </c>
      <c r="BH81" s="317">
        <f t="shared" si="101"/>
        <v>-1000000</v>
      </c>
      <c r="BI81" s="919">
        <f t="shared" si="101"/>
        <v>-1000000</v>
      </c>
      <c r="BJ81" s="646">
        <f t="shared" si="102"/>
        <v>3.75</v>
      </c>
      <c r="BK81" s="913">
        <f t="shared" si="103"/>
        <v>4.1673090395674821</v>
      </c>
      <c r="BL81" s="317"/>
      <c r="BM81" s="317"/>
      <c r="BN81" s="317"/>
      <c r="BO81" s="913">
        <f t="shared" si="104"/>
        <v>3</v>
      </c>
      <c r="BP81" s="783">
        <f t="shared" si="117"/>
        <v>1000000</v>
      </c>
      <c r="CK81" s="642">
        <f t="shared" si="128"/>
        <v>75</v>
      </c>
      <c r="CL81" s="609">
        <f t="shared" si="105"/>
        <v>5.3161869212181472</v>
      </c>
      <c r="CM81" s="609">
        <f t="shared" si="118"/>
        <v>3.75</v>
      </c>
      <c r="CN81" s="610">
        <f t="shared" si="81"/>
        <v>8.5054714591255021</v>
      </c>
      <c r="CO81" s="611">
        <f t="shared" si="81"/>
        <v>8.5058257607372791</v>
      </c>
      <c r="CP81" s="612">
        <f t="shared" si="81"/>
        <v>8.5058865046302881</v>
      </c>
      <c r="CQ81" s="611">
        <f t="shared" si="82"/>
        <v>2.250308004884634</v>
      </c>
      <c r="CR81" s="611">
        <f t="shared" si="82"/>
        <v>2.6512333012042681</v>
      </c>
      <c r="CS81" s="611">
        <f t="shared" si="82"/>
        <v>3.0521585975239023</v>
      </c>
      <c r="CT81" s="610">
        <f t="shared" si="106"/>
        <v>10.755779464010136</v>
      </c>
      <c r="CU81" s="611">
        <f t="shared" si="106"/>
        <v>11.157059061941547</v>
      </c>
      <c r="CV81" s="612">
        <f t="shared" si="106"/>
        <v>11.558045102154191</v>
      </c>
      <c r="CW81" s="613">
        <f t="shared" si="119"/>
        <v>10.755779464010136</v>
      </c>
      <c r="CX81" s="613">
        <f t="shared" si="119"/>
        <v>11.157059061941547</v>
      </c>
      <c r="CY81" s="613">
        <f t="shared" si="119"/>
        <v>11.558045102154191</v>
      </c>
      <c r="CZ81" s="609">
        <f t="shared" si="107"/>
        <v>8.5058990739490348</v>
      </c>
      <c r="DA81" s="609"/>
      <c r="DB81" s="609">
        <f t="shared" si="120"/>
        <v>3.75</v>
      </c>
      <c r="DC81" s="610">
        <f t="shared" si="108"/>
        <v>1.1286805057684343E-3</v>
      </c>
      <c r="DD81" s="611">
        <f t="shared" si="108"/>
        <v>2.2798511812050301E-4</v>
      </c>
      <c r="DE81" s="612">
        <f t="shared" si="108"/>
        <v>4.4998200212671913E-5</v>
      </c>
      <c r="DF81" s="611">
        <f t="shared" si="126"/>
        <v>1.2065461410770738E-3</v>
      </c>
      <c r="DG81" s="611">
        <f t="shared" si="126"/>
        <v>2.4666497179026779E-4</v>
      </c>
      <c r="DH81" s="611">
        <f t="shared" si="126"/>
        <v>4.9276991056501805E-5</v>
      </c>
      <c r="DI81" s="614">
        <f t="shared" si="109"/>
        <v>8</v>
      </c>
      <c r="DJ81" s="615"/>
      <c r="DK81" s="609">
        <f t="shared" si="121"/>
        <v>3.75</v>
      </c>
      <c r="DL81" s="611">
        <f t="shared" si="83"/>
        <v>3.8904416461336031</v>
      </c>
      <c r="DM81" s="611">
        <f t="shared" si="83"/>
        <v>1000000</v>
      </c>
      <c r="DN81" s="611">
        <f t="shared" si="83"/>
        <v>1000000</v>
      </c>
      <c r="DO81" s="610">
        <f t="shared" si="84"/>
        <v>0.3422493142989147</v>
      </c>
      <c r="DP81" s="611">
        <f t="shared" si="84"/>
        <v>0.36159931429891484</v>
      </c>
      <c r="DQ81" s="612">
        <f t="shared" si="84"/>
        <v>0.39255931429891511</v>
      </c>
      <c r="DR81" s="611">
        <f t="shared" si="110"/>
        <v>4.2326909604325174</v>
      </c>
      <c r="DS81" s="611">
        <f t="shared" si="110"/>
        <v>1000000.3615993143</v>
      </c>
      <c r="DT81" s="611">
        <f t="shared" si="110"/>
        <v>1000000.3925593143</v>
      </c>
      <c r="DU81" s="609">
        <f t="shared" si="122"/>
        <v>4.2</v>
      </c>
      <c r="DV81" s="611"/>
      <c r="DW81" s="646">
        <f t="shared" si="111"/>
        <v>10</v>
      </c>
      <c r="DX81" s="621">
        <f t="shared" si="85"/>
        <v>7.2502463231800078</v>
      </c>
      <c r="DY81" s="621">
        <f t="shared" si="85"/>
        <v>7.3828725263729753</v>
      </c>
      <c r="DZ81" s="621">
        <f t="shared" si="85"/>
        <v>7.4901584192152235</v>
      </c>
      <c r="EA81" s="610">
        <f t="shared" si="112"/>
        <v>7.4928720991496593</v>
      </c>
      <c r="EB81" s="611">
        <f t="shared" si="112"/>
        <v>7.5014807711640277</v>
      </c>
      <c r="EC81" s="612">
        <f t="shared" si="112"/>
        <v>7.5088003019997807</v>
      </c>
      <c r="ED81" s="610">
        <f t="shared" si="123"/>
        <v>8</v>
      </c>
      <c r="EE81" s="611">
        <f t="shared" si="124"/>
        <v>8.5058990739490348</v>
      </c>
      <c r="EF81" s="645">
        <f t="shared" si="125"/>
        <v>-1000000</v>
      </c>
      <c r="EG81" s="902"/>
      <c r="EH81" s="646">
        <f t="shared" si="113"/>
        <v>10</v>
      </c>
      <c r="EI81" s="610">
        <f t="shared" si="86"/>
        <v>0.24262577596965196</v>
      </c>
      <c r="EJ81" s="986">
        <f t="shared" si="86"/>
        <v>0.11860824479105236</v>
      </c>
      <c r="EK81" s="612">
        <f t="shared" si="86"/>
        <v>1.864188278455714E-2</v>
      </c>
    </row>
    <row r="82" spans="21:141" ht="15" customHeight="1" x14ac:dyDescent="0.25">
      <c r="U82" s="642">
        <f t="shared" si="127"/>
        <v>76</v>
      </c>
      <c r="W82" s="609">
        <f t="shared" si="90"/>
        <v>5.3870694135010551</v>
      </c>
      <c r="X82" s="610">
        <f t="shared" si="87"/>
        <v>3.8498879584283583</v>
      </c>
      <c r="Y82" s="611">
        <f t="shared" si="87"/>
        <v>3.8174334129738128</v>
      </c>
      <c r="Z82" s="611">
        <f t="shared" si="87"/>
        <v>3.76550614024654</v>
      </c>
      <c r="AA82" s="611">
        <f t="shared" si="87"/>
        <v>3.6616515947919948</v>
      </c>
      <c r="AB82" s="982">
        <f t="shared" si="91"/>
        <v>1000000</v>
      </c>
      <c r="AC82" s="919">
        <f t="shared" si="92"/>
        <v>3.8693606857010856</v>
      </c>
      <c r="AD82" s="611">
        <f t="shared" si="51"/>
        <v>3.7144192855830536</v>
      </c>
      <c r="AE82" s="611">
        <f t="shared" si="51"/>
        <v>3.6626147401285079</v>
      </c>
      <c r="AF82" s="611">
        <f t="shared" si="51"/>
        <v>3.5797274674012347</v>
      </c>
      <c r="AG82" s="612">
        <f t="shared" si="51"/>
        <v>3.4139529219466893</v>
      </c>
      <c r="AH82" s="609">
        <f t="shared" si="93"/>
        <v>3</v>
      </c>
      <c r="AI82" s="895">
        <f t="shared" si="114"/>
        <v>-1000000</v>
      </c>
      <c r="AJ82" s="610">
        <f t="shared" si="94"/>
        <v>5.3870694135010551</v>
      </c>
      <c r="AK82" s="609">
        <f t="shared" si="115"/>
        <v>-0.12385867284530455</v>
      </c>
      <c r="AL82" s="611">
        <f t="shared" si="88"/>
        <v>-0.13546867284530464</v>
      </c>
      <c r="AM82" s="611">
        <f t="shared" si="88"/>
        <v>-0.15481867284530482</v>
      </c>
      <c r="AN82" s="611">
        <f t="shared" si="88"/>
        <v>-0.18577867284530508</v>
      </c>
      <c r="AO82" s="612">
        <f t="shared" si="88"/>
        <v>-0.24769867284530561</v>
      </c>
      <c r="AP82" s="902">
        <v>0</v>
      </c>
      <c r="AQ82" s="783">
        <f t="shared" si="95"/>
        <v>1000000</v>
      </c>
      <c r="AR82" s="983"/>
      <c r="AS82" s="609">
        <f t="shared" si="96"/>
        <v>5.3870694135010551</v>
      </c>
      <c r="AT82" s="610">
        <f t="shared" si="97"/>
        <v>3.7144192855830536</v>
      </c>
      <c r="AU82" s="611">
        <f t="shared" si="97"/>
        <v>3.6626147401285079</v>
      </c>
      <c r="AV82" s="611">
        <f t="shared" si="97"/>
        <v>3.5797274674012347</v>
      </c>
      <c r="AW82" s="612">
        <f t="shared" si="97"/>
        <v>3.4139529219466893</v>
      </c>
      <c r="AX82" s="982">
        <f t="shared" si="98"/>
        <v>1000000</v>
      </c>
      <c r="AY82" s="611">
        <f t="shared" si="99"/>
        <v>3</v>
      </c>
      <c r="AZ82" s="612">
        <f t="shared" si="100"/>
        <v>3.8693606857010856</v>
      </c>
      <c r="BB82" s="984">
        <f t="shared" si="116"/>
        <v>4.166745558133985</v>
      </c>
      <c r="BC82" s="985">
        <f t="shared" si="89"/>
        <v>3.731101713225073</v>
      </c>
      <c r="BD82" s="985">
        <f t="shared" si="89"/>
        <v>3.631503491821555</v>
      </c>
      <c r="BE82" s="528">
        <f t="shared" si="89"/>
        <v>3.5654895941991183</v>
      </c>
      <c r="BF82" s="913">
        <f t="shared" si="101"/>
        <v>4.166745558133985</v>
      </c>
      <c r="BG82" s="317">
        <f t="shared" si="101"/>
        <v>-1000000</v>
      </c>
      <c r="BH82" s="317">
        <f t="shared" si="101"/>
        <v>-1000000</v>
      </c>
      <c r="BI82" s="919">
        <f t="shared" si="101"/>
        <v>-1000000</v>
      </c>
      <c r="BJ82" s="646">
        <f t="shared" si="102"/>
        <v>3.8</v>
      </c>
      <c r="BK82" s="913">
        <f t="shared" si="103"/>
        <v>4.166745558133985</v>
      </c>
      <c r="BL82" s="317"/>
      <c r="BM82" s="317"/>
      <c r="BN82" s="317"/>
      <c r="BO82" s="913">
        <f t="shared" si="104"/>
        <v>3</v>
      </c>
      <c r="BP82" s="783">
        <f t="shared" si="117"/>
        <v>1000000</v>
      </c>
      <c r="CK82" s="642">
        <f t="shared" si="128"/>
        <v>76</v>
      </c>
      <c r="CL82" s="609">
        <f t="shared" si="105"/>
        <v>5.3870694135010551</v>
      </c>
      <c r="CM82" s="609">
        <f t="shared" si="118"/>
        <v>3.8</v>
      </c>
      <c r="CN82" s="610">
        <f t="shared" si="81"/>
        <v>8.505524327794026</v>
      </c>
      <c r="CO82" s="611">
        <f t="shared" si="81"/>
        <v>8.5058363179752767</v>
      </c>
      <c r="CP82" s="612">
        <f t="shared" si="81"/>
        <v>8.5058885646691138</v>
      </c>
      <c r="CQ82" s="611">
        <f t="shared" si="82"/>
        <v>2.250308004884634</v>
      </c>
      <c r="CR82" s="611">
        <f t="shared" si="82"/>
        <v>2.6512333012042681</v>
      </c>
      <c r="CS82" s="611">
        <f t="shared" si="82"/>
        <v>3.0521585975239023</v>
      </c>
      <c r="CT82" s="610">
        <f t="shared" si="106"/>
        <v>10.75583233267866</v>
      </c>
      <c r="CU82" s="611">
        <f t="shared" si="106"/>
        <v>11.157069619179545</v>
      </c>
      <c r="CV82" s="612">
        <f t="shared" si="106"/>
        <v>11.558047162193017</v>
      </c>
      <c r="CW82" s="613">
        <f t="shared" si="119"/>
        <v>10.75583233267866</v>
      </c>
      <c r="CX82" s="613">
        <f t="shared" si="119"/>
        <v>11.157069619179545</v>
      </c>
      <c r="CY82" s="613">
        <f t="shared" si="119"/>
        <v>11.558047162193017</v>
      </c>
      <c r="CZ82" s="609">
        <f t="shared" si="107"/>
        <v>8.5058990739490348</v>
      </c>
      <c r="DA82" s="609"/>
      <c r="DB82" s="609">
        <f t="shared" si="120"/>
        <v>3.8</v>
      </c>
      <c r="DC82" s="610">
        <f t="shared" si="108"/>
        <v>9.891347457910381E-4</v>
      </c>
      <c r="DD82" s="611">
        <f t="shared" si="108"/>
        <v>1.9515483972834617E-4</v>
      </c>
      <c r="DE82" s="612">
        <f t="shared" si="108"/>
        <v>3.7623254808358124E-5</v>
      </c>
      <c r="DF82" s="611">
        <f t="shared" si="126"/>
        <v>1.0573733704788461E-3</v>
      </c>
      <c r="DG82" s="611">
        <f t="shared" si="126"/>
        <v>2.1114475995176539E-4</v>
      </c>
      <c r="DH82" s="611">
        <f t="shared" si="126"/>
        <v>4.1200776514927078E-5</v>
      </c>
      <c r="DI82" s="614">
        <f t="shared" si="109"/>
        <v>8</v>
      </c>
      <c r="DJ82" s="615"/>
      <c r="DK82" s="609">
        <f t="shared" si="121"/>
        <v>3.8</v>
      </c>
      <c r="DL82" s="611">
        <f t="shared" si="83"/>
        <v>3.8910051275671007</v>
      </c>
      <c r="DM82" s="611">
        <f t="shared" si="83"/>
        <v>1000000</v>
      </c>
      <c r="DN82" s="611">
        <f t="shared" si="83"/>
        <v>1000000</v>
      </c>
      <c r="DO82" s="610">
        <f t="shared" si="84"/>
        <v>0.3422493142989147</v>
      </c>
      <c r="DP82" s="611">
        <f t="shared" si="84"/>
        <v>0.36159931429891484</v>
      </c>
      <c r="DQ82" s="612">
        <f t="shared" si="84"/>
        <v>0.39255931429891511</v>
      </c>
      <c r="DR82" s="611">
        <f t="shared" si="110"/>
        <v>4.2332544418660154</v>
      </c>
      <c r="DS82" s="611">
        <f t="shared" si="110"/>
        <v>1000000.3615993143</v>
      </c>
      <c r="DT82" s="611">
        <f t="shared" si="110"/>
        <v>1000000.3925593143</v>
      </c>
      <c r="DU82" s="609">
        <f t="shared" si="122"/>
        <v>4.2</v>
      </c>
      <c r="DV82" s="611"/>
      <c r="DW82" s="646">
        <f t="shared" si="111"/>
        <v>10.133333333333333</v>
      </c>
      <c r="DX82" s="621">
        <f t="shared" si="85"/>
        <v>7.2350531456083758</v>
      </c>
      <c r="DY82" s="621">
        <f t="shared" si="85"/>
        <v>7.3691379457459316</v>
      </c>
      <c r="DZ82" s="621">
        <f t="shared" si="85"/>
        <v>7.4776289806344298</v>
      </c>
      <c r="EA82" s="610">
        <f t="shared" si="112"/>
        <v>7.4616928580572761</v>
      </c>
      <c r="EB82" s="611">
        <f t="shared" si="112"/>
        <v>7.4709370156913959</v>
      </c>
      <c r="EC82" s="612">
        <f t="shared" si="112"/>
        <v>7.4787982062101523</v>
      </c>
      <c r="ED82" s="610">
        <f t="shared" si="123"/>
        <v>8</v>
      </c>
      <c r="EE82" s="611">
        <f t="shared" si="124"/>
        <v>8.5058990739490348</v>
      </c>
      <c r="EF82" s="645">
        <f t="shared" si="125"/>
        <v>-1000000</v>
      </c>
      <c r="EG82" s="902"/>
      <c r="EH82" s="646">
        <f t="shared" si="113"/>
        <v>10.133333333333333</v>
      </c>
      <c r="EI82" s="610">
        <f t="shared" si="86"/>
        <v>0.2266397124489008</v>
      </c>
      <c r="EJ82" s="986">
        <f t="shared" si="86"/>
        <v>0.10179906994546428</v>
      </c>
      <c r="EK82" s="612">
        <f t="shared" si="86"/>
        <v>1.1692255757229653E-3</v>
      </c>
    </row>
    <row r="83" spans="21:141" ht="15" customHeight="1" x14ac:dyDescent="0.25">
      <c r="U83" s="642">
        <f t="shared" si="127"/>
        <v>77</v>
      </c>
      <c r="W83" s="609">
        <f t="shared" si="90"/>
        <v>5.4579519057839647</v>
      </c>
      <c r="X83" s="610">
        <f t="shared" si="87"/>
        <v>3.8494351043057367</v>
      </c>
      <c r="Y83" s="611">
        <f t="shared" si="87"/>
        <v>3.8162258019801554</v>
      </c>
      <c r="Z83" s="611">
        <f t="shared" si="87"/>
        <v>3.7630909182592251</v>
      </c>
      <c r="AA83" s="611">
        <f t="shared" si="87"/>
        <v>3.6568211508173647</v>
      </c>
      <c r="AB83" s="982">
        <f t="shared" si="91"/>
        <v>1000000</v>
      </c>
      <c r="AC83" s="919">
        <f t="shared" si="92"/>
        <v>3.8693606857010856</v>
      </c>
      <c r="AD83" s="611">
        <f t="shared" si="51"/>
        <v>3.7121575698312572</v>
      </c>
      <c r="AE83" s="611">
        <f t="shared" si="51"/>
        <v>3.6595982675056757</v>
      </c>
      <c r="AF83" s="611">
        <f t="shared" si="51"/>
        <v>3.5755033837847452</v>
      </c>
      <c r="AG83" s="612">
        <f t="shared" si="51"/>
        <v>3.4073136163428845</v>
      </c>
      <c r="AH83" s="609">
        <f t="shared" si="93"/>
        <v>3</v>
      </c>
      <c r="AI83" s="895">
        <f t="shared" si="114"/>
        <v>-1000000</v>
      </c>
      <c r="AJ83" s="610">
        <f t="shared" si="94"/>
        <v>5.4579519057839647</v>
      </c>
      <c r="AK83" s="609">
        <f t="shared" si="115"/>
        <v>-0.12566753447447926</v>
      </c>
      <c r="AL83" s="611">
        <f t="shared" si="88"/>
        <v>-0.13727753447447935</v>
      </c>
      <c r="AM83" s="611">
        <f t="shared" si="88"/>
        <v>-0.15662753447447952</v>
      </c>
      <c r="AN83" s="611">
        <f t="shared" si="88"/>
        <v>-0.18758753447447979</v>
      </c>
      <c r="AO83" s="612">
        <f t="shared" si="88"/>
        <v>-0.24950753447448032</v>
      </c>
      <c r="AP83" s="902">
        <v>0</v>
      </c>
      <c r="AQ83" s="783">
        <f t="shared" si="95"/>
        <v>1000000</v>
      </c>
      <c r="AR83" s="983"/>
      <c r="AS83" s="609">
        <f t="shared" si="96"/>
        <v>5.4579519057839647</v>
      </c>
      <c r="AT83" s="610">
        <f t="shared" si="97"/>
        <v>3.7121575698312572</v>
      </c>
      <c r="AU83" s="611">
        <f t="shared" si="97"/>
        <v>3.6595982675056757</v>
      </c>
      <c r="AV83" s="611">
        <f t="shared" si="97"/>
        <v>3.5755033837847452</v>
      </c>
      <c r="AW83" s="612">
        <f t="shared" si="97"/>
        <v>3.4073136163428845</v>
      </c>
      <c r="AX83" s="982">
        <f t="shared" si="98"/>
        <v>1000000</v>
      </c>
      <c r="AY83" s="611">
        <f t="shared" si="99"/>
        <v>3</v>
      </c>
      <c r="AZ83" s="612">
        <f t="shared" si="100"/>
        <v>3.8693606857010856</v>
      </c>
      <c r="BB83" s="984">
        <f t="shared" si="116"/>
        <v>4.1661511263750679</v>
      </c>
      <c r="BC83" s="985">
        <f t="shared" si="89"/>
        <v>3.7287003189646302</v>
      </c>
      <c r="BD83" s="985">
        <f t="shared" si="89"/>
        <v>3.6311150373041396</v>
      </c>
      <c r="BE83" s="528">
        <f t="shared" si="89"/>
        <v>3.56530217239257</v>
      </c>
      <c r="BF83" s="913">
        <f t="shared" si="101"/>
        <v>4.1661511263750679</v>
      </c>
      <c r="BG83" s="317">
        <f t="shared" si="101"/>
        <v>-1000000</v>
      </c>
      <c r="BH83" s="317">
        <f t="shared" si="101"/>
        <v>-1000000</v>
      </c>
      <c r="BI83" s="919">
        <f t="shared" si="101"/>
        <v>-1000000</v>
      </c>
      <c r="BJ83" s="646">
        <f t="shared" si="102"/>
        <v>3.8500000000000005</v>
      </c>
      <c r="BK83" s="913">
        <f t="shared" si="103"/>
        <v>4.1661511263750679</v>
      </c>
      <c r="BL83" s="317"/>
      <c r="BM83" s="317"/>
      <c r="BN83" s="317"/>
      <c r="BO83" s="913">
        <f t="shared" si="104"/>
        <v>3</v>
      </c>
      <c r="BP83" s="783">
        <f t="shared" si="117"/>
        <v>1000000</v>
      </c>
      <c r="CK83" s="642">
        <f t="shared" si="128"/>
        <v>77</v>
      </c>
      <c r="CL83" s="609">
        <f t="shared" si="105"/>
        <v>5.4579519057839647</v>
      </c>
      <c r="CM83" s="609">
        <f t="shared" si="118"/>
        <v>3.8500000000000005</v>
      </c>
      <c r="CN83" s="610">
        <f t="shared" si="81"/>
        <v>8.505570659981684</v>
      </c>
      <c r="CO83" s="611">
        <f t="shared" si="81"/>
        <v>8.5058453549514894</v>
      </c>
      <c r="CP83" s="612">
        <f t="shared" si="81"/>
        <v>8.5058902870794615</v>
      </c>
      <c r="CQ83" s="611">
        <f t="shared" si="82"/>
        <v>2.250308004884634</v>
      </c>
      <c r="CR83" s="611">
        <f t="shared" si="82"/>
        <v>2.6512333012042681</v>
      </c>
      <c r="CS83" s="611">
        <f t="shared" si="82"/>
        <v>3.0521585975239023</v>
      </c>
      <c r="CT83" s="610">
        <f t="shared" si="106"/>
        <v>10.755878664866318</v>
      </c>
      <c r="CU83" s="611">
        <f t="shared" si="106"/>
        <v>11.157078656155758</v>
      </c>
      <c r="CV83" s="612">
        <f t="shared" si="106"/>
        <v>11.558048884603364</v>
      </c>
      <c r="CW83" s="613">
        <f t="shared" si="119"/>
        <v>10.755878664866318</v>
      </c>
      <c r="CX83" s="613">
        <f t="shared" si="119"/>
        <v>11.157078656155758</v>
      </c>
      <c r="CY83" s="613">
        <f t="shared" si="119"/>
        <v>11.558048884603364</v>
      </c>
      <c r="CZ83" s="609">
        <f t="shared" si="107"/>
        <v>8.5058990739490348</v>
      </c>
      <c r="DA83" s="609"/>
      <c r="DB83" s="609">
        <f t="shared" si="120"/>
        <v>3.8500000000000005</v>
      </c>
      <c r="DC83" s="610">
        <f t="shared" si="108"/>
        <v>8.6684189221908033E-4</v>
      </c>
      <c r="DD83" s="611">
        <f t="shared" si="108"/>
        <v>1.6705218210456195E-4</v>
      </c>
      <c r="DE83" s="612">
        <f t="shared" si="108"/>
        <v>3.1457020407141072E-5</v>
      </c>
      <c r="DF83" s="611">
        <f t="shared" si="126"/>
        <v>9.2664375316074763E-4</v>
      </c>
      <c r="DG83" s="611">
        <f t="shared" si="126"/>
        <v>1.8073952425367876E-4</v>
      </c>
      <c r="DH83" s="611">
        <f t="shared" si="126"/>
        <v>3.4448206953640659E-5</v>
      </c>
      <c r="DI83" s="614">
        <f t="shared" si="109"/>
        <v>8</v>
      </c>
      <c r="DJ83" s="615"/>
      <c r="DK83" s="609">
        <f t="shared" si="121"/>
        <v>3.8500000000000005</v>
      </c>
      <c r="DL83" s="611">
        <f t="shared" si="83"/>
        <v>3.8915995593260173</v>
      </c>
      <c r="DM83" s="611">
        <f t="shared" si="83"/>
        <v>1000000</v>
      </c>
      <c r="DN83" s="611">
        <f t="shared" si="83"/>
        <v>1000000</v>
      </c>
      <c r="DO83" s="610">
        <f t="shared" si="84"/>
        <v>0.3422493142989147</v>
      </c>
      <c r="DP83" s="611">
        <f t="shared" si="84"/>
        <v>0.36159931429891484</v>
      </c>
      <c r="DQ83" s="612">
        <f t="shared" si="84"/>
        <v>0.39255931429891511</v>
      </c>
      <c r="DR83" s="611">
        <f t="shared" si="110"/>
        <v>4.2338488736249325</v>
      </c>
      <c r="DS83" s="611">
        <f t="shared" si="110"/>
        <v>1000000.3615993143</v>
      </c>
      <c r="DT83" s="611">
        <f t="shared" si="110"/>
        <v>1000000.3925593143</v>
      </c>
      <c r="DU83" s="609">
        <f t="shared" si="122"/>
        <v>4.2</v>
      </c>
      <c r="DV83" s="611"/>
      <c r="DW83" s="646">
        <f t="shared" si="111"/>
        <v>10.266666666666667</v>
      </c>
      <c r="DX83" s="621">
        <f t="shared" si="85"/>
        <v>7.2198969117296361</v>
      </c>
      <c r="DY83" s="621">
        <f t="shared" si="85"/>
        <v>7.3554332422656792</v>
      </c>
      <c r="DZ83" s="621">
        <f t="shared" si="85"/>
        <v>7.4651241989496677</v>
      </c>
      <c r="EA83" s="610">
        <f t="shared" si="112"/>
        <v>7.4308147870468986</v>
      </c>
      <c r="EB83" s="611">
        <f t="shared" si="112"/>
        <v>7.4407009685882102</v>
      </c>
      <c r="EC83" s="612">
        <f t="shared" si="112"/>
        <v>7.4491095649380918</v>
      </c>
      <c r="ED83" s="610">
        <f t="shared" si="123"/>
        <v>8</v>
      </c>
      <c r="EE83" s="611">
        <f t="shared" si="124"/>
        <v>8.5058990739490348</v>
      </c>
      <c r="EF83" s="645">
        <f t="shared" si="125"/>
        <v>-1000000</v>
      </c>
      <c r="EG83" s="902"/>
      <c r="EH83" s="646">
        <f t="shared" si="113"/>
        <v>10.266666666666667</v>
      </c>
      <c r="EI83" s="610">
        <f t="shared" si="86"/>
        <v>0.21091787531726247</v>
      </c>
      <c r="EJ83" s="986">
        <f t="shared" si="86"/>
        <v>8.5267726322531434E-2</v>
      </c>
      <c r="EK83" s="612">
        <f t="shared" si="86"/>
        <v>-1.6014634011575879E-2</v>
      </c>
    </row>
    <row r="84" spans="21:141" ht="15" customHeight="1" x14ac:dyDescent="0.25">
      <c r="U84" s="642">
        <f t="shared" si="127"/>
        <v>78</v>
      </c>
      <c r="W84" s="609">
        <f t="shared" si="90"/>
        <v>5.5288343980668726</v>
      </c>
      <c r="X84" s="610">
        <f t="shared" si="87"/>
        <v>3.8489606857010856</v>
      </c>
      <c r="Y84" s="611">
        <f t="shared" si="87"/>
        <v>3.8149606857010858</v>
      </c>
      <c r="Z84" s="611">
        <f t="shared" si="87"/>
        <v>3.7605606857010856</v>
      </c>
      <c r="AA84" s="611">
        <f t="shared" si="87"/>
        <v>3.6517606857010856</v>
      </c>
      <c r="AB84" s="982">
        <f t="shared" si="91"/>
        <v>1000000</v>
      </c>
      <c r="AC84" s="919">
        <f t="shared" si="92"/>
        <v>3.8693606857010856</v>
      </c>
      <c r="AD84" s="611">
        <f t="shared" si="51"/>
        <v>3.709922009960319</v>
      </c>
      <c r="AE84" s="611">
        <f t="shared" si="51"/>
        <v>3.6565720099603189</v>
      </c>
      <c r="AF84" s="611">
        <f t="shared" si="51"/>
        <v>3.5712120099603184</v>
      </c>
      <c r="AG84" s="612">
        <f t="shared" si="51"/>
        <v>3.4004920099603178</v>
      </c>
      <c r="AH84" s="609">
        <f t="shared" si="93"/>
        <v>3</v>
      </c>
      <c r="AI84" s="895">
        <f t="shared" si="114"/>
        <v>-1000000</v>
      </c>
      <c r="AJ84" s="610">
        <f t="shared" si="94"/>
        <v>5.5288343980668726</v>
      </c>
      <c r="AK84" s="609">
        <f t="shared" si="115"/>
        <v>-0.12742867574076677</v>
      </c>
      <c r="AL84" s="611">
        <f t="shared" si="88"/>
        <v>-0.13903867574076686</v>
      </c>
      <c r="AM84" s="611">
        <f t="shared" si="88"/>
        <v>-0.15838867574076704</v>
      </c>
      <c r="AN84" s="611">
        <f t="shared" si="88"/>
        <v>-0.1893486757407673</v>
      </c>
      <c r="AO84" s="612">
        <f t="shared" si="88"/>
        <v>-0.25126867574076783</v>
      </c>
      <c r="AP84" s="902">
        <v>0</v>
      </c>
      <c r="AQ84" s="783">
        <f t="shared" si="95"/>
        <v>1000000</v>
      </c>
      <c r="AR84" s="983"/>
      <c r="AS84" s="609">
        <f t="shared" si="96"/>
        <v>5.5288343980668726</v>
      </c>
      <c r="AT84" s="610">
        <f t="shared" si="97"/>
        <v>3.709922009960319</v>
      </c>
      <c r="AU84" s="611">
        <f t="shared" si="97"/>
        <v>3.6565720099603189</v>
      </c>
      <c r="AV84" s="611">
        <f t="shared" si="97"/>
        <v>3.5712120099603184</v>
      </c>
      <c r="AW84" s="612">
        <f t="shared" si="97"/>
        <v>3.4004920099603178</v>
      </c>
      <c r="AX84" s="982">
        <f t="shared" si="98"/>
        <v>1000000</v>
      </c>
      <c r="AY84" s="611">
        <f t="shared" si="99"/>
        <v>3</v>
      </c>
      <c r="AZ84" s="612">
        <f t="shared" si="100"/>
        <v>3.8693606857010856</v>
      </c>
      <c r="BB84" s="984">
        <f t="shared" si="116"/>
        <v>4.1655231222697049</v>
      </c>
      <c r="BC84" s="985">
        <f t="shared" si="89"/>
        <v>3.7263859028355908</v>
      </c>
      <c r="BD84" s="985">
        <f t="shared" si="89"/>
        <v>3.6307448784914107</v>
      </c>
      <c r="BE84" s="528">
        <f t="shared" si="89"/>
        <v>3.5651203994266711</v>
      </c>
      <c r="BF84" s="913">
        <f t="shared" si="101"/>
        <v>4.1655231222697049</v>
      </c>
      <c r="BG84" s="317">
        <f t="shared" si="101"/>
        <v>-1000000</v>
      </c>
      <c r="BH84" s="317">
        <f t="shared" si="101"/>
        <v>-1000000</v>
      </c>
      <c r="BI84" s="919">
        <f t="shared" si="101"/>
        <v>-1000000</v>
      </c>
      <c r="BJ84" s="646">
        <f t="shared" si="102"/>
        <v>3.9000000000000004</v>
      </c>
      <c r="BK84" s="913">
        <f t="shared" si="103"/>
        <v>4.1655231222697049</v>
      </c>
      <c r="BL84" s="317"/>
      <c r="BM84" s="317"/>
      <c r="BN84" s="317"/>
      <c r="BO84" s="913">
        <f t="shared" si="104"/>
        <v>3</v>
      </c>
      <c r="BP84" s="783">
        <f t="shared" si="117"/>
        <v>1000000</v>
      </c>
      <c r="CK84" s="642">
        <f t="shared" si="128"/>
        <v>78</v>
      </c>
      <c r="CL84" s="609">
        <f t="shared" si="105"/>
        <v>5.5288343980668726</v>
      </c>
      <c r="CM84" s="609">
        <f t="shared" si="118"/>
        <v>3.9000000000000004</v>
      </c>
      <c r="CN84" s="610">
        <f t="shared" si="81"/>
        <v>8.5056112638340817</v>
      </c>
      <c r="CO84" s="611">
        <f t="shared" si="81"/>
        <v>8.5058530905864238</v>
      </c>
      <c r="CP84" s="612">
        <f t="shared" si="81"/>
        <v>8.5058917271966887</v>
      </c>
      <c r="CQ84" s="611">
        <f t="shared" si="82"/>
        <v>2.250308004884634</v>
      </c>
      <c r="CR84" s="611">
        <f t="shared" si="82"/>
        <v>2.6512333012042681</v>
      </c>
      <c r="CS84" s="611">
        <f t="shared" si="82"/>
        <v>3.0521585975239023</v>
      </c>
      <c r="CT84" s="610">
        <f t="shared" si="106"/>
        <v>10.755919268718715</v>
      </c>
      <c r="CU84" s="611">
        <f t="shared" si="106"/>
        <v>11.157086391790692</v>
      </c>
      <c r="CV84" s="612">
        <f t="shared" si="106"/>
        <v>11.558050324720591</v>
      </c>
      <c r="CW84" s="613">
        <f t="shared" si="119"/>
        <v>10.755919268718715</v>
      </c>
      <c r="CX84" s="613">
        <f t="shared" si="119"/>
        <v>11.157086391790692</v>
      </c>
      <c r="CY84" s="613">
        <f t="shared" si="119"/>
        <v>11.558050324720591</v>
      </c>
      <c r="CZ84" s="609">
        <f t="shared" si="107"/>
        <v>8.5058990739490348</v>
      </c>
      <c r="DA84" s="609"/>
      <c r="DB84" s="609">
        <f t="shared" si="120"/>
        <v>3.9000000000000004</v>
      </c>
      <c r="DC84" s="610">
        <f t="shared" si="108"/>
        <v>7.5966886139969725E-4</v>
      </c>
      <c r="DD84" s="611">
        <f t="shared" si="108"/>
        <v>1.4299635912048804E-4</v>
      </c>
      <c r="DE84" s="612">
        <f t="shared" si="108"/>
        <v>2.6301396249094939E-5</v>
      </c>
      <c r="DF84" s="611">
        <f t="shared" si="126"/>
        <v>8.1207704795361062E-4</v>
      </c>
      <c r="DG84" s="611">
        <f t="shared" si="126"/>
        <v>1.5471269868783165E-4</v>
      </c>
      <c r="DH84" s="611">
        <f t="shared" si="126"/>
        <v>2.8802344544942672E-5</v>
      </c>
      <c r="DI84" s="614">
        <f t="shared" si="109"/>
        <v>8</v>
      </c>
      <c r="DJ84" s="615"/>
      <c r="DK84" s="609">
        <f t="shared" si="121"/>
        <v>3.9000000000000004</v>
      </c>
      <c r="DL84" s="611">
        <f t="shared" si="83"/>
        <v>3.8922275634313803</v>
      </c>
      <c r="DM84" s="611">
        <f t="shared" si="83"/>
        <v>1000000</v>
      </c>
      <c r="DN84" s="611">
        <f t="shared" si="83"/>
        <v>1000000</v>
      </c>
      <c r="DO84" s="610">
        <f t="shared" si="84"/>
        <v>0.3422493142989147</v>
      </c>
      <c r="DP84" s="611">
        <f t="shared" si="84"/>
        <v>0.36159931429891484</v>
      </c>
      <c r="DQ84" s="612">
        <f t="shared" si="84"/>
        <v>0.39255931429891511</v>
      </c>
      <c r="DR84" s="611">
        <f t="shared" si="110"/>
        <v>4.2344768777302946</v>
      </c>
      <c r="DS84" s="611">
        <f t="shared" si="110"/>
        <v>1000000.3615993143</v>
      </c>
      <c r="DT84" s="611">
        <f t="shared" si="110"/>
        <v>1000000.3925593143</v>
      </c>
      <c r="DU84" s="609">
        <f t="shared" si="122"/>
        <v>4.2</v>
      </c>
      <c r="DV84" s="611"/>
      <c r="DW84" s="646">
        <f t="shared" si="111"/>
        <v>10.4</v>
      </c>
      <c r="DX84" s="621">
        <f t="shared" si="85"/>
        <v>7.2047774869591263</v>
      </c>
      <c r="DY84" s="621">
        <f t="shared" si="85"/>
        <v>7.3417583185494806</v>
      </c>
      <c r="DZ84" s="621">
        <f t="shared" si="85"/>
        <v>7.4526440014483937</v>
      </c>
      <c r="EA84" s="610">
        <f t="shared" si="112"/>
        <v>7.4002333842557908</v>
      </c>
      <c r="EB84" s="611">
        <f t="shared" si="112"/>
        <v>7.4107679403255435</v>
      </c>
      <c r="EC84" s="612">
        <f t="shared" si="112"/>
        <v>7.4197295320662313</v>
      </c>
      <c r="ED84" s="610">
        <f t="shared" si="123"/>
        <v>8</v>
      </c>
      <c r="EE84" s="611">
        <f t="shared" si="124"/>
        <v>8.5058990739490348</v>
      </c>
      <c r="EF84" s="645">
        <f t="shared" si="125"/>
        <v>-1000000</v>
      </c>
      <c r="EG84" s="902"/>
      <c r="EH84" s="646">
        <f t="shared" si="113"/>
        <v>10.4</v>
      </c>
      <c r="EI84" s="610">
        <f t="shared" si="86"/>
        <v>0.19545589729666446</v>
      </c>
      <c r="EJ84" s="986">
        <f t="shared" si="86"/>
        <v>6.9009621776062513E-2</v>
      </c>
      <c r="EK84" s="612">
        <f t="shared" si="86"/>
        <v>-3.2914469382162359E-2</v>
      </c>
    </row>
    <row r="85" spans="21:141" ht="15" customHeight="1" x14ac:dyDescent="0.25">
      <c r="U85" s="642">
        <f t="shared" si="127"/>
        <v>79</v>
      </c>
      <c r="W85" s="609">
        <f t="shared" si="90"/>
        <v>5.5997168903497814</v>
      </c>
      <c r="X85" s="610">
        <f t="shared" si="87"/>
        <v>3.8484631247254759</v>
      </c>
      <c r="Y85" s="611">
        <f t="shared" si="87"/>
        <v>3.813633856432793</v>
      </c>
      <c r="Z85" s="611">
        <f t="shared" si="87"/>
        <v>3.7579070271645003</v>
      </c>
      <c r="AA85" s="611">
        <f t="shared" si="87"/>
        <v>3.646453368627915</v>
      </c>
      <c r="AB85" s="982">
        <f t="shared" si="91"/>
        <v>1000000</v>
      </c>
      <c r="AC85" s="919">
        <f t="shared" si="92"/>
        <v>3.8693606857010856</v>
      </c>
      <c r="AD85" s="611">
        <f t="shared" si="51"/>
        <v>3.7077097691497256</v>
      </c>
      <c r="AE85" s="611">
        <f t="shared" si="51"/>
        <v>3.6535305008570425</v>
      </c>
      <c r="AF85" s="611">
        <f t="shared" si="51"/>
        <v>3.5668436715887499</v>
      </c>
      <c r="AG85" s="612">
        <f t="shared" ref="AG85:AG111" si="129">AW85</f>
        <v>3.393470013052164</v>
      </c>
      <c r="AH85" s="609">
        <f t="shared" si="93"/>
        <v>3</v>
      </c>
      <c r="AI85" s="895">
        <f t="shared" si="114"/>
        <v>-1000000</v>
      </c>
      <c r="AJ85" s="610">
        <f t="shared" si="94"/>
        <v>5.5997168903497814</v>
      </c>
      <c r="AK85" s="609">
        <f t="shared" si="115"/>
        <v>-0.12914335557575005</v>
      </c>
      <c r="AL85" s="611">
        <f t="shared" si="88"/>
        <v>-0.14075335557575014</v>
      </c>
      <c r="AM85" s="611">
        <f t="shared" si="88"/>
        <v>-0.16010335557575031</v>
      </c>
      <c r="AN85" s="611">
        <f t="shared" si="88"/>
        <v>-0.19106335557575058</v>
      </c>
      <c r="AO85" s="612">
        <f t="shared" si="88"/>
        <v>-0.25298335557575113</v>
      </c>
      <c r="AP85" s="902">
        <v>0</v>
      </c>
      <c r="AQ85" s="783">
        <f t="shared" si="95"/>
        <v>1000000</v>
      </c>
      <c r="AR85" s="983"/>
      <c r="AS85" s="609">
        <f t="shared" si="96"/>
        <v>5.5997168903497814</v>
      </c>
      <c r="AT85" s="610">
        <f t="shared" si="97"/>
        <v>3.7077097691497256</v>
      </c>
      <c r="AU85" s="611">
        <f t="shared" si="97"/>
        <v>3.6535305008570425</v>
      </c>
      <c r="AV85" s="611">
        <f t="shared" si="97"/>
        <v>3.5668436715887499</v>
      </c>
      <c r="AW85" s="612">
        <f t="shared" si="97"/>
        <v>3.393470013052164</v>
      </c>
      <c r="AX85" s="982">
        <f t="shared" si="98"/>
        <v>1000000</v>
      </c>
      <c r="AY85" s="611">
        <f t="shared" si="99"/>
        <v>3</v>
      </c>
      <c r="AZ85" s="612">
        <f t="shared" si="100"/>
        <v>3.8693606857010856</v>
      </c>
      <c r="BB85" s="984">
        <f t="shared" si="116"/>
        <v>4.1648586190169112</v>
      </c>
      <c r="BC85" s="985">
        <f t="shared" si="89"/>
        <v>3.724153887337847</v>
      </c>
      <c r="BD85" s="985">
        <f t="shared" si="89"/>
        <v>3.6303918796820729</v>
      </c>
      <c r="BE85" s="528">
        <f t="shared" si="89"/>
        <v>3.5649440170929796</v>
      </c>
      <c r="BF85" s="913">
        <f t="shared" si="101"/>
        <v>4.1648586190169112</v>
      </c>
      <c r="BG85" s="317">
        <f t="shared" si="101"/>
        <v>-1000000</v>
      </c>
      <c r="BH85" s="317">
        <f t="shared" si="101"/>
        <v>-1000000</v>
      </c>
      <c r="BI85" s="919">
        <f t="shared" si="101"/>
        <v>-1000000</v>
      </c>
      <c r="BJ85" s="646">
        <f t="shared" si="102"/>
        <v>3.95</v>
      </c>
      <c r="BK85" s="913">
        <f t="shared" si="103"/>
        <v>4.1648586190169112</v>
      </c>
      <c r="BL85" s="317"/>
      <c r="BM85" s="317"/>
      <c r="BN85" s="317"/>
      <c r="BO85" s="913">
        <f t="shared" si="104"/>
        <v>3</v>
      </c>
      <c r="BP85" s="783">
        <f t="shared" si="117"/>
        <v>1000000</v>
      </c>
      <c r="CK85" s="642">
        <f t="shared" si="128"/>
        <v>79</v>
      </c>
      <c r="CL85" s="609">
        <f t="shared" si="105"/>
        <v>5.5997168903497814</v>
      </c>
      <c r="CM85" s="609">
        <f t="shared" si="118"/>
        <v>3.95</v>
      </c>
      <c r="CN85" s="610">
        <f t="shared" ref="CN85:CP104" si="130">$CD$27*(1-EXP(-$CM85/CN$3))</f>
        <v>8.5056468475807794</v>
      </c>
      <c r="CO85" s="611">
        <f t="shared" si="130"/>
        <v>8.5058597122756314</v>
      </c>
      <c r="CP85" s="612">
        <f t="shared" si="130"/>
        <v>8.5058929312870131</v>
      </c>
      <c r="CQ85" s="611">
        <f t="shared" ref="CQ85:CS104" si="131">--$CD$30*((CQ$2-$CD$20)+($CD$22-CQ$2)*EXP(-$CM85/$CI$13))</f>
        <v>2.250308004884634</v>
      </c>
      <c r="CR85" s="611">
        <f t="shared" si="131"/>
        <v>2.6512333012042681</v>
      </c>
      <c r="CS85" s="611">
        <f t="shared" si="131"/>
        <v>3.0521585975239023</v>
      </c>
      <c r="CT85" s="610">
        <f t="shared" si="106"/>
        <v>10.755954852465413</v>
      </c>
      <c r="CU85" s="611">
        <f t="shared" si="106"/>
        <v>11.1570930134799</v>
      </c>
      <c r="CV85" s="612">
        <f t="shared" si="106"/>
        <v>11.558051528810916</v>
      </c>
      <c r="CW85" s="613">
        <f t="shared" si="119"/>
        <v>10.755954852465413</v>
      </c>
      <c r="CX85" s="613">
        <f t="shared" si="119"/>
        <v>11.1570930134799</v>
      </c>
      <c r="CY85" s="613">
        <f t="shared" si="119"/>
        <v>11.558051528810916</v>
      </c>
      <c r="CZ85" s="609">
        <f t="shared" si="107"/>
        <v>8.5058990739490348</v>
      </c>
      <c r="DA85" s="609"/>
      <c r="DB85" s="609">
        <f t="shared" si="120"/>
        <v>3.95</v>
      </c>
      <c r="DC85" s="610">
        <f t="shared" si="108"/>
        <v>6.6574629602056846E-4</v>
      </c>
      <c r="DD85" s="611">
        <f t="shared" si="108"/>
        <v>1.2240461910827769E-4</v>
      </c>
      <c r="DE85" s="612">
        <f t="shared" si="108"/>
        <v>2.1990749145932034E-5</v>
      </c>
      <c r="DF85" s="611">
        <f t="shared" si="126"/>
        <v>7.1167493395307951E-4</v>
      </c>
      <c r="DG85" s="611">
        <f t="shared" si="126"/>
        <v>1.324337841523975E-4</v>
      </c>
      <c r="DH85" s="611">
        <f t="shared" si="126"/>
        <v>2.4081806486719955E-5</v>
      </c>
      <c r="DI85" s="614">
        <f t="shared" si="109"/>
        <v>8</v>
      </c>
      <c r="DJ85" s="615"/>
      <c r="DK85" s="609">
        <f t="shared" si="121"/>
        <v>3.95</v>
      </c>
      <c r="DL85" s="611">
        <f t="shared" ref="DL85:DN104" si="132">IF((DL$3*$DK85)&gt;$CD$27,1000000,($CD$20+($CD$35*DL$3)/(1-(DL$3*$DK85)/($CD$27))))</f>
        <v>3.8928920666841744</v>
      </c>
      <c r="DM85" s="611">
        <f t="shared" si="132"/>
        <v>1000000</v>
      </c>
      <c r="DN85" s="611">
        <f t="shared" si="132"/>
        <v>1000000</v>
      </c>
      <c r="DO85" s="610">
        <f t="shared" ref="DO85:DQ104" si="133">($CD$24-$CD$20)+($CD$22-$CD$24)*EXP(-$DK85/$CI$13)+$CD$36*DO$3</f>
        <v>0.3422493142989147</v>
      </c>
      <c r="DP85" s="611">
        <f t="shared" si="133"/>
        <v>0.36159931429891484</v>
      </c>
      <c r="DQ85" s="612">
        <f t="shared" si="133"/>
        <v>0.39255931429891511</v>
      </c>
      <c r="DR85" s="611">
        <f t="shared" si="110"/>
        <v>4.2351413809830891</v>
      </c>
      <c r="DS85" s="611">
        <f t="shared" si="110"/>
        <v>1000000.3615993143</v>
      </c>
      <c r="DT85" s="611">
        <f t="shared" si="110"/>
        <v>1000000.3925593143</v>
      </c>
      <c r="DU85" s="609">
        <f t="shared" si="122"/>
        <v>4.2</v>
      </c>
      <c r="DV85" s="611"/>
      <c r="DW85" s="646">
        <f t="shared" si="111"/>
        <v>10.533333333333333</v>
      </c>
      <c r="DX85" s="621">
        <f t="shared" ref="DX85:DZ104" si="134">$CD$27*((1-($CD$35*$DW85)/($CD$20-DX$3))/(1+(($CD$36*$DW85)/($CD$20-DX$3))))</f>
        <v>7.189694737365115</v>
      </c>
      <c r="DY85" s="621">
        <f t="shared" si="134"/>
        <v>7.32811307763735</v>
      </c>
      <c r="DZ85" s="621">
        <f t="shared" si="134"/>
        <v>7.4401883157036872</v>
      </c>
      <c r="EA85" s="610">
        <f t="shared" si="112"/>
        <v>7.3699442206589039</v>
      </c>
      <c r="EB85" s="611">
        <f t="shared" si="112"/>
        <v>7.3811333176987119</v>
      </c>
      <c r="EC85" s="612">
        <f t="shared" si="112"/>
        <v>7.3906533406602684</v>
      </c>
      <c r="ED85" s="610">
        <f t="shared" si="123"/>
        <v>8</v>
      </c>
      <c r="EE85" s="611">
        <f t="shared" si="124"/>
        <v>8.5058990739490348</v>
      </c>
      <c r="EF85" s="645">
        <f t="shared" si="125"/>
        <v>-1000000</v>
      </c>
      <c r="EG85" s="902"/>
      <c r="EH85" s="646">
        <f t="shared" si="113"/>
        <v>10.533333333333333</v>
      </c>
      <c r="EI85" s="610">
        <f t="shared" ref="EI85:EK104" si="135">$CD$29-($CD$29-EI$1)*((1-EXP(-$DW85/$CD$32))/(1-EXP(-1)))</f>
        <v>0.18024948329378887</v>
      </c>
      <c r="EJ85" s="986">
        <f t="shared" si="135"/>
        <v>5.3020240061362411E-2</v>
      </c>
      <c r="EK85" s="612">
        <f t="shared" si="135"/>
        <v>-4.9534975043418861E-2</v>
      </c>
    </row>
    <row r="86" spans="21:141" ht="15" customHeight="1" x14ac:dyDescent="0.25">
      <c r="U86" s="642">
        <f t="shared" si="127"/>
        <v>80</v>
      </c>
      <c r="W86" s="609">
        <f t="shared" si="90"/>
        <v>5.6705993826326893</v>
      </c>
      <c r="X86" s="610">
        <f t="shared" ref="X86:AA105" si="136">$K$25-($M$28*X$3)/(1-$W86/$K$26)</f>
        <v>3.8479406857010856</v>
      </c>
      <c r="Y86" s="611">
        <f t="shared" si="136"/>
        <v>3.8122406857010858</v>
      </c>
      <c r="Z86" s="611">
        <f t="shared" si="136"/>
        <v>3.7551206857010855</v>
      </c>
      <c r="AA86" s="611">
        <f t="shared" si="136"/>
        <v>3.6408806857010858</v>
      </c>
      <c r="AB86" s="982">
        <f t="shared" si="91"/>
        <v>1000000</v>
      </c>
      <c r="AC86" s="919">
        <f t="shared" si="92"/>
        <v>3.8693606857010856</v>
      </c>
      <c r="AD86" s="611">
        <f t="shared" ref="AD86:AF124" si="137">AT86</f>
        <v>3.7055178860024935</v>
      </c>
      <c r="AE86" s="611">
        <f t="shared" si="137"/>
        <v>3.6504678860024935</v>
      </c>
      <c r="AF86" s="611">
        <f t="shared" si="137"/>
        <v>3.5623878860024929</v>
      </c>
      <c r="AG86" s="612">
        <f t="shared" si="129"/>
        <v>3.3862278860024926</v>
      </c>
      <c r="AH86" s="609">
        <f t="shared" si="93"/>
        <v>3</v>
      </c>
      <c r="AI86" s="895">
        <f t="shared" si="114"/>
        <v>-1000000</v>
      </c>
      <c r="AJ86" s="610">
        <f t="shared" si="94"/>
        <v>5.6705993826326893</v>
      </c>
      <c r="AK86" s="609">
        <f t="shared" si="115"/>
        <v>-0.130812799698592</v>
      </c>
      <c r="AL86" s="611">
        <f t="shared" ref="AL86:AO105" si="138">$AK86-$M$30*AL$3</f>
        <v>-0.14242279969859209</v>
      </c>
      <c r="AM86" s="611">
        <f t="shared" si="138"/>
        <v>-0.16177279969859226</v>
      </c>
      <c r="AN86" s="611">
        <f t="shared" si="138"/>
        <v>-0.19273279969859253</v>
      </c>
      <c r="AO86" s="612">
        <f t="shared" si="138"/>
        <v>-0.25465279969859306</v>
      </c>
      <c r="AP86" s="902">
        <v>0</v>
      </c>
      <c r="AQ86" s="783">
        <f t="shared" si="95"/>
        <v>1000000</v>
      </c>
      <c r="AR86" s="983"/>
      <c r="AS86" s="609">
        <f t="shared" si="96"/>
        <v>5.6705993826326893</v>
      </c>
      <c r="AT86" s="610">
        <f t="shared" si="97"/>
        <v>3.7055178860024935</v>
      </c>
      <c r="AU86" s="611">
        <f t="shared" si="97"/>
        <v>3.6504678860024935</v>
      </c>
      <c r="AV86" s="611">
        <f t="shared" si="97"/>
        <v>3.5623878860024929</v>
      </c>
      <c r="AW86" s="612">
        <f t="shared" si="97"/>
        <v>3.3862278860024926</v>
      </c>
      <c r="AX86" s="982">
        <f t="shared" si="98"/>
        <v>1000000</v>
      </c>
      <c r="AY86" s="611">
        <f t="shared" si="99"/>
        <v>3</v>
      </c>
      <c r="AZ86" s="612">
        <f t="shared" si="100"/>
        <v>3.8693606857010856</v>
      </c>
      <c r="BB86" s="984">
        <f t="shared" si="116"/>
        <v>4.1641543394263723</v>
      </c>
      <c r="BC86" s="985">
        <f t="shared" ref="BC86:BE105" si="139">$K$25+$K$31*(1-(1-EXP(-(BB$3*$BJ86)/($K$27)))/(1-EXP(-1)))-($M$28/(1-(BC$3*$BJ86)/($K$26))+$M$30)*BC$3</f>
        <v>3.7220000793549093</v>
      </c>
      <c r="BD86" s="985">
        <f t="shared" si="139"/>
        <v>3.6300549854798292</v>
      </c>
      <c r="BE86" s="528">
        <f t="shared" si="139"/>
        <v>3.5647727833122174</v>
      </c>
      <c r="BF86" s="913">
        <f t="shared" si="101"/>
        <v>4.1641543394263723</v>
      </c>
      <c r="BG86" s="317">
        <f t="shared" si="101"/>
        <v>-1000000</v>
      </c>
      <c r="BH86" s="317">
        <f t="shared" si="101"/>
        <v>-1000000</v>
      </c>
      <c r="BI86" s="919">
        <f t="shared" si="101"/>
        <v>-1000000</v>
      </c>
      <c r="BJ86" s="646">
        <f t="shared" si="102"/>
        <v>4</v>
      </c>
      <c r="BK86" s="913">
        <f t="shared" si="103"/>
        <v>4.1641543394263723</v>
      </c>
      <c r="BL86" s="317"/>
      <c r="BM86" s="317"/>
      <c r="BN86" s="317"/>
      <c r="BO86" s="913">
        <f t="shared" si="104"/>
        <v>3</v>
      </c>
      <c r="BP86" s="783">
        <f t="shared" si="117"/>
        <v>1000000</v>
      </c>
      <c r="CK86" s="642">
        <f t="shared" si="128"/>
        <v>80</v>
      </c>
      <c r="CL86" s="609">
        <f t="shared" si="105"/>
        <v>5.6705993826326893</v>
      </c>
      <c r="CM86" s="609">
        <f t="shared" si="118"/>
        <v>4</v>
      </c>
      <c r="CN86" s="610">
        <f t="shared" si="130"/>
        <v>8.5056780318885323</v>
      </c>
      <c r="CO86" s="611">
        <f t="shared" si="130"/>
        <v>8.5058653804293538</v>
      </c>
      <c r="CP86" s="612">
        <f t="shared" si="130"/>
        <v>8.5058939380338785</v>
      </c>
      <c r="CQ86" s="611">
        <f t="shared" si="131"/>
        <v>2.250308004884634</v>
      </c>
      <c r="CR86" s="611">
        <f t="shared" si="131"/>
        <v>2.6512333012042681</v>
      </c>
      <c r="CS86" s="611">
        <f t="shared" si="131"/>
        <v>3.0521585975239023</v>
      </c>
      <c r="CT86" s="610">
        <f t="shared" si="106"/>
        <v>10.755986036773166</v>
      </c>
      <c r="CU86" s="611">
        <f t="shared" si="106"/>
        <v>11.157098681633622</v>
      </c>
      <c r="CV86" s="612">
        <f t="shared" si="106"/>
        <v>11.558052535557781</v>
      </c>
      <c r="CW86" s="613">
        <f t="shared" ref="CW86:CY101" si="140">IF((CW85+$CD$32*($CM86-$CM85))&lt;CT86,(CW85+$CD$32*($CM86-$CM85)),CT86)</f>
        <v>10.755986036773166</v>
      </c>
      <c r="CX86" s="613">
        <f t="shared" si="140"/>
        <v>11.157098681633622</v>
      </c>
      <c r="CY86" s="613">
        <f t="shared" si="140"/>
        <v>11.558052535557781</v>
      </c>
      <c r="CZ86" s="609">
        <f t="shared" si="107"/>
        <v>8.5058990739490348</v>
      </c>
      <c r="DA86" s="609"/>
      <c r="DB86" s="609">
        <f t="shared" si="120"/>
        <v>4</v>
      </c>
      <c r="DC86" s="610">
        <f t="shared" si="108"/>
        <v>5.8343595898938377E-4</v>
      </c>
      <c r="DD86" s="611">
        <f t="shared" si="108"/>
        <v>1.0477812771734998E-4</v>
      </c>
      <c r="DE86" s="612">
        <f t="shared" si="108"/>
        <v>1.8386592233328767E-5</v>
      </c>
      <c r="DF86" s="611">
        <f t="shared" si="126"/>
        <v>6.2368615505903552E-4</v>
      </c>
      <c r="DG86" s="611">
        <f t="shared" si="126"/>
        <v>1.1336307444764811E-4</v>
      </c>
      <c r="DH86" s="611">
        <f t="shared" si="126"/>
        <v>2.013493730856915E-5</v>
      </c>
      <c r="DI86" s="614">
        <f t="shared" si="109"/>
        <v>8</v>
      </c>
      <c r="DJ86" s="615"/>
      <c r="DK86" s="609">
        <f t="shared" si="121"/>
        <v>4</v>
      </c>
      <c r="DL86" s="611">
        <f t="shared" si="132"/>
        <v>3.893596346274713</v>
      </c>
      <c r="DM86" s="611">
        <f t="shared" si="132"/>
        <v>1000000</v>
      </c>
      <c r="DN86" s="611">
        <f t="shared" si="132"/>
        <v>1000000</v>
      </c>
      <c r="DO86" s="610">
        <f t="shared" si="133"/>
        <v>0.3422493142989147</v>
      </c>
      <c r="DP86" s="611">
        <f t="shared" si="133"/>
        <v>0.36159931429891484</v>
      </c>
      <c r="DQ86" s="612">
        <f t="shared" si="133"/>
        <v>0.39255931429891511</v>
      </c>
      <c r="DR86" s="611">
        <f t="shared" si="110"/>
        <v>4.2358456605736272</v>
      </c>
      <c r="DS86" s="611">
        <f t="shared" si="110"/>
        <v>1000000.3615993143</v>
      </c>
      <c r="DT86" s="611">
        <f t="shared" si="110"/>
        <v>1000000.3925593143</v>
      </c>
      <c r="DU86" s="609">
        <f t="shared" si="122"/>
        <v>4.2</v>
      </c>
      <c r="DV86" s="611"/>
      <c r="DW86" s="646">
        <f t="shared" si="111"/>
        <v>10.666666666666666</v>
      </c>
      <c r="DX86" s="621">
        <f t="shared" si="134"/>
        <v>7.1746485296648288</v>
      </c>
      <c r="DY86" s="621">
        <f t="shared" si="134"/>
        <v>7.3144974229897768</v>
      </c>
      <c r="DZ86" s="621">
        <f t="shared" si="134"/>
        <v>7.4277570695728459</v>
      </c>
      <c r="EA86" s="610">
        <f t="shared" si="112"/>
        <v>7.3399429388717952</v>
      </c>
      <c r="EB86" s="611">
        <f t="shared" si="112"/>
        <v>7.3517925625704734</v>
      </c>
      <c r="EC86" s="612">
        <f t="shared" si="112"/>
        <v>7.3618763016635</v>
      </c>
      <c r="ED86" s="610">
        <f t="shared" si="123"/>
        <v>8</v>
      </c>
      <c r="EE86" s="611">
        <f t="shared" si="124"/>
        <v>8.5058990739490348</v>
      </c>
      <c r="EF86" s="645">
        <f t="shared" si="125"/>
        <v>-1000000</v>
      </c>
      <c r="EG86" s="902"/>
      <c r="EH86" s="646">
        <f t="shared" si="113"/>
        <v>10.666666666666666</v>
      </c>
      <c r="EI86" s="610">
        <f t="shared" si="135"/>
        <v>0.16529440920696681</v>
      </c>
      <c r="EJ86" s="986">
        <f t="shared" si="135"/>
        <v>3.7295139580696635E-2</v>
      </c>
      <c r="EK86" s="612">
        <f t="shared" si="135"/>
        <v>-6.5880767909346272E-2</v>
      </c>
    </row>
    <row r="87" spans="21:141" ht="15" customHeight="1" x14ac:dyDescent="0.25">
      <c r="U87" s="642">
        <f t="shared" si="127"/>
        <v>81</v>
      </c>
      <c r="W87" s="609">
        <f t="shared" si="90"/>
        <v>5.7414818749155989</v>
      </c>
      <c r="X87" s="610">
        <f t="shared" si="136"/>
        <v>3.8473914549318549</v>
      </c>
      <c r="Y87" s="611">
        <f t="shared" si="136"/>
        <v>3.8107760703164701</v>
      </c>
      <c r="Z87" s="611">
        <f t="shared" si="136"/>
        <v>3.7521914549318547</v>
      </c>
      <c r="AA87" s="611">
        <f t="shared" si="136"/>
        <v>3.6350222241626242</v>
      </c>
      <c r="AB87" s="982">
        <f t="shared" si="91"/>
        <v>1000000</v>
      </c>
      <c r="AC87" s="919">
        <f t="shared" si="92"/>
        <v>3.8693606857010856</v>
      </c>
      <c r="AD87" s="611">
        <f t="shared" si="137"/>
        <v>3.7033432534396278</v>
      </c>
      <c r="AE87" s="611">
        <f t="shared" si="137"/>
        <v>3.6473778688242429</v>
      </c>
      <c r="AF87" s="611">
        <f t="shared" si="137"/>
        <v>3.5578332534396271</v>
      </c>
      <c r="AG87" s="612">
        <f t="shared" si="129"/>
        <v>3.378744022670396</v>
      </c>
      <c r="AH87" s="609">
        <f t="shared" si="93"/>
        <v>3</v>
      </c>
      <c r="AI87" s="895">
        <f t="shared" si="114"/>
        <v>-1000000</v>
      </c>
      <c r="AJ87" s="610">
        <f t="shared" si="94"/>
        <v>5.7414818749155989</v>
      </c>
      <c r="AK87" s="609">
        <f t="shared" si="115"/>
        <v>-0.1324382014922271</v>
      </c>
      <c r="AL87" s="611">
        <f t="shared" si="138"/>
        <v>-0.14404820149222719</v>
      </c>
      <c r="AM87" s="611">
        <f t="shared" si="138"/>
        <v>-0.16339820149222736</v>
      </c>
      <c r="AN87" s="611">
        <f t="shared" si="138"/>
        <v>-0.19435820149222763</v>
      </c>
      <c r="AO87" s="612">
        <f t="shared" si="138"/>
        <v>-0.25627820149222819</v>
      </c>
      <c r="AP87" s="902">
        <v>0</v>
      </c>
      <c r="AQ87" s="783">
        <f t="shared" si="95"/>
        <v>1000000</v>
      </c>
      <c r="AR87" s="983"/>
      <c r="AS87" s="609">
        <f t="shared" si="96"/>
        <v>5.7414818749155989</v>
      </c>
      <c r="AT87" s="610">
        <f t="shared" si="97"/>
        <v>3.7033432534396278</v>
      </c>
      <c r="AU87" s="611">
        <f t="shared" si="97"/>
        <v>3.6473778688242429</v>
      </c>
      <c r="AV87" s="611">
        <f t="shared" si="97"/>
        <v>3.5578332534396271</v>
      </c>
      <c r="AW87" s="612">
        <f t="shared" si="97"/>
        <v>3.378744022670396</v>
      </c>
      <c r="AX87" s="982">
        <f t="shared" si="98"/>
        <v>1000000</v>
      </c>
      <c r="AY87" s="611">
        <f t="shared" si="99"/>
        <v>3</v>
      </c>
      <c r="AZ87" s="612">
        <f t="shared" si="100"/>
        <v>3.8693606857010856</v>
      </c>
      <c r="BB87" s="984">
        <f t="shared" si="116"/>
        <v>4.1634066018660185</v>
      </c>
      <c r="BC87" s="985">
        <f t="shared" si="139"/>
        <v>3.7199206239602556</v>
      </c>
      <c r="BD87" s="985">
        <f t="shared" si="139"/>
        <v>3.6297332145927084</v>
      </c>
      <c r="BE87" s="528">
        <f t="shared" si="139"/>
        <v>3.5646064708427967</v>
      </c>
      <c r="BF87" s="913">
        <f t="shared" si="101"/>
        <v>4.1634066018660185</v>
      </c>
      <c r="BG87" s="317">
        <f t="shared" si="101"/>
        <v>-1000000</v>
      </c>
      <c r="BH87" s="317">
        <f t="shared" si="101"/>
        <v>-1000000</v>
      </c>
      <c r="BI87" s="919">
        <f t="shared" si="101"/>
        <v>-1000000</v>
      </c>
      <c r="BJ87" s="646">
        <f t="shared" si="102"/>
        <v>4.0500000000000007</v>
      </c>
      <c r="BK87" s="913">
        <f t="shared" si="103"/>
        <v>4.1634066018660185</v>
      </c>
      <c r="BL87" s="317"/>
      <c r="BM87" s="317"/>
      <c r="BN87" s="317"/>
      <c r="BO87" s="913">
        <f t="shared" si="104"/>
        <v>3</v>
      </c>
      <c r="BP87" s="783">
        <f t="shared" si="117"/>
        <v>1000000</v>
      </c>
      <c r="CK87" s="642">
        <f t="shared" si="128"/>
        <v>81</v>
      </c>
      <c r="CL87" s="609">
        <f t="shared" si="105"/>
        <v>5.7414818749155989</v>
      </c>
      <c r="CM87" s="609">
        <f t="shared" si="118"/>
        <v>4.0500000000000007</v>
      </c>
      <c r="CN87" s="610">
        <f t="shared" si="130"/>
        <v>8.5057053606872142</v>
      </c>
      <c r="CO87" s="611">
        <f t="shared" si="130"/>
        <v>8.5058702323584612</v>
      </c>
      <c r="CP87" s="612">
        <f t="shared" si="130"/>
        <v>8.5058947797807427</v>
      </c>
      <c r="CQ87" s="611">
        <f t="shared" si="131"/>
        <v>2.250308004884634</v>
      </c>
      <c r="CR87" s="611">
        <f t="shared" si="131"/>
        <v>2.6512333012042681</v>
      </c>
      <c r="CS87" s="611">
        <f t="shared" si="131"/>
        <v>3.0521585975239023</v>
      </c>
      <c r="CT87" s="610">
        <f t="shared" si="106"/>
        <v>10.756013365571848</v>
      </c>
      <c r="CU87" s="611">
        <f t="shared" si="106"/>
        <v>11.157103533562729</v>
      </c>
      <c r="CV87" s="612">
        <f t="shared" si="106"/>
        <v>11.558053377304645</v>
      </c>
      <c r="CW87" s="613">
        <f t="shared" si="140"/>
        <v>10.756013365571848</v>
      </c>
      <c r="CX87" s="613">
        <f t="shared" si="140"/>
        <v>11.157103533562729</v>
      </c>
      <c r="CY87" s="613">
        <f t="shared" si="140"/>
        <v>11.558053377304645</v>
      </c>
      <c r="CZ87" s="609">
        <f t="shared" si="107"/>
        <v>8.5058990739490348</v>
      </c>
      <c r="DA87" s="609"/>
      <c r="DB87" s="609">
        <f t="shared" si="120"/>
        <v>4.0500000000000007</v>
      </c>
      <c r="DC87" s="610">
        <f t="shared" si="108"/>
        <v>5.1130215860989946E-4</v>
      </c>
      <c r="DD87" s="611">
        <f t="shared" si="108"/>
        <v>8.9689883665598039E-5</v>
      </c>
      <c r="DE87" s="612">
        <f t="shared" si="108"/>
        <v>1.5373135845044245E-5</v>
      </c>
      <c r="DF87" s="611">
        <f t="shared" ref="DF87:DH102" si="141">(CW87-CW86)/($DB87-$DB86)</f>
        <v>5.4657597363671259E-4</v>
      </c>
      <c r="DG87" s="611">
        <f t="shared" si="141"/>
        <v>9.7038582147489233E-5</v>
      </c>
      <c r="DH87" s="611">
        <f t="shared" si="141"/>
        <v>1.6834937284215571E-5</v>
      </c>
      <c r="DI87" s="614">
        <f t="shared" si="109"/>
        <v>8</v>
      </c>
      <c r="DJ87" s="615"/>
      <c r="DK87" s="609">
        <f t="shared" si="121"/>
        <v>4.0500000000000007</v>
      </c>
      <c r="DL87" s="611">
        <f t="shared" si="132"/>
        <v>3.8943440838350671</v>
      </c>
      <c r="DM87" s="611">
        <f t="shared" si="132"/>
        <v>1000000</v>
      </c>
      <c r="DN87" s="611">
        <f t="shared" si="132"/>
        <v>1000000</v>
      </c>
      <c r="DO87" s="610">
        <f t="shared" si="133"/>
        <v>0.3422493142989147</v>
      </c>
      <c r="DP87" s="611">
        <f t="shared" si="133"/>
        <v>0.36159931429891484</v>
      </c>
      <c r="DQ87" s="612">
        <f t="shared" si="133"/>
        <v>0.39255931429891511</v>
      </c>
      <c r="DR87" s="611">
        <f t="shared" si="110"/>
        <v>4.2365933981339818</v>
      </c>
      <c r="DS87" s="611">
        <f t="shared" si="110"/>
        <v>1000000.3615993143</v>
      </c>
      <c r="DT87" s="611">
        <f t="shared" si="110"/>
        <v>1000000.3925593143</v>
      </c>
      <c r="DU87" s="609">
        <f t="shared" si="122"/>
        <v>4.2</v>
      </c>
      <c r="DV87" s="611"/>
      <c r="DW87" s="646">
        <f t="shared" si="111"/>
        <v>10.8</v>
      </c>
      <c r="DX87" s="621">
        <f t="shared" si="134"/>
        <v>7.1596387312205501</v>
      </c>
      <c r="DY87" s="621">
        <f t="shared" si="134"/>
        <v>7.3009112584854314</v>
      </c>
      <c r="DZ87" s="621">
        <f t="shared" si="134"/>
        <v>7.4153501911960022</v>
      </c>
      <c r="EA87" s="610">
        <f t="shared" si="112"/>
        <v>7.3102252519733408</v>
      </c>
      <c r="EB87" s="611">
        <f t="shared" si="112"/>
        <v>7.3227412106349172</v>
      </c>
      <c r="EC87" s="612">
        <f t="shared" si="112"/>
        <v>7.3333938026129362</v>
      </c>
      <c r="ED87" s="610">
        <f t="shared" si="123"/>
        <v>8</v>
      </c>
      <c r="EE87" s="611">
        <f t="shared" si="124"/>
        <v>8.5058990739490348</v>
      </c>
      <c r="EF87" s="645">
        <f t="shared" si="125"/>
        <v>-1000000</v>
      </c>
      <c r="EG87" s="902"/>
      <c r="EH87" s="646">
        <f t="shared" si="113"/>
        <v>10.8</v>
      </c>
      <c r="EI87" s="610">
        <f t="shared" si="135"/>
        <v>0.15058652075279033</v>
      </c>
      <c r="EJ87" s="986">
        <f t="shared" si="135"/>
        <v>2.1829952149485798E-2</v>
      </c>
      <c r="EK87" s="612">
        <f t="shared" si="135"/>
        <v>-8.1956388583066087E-2</v>
      </c>
    </row>
    <row r="88" spans="21:141" ht="15" customHeight="1" x14ac:dyDescent="0.25">
      <c r="U88" s="642">
        <f t="shared" si="127"/>
        <v>82</v>
      </c>
      <c r="W88" s="609">
        <f t="shared" si="90"/>
        <v>5.8123643671985068</v>
      </c>
      <c r="X88" s="610">
        <f t="shared" si="136"/>
        <v>3.846813317280033</v>
      </c>
      <c r="Y88" s="611">
        <f t="shared" si="136"/>
        <v>3.809234369911612</v>
      </c>
      <c r="Z88" s="611">
        <f t="shared" si="136"/>
        <v>3.7491080541221384</v>
      </c>
      <c r="AA88" s="611">
        <f t="shared" si="136"/>
        <v>3.6288554225431908</v>
      </c>
      <c r="AB88" s="982">
        <f t="shared" si="91"/>
        <v>1000000</v>
      </c>
      <c r="AC88" s="919">
        <f t="shared" si="92"/>
        <v>3.8693606857010856</v>
      </c>
      <c r="AD88" s="611">
        <f t="shared" si="137"/>
        <v>3.7011825944235959</v>
      </c>
      <c r="AE88" s="611">
        <f t="shared" si="137"/>
        <v>3.6442536470551747</v>
      </c>
      <c r="AF88" s="611">
        <f t="shared" si="137"/>
        <v>3.5531673312657008</v>
      </c>
      <c r="AG88" s="612">
        <f t="shared" si="129"/>
        <v>3.3709946996867526</v>
      </c>
      <c r="AH88" s="609">
        <f t="shared" si="93"/>
        <v>3</v>
      </c>
      <c r="AI88" s="895">
        <f t="shared" si="114"/>
        <v>-1000000</v>
      </c>
      <c r="AJ88" s="610">
        <f t="shared" si="94"/>
        <v>5.8123643671985068</v>
      </c>
      <c r="AK88" s="609">
        <f t="shared" si="115"/>
        <v>-0.13402072285643699</v>
      </c>
      <c r="AL88" s="611">
        <f t="shared" si="138"/>
        <v>-0.14563072285643708</v>
      </c>
      <c r="AM88" s="611">
        <f t="shared" si="138"/>
        <v>-0.16498072285643725</v>
      </c>
      <c r="AN88" s="611">
        <f t="shared" si="138"/>
        <v>-0.19594072285643752</v>
      </c>
      <c r="AO88" s="612">
        <f t="shared" si="138"/>
        <v>-0.25786072285643807</v>
      </c>
      <c r="AP88" s="902">
        <v>0</v>
      </c>
      <c r="AQ88" s="783">
        <f t="shared" si="95"/>
        <v>1000000</v>
      </c>
      <c r="AR88" s="983"/>
      <c r="AS88" s="609">
        <f t="shared" si="96"/>
        <v>5.8123643671985068</v>
      </c>
      <c r="AT88" s="610">
        <f t="shared" si="97"/>
        <v>3.7011825944235959</v>
      </c>
      <c r="AU88" s="611">
        <f t="shared" si="97"/>
        <v>3.6442536470551747</v>
      </c>
      <c r="AV88" s="611">
        <f t="shared" si="97"/>
        <v>3.5531673312657008</v>
      </c>
      <c r="AW88" s="612">
        <f t="shared" si="97"/>
        <v>3.3709946996867526</v>
      </c>
      <c r="AX88" s="982">
        <f t="shared" si="98"/>
        <v>1000000</v>
      </c>
      <c r="AY88" s="611">
        <f t="shared" si="99"/>
        <v>3</v>
      </c>
      <c r="AZ88" s="612">
        <f t="shared" si="100"/>
        <v>3.8693606857010856</v>
      </c>
      <c r="BB88" s="984">
        <f t="shared" si="116"/>
        <v>4.162611255885043</v>
      </c>
      <c r="BC88" s="985">
        <f t="shared" si="139"/>
        <v>3.7179119651180015</v>
      </c>
      <c r="BD88" s="985">
        <f t="shared" si="139"/>
        <v>3.6294256541553613</v>
      </c>
      <c r="BE88" s="528">
        <f t="shared" si="139"/>
        <v>3.5644448661144406</v>
      </c>
      <c r="BF88" s="913">
        <f t="shared" si="101"/>
        <v>4.162611255885043</v>
      </c>
      <c r="BG88" s="317">
        <f t="shared" si="101"/>
        <v>-1000000</v>
      </c>
      <c r="BH88" s="317">
        <f t="shared" si="101"/>
        <v>-1000000</v>
      </c>
      <c r="BI88" s="919">
        <f t="shared" si="101"/>
        <v>-1000000</v>
      </c>
      <c r="BJ88" s="646">
        <f t="shared" si="102"/>
        <v>4.0999999999999996</v>
      </c>
      <c r="BK88" s="913">
        <f t="shared" si="103"/>
        <v>4.162611255885043</v>
      </c>
      <c r="BL88" s="317"/>
      <c r="BM88" s="317"/>
      <c r="BN88" s="317"/>
      <c r="BO88" s="913">
        <f t="shared" si="104"/>
        <v>3</v>
      </c>
      <c r="BP88" s="783">
        <f t="shared" si="117"/>
        <v>1000000</v>
      </c>
      <c r="CK88" s="642">
        <f t="shared" si="128"/>
        <v>82</v>
      </c>
      <c r="CL88" s="609">
        <f t="shared" si="105"/>
        <v>5.8123643671985068</v>
      </c>
      <c r="CM88" s="609">
        <f t="shared" si="118"/>
        <v>4.0999999999999996</v>
      </c>
      <c r="CN88" s="610">
        <f t="shared" si="130"/>
        <v>8.5057293106572907</v>
      </c>
      <c r="CO88" s="611">
        <f t="shared" si="130"/>
        <v>8.5058743856008121</v>
      </c>
      <c r="CP88" s="612">
        <f t="shared" si="130"/>
        <v>8.5058954835701499</v>
      </c>
      <c r="CQ88" s="611">
        <f t="shared" si="131"/>
        <v>2.250308004884634</v>
      </c>
      <c r="CR88" s="611">
        <f t="shared" si="131"/>
        <v>2.6512333012042681</v>
      </c>
      <c r="CS88" s="611">
        <f t="shared" si="131"/>
        <v>3.0521585975239023</v>
      </c>
      <c r="CT88" s="610">
        <f t="shared" si="106"/>
        <v>10.756037315541924</v>
      </c>
      <c r="CU88" s="611">
        <f t="shared" si="106"/>
        <v>11.15710768680508</v>
      </c>
      <c r="CV88" s="612">
        <f t="shared" si="106"/>
        <v>11.558054081094053</v>
      </c>
      <c r="CW88" s="613">
        <f t="shared" si="140"/>
        <v>10.756037315541924</v>
      </c>
      <c r="CX88" s="613">
        <f t="shared" si="140"/>
        <v>11.15710768680508</v>
      </c>
      <c r="CY88" s="613">
        <f t="shared" si="140"/>
        <v>11.558054081094053</v>
      </c>
      <c r="CZ88" s="609">
        <f t="shared" si="107"/>
        <v>8.5058990739490348</v>
      </c>
      <c r="DA88" s="609"/>
      <c r="DB88" s="609">
        <f t="shared" si="120"/>
        <v>4.0999999999999996</v>
      </c>
      <c r="DC88" s="610">
        <f t="shared" si="108"/>
        <v>4.4808670664041257E-4</v>
      </c>
      <c r="DD88" s="611">
        <f t="shared" si="108"/>
        <v>7.6774374644762188E-5</v>
      </c>
      <c r="DE88" s="612">
        <f t="shared" si="108"/>
        <v>1.2853567573103232E-5</v>
      </c>
      <c r="DF88" s="611">
        <f t="shared" si="141"/>
        <v>4.7899940152974405E-4</v>
      </c>
      <c r="DG88" s="611">
        <f t="shared" si="141"/>
        <v>8.3064847018478715E-5</v>
      </c>
      <c r="DH88" s="611">
        <f t="shared" si="141"/>
        <v>1.4075788143941581E-5</v>
      </c>
      <c r="DI88" s="614">
        <f t="shared" si="109"/>
        <v>8</v>
      </c>
      <c r="DJ88" s="615"/>
      <c r="DK88" s="609">
        <f t="shared" si="121"/>
        <v>4.0999999999999996</v>
      </c>
      <c r="DL88" s="611">
        <f t="shared" si="132"/>
        <v>3.8951394298160427</v>
      </c>
      <c r="DM88" s="611">
        <f t="shared" si="132"/>
        <v>1000000</v>
      </c>
      <c r="DN88" s="611">
        <f t="shared" si="132"/>
        <v>1000000</v>
      </c>
      <c r="DO88" s="610">
        <f t="shared" si="133"/>
        <v>0.3422493142989147</v>
      </c>
      <c r="DP88" s="611">
        <f t="shared" si="133"/>
        <v>0.36159931429891484</v>
      </c>
      <c r="DQ88" s="612">
        <f t="shared" si="133"/>
        <v>0.39255931429891511</v>
      </c>
      <c r="DR88" s="611">
        <f t="shared" si="110"/>
        <v>4.2373887441149574</v>
      </c>
      <c r="DS88" s="611">
        <f t="shared" si="110"/>
        <v>1000000.3615993143</v>
      </c>
      <c r="DT88" s="611">
        <f t="shared" si="110"/>
        <v>1000000.3925593143</v>
      </c>
      <c r="DU88" s="609">
        <f t="shared" si="122"/>
        <v>4.2</v>
      </c>
      <c r="DV88" s="611"/>
      <c r="DW88" s="646">
        <f t="shared" si="111"/>
        <v>10.933333333333334</v>
      </c>
      <c r="DX88" s="621">
        <f t="shared" si="134"/>
        <v>7.1446652100356971</v>
      </c>
      <c r="DY88" s="621">
        <f t="shared" si="134"/>
        <v>7.2873544884189201</v>
      </c>
      <c r="DZ88" s="621">
        <f t="shared" si="134"/>
        <v>7.4029676089947243</v>
      </c>
      <c r="EA88" s="610">
        <f t="shared" si="112"/>
        <v>7.2807869423478131</v>
      </c>
      <c r="EB88" s="611">
        <f t="shared" si="112"/>
        <v>7.2939748702018097</v>
      </c>
      <c r="EC88" s="612">
        <f t="shared" si="112"/>
        <v>7.3052013063765902</v>
      </c>
      <c r="ED88" s="610">
        <f t="shared" si="123"/>
        <v>8</v>
      </c>
      <c r="EE88" s="611">
        <f t="shared" si="124"/>
        <v>8.5058990739490348</v>
      </c>
      <c r="EF88" s="645">
        <f t="shared" si="125"/>
        <v>-1000000</v>
      </c>
      <c r="EG88" s="902"/>
      <c r="EH88" s="646">
        <f t="shared" si="113"/>
        <v>10.933333333333334</v>
      </c>
      <c r="EI88" s="610">
        <f t="shared" si="135"/>
        <v>0.13612173231211555</v>
      </c>
      <c r="EJ88" s="986">
        <f t="shared" si="135"/>
        <v>6.620381782889595E-3</v>
      </c>
      <c r="EK88" s="612">
        <f t="shared" si="135"/>
        <v>-9.7766302618134571E-2</v>
      </c>
    </row>
    <row r="89" spans="21:141" ht="15" customHeight="1" x14ac:dyDescent="0.25">
      <c r="U89" s="642">
        <f t="shared" si="127"/>
        <v>83</v>
      </c>
      <c r="W89" s="609">
        <f t="shared" si="90"/>
        <v>5.8832468594814156</v>
      </c>
      <c r="X89" s="610">
        <f t="shared" si="136"/>
        <v>3.8462039289443291</v>
      </c>
      <c r="Y89" s="611">
        <f t="shared" si="136"/>
        <v>3.8076093343497344</v>
      </c>
      <c r="Z89" s="611">
        <f t="shared" si="136"/>
        <v>3.7458579829983831</v>
      </c>
      <c r="AA89" s="611">
        <f t="shared" si="136"/>
        <v>3.6223552802956802</v>
      </c>
      <c r="AB89" s="982">
        <f t="shared" si="91"/>
        <v>1000000</v>
      </c>
      <c r="AC89" s="919">
        <f t="shared" si="92"/>
        <v>3.8693606857010856</v>
      </c>
      <c r="AD89" s="611">
        <f t="shared" si="137"/>
        <v>3.6990324339059075</v>
      </c>
      <c r="AE89" s="611">
        <f t="shared" si="137"/>
        <v>3.6410878393113126</v>
      </c>
      <c r="AF89" s="611">
        <f t="shared" si="137"/>
        <v>3.5483764879599611</v>
      </c>
      <c r="AG89" s="612">
        <f t="shared" si="129"/>
        <v>3.3629537852572575</v>
      </c>
      <c r="AH89" s="609">
        <f t="shared" si="93"/>
        <v>3</v>
      </c>
      <c r="AI89" s="895">
        <f t="shared" si="114"/>
        <v>-1000000</v>
      </c>
      <c r="AJ89" s="610">
        <f t="shared" si="94"/>
        <v>5.8832468594814156</v>
      </c>
      <c r="AK89" s="609">
        <f t="shared" si="115"/>
        <v>-0.13556149503842155</v>
      </c>
      <c r="AL89" s="611">
        <f t="shared" si="138"/>
        <v>-0.14717149503842164</v>
      </c>
      <c r="AM89" s="611">
        <f t="shared" si="138"/>
        <v>-0.16652149503842181</v>
      </c>
      <c r="AN89" s="611">
        <f t="shared" si="138"/>
        <v>-0.19748149503842208</v>
      </c>
      <c r="AO89" s="612">
        <f t="shared" si="138"/>
        <v>-0.25940149503842264</v>
      </c>
      <c r="AP89" s="902">
        <v>0</v>
      </c>
      <c r="AQ89" s="783">
        <f t="shared" si="95"/>
        <v>1000000</v>
      </c>
      <c r="AR89" s="983"/>
      <c r="AS89" s="609">
        <f t="shared" si="96"/>
        <v>5.8832468594814156</v>
      </c>
      <c r="AT89" s="610">
        <f t="shared" si="97"/>
        <v>3.6990324339059075</v>
      </c>
      <c r="AU89" s="611">
        <f t="shared" si="97"/>
        <v>3.6410878393113126</v>
      </c>
      <c r="AV89" s="611">
        <f t="shared" si="97"/>
        <v>3.5483764879599611</v>
      </c>
      <c r="AW89" s="612">
        <f t="shared" si="97"/>
        <v>3.3629537852572575</v>
      </c>
      <c r="AX89" s="982">
        <f t="shared" si="98"/>
        <v>1000000</v>
      </c>
      <c r="AY89" s="611">
        <f t="shared" si="99"/>
        <v>3</v>
      </c>
      <c r="AZ89" s="612">
        <f t="shared" si="100"/>
        <v>3.8693606857010856</v>
      </c>
      <c r="BB89" s="984">
        <f t="shared" si="116"/>
        <v>4.1617636051359579</v>
      </c>
      <c r="BC89" s="985">
        <f t="shared" si="139"/>
        <v>3.7159708120895805</v>
      </c>
      <c r="BD89" s="985">
        <f t="shared" si="139"/>
        <v>3.6291314545251705</v>
      </c>
      <c r="BE89" s="528">
        <f t="shared" si="139"/>
        <v>3.5642877681730121</v>
      </c>
      <c r="BF89" s="913">
        <f t="shared" si="101"/>
        <v>4.1617636051359579</v>
      </c>
      <c r="BG89" s="317">
        <f t="shared" si="101"/>
        <v>-1000000</v>
      </c>
      <c r="BH89" s="317">
        <f t="shared" si="101"/>
        <v>-1000000</v>
      </c>
      <c r="BI89" s="919">
        <f t="shared" si="101"/>
        <v>-1000000</v>
      </c>
      <c r="BJ89" s="646">
        <f t="shared" si="102"/>
        <v>4.1500000000000004</v>
      </c>
      <c r="BK89" s="913">
        <f t="shared" si="103"/>
        <v>4.1617636051359579</v>
      </c>
      <c r="BL89" s="317"/>
      <c r="BM89" s="317"/>
      <c r="BN89" s="317"/>
      <c r="BO89" s="913">
        <f t="shared" si="104"/>
        <v>3</v>
      </c>
      <c r="BP89" s="783">
        <f t="shared" si="117"/>
        <v>1000000</v>
      </c>
      <c r="CK89" s="642">
        <f t="shared" si="128"/>
        <v>83</v>
      </c>
      <c r="CL89" s="609">
        <f t="shared" si="105"/>
        <v>5.8832468594814156</v>
      </c>
      <c r="CM89" s="609">
        <f t="shared" si="118"/>
        <v>4.1500000000000004</v>
      </c>
      <c r="CN89" s="610">
        <f t="shared" si="130"/>
        <v>8.5057502995442622</v>
      </c>
      <c r="CO89" s="611">
        <f t="shared" si="130"/>
        <v>8.5058779407685883</v>
      </c>
      <c r="CP89" s="612">
        <f t="shared" si="130"/>
        <v>8.5058960720125363</v>
      </c>
      <c r="CQ89" s="611">
        <f t="shared" si="131"/>
        <v>2.250308004884634</v>
      </c>
      <c r="CR89" s="611">
        <f t="shared" si="131"/>
        <v>2.6512333012042681</v>
      </c>
      <c r="CS89" s="611">
        <f t="shared" si="131"/>
        <v>3.0521585975239023</v>
      </c>
      <c r="CT89" s="610">
        <f t="shared" si="106"/>
        <v>10.756058304428896</v>
      </c>
      <c r="CU89" s="611">
        <f t="shared" si="106"/>
        <v>11.157111241972856</v>
      </c>
      <c r="CV89" s="612">
        <f t="shared" si="106"/>
        <v>11.558054669536439</v>
      </c>
      <c r="CW89" s="613">
        <f t="shared" si="140"/>
        <v>10.756058304428896</v>
      </c>
      <c r="CX89" s="613">
        <f t="shared" si="140"/>
        <v>11.157111241972856</v>
      </c>
      <c r="CY89" s="613">
        <f t="shared" si="140"/>
        <v>11.558054669536439</v>
      </c>
      <c r="CZ89" s="609">
        <f t="shared" si="107"/>
        <v>8.5058990739490348</v>
      </c>
      <c r="DA89" s="609"/>
      <c r="DB89" s="609">
        <f t="shared" si="120"/>
        <v>4.1500000000000004</v>
      </c>
      <c r="DC89" s="610">
        <f t="shared" si="108"/>
        <v>3.9268697244252689E-4</v>
      </c>
      <c r="DD89" s="611">
        <f t="shared" si="108"/>
        <v>6.5718722794543141E-5</v>
      </c>
      <c r="DE89" s="612">
        <f t="shared" si="108"/>
        <v>1.0746942004652137E-5</v>
      </c>
      <c r="DF89" s="611">
        <f t="shared" si="141"/>
        <v>4.1977773943102051E-4</v>
      </c>
      <c r="DG89" s="611">
        <f t="shared" si="141"/>
        <v>7.1103355523404282E-5</v>
      </c>
      <c r="DH89" s="611">
        <f t="shared" si="141"/>
        <v>1.1768847727466724E-5</v>
      </c>
      <c r="DI89" s="614">
        <f t="shared" si="109"/>
        <v>8</v>
      </c>
      <c r="DJ89" s="615"/>
      <c r="DK89" s="609">
        <f t="shared" si="121"/>
        <v>4.1500000000000004</v>
      </c>
      <c r="DL89" s="611">
        <f t="shared" si="132"/>
        <v>3.8959870805651282</v>
      </c>
      <c r="DM89" s="611">
        <f t="shared" si="132"/>
        <v>1000000</v>
      </c>
      <c r="DN89" s="611">
        <f t="shared" si="132"/>
        <v>1000000</v>
      </c>
      <c r="DO89" s="610">
        <f t="shared" si="133"/>
        <v>0.3422493142989147</v>
      </c>
      <c r="DP89" s="611">
        <f t="shared" si="133"/>
        <v>0.36159931429891484</v>
      </c>
      <c r="DQ89" s="612">
        <f t="shared" si="133"/>
        <v>0.39255931429891511</v>
      </c>
      <c r="DR89" s="611">
        <f t="shared" si="110"/>
        <v>4.2382363948640425</v>
      </c>
      <c r="DS89" s="611">
        <f t="shared" si="110"/>
        <v>1000000.3615993143</v>
      </c>
      <c r="DT89" s="611">
        <f t="shared" si="110"/>
        <v>1000000.3925593143</v>
      </c>
      <c r="DU89" s="609">
        <f t="shared" si="122"/>
        <v>4.2</v>
      </c>
      <c r="DV89" s="611"/>
      <c r="DW89" s="646">
        <f t="shared" si="111"/>
        <v>11.066666666666666</v>
      </c>
      <c r="DX89" s="621">
        <f t="shared" si="134"/>
        <v>7.1297278347509652</v>
      </c>
      <c r="DY89" s="621">
        <f t="shared" si="134"/>
        <v>7.2738270174985233</v>
      </c>
      <c r="DZ89" s="621">
        <f t="shared" si="134"/>
        <v>7.3906092516706554</v>
      </c>
      <c r="EA89" s="610">
        <f t="shared" si="112"/>
        <v>7.2516238605461076</v>
      </c>
      <c r="EB89" s="611">
        <f t="shared" si="112"/>
        <v>7.2654892210009727</v>
      </c>
      <c r="EC89" s="612">
        <f t="shared" si="112"/>
        <v>7.2772943499116565</v>
      </c>
      <c r="ED89" s="610">
        <f t="shared" si="123"/>
        <v>8</v>
      </c>
      <c r="EE89" s="611">
        <f t="shared" si="124"/>
        <v>8.5058990739490348</v>
      </c>
      <c r="EF89" s="645">
        <f t="shared" si="125"/>
        <v>-1000000</v>
      </c>
      <c r="EG89" s="902"/>
      <c r="EH89" s="646">
        <f t="shared" si="113"/>
        <v>11.066666666666666</v>
      </c>
      <c r="EI89" s="610">
        <f t="shared" si="135"/>
        <v>0.12189602579514203</v>
      </c>
      <c r="EJ89" s="986">
        <f t="shared" si="135"/>
        <v>-8.3377964975501762E-3</v>
      </c>
      <c r="EK89" s="612">
        <f t="shared" si="135"/>
        <v>-0.1133149017589985</v>
      </c>
    </row>
    <row r="90" spans="21:141" ht="15" customHeight="1" x14ac:dyDescent="0.25">
      <c r="U90" s="642">
        <f t="shared" si="127"/>
        <v>84</v>
      </c>
      <c r="W90" s="609">
        <f t="shared" si="90"/>
        <v>5.9541293517643243</v>
      </c>
      <c r="X90" s="610">
        <f t="shared" si="136"/>
        <v>3.8455606857010856</v>
      </c>
      <c r="Y90" s="611">
        <f t="shared" si="136"/>
        <v>3.8058940190344188</v>
      </c>
      <c r="Z90" s="611">
        <f t="shared" si="136"/>
        <v>3.7424273523677525</v>
      </c>
      <c r="AA90" s="611">
        <f t="shared" si="136"/>
        <v>3.6154940190344189</v>
      </c>
      <c r="AB90" s="982">
        <f t="shared" si="91"/>
        <v>1000000</v>
      </c>
      <c r="AC90" s="919">
        <f t="shared" si="92"/>
        <v>3.8693606857010856</v>
      </c>
      <c r="AD90" s="611">
        <f t="shared" si="137"/>
        <v>3.6968890662596277</v>
      </c>
      <c r="AE90" s="611">
        <f t="shared" si="137"/>
        <v>3.6378723995929607</v>
      </c>
      <c r="AF90" s="611">
        <f t="shared" si="137"/>
        <v>3.5434457329262941</v>
      </c>
      <c r="AG90" s="612">
        <f t="shared" si="129"/>
        <v>3.3545923995929599</v>
      </c>
      <c r="AH90" s="609">
        <f t="shared" si="93"/>
        <v>3</v>
      </c>
      <c r="AI90" s="895">
        <f t="shared" si="114"/>
        <v>-1000000</v>
      </c>
      <c r="AJ90" s="610">
        <f t="shared" si="94"/>
        <v>5.9541293517643243</v>
      </c>
      <c r="AK90" s="609">
        <f t="shared" si="115"/>
        <v>-0.13706161944145787</v>
      </c>
      <c r="AL90" s="611">
        <f t="shared" si="138"/>
        <v>-0.14867161944145796</v>
      </c>
      <c r="AM90" s="611">
        <f t="shared" si="138"/>
        <v>-0.16802161944145813</v>
      </c>
      <c r="AN90" s="611">
        <f t="shared" si="138"/>
        <v>-0.1989816194414584</v>
      </c>
      <c r="AO90" s="612">
        <f t="shared" si="138"/>
        <v>-0.26090161944145895</v>
      </c>
      <c r="AP90" s="902">
        <v>0</v>
      </c>
      <c r="AQ90" s="783">
        <f t="shared" si="95"/>
        <v>1000000</v>
      </c>
      <c r="AR90" s="983"/>
      <c r="AS90" s="609">
        <f t="shared" si="96"/>
        <v>5.9541293517643243</v>
      </c>
      <c r="AT90" s="610">
        <f t="shared" si="97"/>
        <v>3.6968890662596277</v>
      </c>
      <c r="AU90" s="611">
        <f t="shared" si="97"/>
        <v>3.6378723995929607</v>
      </c>
      <c r="AV90" s="611">
        <f t="shared" si="97"/>
        <v>3.5434457329262941</v>
      </c>
      <c r="AW90" s="612">
        <f t="shared" si="97"/>
        <v>3.3545923995929599</v>
      </c>
      <c r="AX90" s="982">
        <f t="shared" si="98"/>
        <v>1000000</v>
      </c>
      <c r="AY90" s="611">
        <f t="shared" si="99"/>
        <v>3</v>
      </c>
      <c r="AZ90" s="612">
        <f t="shared" si="100"/>
        <v>3.8693606857010856</v>
      </c>
      <c r="BB90" s="984">
        <f t="shared" si="116"/>
        <v>4.160858314572855</v>
      </c>
      <c r="BC90" s="985">
        <f t="shared" si="139"/>
        <v>3.7140941105872116</v>
      </c>
      <c r="BD90" s="985">
        <f t="shared" si="139"/>
        <v>3.6288498245082939</v>
      </c>
      <c r="BE90" s="528">
        <f t="shared" si="139"/>
        <v>3.5641349877243584</v>
      </c>
      <c r="BF90" s="913">
        <f t="shared" si="101"/>
        <v>4.160858314572855</v>
      </c>
      <c r="BG90" s="317">
        <f t="shared" si="101"/>
        <v>-1000000</v>
      </c>
      <c r="BH90" s="317">
        <f t="shared" si="101"/>
        <v>-1000000</v>
      </c>
      <c r="BI90" s="919">
        <f t="shared" si="101"/>
        <v>-1000000</v>
      </c>
      <c r="BJ90" s="646">
        <f t="shared" si="102"/>
        <v>4.1999999999999993</v>
      </c>
      <c r="BK90" s="913">
        <f t="shared" si="103"/>
        <v>4.160858314572855</v>
      </c>
      <c r="BL90" s="317"/>
      <c r="BM90" s="317"/>
      <c r="BN90" s="317"/>
      <c r="BO90" s="913">
        <f t="shared" si="104"/>
        <v>3</v>
      </c>
      <c r="BP90" s="783">
        <f t="shared" si="117"/>
        <v>1000000</v>
      </c>
      <c r="CK90" s="642">
        <f t="shared" si="128"/>
        <v>84</v>
      </c>
      <c r="CL90" s="609">
        <f t="shared" si="105"/>
        <v>5.9541293517643243</v>
      </c>
      <c r="CM90" s="609">
        <f t="shared" si="118"/>
        <v>4.1999999999999993</v>
      </c>
      <c r="CN90" s="610">
        <f t="shared" si="130"/>
        <v>8.5057686934451695</v>
      </c>
      <c r="CO90" s="611">
        <f t="shared" si="130"/>
        <v>8.505880983985632</v>
      </c>
      <c r="CP90" s="612">
        <f t="shared" si="130"/>
        <v>8.505896564012609</v>
      </c>
      <c r="CQ90" s="611">
        <f t="shared" si="131"/>
        <v>2.250308004884634</v>
      </c>
      <c r="CR90" s="611">
        <f t="shared" si="131"/>
        <v>2.6512333012042681</v>
      </c>
      <c r="CS90" s="611">
        <f t="shared" si="131"/>
        <v>3.0521585975239023</v>
      </c>
      <c r="CT90" s="610">
        <f t="shared" si="106"/>
        <v>10.756076698329803</v>
      </c>
      <c r="CU90" s="611">
        <f t="shared" si="106"/>
        <v>11.1571142851899</v>
      </c>
      <c r="CV90" s="612">
        <f t="shared" si="106"/>
        <v>11.558055161536512</v>
      </c>
      <c r="CW90" s="613">
        <f t="shared" si="140"/>
        <v>10.756076698329803</v>
      </c>
      <c r="CX90" s="613">
        <f t="shared" si="140"/>
        <v>11.1571142851899</v>
      </c>
      <c r="CY90" s="613">
        <f t="shared" si="140"/>
        <v>11.558055161536512</v>
      </c>
      <c r="CZ90" s="609">
        <f t="shared" si="107"/>
        <v>8.5058990739490348</v>
      </c>
      <c r="DA90" s="609"/>
      <c r="DB90" s="609">
        <f t="shared" si="120"/>
        <v>4.1999999999999993</v>
      </c>
      <c r="DC90" s="610">
        <f t="shared" si="108"/>
        <v>3.4413665043142165E-4</v>
      </c>
      <c r="DD90" s="611">
        <f t="shared" si="108"/>
        <v>5.6255105244816072E-5</v>
      </c>
      <c r="DE90" s="612">
        <f t="shared" si="108"/>
        <v>8.9855802130017653E-6</v>
      </c>
      <c r="DF90" s="611">
        <f t="shared" si="141"/>
        <v>3.6787801814598073E-4</v>
      </c>
      <c r="DG90" s="611">
        <f t="shared" si="141"/>
        <v>6.0864340873935292E-5</v>
      </c>
      <c r="DH90" s="611">
        <f t="shared" si="141"/>
        <v>9.8400014536539229E-6</v>
      </c>
      <c r="DI90" s="614">
        <f t="shared" si="109"/>
        <v>8</v>
      </c>
      <c r="DJ90" s="615"/>
      <c r="DK90" s="609">
        <f t="shared" si="121"/>
        <v>4.1999999999999993</v>
      </c>
      <c r="DL90" s="611">
        <f t="shared" si="132"/>
        <v>3.8968923711282311</v>
      </c>
      <c r="DM90" s="611">
        <f t="shared" si="132"/>
        <v>1000000</v>
      </c>
      <c r="DN90" s="611">
        <f t="shared" si="132"/>
        <v>1000000</v>
      </c>
      <c r="DO90" s="610">
        <f t="shared" si="133"/>
        <v>0.3422493142989147</v>
      </c>
      <c r="DP90" s="611">
        <f t="shared" si="133"/>
        <v>0.36159931429891484</v>
      </c>
      <c r="DQ90" s="612">
        <f t="shared" si="133"/>
        <v>0.39255931429891511</v>
      </c>
      <c r="DR90" s="611">
        <f t="shared" si="110"/>
        <v>4.2391416854271462</v>
      </c>
      <c r="DS90" s="611">
        <f t="shared" si="110"/>
        <v>1000000.3615993143</v>
      </c>
      <c r="DT90" s="611">
        <f t="shared" si="110"/>
        <v>1000000.3925593143</v>
      </c>
      <c r="DU90" s="609">
        <f t="shared" si="122"/>
        <v>4.2</v>
      </c>
      <c r="DV90" s="611"/>
      <c r="DW90" s="646">
        <f t="shared" si="111"/>
        <v>11.2</v>
      </c>
      <c r="DX90" s="621">
        <f t="shared" si="134"/>
        <v>7.1148264746404939</v>
      </c>
      <c r="DY90" s="621">
        <f t="shared" si="134"/>
        <v>7.260328750843974</v>
      </c>
      <c r="DZ90" s="621">
        <f t="shared" si="134"/>
        <v>7.3782750482041326</v>
      </c>
      <c r="EA90" s="610">
        <f t="shared" si="112"/>
        <v>7.2227319241657497</v>
      </c>
      <c r="EB90" s="611">
        <f t="shared" si="112"/>
        <v>7.2372800130064379</v>
      </c>
      <c r="EC90" s="612">
        <f t="shared" si="112"/>
        <v>7.24966854304318</v>
      </c>
      <c r="ED90" s="610">
        <f t="shared" si="123"/>
        <v>8</v>
      </c>
      <c r="EE90" s="611">
        <f t="shared" si="124"/>
        <v>8.5058990739490348</v>
      </c>
      <c r="EF90" s="645">
        <f t="shared" si="125"/>
        <v>-1000000</v>
      </c>
      <c r="EG90" s="902"/>
      <c r="EH90" s="646">
        <f t="shared" si="113"/>
        <v>11.2</v>
      </c>
      <c r="EI90" s="610">
        <f t="shared" si="135"/>
        <v>0.10790544952525538</v>
      </c>
      <c r="EJ90" s="986">
        <f t="shared" si="135"/>
        <v>-2.3048737837536137E-2</v>
      </c>
      <c r="EK90" s="612">
        <f t="shared" si="135"/>
        <v>-0.12860650516095262</v>
      </c>
    </row>
    <row r="91" spans="21:141" ht="15" customHeight="1" x14ac:dyDescent="0.25">
      <c r="U91" s="642">
        <f t="shared" si="127"/>
        <v>85</v>
      </c>
      <c r="W91" s="609">
        <f t="shared" si="90"/>
        <v>6.0250118440472331</v>
      </c>
      <c r="X91" s="610">
        <f t="shared" si="136"/>
        <v>3.8448806857010855</v>
      </c>
      <c r="Y91" s="611">
        <f t="shared" si="136"/>
        <v>3.8040806857010856</v>
      </c>
      <c r="Z91" s="611">
        <f t="shared" si="136"/>
        <v>3.7388006857010856</v>
      </c>
      <c r="AA91" s="611">
        <f t="shared" si="136"/>
        <v>3.6082406857010856</v>
      </c>
      <c r="AB91" s="982">
        <f t="shared" si="91"/>
        <v>1000000</v>
      </c>
      <c r="AC91" s="919">
        <f t="shared" si="92"/>
        <v>3.8693606857010856</v>
      </c>
      <c r="AD91" s="611">
        <f t="shared" si="137"/>
        <v>3.6947485172888599</v>
      </c>
      <c r="AE91" s="611">
        <f t="shared" si="137"/>
        <v>3.6345985172888597</v>
      </c>
      <c r="AF91" s="611">
        <f t="shared" si="137"/>
        <v>3.5383585172888594</v>
      </c>
      <c r="AG91" s="612">
        <f t="shared" si="129"/>
        <v>3.3458785172888592</v>
      </c>
      <c r="AH91" s="609">
        <f t="shared" si="93"/>
        <v>3</v>
      </c>
      <c r="AI91" s="895">
        <f t="shared" si="114"/>
        <v>-1000000</v>
      </c>
      <c r="AJ91" s="610">
        <f t="shared" si="94"/>
        <v>6.0250118440472331</v>
      </c>
      <c r="AK91" s="609">
        <f t="shared" si="115"/>
        <v>-0.13852216841222545</v>
      </c>
      <c r="AL91" s="611">
        <f t="shared" si="138"/>
        <v>-0.15013216841222554</v>
      </c>
      <c r="AM91" s="611">
        <f t="shared" si="138"/>
        <v>-0.16948216841222571</v>
      </c>
      <c r="AN91" s="611">
        <f t="shared" si="138"/>
        <v>-0.20044216841222598</v>
      </c>
      <c r="AO91" s="612">
        <f t="shared" si="138"/>
        <v>-0.26236216841222654</v>
      </c>
      <c r="AP91" s="902">
        <v>0</v>
      </c>
      <c r="AQ91" s="783">
        <f t="shared" si="95"/>
        <v>1000000</v>
      </c>
      <c r="AR91" s="983"/>
      <c r="AS91" s="609">
        <f t="shared" si="96"/>
        <v>6.0250118440472331</v>
      </c>
      <c r="AT91" s="610">
        <f t="shared" si="97"/>
        <v>3.6947485172888599</v>
      </c>
      <c r="AU91" s="611">
        <f t="shared" si="97"/>
        <v>3.6345985172888597</v>
      </c>
      <c r="AV91" s="611">
        <f t="shared" si="97"/>
        <v>3.5383585172888594</v>
      </c>
      <c r="AW91" s="612">
        <f t="shared" si="97"/>
        <v>3.3458785172888592</v>
      </c>
      <c r="AX91" s="982">
        <f t="shared" si="98"/>
        <v>1000000</v>
      </c>
      <c r="AY91" s="611">
        <f t="shared" si="99"/>
        <v>3</v>
      </c>
      <c r="AZ91" s="612">
        <f t="shared" si="100"/>
        <v>3.8693606857010856</v>
      </c>
      <c r="BB91" s="984">
        <f t="shared" si="116"/>
        <v>4.1598892980519508</v>
      </c>
      <c r="BC91" s="985">
        <f t="shared" si="139"/>
        <v>3.7122790178955096</v>
      </c>
      <c r="BD91" s="985">
        <f t="shared" si="139"/>
        <v>3.628580026976397</v>
      </c>
      <c r="BE91" s="528">
        <f t="shared" si="139"/>
        <v>3.563986346266435</v>
      </c>
      <c r="BF91" s="913">
        <f t="shared" si="101"/>
        <v>4.1598892980519508</v>
      </c>
      <c r="BG91" s="317">
        <f t="shared" si="101"/>
        <v>-1000000</v>
      </c>
      <c r="BH91" s="317">
        <f t="shared" si="101"/>
        <v>-1000000</v>
      </c>
      <c r="BI91" s="919">
        <f t="shared" si="101"/>
        <v>-1000000</v>
      </c>
      <c r="BJ91" s="646">
        <f t="shared" si="102"/>
        <v>4.25</v>
      </c>
      <c r="BK91" s="913">
        <f t="shared" si="103"/>
        <v>4.1598892980519508</v>
      </c>
      <c r="BL91" s="317"/>
      <c r="BM91" s="317"/>
      <c r="BN91" s="317"/>
      <c r="BO91" s="913">
        <f t="shared" si="104"/>
        <v>3</v>
      </c>
      <c r="BP91" s="783">
        <f t="shared" si="117"/>
        <v>1000000</v>
      </c>
      <c r="CK91" s="642">
        <f t="shared" si="128"/>
        <v>85</v>
      </c>
      <c r="CL91" s="609">
        <f t="shared" si="105"/>
        <v>6.0250118440472331</v>
      </c>
      <c r="CM91" s="609">
        <f t="shared" si="118"/>
        <v>4.25</v>
      </c>
      <c r="CN91" s="610">
        <f t="shared" si="130"/>
        <v>8.5057848131942091</v>
      </c>
      <c r="CO91" s="611">
        <f t="shared" si="130"/>
        <v>8.5058835889737985</v>
      </c>
      <c r="CP91" s="612">
        <f t="shared" si="130"/>
        <v>8.5058969753767073</v>
      </c>
      <c r="CQ91" s="611">
        <f t="shared" si="131"/>
        <v>2.250308004884634</v>
      </c>
      <c r="CR91" s="611">
        <f t="shared" si="131"/>
        <v>2.6512333012042681</v>
      </c>
      <c r="CS91" s="611">
        <f t="shared" si="131"/>
        <v>3.0521585975239023</v>
      </c>
      <c r="CT91" s="610">
        <f t="shared" si="106"/>
        <v>10.756092818078843</v>
      </c>
      <c r="CU91" s="611">
        <f t="shared" si="106"/>
        <v>11.157116890178067</v>
      </c>
      <c r="CV91" s="612">
        <f t="shared" si="106"/>
        <v>11.55805557290061</v>
      </c>
      <c r="CW91" s="613">
        <f t="shared" si="140"/>
        <v>10.756092818078843</v>
      </c>
      <c r="CX91" s="613">
        <f t="shared" si="140"/>
        <v>11.157116890178067</v>
      </c>
      <c r="CY91" s="613">
        <f t="shared" si="140"/>
        <v>11.55805557290061</v>
      </c>
      <c r="CZ91" s="609">
        <f t="shared" si="107"/>
        <v>8.5058990739490348</v>
      </c>
      <c r="DA91" s="609"/>
      <c r="DB91" s="609">
        <f t="shared" si="120"/>
        <v>4.25</v>
      </c>
      <c r="DC91" s="610">
        <f t="shared" si="108"/>
        <v>3.0158890536530631E-4</v>
      </c>
      <c r="DD91" s="611">
        <f t="shared" si="108"/>
        <v>4.8154266113766907E-5</v>
      </c>
      <c r="DE91" s="612">
        <f t="shared" si="108"/>
        <v>7.5128954570832443E-6</v>
      </c>
      <c r="DF91" s="611">
        <f t="shared" si="141"/>
        <v>3.2239498079178014E-4</v>
      </c>
      <c r="DG91" s="611">
        <f t="shared" si="141"/>
        <v>5.2099763330203757E-5</v>
      </c>
      <c r="DH91" s="611">
        <f t="shared" si="141"/>
        <v>8.2272819668104343E-6</v>
      </c>
      <c r="DI91" s="614">
        <f t="shared" si="109"/>
        <v>8</v>
      </c>
      <c r="DJ91" s="615"/>
      <c r="DK91" s="609">
        <f t="shared" si="121"/>
        <v>4.25</v>
      </c>
      <c r="DL91" s="611">
        <f t="shared" si="132"/>
        <v>3.8978613876491353</v>
      </c>
      <c r="DM91" s="611">
        <f t="shared" si="132"/>
        <v>1000000</v>
      </c>
      <c r="DN91" s="611">
        <f t="shared" si="132"/>
        <v>1000000</v>
      </c>
      <c r="DO91" s="610">
        <f t="shared" si="133"/>
        <v>0.3422493142989147</v>
      </c>
      <c r="DP91" s="611">
        <f t="shared" si="133"/>
        <v>0.36159931429891484</v>
      </c>
      <c r="DQ91" s="612">
        <f t="shared" si="133"/>
        <v>0.39255931429891511</v>
      </c>
      <c r="DR91" s="611">
        <f t="shared" si="110"/>
        <v>4.2401107019480495</v>
      </c>
      <c r="DS91" s="611">
        <f t="shared" si="110"/>
        <v>1000000.3615993143</v>
      </c>
      <c r="DT91" s="611">
        <f t="shared" si="110"/>
        <v>1000000.3925593143</v>
      </c>
      <c r="DU91" s="609">
        <f t="shared" si="122"/>
        <v>4.2</v>
      </c>
      <c r="DV91" s="611"/>
      <c r="DW91" s="646">
        <f t="shared" si="111"/>
        <v>11.333333333333334</v>
      </c>
      <c r="DX91" s="621">
        <f t="shared" si="134"/>
        <v>7.0999609996080295</v>
      </c>
      <c r="DY91" s="621">
        <f t="shared" si="134"/>
        <v>7.2468595939842313</v>
      </c>
      <c r="DZ91" s="621">
        <f t="shared" si="134"/>
        <v>7.3659649278528354</v>
      </c>
      <c r="EA91" s="610">
        <f t="shared" si="112"/>
        <v>7.1941071167493362</v>
      </c>
      <c r="EB91" s="611">
        <f t="shared" si="112"/>
        <v>7.2093430652799739</v>
      </c>
      <c r="EC91" s="612">
        <f t="shared" si="112"/>
        <v>7.2223195672628986</v>
      </c>
      <c r="ED91" s="610">
        <f t="shared" si="123"/>
        <v>8</v>
      </c>
      <c r="EE91" s="611">
        <f t="shared" si="124"/>
        <v>8.5058990739490348</v>
      </c>
      <c r="EF91" s="645">
        <f t="shared" si="125"/>
        <v>-1000000</v>
      </c>
      <c r="EG91" s="902"/>
      <c r="EH91" s="646">
        <f t="shared" si="113"/>
        <v>11.333333333333334</v>
      </c>
      <c r="EI91" s="610">
        <f t="shared" si="135"/>
        <v>9.4146117141307162E-2</v>
      </c>
      <c r="EJ91" s="986">
        <f t="shared" si="135"/>
        <v>-3.7516528704256924E-2</v>
      </c>
      <c r="EK91" s="612">
        <f t="shared" si="135"/>
        <v>-0.14364536058993682</v>
      </c>
    </row>
    <row r="92" spans="21:141" ht="15" customHeight="1" x14ac:dyDescent="0.25">
      <c r="U92" s="642">
        <f t="shared" si="127"/>
        <v>86</v>
      </c>
      <c r="W92" s="609">
        <f t="shared" si="90"/>
        <v>6.0958943363301419</v>
      </c>
      <c r="X92" s="610">
        <f t="shared" si="136"/>
        <v>3.8441606857010857</v>
      </c>
      <c r="Y92" s="611">
        <f t="shared" si="136"/>
        <v>3.8021606857010855</v>
      </c>
      <c r="Z92" s="611">
        <f t="shared" si="136"/>
        <v>3.7349606857010857</v>
      </c>
      <c r="AA92" s="611">
        <f t="shared" si="136"/>
        <v>3.6005606857010855</v>
      </c>
      <c r="AB92" s="982">
        <f t="shared" si="91"/>
        <v>1000000</v>
      </c>
      <c r="AC92" s="919">
        <f t="shared" si="92"/>
        <v>3.8693606857010856</v>
      </c>
      <c r="AD92" s="611">
        <f t="shared" si="137"/>
        <v>3.6926064996937242</v>
      </c>
      <c r="AE92" s="611">
        <f t="shared" si="137"/>
        <v>3.6312564996937238</v>
      </c>
      <c r="AF92" s="611">
        <f t="shared" si="137"/>
        <v>3.5330964996937237</v>
      </c>
      <c r="AG92" s="612">
        <f t="shared" si="129"/>
        <v>3.3367764996937233</v>
      </c>
      <c r="AH92" s="609">
        <f t="shared" si="93"/>
        <v>3</v>
      </c>
      <c r="AI92" s="895">
        <f t="shared" si="114"/>
        <v>-1000000</v>
      </c>
      <c r="AJ92" s="610">
        <f t="shared" si="94"/>
        <v>6.0958943363301419</v>
      </c>
      <c r="AK92" s="609">
        <f t="shared" si="115"/>
        <v>-0.13994418600736136</v>
      </c>
      <c r="AL92" s="611">
        <f t="shared" si="138"/>
        <v>-0.15155418600736145</v>
      </c>
      <c r="AM92" s="611">
        <f t="shared" si="138"/>
        <v>-0.17090418600736162</v>
      </c>
      <c r="AN92" s="611">
        <f t="shared" si="138"/>
        <v>-0.20186418600736189</v>
      </c>
      <c r="AO92" s="612">
        <f t="shared" si="138"/>
        <v>-0.26378418600736242</v>
      </c>
      <c r="AP92" s="902">
        <v>0</v>
      </c>
      <c r="AQ92" s="783">
        <f t="shared" si="95"/>
        <v>1000000</v>
      </c>
      <c r="AR92" s="983"/>
      <c r="AS92" s="609">
        <f t="shared" si="96"/>
        <v>6.0958943363301419</v>
      </c>
      <c r="AT92" s="610">
        <f t="shared" si="97"/>
        <v>3.6926064996937242</v>
      </c>
      <c r="AU92" s="611">
        <f t="shared" si="97"/>
        <v>3.6312564996937238</v>
      </c>
      <c r="AV92" s="611">
        <f t="shared" si="97"/>
        <v>3.5330964996937237</v>
      </c>
      <c r="AW92" s="612">
        <f t="shared" si="97"/>
        <v>3.3367764996937233</v>
      </c>
      <c r="AX92" s="982">
        <f t="shared" si="98"/>
        <v>1000000</v>
      </c>
      <c r="AY92" s="611">
        <f t="shared" si="99"/>
        <v>3</v>
      </c>
      <c r="AZ92" s="612">
        <f t="shared" si="100"/>
        <v>3.8693606857010856</v>
      </c>
      <c r="BB92" s="984">
        <f t="shared" si="116"/>
        <v>4.158849581329866</v>
      </c>
      <c r="BC92" s="985">
        <f t="shared" si="139"/>
        <v>3.7105228813257551</v>
      </c>
      <c r="BD92" s="985">
        <f t="shared" si="139"/>
        <v>3.628321374838865</v>
      </c>
      <c r="BE92" s="528">
        <f t="shared" si="139"/>
        <v>3.5638416753002788</v>
      </c>
      <c r="BF92" s="913">
        <f t="shared" si="101"/>
        <v>4.158849581329866</v>
      </c>
      <c r="BG92" s="317">
        <f t="shared" si="101"/>
        <v>-1000000</v>
      </c>
      <c r="BH92" s="317">
        <f t="shared" si="101"/>
        <v>-1000000</v>
      </c>
      <c r="BI92" s="919">
        <f t="shared" si="101"/>
        <v>-1000000</v>
      </c>
      <c r="BJ92" s="646">
        <f t="shared" si="102"/>
        <v>4.3</v>
      </c>
      <c r="BK92" s="913">
        <f t="shared" si="103"/>
        <v>4.158849581329866</v>
      </c>
      <c r="BL92" s="317"/>
      <c r="BM92" s="317"/>
      <c r="BN92" s="317"/>
      <c r="BO92" s="913">
        <f t="shared" si="104"/>
        <v>3</v>
      </c>
      <c r="BP92" s="783">
        <f t="shared" si="117"/>
        <v>1000000</v>
      </c>
      <c r="CK92" s="642">
        <f t="shared" si="128"/>
        <v>86</v>
      </c>
      <c r="CL92" s="609">
        <f t="shared" si="105"/>
        <v>6.0958943363301419</v>
      </c>
      <c r="CM92" s="609">
        <f t="shared" si="118"/>
        <v>4.3</v>
      </c>
      <c r="CN92" s="610">
        <f t="shared" si="130"/>
        <v>8.5057989399588561</v>
      </c>
      <c r="CO92" s="611">
        <f t="shared" si="130"/>
        <v>8.505885818838852</v>
      </c>
      <c r="CP92" s="612">
        <f t="shared" si="130"/>
        <v>8.5058973193206064</v>
      </c>
      <c r="CQ92" s="611">
        <f t="shared" si="131"/>
        <v>2.250308004884634</v>
      </c>
      <c r="CR92" s="611">
        <f t="shared" si="131"/>
        <v>2.6512333012042681</v>
      </c>
      <c r="CS92" s="611">
        <f t="shared" si="131"/>
        <v>3.0521585975239023</v>
      </c>
      <c r="CT92" s="610">
        <f t="shared" si="106"/>
        <v>10.75610694484349</v>
      </c>
      <c r="CU92" s="611">
        <f t="shared" si="106"/>
        <v>11.15711912004312</v>
      </c>
      <c r="CV92" s="612">
        <f t="shared" si="106"/>
        <v>11.558055916844509</v>
      </c>
      <c r="CW92" s="613">
        <f t="shared" si="140"/>
        <v>10.75610694484349</v>
      </c>
      <c r="CX92" s="613">
        <f t="shared" si="140"/>
        <v>11.15711912004312</v>
      </c>
      <c r="CY92" s="613">
        <f t="shared" si="140"/>
        <v>11.558055916844509</v>
      </c>
      <c r="CZ92" s="609">
        <f t="shared" si="107"/>
        <v>8.5058990739490348</v>
      </c>
      <c r="DA92" s="609"/>
      <c r="DB92" s="609">
        <f t="shared" si="120"/>
        <v>4.3</v>
      </c>
      <c r="DC92" s="610">
        <f t="shared" si="108"/>
        <v>2.6430160148713721E-4</v>
      </c>
      <c r="DD92" s="611">
        <f t="shared" si="108"/>
        <v>4.1219962790295731E-5</v>
      </c>
      <c r="DE92" s="612">
        <f t="shared" si="108"/>
        <v>6.2815752362202257E-6</v>
      </c>
      <c r="DF92" s="611">
        <f t="shared" si="141"/>
        <v>2.8253529293920213E-4</v>
      </c>
      <c r="DG92" s="611">
        <f t="shared" si="141"/>
        <v>4.4597301069870965E-5</v>
      </c>
      <c r="DH92" s="611">
        <f t="shared" si="141"/>
        <v>6.8788779827855497E-6</v>
      </c>
      <c r="DI92" s="614">
        <f t="shared" si="109"/>
        <v>8</v>
      </c>
      <c r="DJ92" s="615"/>
      <c r="DK92" s="609">
        <f t="shared" si="121"/>
        <v>4.3</v>
      </c>
      <c r="DL92" s="611">
        <f t="shared" si="132"/>
        <v>3.8989011043712201</v>
      </c>
      <c r="DM92" s="611">
        <f t="shared" si="132"/>
        <v>1000000</v>
      </c>
      <c r="DN92" s="611">
        <f t="shared" si="132"/>
        <v>1000000</v>
      </c>
      <c r="DO92" s="610">
        <f t="shared" si="133"/>
        <v>0.3422493142989147</v>
      </c>
      <c r="DP92" s="611">
        <f t="shared" si="133"/>
        <v>0.36159931429891484</v>
      </c>
      <c r="DQ92" s="612">
        <f t="shared" si="133"/>
        <v>0.39255931429891511</v>
      </c>
      <c r="DR92" s="611">
        <f t="shared" si="110"/>
        <v>4.2411504186701343</v>
      </c>
      <c r="DS92" s="611">
        <f t="shared" si="110"/>
        <v>1000000.3615993143</v>
      </c>
      <c r="DT92" s="611">
        <f t="shared" si="110"/>
        <v>1000000.3925593143</v>
      </c>
      <c r="DU92" s="609">
        <f t="shared" si="122"/>
        <v>4.2</v>
      </c>
      <c r="DV92" s="611"/>
      <c r="DW92" s="646">
        <f t="shared" si="111"/>
        <v>11.466666666666667</v>
      </c>
      <c r="DX92" s="621">
        <f t="shared" si="134"/>
        <v>7.085131280183167</v>
      </c>
      <c r="DY92" s="621">
        <f t="shared" si="134"/>
        <v>7.2334194528552826</v>
      </c>
      <c r="DZ92" s="621">
        <f t="shared" si="134"/>
        <v>7.3536788201504235</v>
      </c>
      <c r="EA92" s="610">
        <f t="shared" si="112"/>
        <v>7.1657454867012174</v>
      </c>
      <c r="EB92" s="611">
        <f t="shared" si="112"/>
        <v>7.1816742648337444</v>
      </c>
      <c r="EC92" s="612">
        <f t="shared" si="112"/>
        <v>7.1952431745479313</v>
      </c>
      <c r="ED92" s="610">
        <f t="shared" si="123"/>
        <v>8</v>
      </c>
      <c r="EE92" s="611">
        <f t="shared" si="124"/>
        <v>8.5058990739490348</v>
      </c>
      <c r="EF92" s="645">
        <f t="shared" si="125"/>
        <v>-1000000</v>
      </c>
      <c r="EG92" s="902"/>
      <c r="EH92" s="646">
        <f t="shared" si="113"/>
        <v>11.466666666666667</v>
      </c>
      <c r="EI92" s="610">
        <f t="shared" si="135"/>
        <v>8.0614206518050846E-2</v>
      </c>
      <c r="EJ92" s="986">
        <f t="shared" si="135"/>
        <v>-5.1745188021538269E-2</v>
      </c>
      <c r="EK92" s="612">
        <f t="shared" si="135"/>
        <v>-0.15843564560249268</v>
      </c>
    </row>
    <row r="93" spans="21:141" ht="15" customHeight="1" x14ac:dyDescent="0.25">
      <c r="U93" s="642">
        <f t="shared" si="127"/>
        <v>87</v>
      </c>
      <c r="W93" s="609">
        <f t="shared" si="90"/>
        <v>6.1667768286130498</v>
      </c>
      <c r="X93" s="610">
        <f t="shared" si="136"/>
        <v>3.8433970493374492</v>
      </c>
      <c r="Y93" s="611">
        <f t="shared" si="136"/>
        <v>3.8001243220647218</v>
      </c>
      <c r="Z93" s="611">
        <f t="shared" si="136"/>
        <v>3.7308879584283585</v>
      </c>
      <c r="AA93" s="611">
        <f t="shared" si="136"/>
        <v>3.592415231155631</v>
      </c>
      <c r="AB93" s="982">
        <f t="shared" si="91"/>
        <v>1000000</v>
      </c>
      <c r="AC93" s="919">
        <f t="shared" si="92"/>
        <v>3.8693606857010856</v>
      </c>
      <c r="AD93" s="611">
        <f t="shared" si="137"/>
        <v>3.6904583605976575</v>
      </c>
      <c r="AE93" s="611">
        <f t="shared" si="137"/>
        <v>3.62783563332493</v>
      </c>
      <c r="AF93" s="611">
        <f t="shared" si="137"/>
        <v>3.5276392696885663</v>
      </c>
      <c r="AG93" s="612">
        <f t="shared" si="129"/>
        <v>3.3272465424158382</v>
      </c>
      <c r="AH93" s="609">
        <f t="shared" si="93"/>
        <v>3</v>
      </c>
      <c r="AI93" s="895">
        <f t="shared" si="114"/>
        <v>-1000000</v>
      </c>
      <c r="AJ93" s="610">
        <f t="shared" si="94"/>
        <v>6.1667768286130498</v>
      </c>
      <c r="AK93" s="609">
        <f t="shared" si="115"/>
        <v>-0.14132868873979171</v>
      </c>
      <c r="AL93" s="611">
        <f t="shared" si="138"/>
        <v>-0.1529386887397918</v>
      </c>
      <c r="AM93" s="611">
        <f t="shared" si="138"/>
        <v>-0.17228868873979197</v>
      </c>
      <c r="AN93" s="611">
        <f t="shared" si="138"/>
        <v>-0.20324868873979224</v>
      </c>
      <c r="AO93" s="612">
        <f t="shared" si="138"/>
        <v>-0.26516868873979277</v>
      </c>
      <c r="AP93" s="902">
        <v>0</v>
      </c>
      <c r="AQ93" s="783">
        <f t="shared" si="95"/>
        <v>1000000</v>
      </c>
      <c r="AR93" s="983"/>
      <c r="AS93" s="609">
        <f t="shared" si="96"/>
        <v>6.1667768286130498</v>
      </c>
      <c r="AT93" s="610">
        <f t="shared" si="97"/>
        <v>3.6904583605976575</v>
      </c>
      <c r="AU93" s="611">
        <f t="shared" si="97"/>
        <v>3.62783563332493</v>
      </c>
      <c r="AV93" s="611">
        <f t="shared" si="97"/>
        <v>3.5276392696885663</v>
      </c>
      <c r="AW93" s="612">
        <f t="shared" si="97"/>
        <v>3.3272465424158382</v>
      </c>
      <c r="AX93" s="982">
        <f t="shared" si="98"/>
        <v>1000000</v>
      </c>
      <c r="AY93" s="611">
        <f t="shared" si="99"/>
        <v>3</v>
      </c>
      <c r="AZ93" s="612">
        <f t="shared" si="100"/>
        <v>3.8693606857010856</v>
      </c>
      <c r="BB93" s="984">
        <f t="shared" si="116"/>
        <v>4.1577311339392864</v>
      </c>
      <c r="BC93" s="985">
        <f t="shared" si="139"/>
        <v>3.7088232194815611</v>
      </c>
      <c r="BD93" s="985">
        <f t="shared" si="139"/>
        <v>3.628073227338882</v>
      </c>
      <c r="BE93" s="528">
        <f t="shared" si="139"/>
        <v>3.5637008156115111</v>
      </c>
      <c r="BF93" s="913">
        <f t="shared" si="101"/>
        <v>4.1577311339392864</v>
      </c>
      <c r="BG93" s="317">
        <f t="shared" si="101"/>
        <v>-1000000</v>
      </c>
      <c r="BH93" s="317">
        <f t="shared" si="101"/>
        <v>-1000000</v>
      </c>
      <c r="BI93" s="919">
        <f t="shared" si="101"/>
        <v>-1000000</v>
      </c>
      <c r="BJ93" s="646">
        <f t="shared" si="102"/>
        <v>4.3499999999999996</v>
      </c>
      <c r="BK93" s="913">
        <f t="shared" si="103"/>
        <v>4.1577311339392864</v>
      </c>
      <c r="BL93" s="317"/>
      <c r="BM93" s="317"/>
      <c r="BN93" s="317"/>
      <c r="BO93" s="913">
        <f t="shared" si="104"/>
        <v>3</v>
      </c>
      <c r="BP93" s="783">
        <f t="shared" si="117"/>
        <v>1000000</v>
      </c>
      <c r="CK93" s="642">
        <f t="shared" si="128"/>
        <v>87</v>
      </c>
      <c r="CL93" s="609">
        <f t="shared" si="105"/>
        <v>6.1667768286130498</v>
      </c>
      <c r="CM93" s="609">
        <f t="shared" si="118"/>
        <v>4.3499999999999996</v>
      </c>
      <c r="CN93" s="610">
        <f t="shared" si="130"/>
        <v>8.5058113201441152</v>
      </c>
      <c r="CO93" s="611">
        <f t="shared" si="130"/>
        <v>8.5058877275992177</v>
      </c>
      <c r="CP93" s="612">
        <f t="shared" si="130"/>
        <v>8.5058976068940826</v>
      </c>
      <c r="CQ93" s="611">
        <f t="shared" si="131"/>
        <v>2.250308004884634</v>
      </c>
      <c r="CR93" s="611">
        <f t="shared" si="131"/>
        <v>2.6512333012042681</v>
      </c>
      <c r="CS93" s="611">
        <f t="shared" si="131"/>
        <v>3.0521585975239023</v>
      </c>
      <c r="CT93" s="610">
        <f t="shared" si="106"/>
        <v>10.756119325028749</v>
      </c>
      <c r="CU93" s="611">
        <f t="shared" si="106"/>
        <v>11.157121028803486</v>
      </c>
      <c r="CV93" s="612">
        <f t="shared" si="106"/>
        <v>11.558056204417985</v>
      </c>
      <c r="CW93" s="613">
        <f t="shared" si="140"/>
        <v>10.756119325028749</v>
      </c>
      <c r="CX93" s="613">
        <f t="shared" si="140"/>
        <v>11.157121028803486</v>
      </c>
      <c r="CY93" s="613">
        <f t="shared" si="140"/>
        <v>11.558056204417985</v>
      </c>
      <c r="CZ93" s="609">
        <f t="shared" si="107"/>
        <v>8.5058990739490348</v>
      </c>
      <c r="DA93" s="609"/>
      <c r="DB93" s="609">
        <f t="shared" si="120"/>
        <v>4.3499999999999996</v>
      </c>
      <c r="DC93" s="610">
        <f t="shared" si="108"/>
        <v>2.3162435787898691E-4</v>
      </c>
      <c r="DD93" s="611">
        <f t="shared" si="108"/>
        <v>3.5284211962013679E-5</v>
      </c>
      <c r="DE93" s="612">
        <f t="shared" si="108"/>
        <v>5.252061295634492E-6</v>
      </c>
      <c r="DF93" s="611">
        <f t="shared" si="141"/>
        <v>2.4760370518350869E-4</v>
      </c>
      <c r="DG93" s="611">
        <f t="shared" si="141"/>
        <v>3.8175207315305351E-5</v>
      </c>
      <c r="DH93" s="611">
        <f t="shared" si="141"/>
        <v>5.7514695228633376E-6</v>
      </c>
      <c r="DI93" s="614">
        <f t="shared" si="109"/>
        <v>8</v>
      </c>
      <c r="DJ93" s="615"/>
      <c r="DK93" s="609">
        <f t="shared" si="121"/>
        <v>4.3499999999999996</v>
      </c>
      <c r="DL93" s="611">
        <f t="shared" si="132"/>
        <v>3.9000195517617997</v>
      </c>
      <c r="DM93" s="611">
        <f t="shared" si="132"/>
        <v>1000000</v>
      </c>
      <c r="DN93" s="611">
        <f t="shared" si="132"/>
        <v>1000000</v>
      </c>
      <c r="DO93" s="610">
        <f t="shared" si="133"/>
        <v>0.3422493142989147</v>
      </c>
      <c r="DP93" s="611">
        <f t="shared" si="133"/>
        <v>0.36159931429891484</v>
      </c>
      <c r="DQ93" s="612">
        <f t="shared" si="133"/>
        <v>0.39255931429891511</v>
      </c>
      <c r="DR93" s="611">
        <f t="shared" si="110"/>
        <v>4.242268866060714</v>
      </c>
      <c r="DS93" s="611">
        <f t="shared" si="110"/>
        <v>1000000.3615993143</v>
      </c>
      <c r="DT93" s="611">
        <f t="shared" si="110"/>
        <v>1000000.3925593143</v>
      </c>
      <c r="DU93" s="609">
        <f t="shared" si="122"/>
        <v>4.2</v>
      </c>
      <c r="DV93" s="611"/>
      <c r="DW93" s="646">
        <f t="shared" si="111"/>
        <v>11.6</v>
      </c>
      <c r="DX93" s="621">
        <f t="shared" si="134"/>
        <v>7.0703371875175733</v>
      </c>
      <c r="DY93" s="621">
        <f t="shared" si="134"/>
        <v>7.2200082337979516</v>
      </c>
      <c r="DZ93" s="621">
        <f t="shared" si="134"/>
        <v>7.3414166549052062</v>
      </c>
      <c r="EA93" s="610">
        <f t="shared" si="112"/>
        <v>7.1376431462219863</v>
      </c>
      <c r="EB93" s="611">
        <f t="shared" si="112"/>
        <v>7.154269565511715</v>
      </c>
      <c r="EC93" s="612">
        <f t="shared" si="112"/>
        <v>7.1684351861989795</v>
      </c>
      <c r="ED93" s="610">
        <f t="shared" si="123"/>
        <v>8</v>
      </c>
      <c r="EE93" s="611">
        <f t="shared" si="124"/>
        <v>8.5058990739490348</v>
      </c>
      <c r="EF93" s="645">
        <f t="shared" si="125"/>
        <v>-1000000</v>
      </c>
      <c r="EG93" s="902"/>
      <c r="EH93" s="646">
        <f t="shared" si="113"/>
        <v>11.6</v>
      </c>
      <c r="EI93" s="610">
        <f t="shared" si="135"/>
        <v>6.7305958704412916E-2</v>
      </c>
      <c r="EJ93" s="986">
        <f t="shared" si="135"/>
        <v>-6.573866828623709E-2</v>
      </c>
      <c r="EK93" s="612">
        <f t="shared" si="135"/>
        <v>-0.17298146870622677</v>
      </c>
    </row>
    <row r="94" spans="21:141" ht="15" customHeight="1" x14ac:dyDescent="0.25">
      <c r="U94" s="642">
        <f t="shared" si="127"/>
        <v>88</v>
      </c>
      <c r="W94" s="609">
        <f t="shared" si="90"/>
        <v>6.2376593208959585</v>
      </c>
      <c r="X94" s="610">
        <f t="shared" si="136"/>
        <v>3.8425856857010858</v>
      </c>
      <c r="Y94" s="611">
        <f t="shared" si="136"/>
        <v>3.7979606857010855</v>
      </c>
      <c r="Z94" s="611">
        <f t="shared" si="136"/>
        <v>3.7265606857010858</v>
      </c>
      <c r="AA94" s="611">
        <f t="shared" si="136"/>
        <v>3.5837606857010855</v>
      </c>
      <c r="AB94" s="982">
        <f t="shared" si="91"/>
        <v>1000000</v>
      </c>
      <c r="AC94" s="919">
        <f t="shared" si="92"/>
        <v>3.8693606857010856</v>
      </c>
      <c r="AD94" s="611">
        <f t="shared" si="137"/>
        <v>3.6882990193957115</v>
      </c>
      <c r="AE94" s="611">
        <f t="shared" si="137"/>
        <v>3.6243240193957109</v>
      </c>
      <c r="AF94" s="611">
        <f t="shared" si="137"/>
        <v>3.5219640193957109</v>
      </c>
      <c r="AG94" s="612">
        <f t="shared" si="129"/>
        <v>3.31724401939571</v>
      </c>
      <c r="AH94" s="609">
        <f t="shared" si="93"/>
        <v>3</v>
      </c>
      <c r="AI94" s="895">
        <f t="shared" si="114"/>
        <v>-1000000</v>
      </c>
      <c r="AJ94" s="610">
        <f t="shared" si="94"/>
        <v>6.2376593208959585</v>
      </c>
      <c r="AK94" s="609">
        <f t="shared" si="115"/>
        <v>-0.1426766663053744</v>
      </c>
      <c r="AL94" s="611">
        <f t="shared" si="138"/>
        <v>-0.15428666630537449</v>
      </c>
      <c r="AM94" s="611">
        <f t="shared" si="138"/>
        <v>-0.17363666630537467</v>
      </c>
      <c r="AN94" s="611">
        <f t="shared" si="138"/>
        <v>-0.20459666630537493</v>
      </c>
      <c r="AO94" s="612">
        <f t="shared" si="138"/>
        <v>-0.26651666630537546</v>
      </c>
      <c r="AP94" s="902">
        <v>0</v>
      </c>
      <c r="AQ94" s="783">
        <f t="shared" si="95"/>
        <v>1000000</v>
      </c>
      <c r="AR94" s="983"/>
      <c r="AS94" s="609">
        <f t="shared" si="96"/>
        <v>6.2376593208959585</v>
      </c>
      <c r="AT94" s="610">
        <f t="shared" si="97"/>
        <v>3.6882990193957115</v>
      </c>
      <c r="AU94" s="611">
        <f t="shared" si="97"/>
        <v>3.6243240193957109</v>
      </c>
      <c r="AV94" s="611">
        <f t="shared" si="97"/>
        <v>3.5219640193957109</v>
      </c>
      <c r="AW94" s="612">
        <f t="shared" si="97"/>
        <v>3.31724401939571</v>
      </c>
      <c r="AX94" s="982">
        <f t="shared" si="98"/>
        <v>1000000</v>
      </c>
      <c r="AY94" s="611">
        <f t="shared" si="99"/>
        <v>3</v>
      </c>
      <c r="AZ94" s="612">
        <f t="shared" si="100"/>
        <v>3.8693606857010856</v>
      </c>
      <c r="BB94" s="984">
        <f t="shared" si="116"/>
        <v>4.1565246613689473</v>
      </c>
      <c r="BC94" s="985">
        <f t="shared" si="139"/>
        <v>3.7071777059062669</v>
      </c>
      <c r="BD94" s="985">
        <f t="shared" si="139"/>
        <v>3.6278349866449098</v>
      </c>
      <c r="BE94" s="528">
        <f t="shared" si="139"/>
        <v>3.5635636166150193</v>
      </c>
      <c r="BF94" s="913">
        <f t="shared" si="101"/>
        <v>4.1565246613689473</v>
      </c>
      <c r="BG94" s="317">
        <f t="shared" si="101"/>
        <v>-1000000</v>
      </c>
      <c r="BH94" s="317">
        <f t="shared" si="101"/>
        <v>-1000000</v>
      </c>
      <c r="BI94" s="919">
        <f t="shared" si="101"/>
        <v>-1000000</v>
      </c>
      <c r="BJ94" s="646">
        <f t="shared" si="102"/>
        <v>4.3999999999999995</v>
      </c>
      <c r="BK94" s="913">
        <f t="shared" si="103"/>
        <v>4.1565246613689473</v>
      </c>
      <c r="BL94" s="317"/>
      <c r="BM94" s="317"/>
      <c r="BN94" s="317"/>
      <c r="BO94" s="913">
        <f t="shared" si="104"/>
        <v>3</v>
      </c>
      <c r="BP94" s="783">
        <f t="shared" si="117"/>
        <v>1000000</v>
      </c>
      <c r="CK94" s="642">
        <f t="shared" si="128"/>
        <v>88</v>
      </c>
      <c r="CL94" s="609">
        <f t="shared" si="105"/>
        <v>6.2376593208959585</v>
      </c>
      <c r="CM94" s="609">
        <f t="shared" si="118"/>
        <v>4.3999999999999995</v>
      </c>
      <c r="CN94" s="610">
        <f t="shared" si="130"/>
        <v>8.5058221696904095</v>
      </c>
      <c r="CO94" s="611">
        <f t="shared" si="130"/>
        <v>8.5058893614945621</v>
      </c>
      <c r="CP94" s="612">
        <f t="shared" si="130"/>
        <v>8.505897847335925</v>
      </c>
      <c r="CQ94" s="611">
        <f t="shared" si="131"/>
        <v>2.250308004884634</v>
      </c>
      <c r="CR94" s="611">
        <f t="shared" si="131"/>
        <v>2.6512333012042681</v>
      </c>
      <c r="CS94" s="611">
        <f t="shared" si="131"/>
        <v>3.0521585975239023</v>
      </c>
      <c r="CT94" s="610">
        <f t="shared" si="106"/>
        <v>10.756130174575043</v>
      </c>
      <c r="CU94" s="611">
        <f t="shared" si="106"/>
        <v>11.15712266269883</v>
      </c>
      <c r="CV94" s="612">
        <f t="shared" si="106"/>
        <v>11.558056444859828</v>
      </c>
      <c r="CW94" s="613">
        <f t="shared" si="140"/>
        <v>10.756130174575043</v>
      </c>
      <c r="CX94" s="613">
        <f t="shared" si="140"/>
        <v>11.15712266269883</v>
      </c>
      <c r="CY94" s="613">
        <f t="shared" si="140"/>
        <v>11.558056444859828</v>
      </c>
      <c r="CZ94" s="609">
        <f t="shared" si="107"/>
        <v>8.5058990739490348</v>
      </c>
      <c r="DA94" s="609"/>
      <c r="DB94" s="609">
        <f t="shared" si="120"/>
        <v>4.3999999999999995</v>
      </c>
      <c r="DC94" s="610">
        <f t="shared" si="108"/>
        <v>2.0298720424311877E-4</v>
      </c>
      <c r="DD94" s="611">
        <f t="shared" si="108"/>
        <v>3.0203220223998101E-5</v>
      </c>
      <c r="DE94" s="612">
        <f t="shared" si="108"/>
        <v>4.3912787502804712E-6</v>
      </c>
      <c r="DF94" s="611">
        <f t="shared" si="141"/>
        <v>2.1699092588534162E-4</v>
      </c>
      <c r="DG94" s="611">
        <f t="shared" si="141"/>
        <v>3.2677906887102041E-5</v>
      </c>
      <c r="DH94" s="611">
        <f t="shared" si="141"/>
        <v>4.8088368487242575E-6</v>
      </c>
      <c r="DI94" s="614">
        <f t="shared" si="109"/>
        <v>8</v>
      </c>
      <c r="DJ94" s="615"/>
      <c r="DK94" s="609">
        <f t="shared" si="121"/>
        <v>4.3999999999999995</v>
      </c>
      <c r="DL94" s="611">
        <f t="shared" si="132"/>
        <v>3.9012260243321384</v>
      </c>
      <c r="DM94" s="611">
        <f t="shared" si="132"/>
        <v>1000000</v>
      </c>
      <c r="DN94" s="611">
        <f t="shared" si="132"/>
        <v>1000000</v>
      </c>
      <c r="DO94" s="610">
        <f t="shared" si="133"/>
        <v>0.3422493142989147</v>
      </c>
      <c r="DP94" s="611">
        <f t="shared" si="133"/>
        <v>0.36159931429891484</v>
      </c>
      <c r="DQ94" s="612">
        <f t="shared" si="133"/>
        <v>0.39255931429891511</v>
      </c>
      <c r="DR94" s="611">
        <f t="shared" si="110"/>
        <v>4.2434753386310531</v>
      </c>
      <c r="DS94" s="611">
        <f t="shared" si="110"/>
        <v>1000000.3615993143</v>
      </c>
      <c r="DT94" s="611">
        <f t="shared" si="110"/>
        <v>1000000.3925593143</v>
      </c>
      <c r="DU94" s="609">
        <f t="shared" si="122"/>
        <v>4.2</v>
      </c>
      <c r="DV94" s="611"/>
      <c r="DW94" s="646">
        <f t="shared" si="111"/>
        <v>11.733333333333333</v>
      </c>
      <c r="DX94" s="621">
        <f t="shared" si="134"/>
        <v>7.0555785933812558</v>
      </c>
      <c r="DY94" s="621">
        <f t="shared" si="134"/>
        <v>7.2066258435557184</v>
      </c>
      <c r="DZ94" s="621">
        <f t="shared" si="134"/>
        <v>7.3291783621987889</v>
      </c>
      <c r="EA94" s="610">
        <f t="shared" si="112"/>
        <v>7.1097962702605724</v>
      </c>
      <c r="EB94" s="611">
        <f t="shared" si="112"/>
        <v>7.1271249868895339</v>
      </c>
      <c r="EC94" s="612">
        <f t="shared" si="112"/>
        <v>7.1418914916977005</v>
      </c>
      <c r="ED94" s="610">
        <f t="shared" si="123"/>
        <v>8</v>
      </c>
      <c r="EE94" s="611">
        <f t="shared" si="124"/>
        <v>8.5058990739490348</v>
      </c>
      <c r="EF94" s="645">
        <f t="shared" si="125"/>
        <v>-1000000</v>
      </c>
      <c r="EG94" s="902"/>
      <c r="EH94" s="646">
        <f t="shared" si="113"/>
        <v>11.733333333333333</v>
      </c>
      <c r="EI94" s="610">
        <f t="shared" si="135"/>
        <v>5.4217676879316112E-2</v>
      </c>
      <c r="EJ94" s="986">
        <f t="shared" si="135"/>
        <v>-7.9500856666184561E-2</v>
      </c>
      <c r="EK94" s="612">
        <f t="shared" si="135"/>
        <v>-0.18728687050108883</v>
      </c>
    </row>
    <row r="95" spans="21:141" ht="15" customHeight="1" x14ac:dyDescent="0.25">
      <c r="U95" s="642">
        <f t="shared" si="127"/>
        <v>89</v>
      </c>
      <c r="W95" s="609">
        <f t="shared" si="90"/>
        <v>6.3085418131788673</v>
      </c>
      <c r="X95" s="610">
        <f t="shared" si="136"/>
        <v>3.8417219760236661</v>
      </c>
      <c r="Y95" s="611">
        <f t="shared" si="136"/>
        <v>3.7956574598946338</v>
      </c>
      <c r="Z95" s="611">
        <f t="shared" si="136"/>
        <v>3.7219542340881824</v>
      </c>
      <c r="AA95" s="611">
        <f t="shared" si="136"/>
        <v>3.5745477824752792</v>
      </c>
      <c r="AB95" s="982">
        <f t="shared" si="91"/>
        <v>1000000</v>
      </c>
      <c r="AC95" s="919">
        <f t="shared" si="92"/>
        <v>3.8693606857010856</v>
      </c>
      <c r="AD95" s="611">
        <f t="shared" si="137"/>
        <v>3.6861228937332942</v>
      </c>
      <c r="AE95" s="611">
        <f t="shared" si="137"/>
        <v>3.6207083776042617</v>
      </c>
      <c r="AF95" s="611">
        <f t="shared" si="137"/>
        <v>3.51604515179781</v>
      </c>
      <c r="AG95" s="612">
        <f t="shared" si="129"/>
        <v>3.3067187001849061</v>
      </c>
      <c r="AH95" s="609">
        <f t="shared" si="93"/>
        <v>3</v>
      </c>
      <c r="AI95" s="895">
        <f t="shared" si="114"/>
        <v>-1000000</v>
      </c>
      <c r="AJ95" s="610">
        <f t="shared" si="94"/>
        <v>6.3085418131788673</v>
      </c>
      <c r="AK95" s="609">
        <f t="shared" si="115"/>
        <v>-0.14398908229037194</v>
      </c>
      <c r="AL95" s="611">
        <f t="shared" si="138"/>
        <v>-0.15559908229037203</v>
      </c>
      <c r="AM95" s="611">
        <f t="shared" si="138"/>
        <v>-0.1749490822903722</v>
      </c>
      <c r="AN95" s="611">
        <f t="shared" si="138"/>
        <v>-0.20590908229037247</v>
      </c>
      <c r="AO95" s="612">
        <f t="shared" si="138"/>
        <v>-0.267829082290373</v>
      </c>
      <c r="AP95" s="902">
        <v>0</v>
      </c>
      <c r="AQ95" s="783">
        <f t="shared" si="95"/>
        <v>1000000</v>
      </c>
      <c r="AR95" s="983"/>
      <c r="AS95" s="609">
        <f t="shared" si="96"/>
        <v>6.3085418131788673</v>
      </c>
      <c r="AT95" s="610">
        <f t="shared" si="97"/>
        <v>3.6861228937332942</v>
      </c>
      <c r="AU95" s="611">
        <f t="shared" si="97"/>
        <v>3.6207083776042617</v>
      </c>
      <c r="AV95" s="611">
        <f t="shared" si="97"/>
        <v>3.51604515179781</v>
      </c>
      <c r="AW95" s="612">
        <f t="shared" si="97"/>
        <v>3.3067187001849061</v>
      </c>
      <c r="AX95" s="982">
        <f t="shared" si="98"/>
        <v>1000000</v>
      </c>
      <c r="AY95" s="611">
        <f t="shared" si="99"/>
        <v>3</v>
      </c>
      <c r="AZ95" s="612">
        <f t="shared" si="100"/>
        <v>3.8693606857010856</v>
      </c>
      <c r="BB95" s="984">
        <f t="shared" si="116"/>
        <v>4.1552193461654312</v>
      </c>
      <c r="BC95" s="985">
        <f t="shared" si="139"/>
        <v>3.7055841547562718</v>
      </c>
      <c r="BD95" s="985">
        <f t="shared" si="139"/>
        <v>3.627606094711898</v>
      </c>
      <c r="BE95" s="528">
        <f t="shared" si="139"/>
        <v>3.5634299357563273</v>
      </c>
      <c r="BF95" s="913">
        <f t="shared" si="101"/>
        <v>4.1552193461654312</v>
      </c>
      <c r="BG95" s="317">
        <f t="shared" si="101"/>
        <v>-1000000</v>
      </c>
      <c r="BH95" s="317">
        <f t="shared" si="101"/>
        <v>-1000000</v>
      </c>
      <c r="BI95" s="919">
        <f t="shared" si="101"/>
        <v>-1000000</v>
      </c>
      <c r="BJ95" s="646">
        <f t="shared" si="102"/>
        <v>4.45</v>
      </c>
      <c r="BK95" s="913">
        <f t="shared" si="103"/>
        <v>4.1552193461654312</v>
      </c>
      <c r="BL95" s="317"/>
      <c r="BM95" s="317"/>
      <c r="BN95" s="317"/>
      <c r="BO95" s="913">
        <f t="shared" si="104"/>
        <v>3</v>
      </c>
      <c r="BP95" s="783">
        <f t="shared" si="117"/>
        <v>1000000</v>
      </c>
      <c r="CK95" s="642">
        <f t="shared" si="128"/>
        <v>89</v>
      </c>
      <c r="CL95" s="609">
        <f t="shared" si="105"/>
        <v>6.3085418131788673</v>
      </c>
      <c r="CM95" s="609">
        <f t="shared" si="118"/>
        <v>4.45</v>
      </c>
      <c r="CN95" s="610">
        <f t="shared" si="130"/>
        <v>8.5058316778401117</v>
      </c>
      <c r="CO95" s="611">
        <f t="shared" si="130"/>
        <v>8.5058907601059577</v>
      </c>
      <c r="CP95" s="612">
        <f t="shared" si="130"/>
        <v>8.5058980483707369</v>
      </c>
      <c r="CQ95" s="611">
        <f t="shared" si="131"/>
        <v>2.250308004884634</v>
      </c>
      <c r="CR95" s="611">
        <f t="shared" si="131"/>
        <v>2.6512333012042681</v>
      </c>
      <c r="CS95" s="611">
        <f t="shared" si="131"/>
        <v>3.0521585975239023</v>
      </c>
      <c r="CT95" s="610">
        <f t="shared" si="106"/>
        <v>10.756139682724745</v>
      </c>
      <c r="CU95" s="611">
        <f t="shared" si="106"/>
        <v>11.157124061310226</v>
      </c>
      <c r="CV95" s="612">
        <f t="shared" si="106"/>
        <v>11.55805664589464</v>
      </c>
      <c r="CW95" s="613">
        <f t="shared" si="140"/>
        <v>10.756139682724745</v>
      </c>
      <c r="CX95" s="613">
        <f t="shared" si="140"/>
        <v>11.157124061310226</v>
      </c>
      <c r="CY95" s="613">
        <f t="shared" si="140"/>
        <v>11.55805664589464</v>
      </c>
      <c r="CZ95" s="609">
        <f t="shared" si="107"/>
        <v>8.5058990739490348</v>
      </c>
      <c r="DA95" s="609"/>
      <c r="DB95" s="609">
        <f t="shared" si="120"/>
        <v>4.45</v>
      </c>
      <c r="DC95" s="610">
        <f t="shared" si="108"/>
        <v>1.7789063923909348E-4</v>
      </c>
      <c r="DD95" s="611">
        <f t="shared" si="108"/>
        <v>2.5853900687407183E-5</v>
      </c>
      <c r="DE95" s="612">
        <f t="shared" si="108"/>
        <v>3.6715734979508013E-6</v>
      </c>
      <c r="DF95" s="611">
        <f t="shared" si="141"/>
        <v>1.9016299404483745E-4</v>
      </c>
      <c r="DG95" s="611">
        <f t="shared" si="141"/>
        <v>2.7972227911731865E-5</v>
      </c>
      <c r="DH95" s="611">
        <f t="shared" si="141"/>
        <v>4.0206962381716381E-6</v>
      </c>
      <c r="DI95" s="614">
        <f t="shared" si="109"/>
        <v>8</v>
      </c>
      <c r="DJ95" s="615"/>
      <c r="DK95" s="609">
        <f t="shared" si="121"/>
        <v>4.45</v>
      </c>
      <c r="DL95" s="611">
        <f t="shared" si="132"/>
        <v>3.9025313395356545</v>
      </c>
      <c r="DM95" s="611">
        <f t="shared" si="132"/>
        <v>1000000</v>
      </c>
      <c r="DN95" s="611">
        <f t="shared" si="132"/>
        <v>1000000</v>
      </c>
      <c r="DO95" s="610">
        <f t="shared" si="133"/>
        <v>0.3422493142989147</v>
      </c>
      <c r="DP95" s="611">
        <f t="shared" si="133"/>
        <v>0.36159931429891484</v>
      </c>
      <c r="DQ95" s="612">
        <f t="shared" si="133"/>
        <v>0.39255931429891511</v>
      </c>
      <c r="DR95" s="611">
        <f t="shared" si="110"/>
        <v>4.2447806538345692</v>
      </c>
      <c r="DS95" s="611">
        <f t="shared" si="110"/>
        <v>1000000.3615993143</v>
      </c>
      <c r="DT95" s="611">
        <f t="shared" si="110"/>
        <v>1000000.3925593143</v>
      </c>
      <c r="DU95" s="609">
        <f t="shared" si="122"/>
        <v>4.2</v>
      </c>
      <c r="DV95" s="611"/>
      <c r="DW95" s="646">
        <f t="shared" si="111"/>
        <v>11.866666666666667</v>
      </c>
      <c r="DX95" s="621">
        <f t="shared" si="134"/>
        <v>7.0408553701588694</v>
      </c>
      <c r="DY95" s="621">
        <f t="shared" si="134"/>
        <v>7.193272189272566</v>
      </c>
      <c r="DZ95" s="621">
        <f t="shared" si="134"/>
        <v>7.3169638723847603</v>
      </c>
      <c r="EA95" s="610">
        <f t="shared" si="112"/>
        <v>7.0822010954836294</v>
      </c>
      <c r="EB95" s="611">
        <f t="shared" si="112"/>
        <v>7.1002366131925871</v>
      </c>
      <c r="EC95" s="612">
        <f t="shared" si="112"/>
        <v>7.1156080475829757</v>
      </c>
      <c r="ED95" s="610">
        <f t="shared" si="123"/>
        <v>8</v>
      </c>
      <c r="EE95" s="611">
        <f t="shared" si="124"/>
        <v>8.5058990739490348</v>
      </c>
      <c r="EF95" s="645">
        <f t="shared" si="125"/>
        <v>-1000000</v>
      </c>
      <c r="EG95" s="902"/>
      <c r="EH95" s="646">
        <f t="shared" si="113"/>
        <v>11.866666666666667</v>
      </c>
      <c r="EI95" s="610">
        <f t="shared" si="135"/>
        <v>4.1345725324760441E-2</v>
      </c>
      <c r="EJ95" s="986">
        <f t="shared" si="135"/>
        <v>-9.303557607997881E-2</v>
      </c>
      <c r="EK95" s="612">
        <f t="shared" si="135"/>
        <v>-0.20135582480178416</v>
      </c>
    </row>
    <row r="96" spans="21:141" ht="15" customHeight="1" x14ac:dyDescent="0.25">
      <c r="U96" s="642">
        <f t="shared" si="127"/>
        <v>90</v>
      </c>
      <c r="W96" s="609">
        <f t="shared" si="90"/>
        <v>6.3794243054617761</v>
      </c>
      <c r="X96" s="610">
        <f t="shared" si="136"/>
        <v>3.8408006857010855</v>
      </c>
      <c r="Y96" s="611">
        <f t="shared" si="136"/>
        <v>3.7932006857010858</v>
      </c>
      <c r="Z96" s="611">
        <f t="shared" si="136"/>
        <v>3.7170406857010856</v>
      </c>
      <c r="AA96" s="611">
        <f t="shared" si="136"/>
        <v>3.5647206857010856</v>
      </c>
      <c r="AB96" s="982">
        <f t="shared" si="91"/>
        <v>1000000</v>
      </c>
      <c r="AC96" s="919">
        <f t="shared" si="92"/>
        <v>3.8693606857010856</v>
      </c>
      <c r="AD96" s="611">
        <f t="shared" si="137"/>
        <v>3.6839238108408257</v>
      </c>
      <c r="AE96" s="611">
        <f t="shared" si="137"/>
        <v>3.6169738108408258</v>
      </c>
      <c r="AF96" s="611">
        <f t="shared" si="137"/>
        <v>3.5098538108408253</v>
      </c>
      <c r="AG96" s="612">
        <f t="shared" si="129"/>
        <v>3.2956138108408246</v>
      </c>
      <c r="AH96" s="609">
        <f t="shared" si="93"/>
        <v>3</v>
      </c>
      <c r="AI96" s="895">
        <f t="shared" si="114"/>
        <v>-1000000</v>
      </c>
      <c r="AJ96" s="610">
        <f t="shared" si="94"/>
        <v>6.3794243054617761</v>
      </c>
      <c r="AK96" s="609">
        <f t="shared" si="115"/>
        <v>-0.14526687486025971</v>
      </c>
      <c r="AL96" s="611">
        <f t="shared" si="138"/>
        <v>-0.15687687486025981</v>
      </c>
      <c r="AM96" s="611">
        <f t="shared" si="138"/>
        <v>-0.17622687486025998</v>
      </c>
      <c r="AN96" s="611">
        <f t="shared" si="138"/>
        <v>-0.20718687486026025</v>
      </c>
      <c r="AO96" s="612">
        <f t="shared" si="138"/>
        <v>-0.2691068748602608</v>
      </c>
      <c r="AP96" s="902">
        <v>0</v>
      </c>
      <c r="AQ96" s="783">
        <f t="shared" si="95"/>
        <v>1000000</v>
      </c>
      <c r="AR96" s="983"/>
      <c r="AS96" s="609">
        <f t="shared" si="96"/>
        <v>6.3794243054617761</v>
      </c>
      <c r="AT96" s="610">
        <f t="shared" si="97"/>
        <v>3.6839238108408257</v>
      </c>
      <c r="AU96" s="611">
        <f t="shared" si="97"/>
        <v>3.6169738108408258</v>
      </c>
      <c r="AV96" s="611">
        <f t="shared" si="97"/>
        <v>3.5098538108408253</v>
      </c>
      <c r="AW96" s="612">
        <f t="shared" si="97"/>
        <v>3.2956138108408246</v>
      </c>
      <c r="AX96" s="982">
        <f t="shared" si="98"/>
        <v>1000000</v>
      </c>
      <c r="AY96" s="611">
        <f t="shared" si="99"/>
        <v>3</v>
      </c>
      <c r="AZ96" s="612">
        <f t="shared" si="100"/>
        <v>3.8693606857010856</v>
      </c>
      <c r="BB96" s="984">
        <f t="shared" si="116"/>
        <v>4.1538025226847983</v>
      </c>
      <c r="BC96" s="985">
        <f t="shared" si="139"/>
        <v>3.704040508204371</v>
      </c>
      <c r="BD96" s="985">
        <f t="shared" si="139"/>
        <v>3.6273860303890513</v>
      </c>
      <c r="BE96" s="528">
        <f t="shared" si="139"/>
        <v>3.5632996379639135</v>
      </c>
      <c r="BF96" s="913">
        <f t="shared" si="101"/>
        <v>4.1538025226847983</v>
      </c>
      <c r="BG96" s="317">
        <f t="shared" si="101"/>
        <v>-1000000</v>
      </c>
      <c r="BH96" s="317">
        <f t="shared" si="101"/>
        <v>-1000000</v>
      </c>
      <c r="BI96" s="919">
        <f t="shared" si="101"/>
        <v>-1000000</v>
      </c>
      <c r="BJ96" s="646">
        <f t="shared" si="102"/>
        <v>4.5</v>
      </c>
      <c r="BK96" s="913">
        <f t="shared" si="103"/>
        <v>4.1538025226847983</v>
      </c>
      <c r="BL96" s="317"/>
      <c r="BM96" s="317"/>
      <c r="BN96" s="317"/>
      <c r="BO96" s="913">
        <f t="shared" si="104"/>
        <v>3</v>
      </c>
      <c r="BP96" s="783">
        <f t="shared" si="117"/>
        <v>1000000</v>
      </c>
      <c r="CK96" s="642">
        <f t="shared" si="128"/>
        <v>90</v>
      </c>
      <c r="CL96" s="609">
        <f t="shared" si="105"/>
        <v>6.3794243054617761</v>
      </c>
      <c r="CM96" s="609">
        <f t="shared" si="118"/>
        <v>4.5</v>
      </c>
      <c r="CN96" s="610">
        <f t="shared" si="130"/>
        <v>8.5058400104383907</v>
      </c>
      <c r="CO96" s="611">
        <f t="shared" si="130"/>
        <v>8.5058919573147271</v>
      </c>
      <c r="CP96" s="612">
        <f t="shared" si="130"/>
        <v>8.5058982164571031</v>
      </c>
      <c r="CQ96" s="611">
        <f t="shared" si="131"/>
        <v>2.250308004884634</v>
      </c>
      <c r="CR96" s="611">
        <f t="shared" si="131"/>
        <v>2.6512333012042681</v>
      </c>
      <c r="CS96" s="611">
        <f t="shared" si="131"/>
        <v>3.0521585975239023</v>
      </c>
      <c r="CT96" s="610">
        <f t="shared" si="106"/>
        <v>10.756148015323024</v>
      </c>
      <c r="CU96" s="611">
        <f t="shared" si="106"/>
        <v>11.157125258518995</v>
      </c>
      <c r="CV96" s="612">
        <f t="shared" si="106"/>
        <v>11.558056813981006</v>
      </c>
      <c r="CW96" s="613">
        <f t="shared" si="140"/>
        <v>10.756148015323024</v>
      </c>
      <c r="CX96" s="613">
        <f t="shared" si="140"/>
        <v>11.157125258518995</v>
      </c>
      <c r="CY96" s="613">
        <f t="shared" si="140"/>
        <v>11.558056813981006</v>
      </c>
      <c r="CZ96" s="609">
        <f t="shared" si="107"/>
        <v>8.5058990739490348</v>
      </c>
      <c r="DA96" s="609"/>
      <c r="DB96" s="609">
        <f t="shared" si="120"/>
        <v>4.5</v>
      </c>
      <c r="DC96" s="610">
        <f t="shared" si="108"/>
        <v>1.5589691797021819E-4</v>
      </c>
      <c r="DD96" s="611">
        <f t="shared" si="108"/>
        <v>2.2130891202892848E-5</v>
      </c>
      <c r="DE96" s="612">
        <f t="shared" si="108"/>
        <v>3.0698237842436466E-6</v>
      </c>
      <c r="DF96" s="611">
        <f t="shared" si="141"/>
        <v>1.6665196557852428E-4</v>
      </c>
      <c r="DG96" s="611">
        <f t="shared" si="141"/>
        <v>2.394417538909019E-5</v>
      </c>
      <c r="DH96" s="611">
        <f t="shared" si="141"/>
        <v>3.3617273231811969E-6</v>
      </c>
      <c r="DI96" s="614">
        <f t="shared" si="109"/>
        <v>8</v>
      </c>
      <c r="DJ96" s="615"/>
      <c r="DK96" s="609">
        <f t="shared" si="121"/>
        <v>4.5</v>
      </c>
      <c r="DL96" s="611">
        <f t="shared" si="132"/>
        <v>3.9039481630162873</v>
      </c>
      <c r="DM96" s="611">
        <f t="shared" si="132"/>
        <v>1000000</v>
      </c>
      <c r="DN96" s="611">
        <f t="shared" si="132"/>
        <v>1000000</v>
      </c>
      <c r="DO96" s="610">
        <f t="shared" si="133"/>
        <v>0.3422493142989147</v>
      </c>
      <c r="DP96" s="611">
        <f t="shared" si="133"/>
        <v>0.36159931429891484</v>
      </c>
      <c r="DQ96" s="612">
        <f t="shared" si="133"/>
        <v>0.39255931429891511</v>
      </c>
      <c r="DR96" s="611">
        <f t="shared" si="110"/>
        <v>4.246197477315202</v>
      </c>
      <c r="DS96" s="611">
        <f t="shared" si="110"/>
        <v>1000000.3615993143</v>
      </c>
      <c r="DT96" s="611">
        <f t="shared" si="110"/>
        <v>1000000.3925593143</v>
      </c>
      <c r="DU96" s="609">
        <f t="shared" si="122"/>
        <v>4.2</v>
      </c>
      <c r="DV96" s="611"/>
      <c r="DW96" s="646">
        <f t="shared" si="111"/>
        <v>12</v>
      </c>
      <c r="DX96" s="621">
        <f t="shared" si="134"/>
        <v>7.0261673908460258</v>
      </c>
      <c r="DY96" s="621">
        <f t="shared" si="134"/>
        <v>7.1799471784908251</v>
      </c>
      <c r="DZ96" s="621">
        <f t="shared" si="134"/>
        <v>7.3047731160873575</v>
      </c>
      <c r="EA96" s="610">
        <f t="shared" si="112"/>
        <v>7.0548539192619071</v>
      </c>
      <c r="EB96" s="611">
        <f t="shared" si="112"/>
        <v>7.0736005922318945</v>
      </c>
      <c r="EC96" s="612">
        <f t="shared" si="112"/>
        <v>7.0895808763457193</v>
      </c>
      <c r="ED96" s="610">
        <f t="shared" si="123"/>
        <v>8</v>
      </c>
      <c r="EE96" s="611">
        <f t="shared" si="124"/>
        <v>8.5058990739490348</v>
      </c>
      <c r="EF96" s="645">
        <f t="shared" si="125"/>
        <v>-1000000</v>
      </c>
      <c r="EG96" s="902"/>
      <c r="EH96" s="646">
        <f t="shared" si="113"/>
        <v>12</v>
      </c>
      <c r="EI96" s="610">
        <f t="shared" si="135"/>
        <v>2.8686528415880819E-2</v>
      </c>
      <c r="EJ96" s="986">
        <f t="shared" si="135"/>
        <v>-0.10634658625893101</v>
      </c>
      <c r="EK96" s="612">
        <f t="shared" si="135"/>
        <v>-0.21519223974163859</v>
      </c>
    </row>
    <row r="97" spans="21:141" ht="15" customHeight="1" x14ac:dyDescent="0.25">
      <c r="U97" s="642">
        <f t="shared" si="127"/>
        <v>91</v>
      </c>
      <c r="W97" s="609">
        <f t="shared" si="90"/>
        <v>6.4503067977446849</v>
      </c>
      <c r="X97" s="610">
        <f t="shared" si="136"/>
        <v>3.8398158581148789</v>
      </c>
      <c r="Y97" s="611">
        <f t="shared" si="136"/>
        <v>3.7905744788045337</v>
      </c>
      <c r="Z97" s="611">
        <f t="shared" si="136"/>
        <v>3.7117882719079822</v>
      </c>
      <c r="AA97" s="611">
        <f t="shared" si="136"/>
        <v>3.5542158581148788</v>
      </c>
      <c r="AB97" s="982">
        <f t="shared" si="91"/>
        <v>1000000</v>
      </c>
      <c r="AC97" s="919">
        <f t="shared" si="92"/>
        <v>3.8693606857010856</v>
      </c>
      <c r="AD97" s="611">
        <f t="shared" si="137"/>
        <v>3.6816949006845157</v>
      </c>
      <c r="AE97" s="611">
        <f t="shared" si="137"/>
        <v>3.6131035213741702</v>
      </c>
      <c r="AF97" s="611">
        <f t="shared" si="137"/>
        <v>3.5033573144776184</v>
      </c>
      <c r="AG97" s="612">
        <f t="shared" si="129"/>
        <v>3.2838649006845149</v>
      </c>
      <c r="AH97" s="609">
        <f t="shared" si="93"/>
        <v>3</v>
      </c>
      <c r="AI97" s="895">
        <f t="shared" si="114"/>
        <v>-1000000</v>
      </c>
      <c r="AJ97" s="610">
        <f t="shared" si="94"/>
        <v>6.4503067977446849</v>
      </c>
      <c r="AK97" s="609">
        <f t="shared" si="115"/>
        <v>-0.14651095743036308</v>
      </c>
      <c r="AL97" s="611">
        <f t="shared" si="138"/>
        <v>-0.15812095743036317</v>
      </c>
      <c r="AM97" s="611">
        <f t="shared" si="138"/>
        <v>-0.17747095743036334</v>
      </c>
      <c r="AN97" s="611">
        <f t="shared" si="138"/>
        <v>-0.20843095743036361</v>
      </c>
      <c r="AO97" s="612">
        <f t="shared" si="138"/>
        <v>-0.27035095743036414</v>
      </c>
      <c r="AP97" s="902">
        <v>0</v>
      </c>
      <c r="AQ97" s="783">
        <f t="shared" si="95"/>
        <v>1000000</v>
      </c>
      <c r="AR97" s="983"/>
      <c r="AS97" s="609">
        <f t="shared" si="96"/>
        <v>6.4503067977446849</v>
      </c>
      <c r="AT97" s="610">
        <f t="shared" si="97"/>
        <v>3.6816949006845157</v>
      </c>
      <c r="AU97" s="611">
        <f t="shared" si="97"/>
        <v>3.6131035213741702</v>
      </c>
      <c r="AV97" s="611">
        <f t="shared" si="97"/>
        <v>3.5033573144776184</v>
      </c>
      <c r="AW97" s="612">
        <f t="shared" si="97"/>
        <v>3.2838649006845149</v>
      </c>
      <c r="AX97" s="982">
        <f t="shared" si="98"/>
        <v>1000000</v>
      </c>
      <c r="AY97" s="611">
        <f t="shared" si="99"/>
        <v>3</v>
      </c>
      <c r="AZ97" s="612">
        <f t="shared" si="100"/>
        <v>3.8693606857010856</v>
      </c>
      <c r="BB97" s="984">
        <f t="shared" si="116"/>
        <v>4.152259264770719</v>
      </c>
      <c r="BC97" s="985">
        <f t="shared" si="139"/>
        <v>3.7025448253259214</v>
      </c>
      <c r="BD97" s="985">
        <f t="shared" si="139"/>
        <v>3.6271743067531728</v>
      </c>
      <c r="BE97" s="528">
        <f t="shared" si="139"/>
        <v>3.5631725951473783</v>
      </c>
      <c r="BF97" s="913">
        <f t="shared" si="101"/>
        <v>4.152259264770719</v>
      </c>
      <c r="BG97" s="317">
        <f t="shared" si="101"/>
        <v>-1000000</v>
      </c>
      <c r="BH97" s="317">
        <f t="shared" si="101"/>
        <v>-1000000</v>
      </c>
      <c r="BI97" s="919">
        <f t="shared" si="101"/>
        <v>-1000000</v>
      </c>
      <c r="BJ97" s="646">
        <f t="shared" si="102"/>
        <v>4.55</v>
      </c>
      <c r="BK97" s="913">
        <f t="shared" si="103"/>
        <v>4.152259264770719</v>
      </c>
      <c r="BL97" s="317"/>
      <c r="BM97" s="317"/>
      <c r="BN97" s="317"/>
      <c r="BO97" s="913">
        <f t="shared" si="104"/>
        <v>3</v>
      </c>
      <c r="BP97" s="783">
        <f t="shared" si="117"/>
        <v>1000000</v>
      </c>
      <c r="CK97" s="642">
        <f t="shared" si="128"/>
        <v>91</v>
      </c>
      <c r="CL97" s="609">
        <f t="shared" si="105"/>
        <v>6.4503067977446849</v>
      </c>
      <c r="CM97" s="609">
        <f t="shared" si="118"/>
        <v>4.55</v>
      </c>
      <c r="CN97" s="610">
        <f t="shared" si="130"/>
        <v>8.5058473128259457</v>
      </c>
      <c r="CO97" s="611">
        <f t="shared" si="130"/>
        <v>8.5058929821232212</v>
      </c>
      <c r="CP97" s="612">
        <f t="shared" si="130"/>
        <v>8.5058983569950826</v>
      </c>
      <c r="CQ97" s="611">
        <f t="shared" si="131"/>
        <v>2.250308004884634</v>
      </c>
      <c r="CR97" s="611">
        <f t="shared" si="131"/>
        <v>2.6512333012042681</v>
      </c>
      <c r="CS97" s="611">
        <f t="shared" si="131"/>
        <v>3.0521585975239023</v>
      </c>
      <c r="CT97" s="610">
        <f t="shared" si="106"/>
        <v>10.756155317710579</v>
      </c>
      <c r="CU97" s="611">
        <f t="shared" si="106"/>
        <v>11.157126283327489</v>
      </c>
      <c r="CV97" s="612">
        <f t="shared" si="106"/>
        <v>11.558056954518985</v>
      </c>
      <c r="CW97" s="613">
        <f t="shared" si="140"/>
        <v>10.756155317710579</v>
      </c>
      <c r="CX97" s="613">
        <f t="shared" si="140"/>
        <v>11.157126283327489</v>
      </c>
      <c r="CY97" s="613">
        <f t="shared" si="140"/>
        <v>11.558056954518985</v>
      </c>
      <c r="CZ97" s="609">
        <f t="shared" si="107"/>
        <v>8.5058990739490348</v>
      </c>
      <c r="DA97" s="609"/>
      <c r="DB97" s="609">
        <f t="shared" si="120"/>
        <v>4.55</v>
      </c>
      <c r="DC97" s="610">
        <f t="shared" si="108"/>
        <v>1.3662241665199354E-4</v>
      </c>
      <c r="DD97" s="611">
        <f t="shared" si="108"/>
        <v>1.8944001965352885E-5</v>
      </c>
      <c r="DE97" s="612">
        <f t="shared" si="108"/>
        <v>2.5666973769060247E-6</v>
      </c>
      <c r="DF97" s="611">
        <f t="shared" si="141"/>
        <v>1.4604775110171937E-4</v>
      </c>
      <c r="DG97" s="611">
        <f t="shared" si="141"/>
        <v>2.049616988131227E-5</v>
      </c>
      <c r="DH97" s="611">
        <f t="shared" si="141"/>
        <v>2.8107595895221595E-6</v>
      </c>
      <c r="DI97" s="614">
        <f t="shared" si="109"/>
        <v>8</v>
      </c>
      <c r="DJ97" s="615"/>
      <c r="DK97" s="609">
        <f t="shared" si="121"/>
        <v>4.55</v>
      </c>
      <c r="DL97" s="611">
        <f t="shared" si="132"/>
        <v>3.9054914209303666</v>
      </c>
      <c r="DM97" s="611">
        <f t="shared" si="132"/>
        <v>1000000</v>
      </c>
      <c r="DN97" s="611">
        <f t="shared" si="132"/>
        <v>1000000</v>
      </c>
      <c r="DO97" s="610">
        <f t="shared" si="133"/>
        <v>0.3422493142989147</v>
      </c>
      <c r="DP97" s="611">
        <f t="shared" si="133"/>
        <v>0.36159931429891484</v>
      </c>
      <c r="DQ97" s="612">
        <f t="shared" si="133"/>
        <v>0.39255931429891511</v>
      </c>
      <c r="DR97" s="611">
        <f t="shared" si="110"/>
        <v>4.2477407352292813</v>
      </c>
      <c r="DS97" s="611">
        <f t="shared" si="110"/>
        <v>1000000.3615993143</v>
      </c>
      <c r="DT97" s="611">
        <f t="shared" si="110"/>
        <v>1000000.3925593143</v>
      </c>
      <c r="DU97" s="609">
        <f t="shared" si="122"/>
        <v>4.2</v>
      </c>
      <c r="DV97" s="611"/>
      <c r="DW97" s="646">
        <f t="shared" si="111"/>
        <v>12.133333333333333</v>
      </c>
      <c r="DX97" s="621">
        <f t="shared" si="134"/>
        <v>7.0115145290456464</v>
      </c>
      <c r="DY97" s="621">
        <f t="shared" si="134"/>
        <v>7.1666507191490494</v>
      </c>
      <c r="DZ97" s="621">
        <f t="shared" si="134"/>
        <v>7.2926060242001638</v>
      </c>
      <c r="EA97" s="610">
        <f t="shared" si="112"/>
        <v>7.0277510986733374</v>
      </c>
      <c r="EB97" s="611">
        <f t="shared" si="112"/>
        <v>7.047213134357591</v>
      </c>
      <c r="EC97" s="612">
        <f t="shared" si="112"/>
        <v>7.0638060653419474</v>
      </c>
      <c r="ED97" s="610">
        <f t="shared" si="123"/>
        <v>8</v>
      </c>
      <c r="EE97" s="611">
        <f t="shared" si="124"/>
        <v>8.5058990739490348</v>
      </c>
      <c r="EF97" s="645">
        <f t="shared" si="125"/>
        <v>-1000000</v>
      </c>
      <c r="EG97" s="902"/>
      <c r="EH97" s="646">
        <f t="shared" si="113"/>
        <v>12.133333333333333</v>
      </c>
      <c r="EI97" s="610">
        <f t="shared" si="135"/>
        <v>1.6236569627690933E-2</v>
      </c>
      <c r="EJ97" s="986">
        <f t="shared" si="135"/>
        <v>-0.11943758479145838</v>
      </c>
      <c r="EK97" s="612">
        <f t="shared" si="135"/>
        <v>-0.22879995885821636</v>
      </c>
    </row>
    <row r="98" spans="21:141" ht="15" customHeight="1" x14ac:dyDescent="0.25">
      <c r="U98" s="642">
        <f t="shared" si="127"/>
        <v>92</v>
      </c>
      <c r="W98" s="609">
        <f t="shared" si="90"/>
        <v>6.5211892900275936</v>
      </c>
      <c r="X98" s="610">
        <f t="shared" si="136"/>
        <v>3.8387606857010854</v>
      </c>
      <c r="Y98" s="611">
        <f t="shared" si="136"/>
        <v>3.7877606857010857</v>
      </c>
      <c r="Z98" s="611">
        <f t="shared" si="136"/>
        <v>3.7061606857010858</v>
      </c>
      <c r="AA98" s="611">
        <f t="shared" si="136"/>
        <v>3.5429606857010856</v>
      </c>
      <c r="AB98" s="982">
        <f t="shared" si="91"/>
        <v>1000000</v>
      </c>
      <c r="AC98" s="919">
        <f t="shared" si="92"/>
        <v>3.8693606857010856</v>
      </c>
      <c r="AD98" s="611">
        <f t="shared" si="137"/>
        <v>3.6794284663822836</v>
      </c>
      <c r="AE98" s="611">
        <f t="shared" si="137"/>
        <v>3.6090784663822841</v>
      </c>
      <c r="AF98" s="611">
        <f t="shared" si="137"/>
        <v>3.4965184663822839</v>
      </c>
      <c r="AG98" s="612">
        <f t="shared" si="129"/>
        <v>3.271398466382283</v>
      </c>
      <c r="AH98" s="609">
        <f t="shared" si="93"/>
        <v>3</v>
      </c>
      <c r="AI98" s="895">
        <f t="shared" si="114"/>
        <v>-1000000</v>
      </c>
      <c r="AJ98" s="610">
        <f t="shared" si="94"/>
        <v>6.5211892900275936</v>
      </c>
      <c r="AK98" s="609">
        <f t="shared" si="115"/>
        <v>-0.1477222193188015</v>
      </c>
      <c r="AL98" s="611">
        <f t="shared" si="138"/>
        <v>-0.15933221931880159</v>
      </c>
      <c r="AM98" s="611">
        <f t="shared" si="138"/>
        <v>-0.17868221931880177</v>
      </c>
      <c r="AN98" s="611">
        <f t="shared" si="138"/>
        <v>-0.20964221931880203</v>
      </c>
      <c r="AO98" s="612">
        <f t="shared" si="138"/>
        <v>-0.27156221931880259</v>
      </c>
      <c r="AP98" s="902">
        <v>0</v>
      </c>
      <c r="AQ98" s="783">
        <f t="shared" si="95"/>
        <v>1000000</v>
      </c>
      <c r="AR98" s="983"/>
      <c r="AS98" s="609">
        <f t="shared" si="96"/>
        <v>6.5211892900275936</v>
      </c>
      <c r="AT98" s="610">
        <f t="shared" si="97"/>
        <v>3.6794284663822836</v>
      </c>
      <c r="AU98" s="611">
        <f t="shared" si="97"/>
        <v>3.6090784663822841</v>
      </c>
      <c r="AV98" s="611">
        <f t="shared" si="97"/>
        <v>3.4965184663822839</v>
      </c>
      <c r="AW98" s="612">
        <f t="shared" si="97"/>
        <v>3.271398466382283</v>
      </c>
      <c r="AX98" s="982">
        <f t="shared" si="98"/>
        <v>1000000</v>
      </c>
      <c r="AY98" s="611">
        <f t="shared" si="99"/>
        <v>3</v>
      </c>
      <c r="AZ98" s="612">
        <f t="shared" si="100"/>
        <v>3.8693606857010856</v>
      </c>
      <c r="BB98" s="984">
        <f t="shared" si="116"/>
        <v>4.150571857893067</v>
      </c>
      <c r="BC98" s="985">
        <f t="shared" si="139"/>
        <v>3.7010952722605417</v>
      </c>
      <c r="BD98" s="985">
        <f t="shared" si="139"/>
        <v>3.6269704686485915</v>
      </c>
      <c r="BE98" s="528">
        <f t="shared" si="139"/>
        <v>3.5630486857369479</v>
      </c>
      <c r="BF98" s="913">
        <f t="shared" si="101"/>
        <v>4.150571857893067</v>
      </c>
      <c r="BG98" s="317">
        <f t="shared" si="101"/>
        <v>-1000000</v>
      </c>
      <c r="BH98" s="317">
        <f t="shared" si="101"/>
        <v>-1000000</v>
      </c>
      <c r="BI98" s="919">
        <f t="shared" si="101"/>
        <v>-1000000</v>
      </c>
      <c r="BJ98" s="646">
        <f t="shared" si="102"/>
        <v>4.6000000000000005</v>
      </c>
      <c r="BK98" s="913">
        <f t="shared" si="103"/>
        <v>4.150571857893067</v>
      </c>
      <c r="BL98" s="317"/>
      <c r="BM98" s="317"/>
      <c r="BN98" s="317"/>
      <c r="BO98" s="913">
        <f t="shared" si="104"/>
        <v>3</v>
      </c>
      <c r="BP98" s="783">
        <f t="shared" si="117"/>
        <v>1000000</v>
      </c>
      <c r="CK98" s="642">
        <f t="shared" si="128"/>
        <v>92</v>
      </c>
      <c r="CL98" s="609">
        <f t="shared" si="105"/>
        <v>6.5211892900275936</v>
      </c>
      <c r="CM98" s="609">
        <f t="shared" si="118"/>
        <v>4.6000000000000005</v>
      </c>
      <c r="CN98" s="610">
        <f t="shared" si="130"/>
        <v>8.50585371237411</v>
      </c>
      <c r="CO98" s="611">
        <f t="shared" si="130"/>
        <v>8.5058938593573981</v>
      </c>
      <c r="CP98" s="612">
        <f t="shared" si="130"/>
        <v>8.5058984744996984</v>
      </c>
      <c r="CQ98" s="611">
        <f t="shared" si="131"/>
        <v>2.250308004884634</v>
      </c>
      <c r="CR98" s="611">
        <f t="shared" si="131"/>
        <v>2.6512333012042681</v>
      </c>
      <c r="CS98" s="611">
        <f t="shared" si="131"/>
        <v>3.0521585975239023</v>
      </c>
      <c r="CT98" s="610">
        <f t="shared" si="106"/>
        <v>10.756161717258744</v>
      </c>
      <c r="CU98" s="611">
        <f t="shared" si="106"/>
        <v>11.157127160561666</v>
      </c>
      <c r="CV98" s="612">
        <f t="shared" si="106"/>
        <v>11.558057072023601</v>
      </c>
      <c r="CW98" s="613">
        <f t="shared" si="140"/>
        <v>10.756161717258744</v>
      </c>
      <c r="CX98" s="613">
        <f t="shared" si="140"/>
        <v>11.157127160561666</v>
      </c>
      <c r="CY98" s="613">
        <f t="shared" si="140"/>
        <v>11.558057072023601</v>
      </c>
      <c r="CZ98" s="609">
        <f t="shared" si="107"/>
        <v>8.5058990739490348</v>
      </c>
      <c r="DA98" s="609"/>
      <c r="DB98" s="609">
        <f t="shared" si="120"/>
        <v>4.6000000000000005</v>
      </c>
      <c r="DC98" s="610">
        <f t="shared" si="108"/>
        <v>1.197309412838856E-4</v>
      </c>
      <c r="DD98" s="611">
        <f t="shared" si="108"/>
        <v>1.6216030668316792E-5</v>
      </c>
      <c r="DE98" s="612">
        <f t="shared" si="108"/>
        <v>2.146030485016716E-6</v>
      </c>
      <c r="DF98" s="611">
        <f t="shared" si="141"/>
        <v>1.2799096328563838E-4</v>
      </c>
      <c r="DG98" s="611">
        <f t="shared" si="141"/>
        <v>1.7544683537096011E-5</v>
      </c>
      <c r="DH98" s="611">
        <f t="shared" si="141"/>
        <v>2.3500923163055297E-6</v>
      </c>
      <c r="DI98" s="614">
        <f t="shared" si="109"/>
        <v>8</v>
      </c>
      <c r="DJ98" s="615"/>
      <c r="DK98" s="609">
        <f t="shared" si="121"/>
        <v>4.6000000000000005</v>
      </c>
      <c r="DL98" s="611">
        <f t="shared" si="132"/>
        <v>3.9071788278080182</v>
      </c>
      <c r="DM98" s="611">
        <f t="shared" si="132"/>
        <v>1000000</v>
      </c>
      <c r="DN98" s="611">
        <f t="shared" si="132"/>
        <v>1000000</v>
      </c>
      <c r="DO98" s="610">
        <f t="shared" si="133"/>
        <v>0.3422493142989147</v>
      </c>
      <c r="DP98" s="611">
        <f t="shared" si="133"/>
        <v>0.36159931429891484</v>
      </c>
      <c r="DQ98" s="612">
        <f t="shared" si="133"/>
        <v>0.39255931429891511</v>
      </c>
      <c r="DR98" s="611">
        <f t="shared" si="110"/>
        <v>4.2494281421069324</v>
      </c>
      <c r="DS98" s="611">
        <f t="shared" si="110"/>
        <v>1000000.3615993143</v>
      </c>
      <c r="DT98" s="611">
        <f t="shared" si="110"/>
        <v>1000000.3925593143</v>
      </c>
      <c r="DU98" s="609">
        <f t="shared" si="122"/>
        <v>4.2</v>
      </c>
      <c r="DV98" s="611"/>
      <c r="DW98" s="646">
        <f t="shared" si="111"/>
        <v>12.266666666666667</v>
      </c>
      <c r="DX98" s="621">
        <f t="shared" si="134"/>
        <v>6.9968966589643413</v>
      </c>
      <c r="DY98" s="621">
        <f t="shared" si="134"/>
        <v>7.1533827195798807</v>
      </c>
      <c r="DZ98" s="621">
        <f t="shared" si="134"/>
        <v>7.2804625278847945</v>
      </c>
      <c r="EA98" s="610">
        <f t="shared" si="112"/>
        <v>7.0008890495225913</v>
      </c>
      <c r="EB98" s="611">
        <f t="shared" si="112"/>
        <v>7.0210705114296594</v>
      </c>
      <c r="EC98" s="612">
        <f t="shared" si="112"/>
        <v>7.0382797657238001</v>
      </c>
      <c r="ED98" s="610">
        <f t="shared" si="123"/>
        <v>8</v>
      </c>
      <c r="EE98" s="611">
        <f t="shared" si="124"/>
        <v>8.5058990739490348</v>
      </c>
      <c r="EF98" s="645">
        <f t="shared" si="125"/>
        <v>-1000000</v>
      </c>
      <c r="EG98" s="902"/>
      <c r="EH98" s="646">
        <f t="shared" si="113"/>
        <v>12.266666666666667</v>
      </c>
      <c r="EI98" s="610">
        <f t="shared" si="135"/>
        <v>3.9923905582499586E-3</v>
      </c>
      <c r="EJ98" s="986">
        <f t="shared" si="135"/>
        <v>-0.13231220815022082</v>
      </c>
      <c r="EK98" s="612">
        <f t="shared" si="135"/>
        <v>-0.24218276216099399</v>
      </c>
    </row>
    <row r="99" spans="21:141" ht="15" customHeight="1" x14ac:dyDescent="0.25">
      <c r="U99" s="642">
        <f t="shared" si="127"/>
        <v>93</v>
      </c>
      <c r="W99" s="609">
        <f t="shared" si="90"/>
        <v>6.5920717823105024</v>
      </c>
      <c r="X99" s="610">
        <f t="shared" si="136"/>
        <v>3.8376273523677522</v>
      </c>
      <c r="Y99" s="611">
        <f t="shared" si="136"/>
        <v>3.7847384634788632</v>
      </c>
      <c r="Z99" s="611">
        <f t="shared" si="136"/>
        <v>3.7001162412566413</v>
      </c>
      <c r="AA99" s="611">
        <f t="shared" si="136"/>
        <v>3.5308717968121965</v>
      </c>
      <c r="AB99" s="982">
        <f t="shared" si="91"/>
        <v>1000000</v>
      </c>
      <c r="AC99" s="919">
        <f t="shared" si="92"/>
        <v>3.8693606857010856</v>
      </c>
      <c r="AD99" s="611">
        <f t="shared" si="137"/>
        <v>3.6771158259855441</v>
      </c>
      <c r="AE99" s="611">
        <f t="shared" si="137"/>
        <v>3.6048769370966554</v>
      </c>
      <c r="AF99" s="611">
        <f t="shared" si="137"/>
        <v>3.4892947148744331</v>
      </c>
      <c r="AG99" s="612">
        <f t="shared" si="129"/>
        <v>3.2581302704299877</v>
      </c>
      <c r="AH99" s="609">
        <f t="shared" si="93"/>
        <v>3</v>
      </c>
      <c r="AI99" s="895">
        <f t="shared" si="114"/>
        <v>-1000000</v>
      </c>
      <c r="AJ99" s="610">
        <f t="shared" si="94"/>
        <v>6.5920717823105024</v>
      </c>
      <c r="AK99" s="609">
        <f t="shared" si="115"/>
        <v>-0.14890152638220783</v>
      </c>
      <c r="AL99" s="611">
        <f t="shared" si="138"/>
        <v>-0.16051152638220792</v>
      </c>
      <c r="AM99" s="611">
        <f t="shared" si="138"/>
        <v>-0.17986152638220809</v>
      </c>
      <c r="AN99" s="611">
        <f t="shared" si="138"/>
        <v>-0.21082152638220836</v>
      </c>
      <c r="AO99" s="612">
        <f t="shared" si="138"/>
        <v>-0.27274152638220889</v>
      </c>
      <c r="AP99" s="902">
        <v>0</v>
      </c>
      <c r="AQ99" s="783">
        <f t="shared" si="95"/>
        <v>1000000</v>
      </c>
      <c r="AR99" s="983"/>
      <c r="AS99" s="609">
        <f t="shared" si="96"/>
        <v>6.5920717823105024</v>
      </c>
      <c r="AT99" s="610">
        <f t="shared" si="97"/>
        <v>3.6771158259855441</v>
      </c>
      <c r="AU99" s="611">
        <f t="shared" si="97"/>
        <v>3.6048769370966554</v>
      </c>
      <c r="AV99" s="611">
        <f t="shared" si="97"/>
        <v>3.4892947148744331</v>
      </c>
      <c r="AW99" s="612">
        <f t="shared" si="97"/>
        <v>3.2581302704299877</v>
      </c>
      <c r="AX99" s="982">
        <f t="shared" si="98"/>
        <v>1000000</v>
      </c>
      <c r="AY99" s="611">
        <f t="shared" si="99"/>
        <v>3</v>
      </c>
      <c r="AZ99" s="612">
        <f t="shared" si="100"/>
        <v>3.8693606857010856</v>
      </c>
      <c r="BB99" s="984">
        <f t="shared" si="116"/>
        <v>4.1487191161243349</v>
      </c>
      <c r="BC99" s="985">
        <f t="shared" si="139"/>
        <v>3.6996901134748392</v>
      </c>
      <c r="BD99" s="985">
        <f t="shared" si="139"/>
        <v>3.6267740904164301</v>
      </c>
      <c r="BE99" s="528">
        <f t="shared" si="139"/>
        <v>3.5629277942602946</v>
      </c>
      <c r="BF99" s="913">
        <f t="shared" si="101"/>
        <v>4.1487191161243349</v>
      </c>
      <c r="BG99" s="317">
        <f t="shared" si="101"/>
        <v>-1000000</v>
      </c>
      <c r="BH99" s="317">
        <f t="shared" si="101"/>
        <v>-1000000</v>
      </c>
      <c r="BI99" s="919">
        <f t="shared" si="101"/>
        <v>-1000000</v>
      </c>
      <c r="BJ99" s="646">
        <f t="shared" si="102"/>
        <v>4.6500000000000004</v>
      </c>
      <c r="BK99" s="913">
        <f t="shared" si="103"/>
        <v>4.1487191161243349</v>
      </c>
      <c r="BL99" s="317"/>
      <c r="BM99" s="317"/>
      <c r="BN99" s="317"/>
      <c r="BO99" s="913">
        <f t="shared" si="104"/>
        <v>3</v>
      </c>
      <c r="BP99" s="783">
        <f t="shared" si="117"/>
        <v>1000000</v>
      </c>
      <c r="CK99" s="642">
        <f t="shared" si="128"/>
        <v>93</v>
      </c>
      <c r="CL99" s="609">
        <f t="shared" si="105"/>
        <v>6.5920717823105024</v>
      </c>
      <c r="CM99" s="609">
        <f t="shared" si="118"/>
        <v>4.6500000000000004</v>
      </c>
      <c r="CN99" s="610">
        <f t="shared" si="130"/>
        <v>8.5058593207065076</v>
      </c>
      <c r="CO99" s="611">
        <f t="shared" si="130"/>
        <v>8.505894610268232</v>
      </c>
      <c r="CP99" s="612">
        <f t="shared" si="130"/>
        <v>8.5058985727459877</v>
      </c>
      <c r="CQ99" s="611">
        <f t="shared" si="131"/>
        <v>2.250308004884634</v>
      </c>
      <c r="CR99" s="611">
        <f t="shared" si="131"/>
        <v>2.6512333012042681</v>
      </c>
      <c r="CS99" s="611">
        <f t="shared" si="131"/>
        <v>3.0521585975239023</v>
      </c>
      <c r="CT99" s="610">
        <f t="shared" si="106"/>
        <v>10.756167325591141</v>
      </c>
      <c r="CU99" s="611">
        <f t="shared" si="106"/>
        <v>11.1571279114725</v>
      </c>
      <c r="CV99" s="612">
        <f t="shared" si="106"/>
        <v>11.55805717026989</v>
      </c>
      <c r="CW99" s="613">
        <f t="shared" si="140"/>
        <v>10.756167325591141</v>
      </c>
      <c r="CX99" s="613">
        <f t="shared" si="140"/>
        <v>11.1571279114725</v>
      </c>
      <c r="CY99" s="613">
        <f t="shared" si="140"/>
        <v>11.55805717026989</v>
      </c>
      <c r="CZ99" s="609">
        <f t="shared" si="107"/>
        <v>8.5058990739490348</v>
      </c>
      <c r="DA99" s="609"/>
      <c r="DB99" s="609">
        <f t="shared" si="120"/>
        <v>4.6500000000000004</v>
      </c>
      <c r="DC99" s="610">
        <f t="shared" si="108"/>
        <v>1.0492786361143671E-4</v>
      </c>
      <c r="DD99" s="611">
        <f t="shared" si="108"/>
        <v>1.3880892280138303E-5</v>
      </c>
      <c r="DE99" s="612">
        <f t="shared" si="108"/>
        <v>1.7943084697318808E-6</v>
      </c>
      <c r="DF99" s="611">
        <f t="shared" si="141"/>
        <v>1.1216664795199488E-4</v>
      </c>
      <c r="DG99" s="611">
        <f t="shared" si="141"/>
        <v>1.5018216679152427E-5</v>
      </c>
      <c r="DH99" s="611">
        <f t="shared" si="141"/>
        <v>1.9649257865239701E-6</v>
      </c>
      <c r="DI99" s="614">
        <f t="shared" si="109"/>
        <v>8</v>
      </c>
      <c r="DJ99" s="615"/>
      <c r="DK99" s="609">
        <f t="shared" si="121"/>
        <v>4.6500000000000004</v>
      </c>
      <c r="DL99" s="611">
        <f t="shared" si="132"/>
        <v>3.9090315695767512</v>
      </c>
      <c r="DM99" s="611">
        <f t="shared" si="132"/>
        <v>1000000</v>
      </c>
      <c r="DN99" s="611">
        <f t="shared" si="132"/>
        <v>1000000</v>
      </c>
      <c r="DO99" s="610">
        <f t="shared" si="133"/>
        <v>0.3422493142989147</v>
      </c>
      <c r="DP99" s="611">
        <f t="shared" si="133"/>
        <v>0.36159931429891484</v>
      </c>
      <c r="DQ99" s="612">
        <f t="shared" si="133"/>
        <v>0.39255931429891511</v>
      </c>
      <c r="DR99" s="611">
        <f t="shared" si="110"/>
        <v>4.2512808838756655</v>
      </c>
      <c r="DS99" s="611">
        <f t="shared" si="110"/>
        <v>1000000.3615993143</v>
      </c>
      <c r="DT99" s="611">
        <f t="shared" si="110"/>
        <v>1000000.3925593143</v>
      </c>
      <c r="DU99" s="609">
        <f t="shared" si="122"/>
        <v>4.2</v>
      </c>
      <c r="DV99" s="611"/>
      <c r="DW99" s="646">
        <f t="shared" si="111"/>
        <v>12.4</v>
      </c>
      <c r="DX99" s="621">
        <f t="shared" si="134"/>
        <v>6.9823136554088014</v>
      </c>
      <c r="DY99" s="621">
        <f t="shared" si="134"/>
        <v>7.1401430885079611</v>
      </c>
      <c r="DZ99" s="621">
        <f t="shared" si="134"/>
        <v>7.2683425585696053</v>
      </c>
      <c r="EA99" s="610">
        <f t="shared" si="112"/>
        <v>6.9742642453767765</v>
      </c>
      <c r="EB99" s="611">
        <f t="shared" si="112"/>
        <v>6.9951690558056931</v>
      </c>
      <c r="EC99" s="612">
        <f t="shared" si="112"/>
        <v>7.0129981913882204</v>
      </c>
      <c r="ED99" s="610">
        <f t="shared" si="123"/>
        <v>8</v>
      </c>
      <c r="EE99" s="611">
        <f t="shared" si="124"/>
        <v>8.5058990739490348</v>
      </c>
      <c r="EF99" s="645">
        <f t="shared" si="125"/>
        <v>-1000000</v>
      </c>
      <c r="EG99" s="902"/>
      <c r="EH99" s="646">
        <f t="shared" si="113"/>
        <v>12.4</v>
      </c>
      <c r="EI99" s="610">
        <f t="shared" si="135"/>
        <v>-8.0494100320245288E-3</v>
      </c>
      <c r="EJ99" s="986">
        <f t="shared" si="135"/>
        <v>-0.14497403270226794</v>
      </c>
      <c r="EK99" s="612">
        <f t="shared" si="135"/>
        <v>-0.25534436718138442</v>
      </c>
    </row>
    <row r="100" spans="21:141" ht="15" customHeight="1" x14ac:dyDescent="0.25">
      <c r="U100" s="642">
        <f t="shared" si="127"/>
        <v>94</v>
      </c>
      <c r="W100" s="609">
        <f t="shared" si="90"/>
        <v>6.6629542745934103</v>
      </c>
      <c r="X100" s="610">
        <f t="shared" si="136"/>
        <v>3.8364068395472395</v>
      </c>
      <c r="Y100" s="611">
        <f t="shared" si="136"/>
        <v>3.7814837626241626</v>
      </c>
      <c r="Z100" s="611">
        <f t="shared" si="136"/>
        <v>3.6936068395472397</v>
      </c>
      <c r="AA100" s="611">
        <f t="shared" si="136"/>
        <v>3.5178529933933933</v>
      </c>
      <c r="AB100" s="982">
        <f t="shared" si="91"/>
        <v>1000000</v>
      </c>
      <c r="AC100" s="919">
        <f t="shared" si="92"/>
        <v>3.8693606857010856</v>
      </c>
      <c r="AD100" s="611">
        <f t="shared" si="137"/>
        <v>3.6747471179125641</v>
      </c>
      <c r="AE100" s="611">
        <f t="shared" si="137"/>
        <v>3.6004740409894871</v>
      </c>
      <c r="AF100" s="611">
        <f t="shared" si="137"/>
        <v>3.4816371179125638</v>
      </c>
      <c r="AG100" s="612">
        <f t="shared" si="129"/>
        <v>3.2439632717587168</v>
      </c>
      <c r="AH100" s="609">
        <f t="shared" si="93"/>
        <v>3</v>
      </c>
      <c r="AI100" s="895">
        <f t="shared" si="114"/>
        <v>-1000000</v>
      </c>
      <c r="AJ100" s="610">
        <f t="shared" si="94"/>
        <v>6.6629542745934103</v>
      </c>
      <c r="AK100" s="609">
        <f t="shared" si="115"/>
        <v>-0.15004972163467539</v>
      </c>
      <c r="AL100" s="611">
        <f t="shared" si="138"/>
        <v>-0.16165972163467549</v>
      </c>
      <c r="AM100" s="611">
        <f t="shared" si="138"/>
        <v>-0.18100972163467566</v>
      </c>
      <c r="AN100" s="611">
        <f t="shared" si="138"/>
        <v>-0.21196972163467592</v>
      </c>
      <c r="AO100" s="612">
        <f t="shared" si="138"/>
        <v>-0.27388972163467645</v>
      </c>
      <c r="AP100" s="902">
        <v>0</v>
      </c>
      <c r="AQ100" s="783">
        <f t="shared" si="95"/>
        <v>1000000</v>
      </c>
      <c r="AR100" s="983"/>
      <c r="AS100" s="609">
        <f t="shared" si="96"/>
        <v>6.6629542745934103</v>
      </c>
      <c r="AT100" s="610">
        <f t="shared" si="97"/>
        <v>3.6747471179125641</v>
      </c>
      <c r="AU100" s="611">
        <f t="shared" si="97"/>
        <v>3.6004740409894871</v>
      </c>
      <c r="AV100" s="611">
        <f t="shared" si="97"/>
        <v>3.4816371179125638</v>
      </c>
      <c r="AW100" s="612">
        <f t="shared" si="97"/>
        <v>3.2439632717587168</v>
      </c>
      <c r="AX100" s="982">
        <f t="shared" si="98"/>
        <v>1000000</v>
      </c>
      <c r="AY100" s="611">
        <f t="shared" si="99"/>
        <v>3</v>
      </c>
      <c r="AZ100" s="612">
        <f t="shared" si="100"/>
        <v>3.8693606857010856</v>
      </c>
      <c r="BB100" s="984">
        <f t="shared" si="116"/>
        <v>4.1466754880020877</v>
      </c>
      <c r="BC100" s="985">
        <f t="shared" si="139"/>
        <v>3.6983277039786873</v>
      </c>
      <c r="BD100" s="985">
        <f t="shared" si="139"/>
        <v>3.6265847737975525</v>
      </c>
      <c r="BE100" s="528">
        <f t="shared" si="139"/>
        <v>3.5628098109531021</v>
      </c>
      <c r="BF100" s="913">
        <f t="shared" si="101"/>
        <v>4.1466754880020877</v>
      </c>
      <c r="BG100" s="317">
        <f t="shared" si="101"/>
        <v>-1000000</v>
      </c>
      <c r="BH100" s="317">
        <f t="shared" si="101"/>
        <v>-1000000</v>
      </c>
      <c r="BI100" s="919">
        <f t="shared" si="101"/>
        <v>-1000000</v>
      </c>
      <c r="BJ100" s="646">
        <f t="shared" si="102"/>
        <v>4.7</v>
      </c>
      <c r="BK100" s="913">
        <f t="shared" si="103"/>
        <v>4.1466754880020877</v>
      </c>
      <c r="BL100" s="317"/>
      <c r="BM100" s="317"/>
      <c r="BN100" s="317"/>
      <c r="BO100" s="913">
        <f t="shared" si="104"/>
        <v>3</v>
      </c>
      <c r="BP100" s="783">
        <f t="shared" si="117"/>
        <v>1000000</v>
      </c>
      <c r="CK100" s="642">
        <f t="shared" si="128"/>
        <v>94</v>
      </c>
      <c r="CL100" s="609">
        <f t="shared" si="105"/>
        <v>6.6629542745934103</v>
      </c>
      <c r="CM100" s="609">
        <f t="shared" si="118"/>
        <v>4.7</v>
      </c>
      <c r="CN100" s="610">
        <f t="shared" si="130"/>
        <v>8.5058642356460421</v>
      </c>
      <c r="CO100" s="611">
        <f t="shared" si="130"/>
        <v>8.5058952530465177</v>
      </c>
      <c r="CP100" s="612">
        <f t="shared" si="130"/>
        <v>8.5058986548902755</v>
      </c>
      <c r="CQ100" s="611">
        <f t="shared" si="131"/>
        <v>2.250308004884634</v>
      </c>
      <c r="CR100" s="611">
        <f t="shared" si="131"/>
        <v>2.6512333012042681</v>
      </c>
      <c r="CS100" s="611">
        <f t="shared" si="131"/>
        <v>3.0521585975239023</v>
      </c>
      <c r="CT100" s="610">
        <f t="shared" si="106"/>
        <v>10.756172240530676</v>
      </c>
      <c r="CU100" s="611">
        <f t="shared" si="106"/>
        <v>11.157128554250786</v>
      </c>
      <c r="CV100" s="612">
        <f t="shared" si="106"/>
        <v>11.558057252414178</v>
      </c>
      <c r="CW100" s="613">
        <f t="shared" si="140"/>
        <v>10.756172240530676</v>
      </c>
      <c r="CX100" s="613">
        <f t="shared" si="140"/>
        <v>11.157128554250786</v>
      </c>
      <c r="CY100" s="613">
        <f t="shared" si="140"/>
        <v>11.558057252414178</v>
      </c>
      <c r="CZ100" s="609">
        <f t="shared" si="107"/>
        <v>8.5058990739490348</v>
      </c>
      <c r="DA100" s="609"/>
      <c r="DB100" s="609">
        <f t="shared" si="120"/>
        <v>4.7</v>
      </c>
      <c r="DC100" s="610">
        <f t="shared" si="108"/>
        <v>9.1954982095693961E-5</v>
      </c>
      <c r="DD100" s="611">
        <f t="shared" si="108"/>
        <v>1.1882018135872398E-5</v>
      </c>
      <c r="DE100" s="612">
        <f t="shared" si="108"/>
        <v>1.5002316635434456E-6</v>
      </c>
      <c r="DF100" s="611">
        <f t="shared" si="141"/>
        <v>9.829879068945537E-5</v>
      </c>
      <c r="DG100" s="611">
        <f t="shared" si="141"/>
        <v>1.2855565714176055E-5</v>
      </c>
      <c r="DH100" s="611">
        <f t="shared" si="141"/>
        <v>1.6428857563255465E-6</v>
      </c>
      <c r="DI100" s="614">
        <f t="shared" si="109"/>
        <v>8</v>
      </c>
      <c r="DJ100" s="615"/>
      <c r="DK100" s="609">
        <f t="shared" si="121"/>
        <v>4.7</v>
      </c>
      <c r="DL100" s="611">
        <f t="shared" si="132"/>
        <v>3.9110751976989979</v>
      </c>
      <c r="DM100" s="611">
        <f t="shared" si="132"/>
        <v>1000000</v>
      </c>
      <c r="DN100" s="611">
        <f t="shared" si="132"/>
        <v>1000000</v>
      </c>
      <c r="DO100" s="610">
        <f t="shared" si="133"/>
        <v>0.3422493142989147</v>
      </c>
      <c r="DP100" s="611">
        <f t="shared" si="133"/>
        <v>0.36159931429891484</v>
      </c>
      <c r="DQ100" s="612">
        <f t="shared" si="133"/>
        <v>0.39255931429891511</v>
      </c>
      <c r="DR100" s="611">
        <f t="shared" si="110"/>
        <v>4.2533245119979126</v>
      </c>
      <c r="DS100" s="611">
        <f t="shared" si="110"/>
        <v>1000000.3615993143</v>
      </c>
      <c r="DT100" s="611">
        <f t="shared" si="110"/>
        <v>1000000.3925593143</v>
      </c>
      <c r="DU100" s="609">
        <f t="shared" si="122"/>
        <v>4.2</v>
      </c>
      <c r="DV100" s="611"/>
      <c r="DW100" s="646">
        <f t="shared" si="111"/>
        <v>12.533333333333333</v>
      </c>
      <c r="DX100" s="621">
        <f t="shared" si="134"/>
        <v>6.9677653937822308</v>
      </c>
      <c r="DY100" s="621">
        <f t="shared" si="134"/>
        <v>7.1269317350478225</v>
      </c>
      <c r="DZ100" s="621">
        <f t="shared" si="134"/>
        <v>7.2562460479483946</v>
      </c>
      <c r="EA100" s="610">
        <f t="shared" si="112"/>
        <v>6.9478732166170589</v>
      </c>
      <c r="EB100" s="611">
        <f t="shared" si="112"/>
        <v>6.969505159345319</v>
      </c>
      <c r="EC100" s="612">
        <f t="shared" si="112"/>
        <v>6.987957617942981</v>
      </c>
      <c r="ED100" s="610">
        <f t="shared" si="123"/>
        <v>8</v>
      </c>
      <c r="EE100" s="611">
        <f t="shared" si="124"/>
        <v>8.5058990739490348</v>
      </c>
      <c r="EF100" s="645">
        <f t="shared" si="125"/>
        <v>-1000000</v>
      </c>
      <c r="EG100" s="902"/>
      <c r="EH100" s="646">
        <f t="shared" si="113"/>
        <v>12.533333333333333</v>
      </c>
      <c r="EI100" s="610">
        <f t="shared" si="135"/>
        <v>-1.9892177165171887E-2</v>
      </c>
      <c r="EJ100" s="986">
        <f t="shared" si="135"/>
        <v>-0.15742657570250351</v>
      </c>
      <c r="EK100" s="612">
        <f t="shared" si="135"/>
        <v>-0.26828843000541358</v>
      </c>
    </row>
    <row r="101" spans="21:141" ht="15" customHeight="1" x14ac:dyDescent="0.25">
      <c r="U101" s="642">
        <f t="shared" si="127"/>
        <v>95</v>
      </c>
      <c r="W101" s="609">
        <f t="shared" si="90"/>
        <v>6.733836766876319</v>
      </c>
      <c r="X101" s="610">
        <f t="shared" si="136"/>
        <v>3.8350886857010855</v>
      </c>
      <c r="Y101" s="611">
        <f t="shared" si="136"/>
        <v>3.7779686857010857</v>
      </c>
      <c r="Z101" s="611">
        <f t="shared" si="136"/>
        <v>3.6865766857010858</v>
      </c>
      <c r="AA101" s="611">
        <f t="shared" si="136"/>
        <v>3.5037926857010859</v>
      </c>
      <c r="AB101" s="982">
        <f t="shared" si="91"/>
        <v>1000000</v>
      </c>
      <c r="AC101" s="919">
        <f t="shared" si="92"/>
        <v>3.8693606857010856</v>
      </c>
      <c r="AD101" s="611">
        <f t="shared" si="137"/>
        <v>3.672311059850708</v>
      </c>
      <c r="AE101" s="611">
        <f t="shared" si="137"/>
        <v>3.595841059850708</v>
      </c>
      <c r="AF101" s="611">
        <f t="shared" si="137"/>
        <v>3.4734890598507078</v>
      </c>
      <c r="AG101" s="612">
        <f t="shared" si="129"/>
        <v>3.2287850598507073</v>
      </c>
      <c r="AH101" s="609">
        <f t="shared" si="93"/>
        <v>3</v>
      </c>
      <c r="AI101" s="895">
        <f t="shared" si="114"/>
        <v>-1000000</v>
      </c>
      <c r="AJ101" s="610">
        <f t="shared" si="94"/>
        <v>6.733836766876319</v>
      </c>
      <c r="AK101" s="609">
        <f t="shared" si="115"/>
        <v>-0.15116762585037744</v>
      </c>
      <c r="AL101" s="611">
        <f t="shared" si="138"/>
        <v>-0.16277762585037753</v>
      </c>
      <c r="AM101" s="611">
        <f t="shared" si="138"/>
        <v>-0.1821276258503777</v>
      </c>
      <c r="AN101" s="611">
        <f t="shared" si="138"/>
        <v>-0.21308762585037797</v>
      </c>
      <c r="AO101" s="612">
        <f t="shared" si="138"/>
        <v>-0.27500762585037852</v>
      </c>
      <c r="AP101" s="902">
        <v>0</v>
      </c>
      <c r="AQ101" s="783">
        <f t="shared" si="95"/>
        <v>1000000</v>
      </c>
      <c r="AR101" s="983"/>
      <c r="AS101" s="609">
        <f t="shared" si="96"/>
        <v>6.733836766876319</v>
      </c>
      <c r="AT101" s="610">
        <f t="shared" ref="AT101:AW126" si="142">X101+AL101</f>
        <v>3.672311059850708</v>
      </c>
      <c r="AU101" s="611">
        <f t="shared" si="142"/>
        <v>3.595841059850708</v>
      </c>
      <c r="AV101" s="611">
        <f t="shared" si="142"/>
        <v>3.4734890598507078</v>
      </c>
      <c r="AW101" s="612">
        <f t="shared" si="142"/>
        <v>3.2287850598507073</v>
      </c>
      <c r="AX101" s="982">
        <f t="shared" si="98"/>
        <v>1000000</v>
      </c>
      <c r="AY101" s="611">
        <f t="shared" si="99"/>
        <v>3</v>
      </c>
      <c r="AZ101" s="612">
        <f t="shared" si="100"/>
        <v>3.8693606857010856</v>
      </c>
      <c r="BB101" s="984">
        <f t="shared" si="116"/>
        <v>4.1444098710146742</v>
      </c>
      <c r="BC101" s="985">
        <f t="shared" si="139"/>
        <v>3.6970064823700062</v>
      </c>
      <c r="BD101" s="985">
        <f t="shared" si="139"/>
        <v>3.6264021459949576</v>
      </c>
      <c r="BE101" s="528">
        <f t="shared" si="139"/>
        <v>3.5626946314001824</v>
      </c>
      <c r="BF101" s="913">
        <f t="shared" ref="BF101:BI126" si="143">IF(BB$3*$BJ101&lt;$K$26,BB101,-1000000)</f>
        <v>4.1444098710146742</v>
      </c>
      <c r="BG101" s="317">
        <f t="shared" si="143"/>
        <v>-1000000</v>
      </c>
      <c r="BH101" s="317">
        <f t="shared" si="143"/>
        <v>-1000000</v>
      </c>
      <c r="BI101" s="919">
        <f t="shared" si="143"/>
        <v>-1000000</v>
      </c>
      <c r="BJ101" s="646">
        <f t="shared" si="102"/>
        <v>4.75</v>
      </c>
      <c r="BK101" s="913">
        <f t="shared" si="103"/>
        <v>4.1444098710146742</v>
      </c>
      <c r="BL101" s="317"/>
      <c r="BM101" s="317"/>
      <c r="BN101" s="317"/>
      <c r="BO101" s="913">
        <f t="shared" si="104"/>
        <v>3</v>
      </c>
      <c r="BP101" s="783">
        <f t="shared" si="117"/>
        <v>1000000</v>
      </c>
      <c r="CK101" s="642">
        <f t="shared" si="128"/>
        <v>95</v>
      </c>
      <c r="CL101" s="609">
        <f t="shared" si="105"/>
        <v>6.733836766876319</v>
      </c>
      <c r="CM101" s="609">
        <f t="shared" si="118"/>
        <v>4.75</v>
      </c>
      <c r="CN101" s="610">
        <f t="shared" si="130"/>
        <v>8.5058685429211671</v>
      </c>
      <c r="CO101" s="611">
        <f t="shared" si="130"/>
        <v>8.5058958032635417</v>
      </c>
      <c r="CP101" s="612">
        <f t="shared" si="130"/>
        <v>8.5058987235715886</v>
      </c>
      <c r="CQ101" s="611">
        <f t="shared" si="131"/>
        <v>2.250308004884634</v>
      </c>
      <c r="CR101" s="611">
        <f t="shared" si="131"/>
        <v>2.6512333012042681</v>
      </c>
      <c r="CS101" s="611">
        <f t="shared" si="131"/>
        <v>3.0521585975239023</v>
      </c>
      <c r="CT101" s="610">
        <f t="shared" si="106"/>
        <v>10.756176547805801</v>
      </c>
      <c r="CU101" s="611">
        <f t="shared" si="106"/>
        <v>11.15712910446781</v>
      </c>
      <c r="CV101" s="612">
        <f t="shared" si="106"/>
        <v>11.558057321095491</v>
      </c>
      <c r="CW101" s="613">
        <f t="shared" si="140"/>
        <v>10.756176547805801</v>
      </c>
      <c r="CX101" s="613">
        <f t="shared" si="140"/>
        <v>11.15712910446781</v>
      </c>
      <c r="CY101" s="613">
        <f t="shared" si="140"/>
        <v>11.558057321095491</v>
      </c>
      <c r="CZ101" s="609">
        <f t="shared" si="107"/>
        <v>8.5058990739490348</v>
      </c>
      <c r="DA101" s="609"/>
      <c r="DB101" s="609">
        <f t="shared" si="120"/>
        <v>4.75</v>
      </c>
      <c r="DC101" s="610">
        <f t="shared" ref="DC101:DE126" si="144">((CQ$2-$CD$20)/$CD$37)*EXP(-$CM101/CN$3)-(($CD$22-CQ$2)/$CD$35)*EXP(-$CM101/CQ$3)</f>
        <v>8.0586018252807947E-5</v>
      </c>
      <c r="DD101" s="611">
        <f t="shared" si="144"/>
        <v>1.0170985562881544E-5</v>
      </c>
      <c r="DE101" s="612">
        <f t="shared" si="144"/>
        <v>1.2543523492561178E-6</v>
      </c>
      <c r="DF101" s="611">
        <f t="shared" si="141"/>
        <v>8.6145502500301375E-5</v>
      </c>
      <c r="DG101" s="611">
        <f t="shared" si="141"/>
        <v>1.1004340478848501E-5</v>
      </c>
      <c r="DH101" s="611">
        <f t="shared" si="141"/>
        <v>1.3736262616248544E-6</v>
      </c>
      <c r="DI101" s="614">
        <f t="shared" si="109"/>
        <v>8</v>
      </c>
      <c r="DJ101" s="615"/>
      <c r="DK101" s="609">
        <f t="shared" si="121"/>
        <v>4.75</v>
      </c>
      <c r="DL101" s="611">
        <f t="shared" si="132"/>
        <v>3.9133408146864119</v>
      </c>
      <c r="DM101" s="611">
        <f t="shared" si="132"/>
        <v>1000000</v>
      </c>
      <c r="DN101" s="611">
        <f t="shared" si="132"/>
        <v>1000000</v>
      </c>
      <c r="DO101" s="610">
        <f t="shared" si="133"/>
        <v>0.3422493142989147</v>
      </c>
      <c r="DP101" s="611">
        <f t="shared" si="133"/>
        <v>0.36159931429891484</v>
      </c>
      <c r="DQ101" s="612">
        <f t="shared" si="133"/>
        <v>0.39255931429891511</v>
      </c>
      <c r="DR101" s="611">
        <f t="shared" si="110"/>
        <v>4.2555901289853271</v>
      </c>
      <c r="DS101" s="611">
        <f t="shared" si="110"/>
        <v>1000000.3615993143</v>
      </c>
      <c r="DT101" s="611">
        <f t="shared" si="110"/>
        <v>1000000.3925593143</v>
      </c>
      <c r="DU101" s="609">
        <f t="shared" si="122"/>
        <v>4.2</v>
      </c>
      <c r="DV101" s="611"/>
      <c r="DW101" s="646">
        <f t="shared" si="111"/>
        <v>12.666666666666666</v>
      </c>
      <c r="DX101" s="621">
        <f t="shared" si="134"/>
        <v>6.953251750080792</v>
      </c>
      <c r="DY101" s="621">
        <f t="shared" si="134"/>
        <v>7.1137485687018183</v>
      </c>
      <c r="DZ101" s="621">
        <f t="shared" si="134"/>
        <v>7.2441729279791245</v>
      </c>
      <c r="EA101" s="610">
        <f t="shared" ref="EA101:EC126" si="145">DX101+EI101</f>
        <v>6.9217125495059122</v>
      </c>
      <c r="EB101" s="611">
        <f t="shared" si="145"/>
        <v>6.9440752724310961</v>
      </c>
      <c r="EC101" s="612">
        <f t="shared" si="145"/>
        <v>6.9631543816898036</v>
      </c>
      <c r="ED101" s="610">
        <f t="shared" si="123"/>
        <v>8</v>
      </c>
      <c r="EE101" s="611">
        <f t="shared" si="124"/>
        <v>8.5058990739490348</v>
      </c>
      <c r="EF101" s="645">
        <f t="shared" si="125"/>
        <v>-1000000</v>
      </c>
      <c r="EG101" s="902"/>
      <c r="EH101" s="646">
        <f t="shared" si="113"/>
        <v>12.666666666666666</v>
      </c>
      <c r="EI101" s="610">
        <f t="shared" si="135"/>
        <v>-3.15392005748798E-2</v>
      </c>
      <c r="EJ101" s="986">
        <f t="shared" si="135"/>
        <v>-0.16967329627072258</v>
      </c>
      <c r="EK101" s="612">
        <f t="shared" si="135"/>
        <v>-0.28101854628932088</v>
      </c>
    </row>
    <row r="102" spans="21:141" ht="15" customHeight="1" x14ac:dyDescent="0.25">
      <c r="U102" s="642">
        <f t="shared" si="127"/>
        <v>96</v>
      </c>
      <c r="W102" s="609">
        <f t="shared" si="90"/>
        <v>6.8047192591592278</v>
      </c>
      <c r="X102" s="610">
        <f t="shared" si="136"/>
        <v>3.8336606857010858</v>
      </c>
      <c r="Y102" s="611">
        <f t="shared" si="136"/>
        <v>3.7741606857010854</v>
      </c>
      <c r="Z102" s="611">
        <f t="shared" si="136"/>
        <v>3.6789606857010857</v>
      </c>
      <c r="AA102" s="611">
        <f t="shared" si="136"/>
        <v>3.4885606857010858</v>
      </c>
      <c r="AB102" s="982">
        <f t="shared" si="91"/>
        <v>1000000</v>
      </c>
      <c r="AC102" s="919">
        <f t="shared" si="92"/>
        <v>3.8693606857010856</v>
      </c>
      <c r="AD102" s="611">
        <f t="shared" si="137"/>
        <v>3.6697946475507979</v>
      </c>
      <c r="AE102" s="611">
        <f t="shared" si="137"/>
        <v>3.5909446475507973</v>
      </c>
      <c r="AF102" s="611">
        <f t="shared" si="137"/>
        <v>3.4647846475507973</v>
      </c>
      <c r="AG102" s="612">
        <f t="shared" si="129"/>
        <v>3.2124646475507967</v>
      </c>
      <c r="AH102" s="609">
        <f t="shared" si="93"/>
        <v>3</v>
      </c>
      <c r="AI102" s="895">
        <f t="shared" si="114"/>
        <v>-1000000</v>
      </c>
      <c r="AJ102" s="610">
        <f t="shared" si="94"/>
        <v>6.8047192591592278</v>
      </c>
      <c r="AK102" s="609">
        <f t="shared" si="115"/>
        <v>-0.15225603815028785</v>
      </c>
      <c r="AL102" s="611">
        <f t="shared" si="138"/>
        <v>-0.16386603815028794</v>
      </c>
      <c r="AM102" s="611">
        <f t="shared" si="138"/>
        <v>-0.18321603815028811</v>
      </c>
      <c r="AN102" s="611">
        <f t="shared" si="138"/>
        <v>-0.21417603815028838</v>
      </c>
      <c r="AO102" s="612">
        <f t="shared" si="138"/>
        <v>-0.27609603815028894</v>
      </c>
      <c r="AP102" s="902">
        <v>0</v>
      </c>
      <c r="AQ102" s="783">
        <f t="shared" si="95"/>
        <v>1000000</v>
      </c>
      <c r="AR102" s="983"/>
      <c r="AS102" s="609">
        <f t="shared" si="96"/>
        <v>6.8047192591592278</v>
      </c>
      <c r="AT102" s="610">
        <f t="shared" si="142"/>
        <v>3.6697946475507979</v>
      </c>
      <c r="AU102" s="611">
        <f t="shared" si="142"/>
        <v>3.5909446475507973</v>
      </c>
      <c r="AV102" s="611">
        <f t="shared" si="142"/>
        <v>3.4647846475507973</v>
      </c>
      <c r="AW102" s="612">
        <f t="shared" si="142"/>
        <v>3.2124646475507967</v>
      </c>
      <c r="AX102" s="982">
        <f t="shared" si="98"/>
        <v>1000000</v>
      </c>
      <c r="AY102" s="611">
        <f t="shared" si="99"/>
        <v>3</v>
      </c>
      <c r="AZ102" s="612">
        <f t="shared" si="100"/>
        <v>3.8693606857010856</v>
      </c>
      <c r="BB102" s="984">
        <f t="shared" si="116"/>
        <v>4.1418840175703302</v>
      </c>
      <c r="BC102" s="985">
        <f t="shared" si="139"/>
        <v>3.6957249646016241</v>
      </c>
      <c r="BD102" s="985">
        <f t="shared" si="139"/>
        <v>3.626225857882631</v>
      </c>
      <c r="BE102" s="528">
        <f t="shared" si="139"/>
        <v>3.5625821562043183</v>
      </c>
      <c r="BF102" s="913">
        <f t="shared" si="143"/>
        <v>4.1418840175703302</v>
      </c>
      <c r="BG102" s="317">
        <f t="shared" si="143"/>
        <v>-1000000</v>
      </c>
      <c r="BH102" s="317">
        <f t="shared" si="143"/>
        <v>-1000000</v>
      </c>
      <c r="BI102" s="919">
        <f t="shared" si="143"/>
        <v>-1000000</v>
      </c>
      <c r="BJ102" s="646">
        <f t="shared" si="102"/>
        <v>4.8000000000000007</v>
      </c>
      <c r="BK102" s="913">
        <f t="shared" si="103"/>
        <v>4.1418840175703302</v>
      </c>
      <c r="BL102" s="317"/>
      <c r="BM102" s="317"/>
      <c r="BN102" s="317"/>
      <c r="BO102" s="913">
        <f t="shared" si="104"/>
        <v>3</v>
      </c>
      <c r="BP102" s="783">
        <f t="shared" si="117"/>
        <v>1000000</v>
      </c>
      <c r="CK102" s="642">
        <f t="shared" si="128"/>
        <v>96</v>
      </c>
      <c r="CL102" s="609">
        <f t="shared" si="105"/>
        <v>6.8047192591592278</v>
      </c>
      <c r="CM102" s="609">
        <f t="shared" si="118"/>
        <v>4.8000000000000007</v>
      </c>
      <c r="CN102" s="610">
        <f t="shared" si="130"/>
        <v>8.505872317661197</v>
      </c>
      <c r="CO102" s="611">
        <f t="shared" si="130"/>
        <v>8.5058962742482986</v>
      </c>
      <c r="CP102" s="612">
        <f t="shared" si="130"/>
        <v>8.5058987809964304</v>
      </c>
      <c r="CQ102" s="611">
        <f t="shared" si="131"/>
        <v>2.250308004884634</v>
      </c>
      <c r="CR102" s="611">
        <f t="shared" si="131"/>
        <v>2.6512333012042681</v>
      </c>
      <c r="CS102" s="611">
        <f t="shared" si="131"/>
        <v>3.0521585975239023</v>
      </c>
      <c r="CT102" s="610">
        <f t="shared" si="106"/>
        <v>10.756180322545831</v>
      </c>
      <c r="CU102" s="611">
        <f t="shared" si="106"/>
        <v>11.157129575452567</v>
      </c>
      <c r="CV102" s="612">
        <f t="shared" si="106"/>
        <v>11.558057378520333</v>
      </c>
      <c r="CW102" s="613">
        <f t="shared" ref="CW102:CY117" si="146">IF((CW101+$CD$32*($CM102-$CM101))&lt;CT102,(CW101+$CD$32*($CM102-$CM101)),CT102)</f>
        <v>10.756180322545831</v>
      </c>
      <c r="CX102" s="613">
        <f t="shared" si="146"/>
        <v>11.157129575452567</v>
      </c>
      <c r="CY102" s="613">
        <f t="shared" si="146"/>
        <v>11.558057378520333</v>
      </c>
      <c r="CZ102" s="609">
        <f t="shared" si="107"/>
        <v>8.5058990739490348</v>
      </c>
      <c r="DA102" s="609"/>
      <c r="DB102" s="609">
        <f t="shared" si="120"/>
        <v>4.8000000000000007</v>
      </c>
      <c r="DC102" s="610">
        <f t="shared" si="144"/>
        <v>7.0622669809056353E-5</v>
      </c>
      <c r="DD102" s="611">
        <f t="shared" si="144"/>
        <v>8.7063448428871821E-6</v>
      </c>
      <c r="DE102" s="612">
        <f t="shared" si="144"/>
        <v>1.0487712360156909E-6</v>
      </c>
      <c r="DF102" s="611">
        <f t="shared" si="141"/>
        <v>7.5494800597651941E-5</v>
      </c>
      <c r="DG102" s="611">
        <f t="shared" si="141"/>
        <v>9.4196951394563738E-6</v>
      </c>
      <c r="DH102" s="611">
        <f t="shared" si="141"/>
        <v>1.1484968354124995E-6</v>
      </c>
      <c r="DI102" s="614">
        <f t="shared" si="109"/>
        <v>8</v>
      </c>
      <c r="DJ102" s="615"/>
      <c r="DK102" s="609">
        <f t="shared" si="121"/>
        <v>4.8000000000000007</v>
      </c>
      <c r="DL102" s="611">
        <f t="shared" si="132"/>
        <v>3.9158666681307555</v>
      </c>
      <c r="DM102" s="611">
        <f t="shared" si="132"/>
        <v>1000000</v>
      </c>
      <c r="DN102" s="611">
        <f t="shared" si="132"/>
        <v>1000000</v>
      </c>
      <c r="DO102" s="610">
        <f t="shared" si="133"/>
        <v>0.3422493142989147</v>
      </c>
      <c r="DP102" s="611">
        <f t="shared" si="133"/>
        <v>0.36159931429891484</v>
      </c>
      <c r="DQ102" s="612">
        <f t="shared" si="133"/>
        <v>0.39255931429891511</v>
      </c>
      <c r="DR102" s="611">
        <f t="shared" si="110"/>
        <v>4.2581159824296702</v>
      </c>
      <c r="DS102" s="611">
        <f t="shared" si="110"/>
        <v>1000000.3615993143</v>
      </c>
      <c r="DT102" s="611">
        <f t="shared" si="110"/>
        <v>1000000.3925593143</v>
      </c>
      <c r="DU102" s="609">
        <f t="shared" si="122"/>
        <v>4.2</v>
      </c>
      <c r="DV102" s="611"/>
      <c r="DW102" s="646">
        <f t="shared" si="111"/>
        <v>12.8</v>
      </c>
      <c r="DX102" s="621">
        <f t="shared" si="134"/>
        <v>6.9387726008900863</v>
      </c>
      <c r="DY102" s="621">
        <f t="shared" si="134"/>
        <v>7.1005934993580526</v>
      </c>
      <c r="DZ102" s="621">
        <f t="shared" si="134"/>
        <v>7.2321231308826492</v>
      </c>
      <c r="EA102" s="610">
        <f t="shared" si="145"/>
        <v>6.8957788852697668</v>
      </c>
      <c r="EB102" s="611">
        <f t="shared" si="145"/>
        <v>6.9188759030055564</v>
      </c>
      <c r="EC102" s="612">
        <f t="shared" si="145"/>
        <v>6.9385848786242761</v>
      </c>
      <c r="ED102" s="610">
        <f t="shared" si="123"/>
        <v>8</v>
      </c>
      <c r="EE102" s="611">
        <f t="shared" si="124"/>
        <v>8.5058990739490348</v>
      </c>
      <c r="EF102" s="645">
        <f t="shared" si="125"/>
        <v>-1000000</v>
      </c>
      <c r="EG102" s="902"/>
      <c r="EH102" s="646">
        <f t="shared" si="113"/>
        <v>12.8</v>
      </c>
      <c r="EI102" s="610">
        <f t="shared" si="135"/>
        <v>-4.2993715620319506E-2</v>
      </c>
      <c r="EJ102" s="986">
        <f t="shared" si="135"/>
        <v>-0.18171759635249574</v>
      </c>
      <c r="EK102" s="612">
        <f t="shared" si="135"/>
        <v>-0.29353825225837316</v>
      </c>
    </row>
    <row r="103" spans="21:141" ht="15" customHeight="1" x14ac:dyDescent="0.25">
      <c r="U103" s="642">
        <f t="shared" si="127"/>
        <v>97</v>
      </c>
      <c r="W103" s="609">
        <f t="shared" si="90"/>
        <v>6.8756017514421366</v>
      </c>
      <c r="X103" s="610">
        <f t="shared" si="136"/>
        <v>3.832108511788042</v>
      </c>
      <c r="Y103" s="611">
        <f t="shared" si="136"/>
        <v>3.770021555266303</v>
      </c>
      <c r="Z103" s="611">
        <f t="shared" si="136"/>
        <v>3.6706824248315204</v>
      </c>
      <c r="AA103" s="611">
        <f t="shared" si="136"/>
        <v>3.4720041639619552</v>
      </c>
      <c r="AB103" s="982">
        <f t="shared" si="91"/>
        <v>1000000</v>
      </c>
      <c r="AC103" s="919">
        <f t="shared" si="92"/>
        <v>3.8693606857010856</v>
      </c>
      <c r="AD103" s="611">
        <f t="shared" si="137"/>
        <v>3.6671827752146182</v>
      </c>
      <c r="AE103" s="611">
        <f t="shared" si="137"/>
        <v>3.585745818692879</v>
      </c>
      <c r="AF103" s="611">
        <f t="shared" si="137"/>
        <v>3.4554466882580961</v>
      </c>
      <c r="AG103" s="612">
        <f t="shared" si="129"/>
        <v>3.1948484273885307</v>
      </c>
      <c r="AH103" s="609">
        <f t="shared" si="93"/>
        <v>3</v>
      </c>
      <c r="AI103" s="895">
        <f t="shared" si="114"/>
        <v>-1000000</v>
      </c>
      <c r="AJ103" s="610">
        <f t="shared" si="94"/>
        <v>6.8756017514421366</v>
      </c>
      <c r="AK103" s="609">
        <f t="shared" si="115"/>
        <v>-0.15331573657342357</v>
      </c>
      <c r="AL103" s="611">
        <f t="shared" si="138"/>
        <v>-0.16492573657342366</v>
      </c>
      <c r="AM103" s="611">
        <f t="shared" si="138"/>
        <v>-0.18427573657342383</v>
      </c>
      <c r="AN103" s="611">
        <f t="shared" si="138"/>
        <v>-0.2152357365734241</v>
      </c>
      <c r="AO103" s="612">
        <f t="shared" si="138"/>
        <v>-0.27715573657342463</v>
      </c>
      <c r="AP103" s="902">
        <v>0</v>
      </c>
      <c r="AQ103" s="783">
        <f t="shared" si="95"/>
        <v>1000000</v>
      </c>
      <c r="AR103" s="983"/>
      <c r="AS103" s="609">
        <f t="shared" si="96"/>
        <v>6.8756017514421366</v>
      </c>
      <c r="AT103" s="610">
        <f t="shared" si="142"/>
        <v>3.6671827752146182</v>
      </c>
      <c r="AU103" s="611">
        <f t="shared" si="142"/>
        <v>3.585745818692879</v>
      </c>
      <c r="AV103" s="611">
        <f t="shared" si="142"/>
        <v>3.4554466882580961</v>
      </c>
      <c r="AW103" s="612">
        <f t="shared" si="142"/>
        <v>3.1948484273885307</v>
      </c>
      <c r="AX103" s="982">
        <f t="shared" si="98"/>
        <v>1000000</v>
      </c>
      <c r="AY103" s="611">
        <f t="shared" si="99"/>
        <v>3</v>
      </c>
      <c r="AZ103" s="612">
        <f t="shared" si="100"/>
        <v>3.8693606857010856</v>
      </c>
      <c r="BB103" s="984">
        <f t="shared" si="116"/>
        <v>4.1390503582102376</v>
      </c>
      <c r="BC103" s="985">
        <f t="shared" si="139"/>
        <v>3.6944817383793738</v>
      </c>
      <c r="BD103" s="985">
        <f t="shared" si="139"/>
        <v>3.6260555823490459</v>
      </c>
      <c r="BE103" s="528">
        <f t="shared" si="139"/>
        <v>3.5624722906802657</v>
      </c>
      <c r="BF103" s="913">
        <f t="shared" si="143"/>
        <v>4.1390503582102376</v>
      </c>
      <c r="BG103" s="317">
        <f t="shared" si="143"/>
        <v>-1000000</v>
      </c>
      <c r="BH103" s="317">
        <f t="shared" si="143"/>
        <v>-1000000</v>
      </c>
      <c r="BI103" s="919">
        <f t="shared" si="143"/>
        <v>-1000000</v>
      </c>
      <c r="BJ103" s="646">
        <f t="shared" si="102"/>
        <v>4.8499999999999996</v>
      </c>
      <c r="BK103" s="913">
        <f t="shared" si="103"/>
        <v>4.1390503582102376</v>
      </c>
      <c r="BL103" s="317"/>
      <c r="BM103" s="317"/>
      <c r="BN103" s="317"/>
      <c r="BO103" s="913">
        <f t="shared" si="104"/>
        <v>3</v>
      </c>
      <c r="BP103" s="783">
        <f t="shared" si="117"/>
        <v>1000000</v>
      </c>
      <c r="CK103" s="642">
        <f t="shared" si="128"/>
        <v>97</v>
      </c>
      <c r="CL103" s="609">
        <f t="shared" si="105"/>
        <v>6.8756017514421366</v>
      </c>
      <c r="CM103" s="609">
        <f t="shared" si="118"/>
        <v>4.8499999999999996</v>
      </c>
      <c r="CN103" s="610">
        <f t="shared" si="130"/>
        <v>8.5058756257067447</v>
      </c>
      <c r="CO103" s="611">
        <f t="shared" si="130"/>
        <v>8.5058966774103801</v>
      </c>
      <c r="CP103" s="612">
        <f t="shared" si="130"/>
        <v>8.5058988290096718</v>
      </c>
      <c r="CQ103" s="611">
        <f t="shared" si="131"/>
        <v>2.250308004884634</v>
      </c>
      <c r="CR103" s="611">
        <f t="shared" si="131"/>
        <v>2.6512333012042681</v>
      </c>
      <c r="CS103" s="611">
        <f t="shared" si="131"/>
        <v>3.0521585975239023</v>
      </c>
      <c r="CT103" s="610">
        <f t="shared" si="106"/>
        <v>10.756183630591378</v>
      </c>
      <c r="CU103" s="611">
        <f t="shared" si="106"/>
        <v>11.157129978614648</v>
      </c>
      <c r="CV103" s="612">
        <f t="shared" si="106"/>
        <v>11.558057426533574</v>
      </c>
      <c r="CW103" s="613">
        <f t="shared" si="146"/>
        <v>10.756183630591378</v>
      </c>
      <c r="CX103" s="613">
        <f t="shared" si="146"/>
        <v>11.157129978614648</v>
      </c>
      <c r="CY103" s="613">
        <f t="shared" si="146"/>
        <v>11.558057426533574</v>
      </c>
      <c r="CZ103" s="609">
        <f t="shared" si="107"/>
        <v>8.5058990739490348</v>
      </c>
      <c r="DA103" s="609"/>
      <c r="DB103" s="609">
        <f t="shared" si="120"/>
        <v>4.8499999999999996</v>
      </c>
      <c r="DC103" s="610">
        <f t="shared" si="144"/>
        <v>6.1891151828750887E-5</v>
      </c>
      <c r="DD103" s="611">
        <f t="shared" si="144"/>
        <v>7.4526150936540568E-6</v>
      </c>
      <c r="DE103" s="612">
        <f t="shared" si="144"/>
        <v>8.768836811651707E-7</v>
      </c>
      <c r="DF103" s="611">
        <f t="shared" ref="DF103:DH118" si="147">(CW103-CW102)/($DB103-$DB102)</f>
        <v>6.6160910954239671E-5</v>
      </c>
      <c r="DG103" s="611">
        <f t="shared" si="147"/>
        <v>8.0632416299410471E-6</v>
      </c>
      <c r="DH103" s="611">
        <f t="shared" si="147"/>
        <v>9.6026482765412091E-7</v>
      </c>
      <c r="DI103" s="614">
        <f t="shared" si="109"/>
        <v>8</v>
      </c>
      <c r="DJ103" s="615"/>
      <c r="DK103" s="609">
        <f t="shared" si="121"/>
        <v>4.8499999999999996</v>
      </c>
      <c r="DL103" s="611">
        <f t="shared" si="132"/>
        <v>3.9187003274908485</v>
      </c>
      <c r="DM103" s="611">
        <f t="shared" si="132"/>
        <v>1000000</v>
      </c>
      <c r="DN103" s="611">
        <f t="shared" si="132"/>
        <v>1000000</v>
      </c>
      <c r="DO103" s="610">
        <f t="shared" si="133"/>
        <v>0.3422493142989147</v>
      </c>
      <c r="DP103" s="611">
        <f t="shared" si="133"/>
        <v>0.36159931429891484</v>
      </c>
      <c r="DQ103" s="612">
        <f t="shared" si="133"/>
        <v>0.39255931429891511</v>
      </c>
      <c r="DR103" s="611">
        <f t="shared" si="110"/>
        <v>4.2609496417897628</v>
      </c>
      <c r="DS103" s="611">
        <f t="shared" si="110"/>
        <v>1000000.3615993143</v>
      </c>
      <c r="DT103" s="611">
        <f t="shared" si="110"/>
        <v>1000000.3925593143</v>
      </c>
      <c r="DU103" s="609">
        <f t="shared" si="122"/>
        <v>4.2</v>
      </c>
      <c r="DV103" s="611"/>
      <c r="DW103" s="646">
        <f t="shared" si="111"/>
        <v>12.933333333333334</v>
      </c>
      <c r="DX103" s="621">
        <f t="shared" si="134"/>
        <v>6.9243278233816623</v>
      </c>
      <c r="DY103" s="621">
        <f t="shared" si="134"/>
        <v>7.0874664372883283</v>
      </c>
      <c r="DZ103" s="621">
        <f t="shared" si="134"/>
        <v>7.2200965891414359</v>
      </c>
      <c r="EA103" s="610">
        <f t="shared" si="145"/>
        <v>6.8700689191967825</v>
      </c>
      <c r="EB103" s="611">
        <f t="shared" si="145"/>
        <v>6.8939036156241471</v>
      </c>
      <c r="EC103" s="612">
        <f t="shared" si="145"/>
        <v>6.9142455634522602</v>
      </c>
      <c r="ED103" s="610">
        <f t="shared" si="123"/>
        <v>8</v>
      </c>
      <c r="EE103" s="611">
        <f t="shared" si="124"/>
        <v>8.5058990739490348</v>
      </c>
      <c r="EF103" s="645">
        <f t="shared" si="125"/>
        <v>-1000000</v>
      </c>
      <c r="EG103" s="902"/>
      <c r="EH103" s="646">
        <f t="shared" si="113"/>
        <v>12.933333333333334</v>
      </c>
      <c r="EI103" s="610">
        <f t="shared" si="135"/>
        <v>-5.4258904184879331E-2</v>
      </c>
      <c r="EJ103" s="986">
        <f t="shared" si="135"/>
        <v>-0.19356282166418071</v>
      </c>
      <c r="EK103" s="612">
        <f t="shared" si="135"/>
        <v>-0.30585102568917577</v>
      </c>
    </row>
    <row r="104" spans="21:141" ht="15" customHeight="1" x14ac:dyDescent="0.25">
      <c r="U104" s="642">
        <f t="shared" si="127"/>
        <v>98</v>
      </c>
      <c r="W104" s="609">
        <f t="shared" si="90"/>
        <v>6.9464842437250454</v>
      </c>
      <c r="X104" s="610">
        <f t="shared" si="136"/>
        <v>3.830415231155631</v>
      </c>
      <c r="Y104" s="611">
        <f t="shared" si="136"/>
        <v>3.76550614024654</v>
      </c>
      <c r="Z104" s="611">
        <f t="shared" si="136"/>
        <v>3.6616515947919948</v>
      </c>
      <c r="AA104" s="611">
        <f t="shared" si="136"/>
        <v>3.4539425038829039</v>
      </c>
      <c r="AB104" s="982">
        <f t="shared" si="91"/>
        <v>1000000</v>
      </c>
      <c r="AC104" s="919">
        <f t="shared" si="92"/>
        <v>3.8693606857010856</v>
      </c>
      <c r="AD104" s="611">
        <f t="shared" si="137"/>
        <v>3.6644577525226141</v>
      </c>
      <c r="AE104" s="611">
        <f t="shared" si="137"/>
        <v>3.5801986616135228</v>
      </c>
      <c r="AF104" s="611">
        <f t="shared" si="137"/>
        <v>3.4453841161589773</v>
      </c>
      <c r="AG104" s="612">
        <f t="shared" si="129"/>
        <v>3.1757550252498858</v>
      </c>
      <c r="AH104" s="609">
        <f t="shared" si="93"/>
        <v>3</v>
      </c>
      <c r="AI104" s="895">
        <f t="shared" si="114"/>
        <v>-1000000</v>
      </c>
      <c r="AJ104" s="610">
        <f t="shared" si="94"/>
        <v>6.9464842437250454</v>
      </c>
      <c r="AK104" s="609">
        <f t="shared" si="115"/>
        <v>-0.1543474786330169</v>
      </c>
      <c r="AL104" s="611">
        <f t="shared" si="138"/>
        <v>-0.16595747863301699</v>
      </c>
      <c r="AM104" s="611">
        <f t="shared" si="138"/>
        <v>-0.18530747863301716</v>
      </c>
      <c r="AN104" s="611">
        <f t="shared" si="138"/>
        <v>-0.21626747863301743</v>
      </c>
      <c r="AO104" s="612">
        <f t="shared" si="138"/>
        <v>-0.27818747863301796</v>
      </c>
      <c r="AP104" s="902">
        <v>0</v>
      </c>
      <c r="AQ104" s="783">
        <f t="shared" si="95"/>
        <v>1000000</v>
      </c>
      <c r="AR104" s="983"/>
      <c r="AS104" s="609">
        <f t="shared" si="96"/>
        <v>6.9464842437250454</v>
      </c>
      <c r="AT104" s="610">
        <f t="shared" si="142"/>
        <v>3.6644577525226141</v>
      </c>
      <c r="AU104" s="611">
        <f t="shared" si="142"/>
        <v>3.5801986616135228</v>
      </c>
      <c r="AV104" s="611">
        <f t="shared" si="142"/>
        <v>3.4453841161589773</v>
      </c>
      <c r="AW104" s="612">
        <f t="shared" si="142"/>
        <v>3.1757550252498858</v>
      </c>
      <c r="AX104" s="982">
        <f t="shared" si="98"/>
        <v>1000000</v>
      </c>
      <c r="AY104" s="611">
        <f t="shared" si="99"/>
        <v>3</v>
      </c>
      <c r="AZ104" s="612">
        <f t="shared" si="100"/>
        <v>3.8693606857010856</v>
      </c>
      <c r="BB104" s="984">
        <f t="shared" si="116"/>
        <v>4.1358489773824196</v>
      </c>
      <c r="BC104" s="985">
        <f t="shared" si="139"/>
        <v>3.6932754581136051</v>
      </c>
      <c r="BD104" s="985">
        <f t="shared" si="139"/>
        <v>3.625891012764515</v>
      </c>
      <c r="BE104" s="528">
        <f t="shared" si="139"/>
        <v>3.5623649445716663</v>
      </c>
      <c r="BF104" s="913">
        <f t="shared" si="143"/>
        <v>4.1358489773824196</v>
      </c>
      <c r="BG104" s="317">
        <f t="shared" si="143"/>
        <v>-1000000</v>
      </c>
      <c r="BH104" s="317">
        <f t="shared" si="143"/>
        <v>-1000000</v>
      </c>
      <c r="BI104" s="919">
        <f t="shared" si="143"/>
        <v>-1000000</v>
      </c>
      <c r="BJ104" s="646">
        <f t="shared" si="102"/>
        <v>4.9000000000000004</v>
      </c>
      <c r="BK104" s="913">
        <f t="shared" si="103"/>
        <v>4.1358489773824196</v>
      </c>
      <c r="BL104" s="317"/>
      <c r="BM104" s="317"/>
      <c r="BN104" s="317"/>
      <c r="BO104" s="913">
        <f t="shared" si="104"/>
        <v>3</v>
      </c>
      <c r="BP104" s="783">
        <f t="shared" si="117"/>
        <v>1000000</v>
      </c>
      <c r="CK104" s="642">
        <f t="shared" si="128"/>
        <v>98</v>
      </c>
      <c r="CL104" s="609">
        <f t="shared" si="105"/>
        <v>6.9464842437250454</v>
      </c>
      <c r="CM104" s="609">
        <f t="shared" si="118"/>
        <v>4.9000000000000004</v>
      </c>
      <c r="CN104" s="610">
        <f t="shared" si="130"/>
        <v>8.5058785247581365</v>
      </c>
      <c r="CO104" s="611">
        <f t="shared" si="130"/>
        <v>8.5058970225163755</v>
      </c>
      <c r="CP104" s="612">
        <f t="shared" si="130"/>
        <v>8.5058988691538211</v>
      </c>
      <c r="CQ104" s="611">
        <f t="shared" si="131"/>
        <v>2.250308004884634</v>
      </c>
      <c r="CR104" s="611">
        <f t="shared" si="131"/>
        <v>2.6512333012042681</v>
      </c>
      <c r="CS104" s="611">
        <f t="shared" si="131"/>
        <v>3.0521585975239023</v>
      </c>
      <c r="CT104" s="610">
        <f t="shared" si="106"/>
        <v>10.75618652964277</v>
      </c>
      <c r="CU104" s="611">
        <f t="shared" si="106"/>
        <v>11.157130323720644</v>
      </c>
      <c r="CV104" s="612">
        <f t="shared" si="106"/>
        <v>11.558057466677724</v>
      </c>
      <c r="CW104" s="613">
        <f t="shared" si="146"/>
        <v>10.75618652964277</v>
      </c>
      <c r="CX104" s="613">
        <f t="shared" si="146"/>
        <v>11.157130323720644</v>
      </c>
      <c r="CY104" s="613">
        <f t="shared" si="146"/>
        <v>11.558057466677724</v>
      </c>
      <c r="CZ104" s="609">
        <f t="shared" si="107"/>
        <v>8.5058990739490348</v>
      </c>
      <c r="DA104" s="609"/>
      <c r="DB104" s="609">
        <f t="shared" si="120"/>
        <v>4.9000000000000004</v>
      </c>
      <c r="DC104" s="610">
        <f t="shared" si="144"/>
        <v>5.4239165483917524E-5</v>
      </c>
      <c r="DD104" s="611">
        <f t="shared" si="144"/>
        <v>6.3794247455676846E-6</v>
      </c>
      <c r="DE104" s="612">
        <f t="shared" si="144"/>
        <v>7.3316750487450804E-7</v>
      </c>
      <c r="DF104" s="611">
        <f t="shared" si="147"/>
        <v>5.7981027836716831E-5</v>
      </c>
      <c r="DG104" s="611">
        <f t="shared" si="147"/>
        <v>6.9021199067264133E-6</v>
      </c>
      <c r="DH104" s="611">
        <f t="shared" si="147"/>
        <v>8.0288298676122161E-7</v>
      </c>
      <c r="DI104" s="614">
        <f t="shared" si="109"/>
        <v>8</v>
      </c>
      <c r="DJ104" s="615"/>
      <c r="DK104" s="609">
        <f t="shared" si="121"/>
        <v>4.9000000000000004</v>
      </c>
      <c r="DL104" s="611">
        <f t="shared" si="132"/>
        <v>3.9219017083186656</v>
      </c>
      <c r="DM104" s="611">
        <f t="shared" si="132"/>
        <v>1000000</v>
      </c>
      <c r="DN104" s="611">
        <f t="shared" si="132"/>
        <v>1000000</v>
      </c>
      <c r="DO104" s="610">
        <f t="shared" si="133"/>
        <v>0.3422493142989147</v>
      </c>
      <c r="DP104" s="611">
        <f t="shared" si="133"/>
        <v>0.36159931429891484</v>
      </c>
      <c r="DQ104" s="612">
        <f t="shared" si="133"/>
        <v>0.39255931429891511</v>
      </c>
      <c r="DR104" s="611">
        <f t="shared" si="110"/>
        <v>4.2641510226175807</v>
      </c>
      <c r="DS104" s="611">
        <f t="shared" si="110"/>
        <v>1000000.3615993143</v>
      </c>
      <c r="DT104" s="611">
        <f t="shared" si="110"/>
        <v>1000000.3925593143</v>
      </c>
      <c r="DU104" s="609">
        <f t="shared" si="122"/>
        <v>4.2</v>
      </c>
      <c r="DV104" s="611"/>
      <c r="DW104" s="646">
        <f t="shared" si="111"/>
        <v>13.066666666666666</v>
      </c>
      <c r="DX104" s="621">
        <f t="shared" si="134"/>
        <v>6.9099172953095271</v>
      </c>
      <c r="DY104" s="621">
        <f t="shared" si="134"/>
        <v>7.0743672931461061</v>
      </c>
      <c r="DZ104" s="621">
        <f t="shared" si="134"/>
        <v>7.208093235498314</v>
      </c>
      <c r="EA104" s="610">
        <f t="shared" si="145"/>
        <v>6.8445793997494855</v>
      </c>
      <c r="EB104" s="611">
        <f t="shared" si="145"/>
        <v>6.8691550305237978</v>
      </c>
      <c r="EC104" s="612">
        <f t="shared" si="145"/>
        <v>6.8901329486225702</v>
      </c>
      <c r="ED104" s="610">
        <f t="shared" si="123"/>
        <v>8</v>
      </c>
      <c r="EE104" s="611">
        <f t="shared" si="124"/>
        <v>8.5058990739490348</v>
      </c>
      <c r="EF104" s="645">
        <f t="shared" si="125"/>
        <v>-1000000</v>
      </c>
      <c r="EG104" s="902"/>
      <c r="EH104" s="646">
        <f t="shared" si="113"/>
        <v>13.066666666666666</v>
      </c>
      <c r="EI104" s="610">
        <f t="shared" si="135"/>
        <v>-6.5337895560041659E-2</v>
      </c>
      <c r="EJ104" s="986">
        <f t="shared" si="135"/>
        <v>-0.20521226262230829</v>
      </c>
      <c r="EK104" s="612">
        <f t="shared" si="135"/>
        <v>-0.3179602868757434</v>
      </c>
    </row>
    <row r="105" spans="21:141" ht="15" customHeight="1" x14ac:dyDescent="0.25">
      <c r="U105" s="642">
        <f t="shared" si="127"/>
        <v>99</v>
      </c>
      <c r="W105" s="609">
        <f t="shared" si="90"/>
        <v>7.0173667360079532</v>
      </c>
      <c r="X105" s="610">
        <f t="shared" si="136"/>
        <v>3.8285606857010857</v>
      </c>
      <c r="Y105" s="611">
        <f t="shared" si="136"/>
        <v>3.7605606857010856</v>
      </c>
      <c r="Z105" s="611">
        <f t="shared" si="136"/>
        <v>3.6517606857010856</v>
      </c>
      <c r="AA105" s="611">
        <f t="shared" si="136"/>
        <v>3.4341606857010856</v>
      </c>
      <c r="AB105" s="982">
        <f t="shared" si="91"/>
        <v>1000000</v>
      </c>
      <c r="AC105" s="919">
        <f t="shared" si="92"/>
        <v>3.8693606857010856</v>
      </c>
      <c r="AD105" s="611">
        <f t="shared" si="137"/>
        <v>3.6615986838430703</v>
      </c>
      <c r="AE105" s="611">
        <f t="shared" si="137"/>
        <v>3.57424868384307</v>
      </c>
      <c r="AF105" s="611">
        <f t="shared" si="137"/>
        <v>3.4344886838430697</v>
      </c>
      <c r="AG105" s="612">
        <f t="shared" si="129"/>
        <v>3.1549686838430691</v>
      </c>
      <c r="AH105" s="609">
        <f t="shared" si="93"/>
        <v>3</v>
      </c>
      <c r="AI105" s="895">
        <f t="shared" si="114"/>
        <v>-1000000</v>
      </c>
      <c r="AJ105" s="610">
        <f t="shared" si="94"/>
        <v>7.0173667360079532</v>
      </c>
      <c r="AK105" s="609">
        <f t="shared" si="115"/>
        <v>-0.15535200185801526</v>
      </c>
      <c r="AL105" s="611">
        <f t="shared" si="138"/>
        <v>-0.16696200185801535</v>
      </c>
      <c r="AM105" s="611">
        <f t="shared" si="138"/>
        <v>-0.18631200185801552</v>
      </c>
      <c r="AN105" s="611">
        <f t="shared" si="138"/>
        <v>-0.21727200185801579</v>
      </c>
      <c r="AO105" s="612">
        <f t="shared" si="138"/>
        <v>-0.27919200185801635</v>
      </c>
      <c r="AP105" s="902">
        <v>0</v>
      </c>
      <c r="AQ105" s="783">
        <f t="shared" si="95"/>
        <v>1000000</v>
      </c>
      <c r="AR105" s="983"/>
      <c r="AS105" s="609">
        <f t="shared" si="96"/>
        <v>7.0173667360079532</v>
      </c>
      <c r="AT105" s="610">
        <f t="shared" si="142"/>
        <v>3.6615986838430703</v>
      </c>
      <c r="AU105" s="611">
        <f t="shared" si="142"/>
        <v>3.57424868384307</v>
      </c>
      <c r="AV105" s="611">
        <f t="shared" si="142"/>
        <v>3.4344886838430697</v>
      </c>
      <c r="AW105" s="612">
        <f t="shared" si="142"/>
        <v>3.1549686838430691</v>
      </c>
      <c r="AX105" s="982">
        <f t="shared" si="98"/>
        <v>1000000</v>
      </c>
      <c r="AY105" s="611">
        <f t="shared" si="99"/>
        <v>3</v>
      </c>
      <c r="AZ105" s="612">
        <f t="shared" si="100"/>
        <v>3.8693606857010856</v>
      </c>
      <c r="BB105" s="984">
        <f t="shared" si="116"/>
        <v>4.132203330169566</v>
      </c>
      <c r="BC105" s="985">
        <f t="shared" si="139"/>
        <v>3.6921048403572736</v>
      </c>
      <c r="BD105" s="985">
        <f t="shared" si="139"/>
        <v>3.6257318615625356</v>
      </c>
      <c r="BE105" s="528">
        <f t="shared" si="139"/>
        <v>3.5622600317888127</v>
      </c>
      <c r="BF105" s="913">
        <f t="shared" si="143"/>
        <v>4.132203330169566</v>
      </c>
      <c r="BG105" s="317">
        <f t="shared" si="143"/>
        <v>-1000000</v>
      </c>
      <c r="BH105" s="317">
        <f t="shared" si="143"/>
        <v>-1000000</v>
      </c>
      <c r="BI105" s="919">
        <f t="shared" si="143"/>
        <v>-1000000</v>
      </c>
      <c r="BJ105" s="646">
        <f t="shared" si="102"/>
        <v>4.9499999999999993</v>
      </c>
      <c r="BK105" s="913">
        <f t="shared" si="103"/>
        <v>4.132203330169566</v>
      </c>
      <c r="BL105" s="317"/>
      <c r="BM105" s="317"/>
      <c r="BN105" s="317"/>
      <c r="BO105" s="913">
        <f t="shared" si="104"/>
        <v>3</v>
      </c>
      <c r="BP105" s="783">
        <f t="shared" si="117"/>
        <v>1000000</v>
      </c>
      <c r="CK105" s="642">
        <f t="shared" si="128"/>
        <v>99</v>
      </c>
      <c r="CL105" s="609">
        <f t="shared" si="105"/>
        <v>7.0173667360079532</v>
      </c>
      <c r="CM105" s="609">
        <f t="shared" si="118"/>
        <v>4.9499999999999993</v>
      </c>
      <c r="CN105" s="610">
        <f t="shared" ref="CN105:CP126" si="148">$CD$27*(1-EXP(-$CM105/CN$3))</f>
        <v>8.5058810653818515</v>
      </c>
      <c r="CO105" s="611">
        <f t="shared" si="148"/>
        <v>8.5058973179264701</v>
      </c>
      <c r="CP105" s="612">
        <f t="shared" si="148"/>
        <v>8.5058989027185739</v>
      </c>
      <c r="CQ105" s="611">
        <f t="shared" ref="CQ105:CS126" si="149">--$CD$30*((CQ$2-$CD$20)+($CD$22-CQ$2)*EXP(-$CM105/$CI$13))</f>
        <v>2.250308004884634</v>
      </c>
      <c r="CR105" s="611">
        <f t="shared" si="149"/>
        <v>2.6512333012042681</v>
      </c>
      <c r="CS105" s="611">
        <f t="shared" si="149"/>
        <v>3.0521585975239023</v>
      </c>
      <c r="CT105" s="610">
        <f t="shared" si="106"/>
        <v>10.756189070266485</v>
      </c>
      <c r="CU105" s="611">
        <f t="shared" si="106"/>
        <v>11.157130619130738</v>
      </c>
      <c r="CV105" s="612">
        <f t="shared" si="106"/>
        <v>11.558057500242477</v>
      </c>
      <c r="CW105" s="613">
        <f t="shared" si="146"/>
        <v>10.756189070266485</v>
      </c>
      <c r="CX105" s="613">
        <f t="shared" si="146"/>
        <v>11.157130619130738</v>
      </c>
      <c r="CY105" s="613">
        <f t="shared" si="146"/>
        <v>11.558057500242477</v>
      </c>
      <c r="CZ105" s="609">
        <f t="shared" si="107"/>
        <v>8.5058990739490348</v>
      </c>
      <c r="DA105" s="609"/>
      <c r="DB105" s="609">
        <f t="shared" si="120"/>
        <v>4.9499999999999993</v>
      </c>
      <c r="DC105" s="610">
        <f t="shared" si="144"/>
        <v>4.7533241593755296E-5</v>
      </c>
      <c r="DD105" s="611">
        <f t="shared" si="144"/>
        <v>5.4607757911736539E-6</v>
      </c>
      <c r="DE105" s="612">
        <f t="shared" si="144"/>
        <v>6.1300558072840335E-7</v>
      </c>
      <c r="DF105" s="611">
        <f t="shared" si="147"/>
        <v>5.0812474299278794E-5</v>
      </c>
      <c r="DG105" s="611">
        <f t="shared" si="147"/>
        <v>5.9082018921686893E-6</v>
      </c>
      <c r="DH105" s="611">
        <f t="shared" si="147"/>
        <v>6.7129505509912243E-7</v>
      </c>
      <c r="DI105" s="614">
        <f t="shared" si="109"/>
        <v>8</v>
      </c>
      <c r="DJ105" s="615"/>
      <c r="DK105" s="609">
        <f t="shared" si="121"/>
        <v>4.9499999999999993</v>
      </c>
      <c r="DL105" s="611">
        <f t="shared" ref="DL105:DN126" si="150">IF((DL$3*$DK105)&gt;$CD$27,1000000,($CD$20+($CD$35*DL$3)/(1-(DL$3*$DK105)/($CD$27))))</f>
        <v>3.9255473555315192</v>
      </c>
      <c r="DM105" s="611">
        <f t="shared" si="150"/>
        <v>1000000</v>
      </c>
      <c r="DN105" s="611">
        <f t="shared" si="150"/>
        <v>1000000</v>
      </c>
      <c r="DO105" s="610">
        <f t="shared" ref="DO105:DQ126" si="151">($CD$24-$CD$20)+($CD$22-$CD$24)*EXP(-$DK105/$CI$13)+$CD$36*DO$3</f>
        <v>0.3422493142989147</v>
      </c>
      <c r="DP105" s="611">
        <f t="shared" si="151"/>
        <v>0.36159931429891484</v>
      </c>
      <c r="DQ105" s="612">
        <f t="shared" si="151"/>
        <v>0.39255931429891511</v>
      </c>
      <c r="DR105" s="611">
        <f t="shared" si="110"/>
        <v>4.2677966698304335</v>
      </c>
      <c r="DS105" s="611">
        <f t="shared" si="110"/>
        <v>1000000.3615993143</v>
      </c>
      <c r="DT105" s="611">
        <f t="shared" si="110"/>
        <v>1000000.3925593143</v>
      </c>
      <c r="DU105" s="609">
        <f t="shared" si="122"/>
        <v>4.2</v>
      </c>
      <c r="DV105" s="611"/>
      <c r="DW105" s="646">
        <f t="shared" si="111"/>
        <v>13.2</v>
      </c>
      <c r="DX105" s="621">
        <f t="shared" ref="DX105:DZ126" si="152">$CD$27*((1-($CD$35*$DW105)/($CD$20-DX$3))/(1+(($CD$36*$DW105)/($CD$20-DX$3))))</f>
        <v>6.895540895006711</v>
      </c>
      <c r="DY105" s="621">
        <f t="shared" si="152"/>
        <v>7.0612959779644759</v>
      </c>
      <c r="DZ105" s="621">
        <f t="shared" si="152"/>
        <v>7.1961130029552134</v>
      </c>
      <c r="EA105" s="610">
        <f t="shared" si="145"/>
        <v>6.8193071276920607</v>
      </c>
      <c r="EB105" s="611">
        <f t="shared" si="145"/>
        <v>6.8446268227068678</v>
      </c>
      <c r="EC105" s="612">
        <f t="shared" si="145"/>
        <v>6.8662436033756098</v>
      </c>
      <c r="ED105" s="610">
        <f t="shared" si="123"/>
        <v>8</v>
      </c>
      <c r="EE105" s="611">
        <f t="shared" si="124"/>
        <v>8.5058990739490348</v>
      </c>
      <c r="EF105" s="645">
        <f t="shared" si="125"/>
        <v>-1000000</v>
      </c>
      <c r="EG105" s="902"/>
      <c r="EH105" s="646">
        <f t="shared" si="113"/>
        <v>13.2</v>
      </c>
      <c r="EI105" s="610">
        <f t="shared" ref="EI105:EK126" si="153">$CD$29-($CD$29-EI$1)*((1-EXP(-$DW105/$CD$32))/(1-EXP(-1)))</f>
        <v>-7.6233767314650258E-2</v>
      </c>
      <c r="EJ105" s="986">
        <f t="shared" si="153"/>
        <v>-0.21666915525760766</v>
      </c>
      <c r="EK105" s="612">
        <f t="shared" si="153"/>
        <v>-0.32986939957960359</v>
      </c>
    </row>
    <row r="106" spans="21:141" ht="15" customHeight="1" x14ac:dyDescent="0.25">
      <c r="U106" s="642">
        <f t="shared" si="127"/>
        <v>100</v>
      </c>
      <c r="W106" s="609">
        <f t="shared" si="90"/>
        <v>7.0882492282908629</v>
      </c>
      <c r="X106" s="610">
        <f t="shared" ref="X106:AA125" si="154">$K$25-($M$28*X$3)/(1-$W106/$K$26)</f>
        <v>3.8265206857010856</v>
      </c>
      <c r="Y106" s="611">
        <f t="shared" si="154"/>
        <v>3.7551206857010855</v>
      </c>
      <c r="Z106" s="611">
        <f t="shared" si="154"/>
        <v>3.6408806857010854</v>
      </c>
      <c r="AA106" s="611">
        <f t="shared" si="154"/>
        <v>3.4124006857010856</v>
      </c>
      <c r="AB106" s="982">
        <f t="shared" si="91"/>
        <v>1000000</v>
      </c>
      <c r="AC106" s="919">
        <f t="shared" si="92"/>
        <v>3.8693606857010856</v>
      </c>
      <c r="AD106" s="611">
        <f t="shared" si="137"/>
        <v>3.6585806613807903</v>
      </c>
      <c r="AE106" s="611">
        <f t="shared" si="137"/>
        <v>3.56783066138079</v>
      </c>
      <c r="AF106" s="611">
        <f t="shared" si="137"/>
        <v>3.42263066138079</v>
      </c>
      <c r="AG106" s="612">
        <f t="shared" si="129"/>
        <v>3.1322306613807895</v>
      </c>
      <c r="AH106" s="609">
        <f t="shared" si="93"/>
        <v>3</v>
      </c>
      <c r="AI106" s="895">
        <f t="shared" si="114"/>
        <v>-1000000</v>
      </c>
      <c r="AJ106" s="610">
        <f t="shared" si="94"/>
        <v>7.0882492282908629</v>
      </c>
      <c r="AK106" s="609">
        <f t="shared" si="115"/>
        <v>-0.15633002432029502</v>
      </c>
      <c r="AL106" s="611">
        <f t="shared" ref="AL106:AO126" si="155">$AK106-$M$30*AL$3</f>
        <v>-0.16794002432029512</v>
      </c>
      <c r="AM106" s="611">
        <f t="shared" si="155"/>
        <v>-0.18729002432029529</v>
      </c>
      <c r="AN106" s="611">
        <f t="shared" si="155"/>
        <v>-0.21825002432029555</v>
      </c>
      <c r="AO106" s="612">
        <f t="shared" si="155"/>
        <v>-0.28017002432029608</v>
      </c>
      <c r="AP106" s="902">
        <v>0</v>
      </c>
      <c r="AQ106" s="783">
        <f t="shared" si="95"/>
        <v>1000000</v>
      </c>
      <c r="AR106" s="983"/>
      <c r="AS106" s="609">
        <f t="shared" si="96"/>
        <v>7.0882492282908629</v>
      </c>
      <c r="AT106" s="610">
        <f t="shared" si="142"/>
        <v>3.6585806613807903</v>
      </c>
      <c r="AU106" s="611">
        <f t="shared" si="142"/>
        <v>3.56783066138079</v>
      </c>
      <c r="AV106" s="611">
        <f t="shared" si="142"/>
        <v>3.42263066138079</v>
      </c>
      <c r="AW106" s="612">
        <f t="shared" si="142"/>
        <v>3.1322306613807895</v>
      </c>
      <c r="AX106" s="982">
        <f t="shared" si="98"/>
        <v>1000000</v>
      </c>
      <c r="AY106" s="611">
        <f t="shared" si="99"/>
        <v>3</v>
      </c>
      <c r="AZ106" s="612">
        <f t="shared" si="100"/>
        <v>3.8693606857010856</v>
      </c>
      <c r="BB106" s="984">
        <f t="shared" si="116"/>
        <v>4.1280140428479877</v>
      </c>
      <c r="BC106" s="985">
        <f t="shared" ref="BC106:BE125" si="156">$K$25+$K$31*(1-(1-EXP(-(BB$3*$BJ106)/($K$27)))/(1-EXP(-1)))-($M$28/(1-(BC$3*$BJ106)/($K$26))+$M$30)*BC$3</f>
        <v>3.6909686596729951</v>
      </c>
      <c r="BD106" s="985">
        <f t="shared" si="156"/>
        <v>3.6255778589261181</v>
      </c>
      <c r="BE106" s="528">
        <f t="shared" si="156"/>
        <v>3.5621574701654453</v>
      </c>
      <c r="BF106" s="913">
        <f t="shared" si="143"/>
        <v>4.1280140428479877</v>
      </c>
      <c r="BG106" s="317">
        <f t="shared" si="143"/>
        <v>-1000000</v>
      </c>
      <c r="BH106" s="317">
        <f t="shared" si="143"/>
        <v>-1000000</v>
      </c>
      <c r="BI106" s="919">
        <f t="shared" si="143"/>
        <v>-1000000</v>
      </c>
      <c r="BJ106" s="646">
        <f t="shared" si="102"/>
        <v>5</v>
      </c>
      <c r="BK106" s="913">
        <f t="shared" si="103"/>
        <v>4.1280140428479877</v>
      </c>
      <c r="BL106" s="317"/>
      <c r="BM106" s="317"/>
      <c r="BN106" s="317"/>
      <c r="BO106" s="913">
        <f t="shared" si="104"/>
        <v>3</v>
      </c>
      <c r="BP106" s="783">
        <f t="shared" si="117"/>
        <v>1000000</v>
      </c>
      <c r="CK106" s="642">
        <f t="shared" si="128"/>
        <v>100</v>
      </c>
      <c r="CL106" s="609">
        <f t="shared" si="105"/>
        <v>7.0882492282908629</v>
      </c>
      <c r="CM106" s="609">
        <f t="shared" si="118"/>
        <v>5</v>
      </c>
      <c r="CN106" s="610">
        <f t="shared" si="148"/>
        <v>8.5058832918925269</v>
      </c>
      <c r="CO106" s="611">
        <f t="shared" si="148"/>
        <v>8.5058975707969644</v>
      </c>
      <c r="CP106" s="612">
        <f t="shared" si="148"/>
        <v>8.5058989307822586</v>
      </c>
      <c r="CQ106" s="611">
        <f t="shared" si="149"/>
        <v>2.250308004884634</v>
      </c>
      <c r="CR106" s="611">
        <f t="shared" si="149"/>
        <v>2.6512333012042681</v>
      </c>
      <c r="CS106" s="611">
        <f t="shared" si="149"/>
        <v>3.0521585975239023</v>
      </c>
      <c r="CT106" s="610">
        <f t="shared" si="106"/>
        <v>10.75619129677716</v>
      </c>
      <c r="CU106" s="611">
        <f t="shared" si="106"/>
        <v>11.157130872001233</v>
      </c>
      <c r="CV106" s="612">
        <f t="shared" si="106"/>
        <v>11.558057528306161</v>
      </c>
      <c r="CW106" s="613">
        <f t="shared" si="146"/>
        <v>10.75619129677716</v>
      </c>
      <c r="CX106" s="613">
        <f t="shared" si="146"/>
        <v>11.157130872001233</v>
      </c>
      <c r="CY106" s="613">
        <f t="shared" si="146"/>
        <v>11.558057528306161</v>
      </c>
      <c r="CZ106" s="609">
        <f t="shared" si="107"/>
        <v>8.5058990739490348</v>
      </c>
      <c r="DA106" s="609"/>
      <c r="DB106" s="609">
        <f t="shared" si="120"/>
        <v>5</v>
      </c>
      <c r="DC106" s="610">
        <f t="shared" si="144"/>
        <v>4.1656412598756426E-5</v>
      </c>
      <c r="DD106" s="611">
        <f t="shared" si="144"/>
        <v>4.6744139841427898E-6</v>
      </c>
      <c r="DE106" s="612">
        <f t="shared" si="144"/>
        <v>5.1253750269317211E-7</v>
      </c>
      <c r="DF106" s="611">
        <f t="shared" si="147"/>
        <v>4.453021350769796E-5</v>
      </c>
      <c r="DG106" s="611">
        <f t="shared" si="147"/>
        <v>5.0574098864330343E-6</v>
      </c>
      <c r="DH106" s="611">
        <f t="shared" si="147"/>
        <v>5.612736941884498E-7</v>
      </c>
      <c r="DI106" s="614">
        <f t="shared" si="109"/>
        <v>8</v>
      </c>
      <c r="DJ106" s="615"/>
      <c r="DK106" s="609">
        <f t="shared" si="121"/>
        <v>5</v>
      </c>
      <c r="DL106" s="611">
        <f t="shared" si="150"/>
        <v>3.929736642853098</v>
      </c>
      <c r="DM106" s="611">
        <f t="shared" si="150"/>
        <v>1000000</v>
      </c>
      <c r="DN106" s="611">
        <f t="shared" si="150"/>
        <v>1000000</v>
      </c>
      <c r="DO106" s="610">
        <f t="shared" si="151"/>
        <v>0.3422493142989147</v>
      </c>
      <c r="DP106" s="611">
        <f t="shared" si="151"/>
        <v>0.36159931429891484</v>
      </c>
      <c r="DQ106" s="612">
        <f t="shared" si="151"/>
        <v>0.39255931429891511</v>
      </c>
      <c r="DR106" s="611">
        <f t="shared" si="110"/>
        <v>4.2719859571520127</v>
      </c>
      <c r="DS106" s="611">
        <f t="shared" si="110"/>
        <v>1000000.3615993143</v>
      </c>
      <c r="DT106" s="611">
        <f t="shared" si="110"/>
        <v>1000000.3925593143</v>
      </c>
      <c r="DU106" s="609">
        <f t="shared" si="122"/>
        <v>4.2</v>
      </c>
      <c r="DV106" s="611"/>
      <c r="DW106" s="646">
        <f t="shared" si="111"/>
        <v>13.333333333333334</v>
      </c>
      <c r="DX106" s="621">
        <f t="shared" si="152"/>
        <v>6.8811985013818395</v>
      </c>
      <c r="DY106" s="621">
        <f t="shared" si="152"/>
        <v>7.0482524031541498</v>
      </c>
      <c r="DZ106" s="621">
        <f t="shared" si="152"/>
        <v>7.1841558247719277</v>
      </c>
      <c r="EA106" s="610">
        <f t="shared" si="145"/>
        <v>6.79424895523203</v>
      </c>
      <c r="EB106" s="611">
        <f t="shared" si="145"/>
        <v>6.8203157210402265</v>
      </c>
      <c r="EC106" s="612">
        <f t="shared" si="145"/>
        <v>6.8425741528077335</v>
      </c>
      <c r="ED106" s="610">
        <f t="shared" si="123"/>
        <v>8</v>
      </c>
      <c r="EE106" s="611">
        <f t="shared" si="124"/>
        <v>8.5058990739490348</v>
      </c>
      <c r="EF106" s="645">
        <f t="shared" si="125"/>
        <v>-1000000</v>
      </c>
      <c r="EG106" s="902"/>
      <c r="EH106" s="646">
        <f t="shared" si="113"/>
        <v>13.333333333333334</v>
      </c>
      <c r="EI106" s="610">
        <f t="shared" si="153"/>
        <v>-8.6949546149809098E-2</v>
      </c>
      <c r="EJ106" s="986">
        <f t="shared" si="153"/>
        <v>-0.22793668211392326</v>
      </c>
      <c r="EK106" s="612">
        <f t="shared" si="153"/>
        <v>-0.3415816719641942</v>
      </c>
    </row>
    <row r="107" spans="21:141" ht="15" customHeight="1" x14ac:dyDescent="0.25">
      <c r="U107" s="642">
        <f t="shared" si="127"/>
        <v>101</v>
      </c>
      <c r="W107" s="609">
        <f t="shared" si="90"/>
        <v>7.1591317205737708</v>
      </c>
      <c r="X107" s="610">
        <f t="shared" si="154"/>
        <v>3.8242659488589803</v>
      </c>
      <c r="Y107" s="611">
        <f t="shared" si="154"/>
        <v>3.7491080541221384</v>
      </c>
      <c r="Z107" s="611">
        <f t="shared" si="154"/>
        <v>3.6288554225431908</v>
      </c>
      <c r="AA107" s="611">
        <f t="shared" si="154"/>
        <v>3.388350159385296</v>
      </c>
      <c r="AB107" s="982">
        <f t="shared" si="91"/>
        <v>1000000</v>
      </c>
      <c r="AC107" s="919">
        <f t="shared" si="92"/>
        <v>3.8693606857010856</v>
      </c>
      <c r="AD107" s="611">
        <f t="shared" si="137"/>
        <v>3.655373703711013</v>
      </c>
      <c r="AE107" s="611">
        <f t="shared" si="137"/>
        <v>3.5608658089741709</v>
      </c>
      <c r="AF107" s="611">
        <f t="shared" si="137"/>
        <v>3.409653177395223</v>
      </c>
      <c r="AG107" s="612">
        <f t="shared" si="129"/>
        <v>3.1072279142373276</v>
      </c>
      <c r="AH107" s="609">
        <f t="shared" si="93"/>
        <v>3</v>
      </c>
      <c r="AI107" s="895">
        <f t="shared" si="114"/>
        <v>-1000000</v>
      </c>
      <c r="AJ107" s="610">
        <f t="shared" si="94"/>
        <v>7.1591317205737708</v>
      </c>
      <c r="AK107" s="609">
        <f t="shared" si="115"/>
        <v>-0.15728224514796715</v>
      </c>
      <c r="AL107" s="611">
        <f t="shared" si="155"/>
        <v>-0.16889224514796725</v>
      </c>
      <c r="AM107" s="611">
        <f t="shared" si="155"/>
        <v>-0.18824224514796742</v>
      </c>
      <c r="AN107" s="611">
        <f t="shared" si="155"/>
        <v>-0.21920224514796768</v>
      </c>
      <c r="AO107" s="612">
        <f t="shared" si="155"/>
        <v>-0.28112224514796824</v>
      </c>
      <c r="AP107" s="902">
        <v>0</v>
      </c>
      <c r="AQ107" s="783">
        <f t="shared" si="95"/>
        <v>1000000</v>
      </c>
      <c r="AR107" s="983"/>
      <c r="AS107" s="609">
        <f t="shared" si="96"/>
        <v>7.1591317205737708</v>
      </c>
      <c r="AT107" s="610">
        <f t="shared" si="142"/>
        <v>3.655373703711013</v>
      </c>
      <c r="AU107" s="611">
        <f t="shared" si="142"/>
        <v>3.5608658089741709</v>
      </c>
      <c r="AV107" s="611">
        <f t="shared" si="142"/>
        <v>3.409653177395223</v>
      </c>
      <c r="AW107" s="612">
        <f t="shared" si="142"/>
        <v>3.1072279142373276</v>
      </c>
      <c r="AX107" s="982">
        <f t="shared" si="98"/>
        <v>1000000</v>
      </c>
      <c r="AY107" s="611">
        <f t="shared" si="99"/>
        <v>3</v>
      </c>
      <c r="AZ107" s="612">
        <f t="shared" si="100"/>
        <v>3.8693606857010856</v>
      </c>
      <c r="BB107" s="984">
        <f t="shared" si="116"/>
        <v>4.1231497166142193</v>
      </c>
      <c r="BC107" s="985">
        <f t="shared" si="156"/>
        <v>3.6898657448793082</v>
      </c>
      <c r="BD107" s="985">
        <f t="shared" si="156"/>
        <v>3.6254287515708534</v>
      </c>
      <c r="BE107" s="528">
        <f t="shared" si="156"/>
        <v>3.5620571812329338</v>
      </c>
      <c r="BF107" s="913">
        <f t="shared" si="143"/>
        <v>4.1231497166142193</v>
      </c>
      <c r="BG107" s="317">
        <f t="shared" si="143"/>
        <v>-1000000</v>
      </c>
      <c r="BH107" s="317">
        <f t="shared" si="143"/>
        <v>-1000000</v>
      </c>
      <c r="BI107" s="919">
        <f t="shared" si="143"/>
        <v>-1000000</v>
      </c>
      <c r="BJ107" s="646">
        <f t="shared" si="102"/>
        <v>5.05</v>
      </c>
      <c r="BK107" s="913">
        <f t="shared" si="103"/>
        <v>4.1231497166142193</v>
      </c>
      <c r="BL107" s="317"/>
      <c r="BM107" s="317"/>
      <c r="BN107" s="317"/>
      <c r="BO107" s="913">
        <f t="shared" si="104"/>
        <v>3</v>
      </c>
      <c r="BP107" s="783">
        <f t="shared" si="117"/>
        <v>1000000</v>
      </c>
      <c r="CK107" s="642">
        <f t="shared" si="128"/>
        <v>101</v>
      </c>
      <c r="CL107" s="609">
        <f t="shared" si="105"/>
        <v>7.1591317205737708</v>
      </c>
      <c r="CM107" s="609">
        <f t="shared" si="118"/>
        <v>5.05</v>
      </c>
      <c r="CN107" s="610">
        <f t="shared" si="148"/>
        <v>8.5058852431258973</v>
      </c>
      <c r="CO107" s="611">
        <f t="shared" si="148"/>
        <v>8.505897787253641</v>
      </c>
      <c r="CP107" s="612">
        <f t="shared" si="148"/>
        <v>8.5058989542464669</v>
      </c>
      <c r="CQ107" s="611">
        <f t="shared" si="149"/>
        <v>2.250308004884634</v>
      </c>
      <c r="CR107" s="611">
        <f t="shared" si="149"/>
        <v>2.6512333012042681</v>
      </c>
      <c r="CS107" s="611">
        <f t="shared" si="149"/>
        <v>3.0521585975239023</v>
      </c>
      <c r="CT107" s="610">
        <f t="shared" si="106"/>
        <v>10.756193248010531</v>
      </c>
      <c r="CU107" s="611">
        <f t="shared" si="106"/>
        <v>11.157131088457909</v>
      </c>
      <c r="CV107" s="612">
        <f t="shared" si="106"/>
        <v>11.55805755177037</v>
      </c>
      <c r="CW107" s="613">
        <f t="shared" si="146"/>
        <v>10.756193248010531</v>
      </c>
      <c r="CX107" s="613">
        <f t="shared" si="146"/>
        <v>11.157131088457909</v>
      </c>
      <c r="CY107" s="613">
        <f t="shared" si="146"/>
        <v>11.55805755177037</v>
      </c>
      <c r="CZ107" s="609">
        <f t="shared" si="107"/>
        <v>8.5058990739490348</v>
      </c>
      <c r="DA107" s="609"/>
      <c r="DB107" s="609">
        <f t="shared" si="120"/>
        <v>5.05</v>
      </c>
      <c r="DC107" s="610">
        <f t="shared" si="144"/>
        <v>3.6506172363085988E-5</v>
      </c>
      <c r="DD107" s="611">
        <f t="shared" si="144"/>
        <v>4.0012897307497003E-6</v>
      </c>
      <c r="DE107" s="612">
        <f t="shared" si="144"/>
        <v>4.2853556301201616E-7</v>
      </c>
      <c r="DF107" s="611">
        <f t="shared" si="147"/>
        <v>3.9024667408682625E-5</v>
      </c>
      <c r="DG107" s="611">
        <f t="shared" si="147"/>
        <v>4.3291335316553311E-6</v>
      </c>
      <c r="DH107" s="611">
        <f t="shared" si="147"/>
        <v>4.6928416708169771E-7</v>
      </c>
      <c r="DI107" s="614">
        <f t="shared" si="109"/>
        <v>8</v>
      </c>
      <c r="DJ107" s="615"/>
      <c r="DK107" s="609">
        <f t="shared" si="121"/>
        <v>5.05</v>
      </c>
      <c r="DL107" s="611">
        <f t="shared" si="150"/>
        <v>3.9346009690868664</v>
      </c>
      <c r="DM107" s="611">
        <f t="shared" si="150"/>
        <v>1000000</v>
      </c>
      <c r="DN107" s="611">
        <f t="shared" si="150"/>
        <v>1000000</v>
      </c>
      <c r="DO107" s="610">
        <f t="shared" si="151"/>
        <v>0.3422493142989147</v>
      </c>
      <c r="DP107" s="611">
        <f t="shared" si="151"/>
        <v>0.36159931429891484</v>
      </c>
      <c r="DQ107" s="612">
        <f t="shared" si="151"/>
        <v>0.39255931429891511</v>
      </c>
      <c r="DR107" s="611">
        <f t="shared" si="110"/>
        <v>4.2768502833857811</v>
      </c>
      <c r="DS107" s="611">
        <f t="shared" si="110"/>
        <v>1000000.3615993143</v>
      </c>
      <c r="DT107" s="611">
        <f t="shared" si="110"/>
        <v>1000000.3925593143</v>
      </c>
      <c r="DU107" s="609">
        <f t="shared" si="122"/>
        <v>4.2</v>
      </c>
      <c r="DV107" s="611"/>
      <c r="DW107" s="646">
        <f t="shared" si="111"/>
        <v>13.466666666666667</v>
      </c>
      <c r="DX107" s="621">
        <f t="shared" si="152"/>
        <v>6.8668899939157289</v>
      </c>
      <c r="DY107" s="621">
        <f t="shared" si="152"/>
        <v>7.0352364805014469</v>
      </c>
      <c r="DZ107" s="621">
        <f t="shared" si="152"/>
        <v>7.1722216344648615</v>
      </c>
      <c r="EA107" s="610">
        <f t="shared" si="145"/>
        <v>6.7694017851760755</v>
      </c>
      <c r="EB107" s="611">
        <f t="shared" si="145"/>
        <v>6.7962185073691694</v>
      </c>
      <c r="EC107" s="612">
        <f t="shared" si="145"/>
        <v>6.8191212769510408</v>
      </c>
      <c r="ED107" s="610">
        <f t="shared" si="123"/>
        <v>8</v>
      </c>
      <c r="EE107" s="611">
        <f t="shared" si="124"/>
        <v>8.5058990739490348</v>
      </c>
      <c r="EF107" s="645">
        <f t="shared" si="125"/>
        <v>-1000000</v>
      </c>
      <c r="EG107" s="902"/>
      <c r="EH107" s="646">
        <f t="shared" si="113"/>
        <v>13.466666666666667</v>
      </c>
      <c r="EI107" s="610">
        <f t="shared" si="153"/>
        <v>-9.7488208739652915E-2</v>
      </c>
      <c r="EJ107" s="986">
        <f t="shared" si="153"/>
        <v>-0.23901797313227746</v>
      </c>
      <c r="EK107" s="612">
        <f t="shared" si="153"/>
        <v>-0.35310035751382118</v>
      </c>
    </row>
    <row r="108" spans="21:141" ht="15" customHeight="1" x14ac:dyDescent="0.25">
      <c r="U108" s="642">
        <f t="shared" si="127"/>
        <v>102</v>
      </c>
      <c r="W108" s="609">
        <f t="shared" si="90"/>
        <v>7.2300142128566796</v>
      </c>
      <c r="X108" s="610">
        <f t="shared" si="154"/>
        <v>3.8217606857010855</v>
      </c>
      <c r="Y108" s="611">
        <f t="shared" si="154"/>
        <v>3.7424273523677525</v>
      </c>
      <c r="Z108" s="611">
        <f t="shared" si="154"/>
        <v>3.6154940190344189</v>
      </c>
      <c r="AA108" s="611">
        <f t="shared" si="154"/>
        <v>3.3616273523677522</v>
      </c>
      <c r="AB108" s="982">
        <f t="shared" si="91"/>
        <v>1000000</v>
      </c>
      <c r="AC108" s="919">
        <f t="shared" si="92"/>
        <v>3.8693606857010856</v>
      </c>
      <c r="AD108" s="611">
        <f t="shared" si="137"/>
        <v>3.6519413406759447</v>
      </c>
      <c r="AE108" s="611">
        <f t="shared" si="137"/>
        <v>3.5532580073426114</v>
      </c>
      <c r="AF108" s="611">
        <f t="shared" si="137"/>
        <v>3.3953646740092776</v>
      </c>
      <c r="AG108" s="612">
        <f t="shared" si="129"/>
        <v>3.0795780073426107</v>
      </c>
      <c r="AH108" s="609">
        <f t="shared" si="93"/>
        <v>3</v>
      </c>
      <c r="AI108" s="895">
        <f t="shared" si="114"/>
        <v>-1000000</v>
      </c>
      <c r="AJ108" s="610">
        <f t="shared" si="94"/>
        <v>7.2300142128566796</v>
      </c>
      <c r="AK108" s="609">
        <f t="shared" si="115"/>
        <v>-0.15820934502514067</v>
      </c>
      <c r="AL108" s="611">
        <f t="shared" si="155"/>
        <v>-0.16981934502514076</v>
      </c>
      <c r="AM108" s="611">
        <f t="shared" si="155"/>
        <v>-0.18916934502514093</v>
      </c>
      <c r="AN108" s="611">
        <f t="shared" si="155"/>
        <v>-0.2201293450251412</v>
      </c>
      <c r="AO108" s="612">
        <f t="shared" si="155"/>
        <v>-0.28204934502514173</v>
      </c>
      <c r="AP108" s="902">
        <v>0</v>
      </c>
      <c r="AQ108" s="783">
        <f t="shared" si="95"/>
        <v>1000000</v>
      </c>
      <c r="AR108" s="983"/>
      <c r="AS108" s="609">
        <f t="shared" si="96"/>
        <v>7.2300142128566796</v>
      </c>
      <c r="AT108" s="610">
        <f t="shared" si="142"/>
        <v>3.6519413406759447</v>
      </c>
      <c r="AU108" s="611">
        <f t="shared" si="142"/>
        <v>3.5532580073426114</v>
      </c>
      <c r="AV108" s="611">
        <f t="shared" si="142"/>
        <v>3.3953646740092776</v>
      </c>
      <c r="AW108" s="612">
        <f t="shared" si="142"/>
        <v>3.0795780073426107</v>
      </c>
      <c r="AX108" s="982">
        <f t="shared" si="98"/>
        <v>1000000</v>
      </c>
      <c r="AY108" s="611">
        <f t="shared" si="99"/>
        <v>3</v>
      </c>
      <c r="AZ108" s="612">
        <f t="shared" si="100"/>
        <v>3.8693606857010856</v>
      </c>
      <c r="BB108" s="984">
        <f t="shared" si="116"/>
        <v>4.1174328962520264</v>
      </c>
      <c r="BC108" s="985">
        <f t="shared" si="156"/>
        <v>3.688794975632999</v>
      </c>
      <c r="BD108" s="985">
        <f t="shared" si="156"/>
        <v>3.6252843016171599</v>
      </c>
      <c r="BE108" s="528">
        <f t="shared" si="156"/>
        <v>3.5619590900103639</v>
      </c>
      <c r="BF108" s="913">
        <f t="shared" si="143"/>
        <v>4.1174328962520264</v>
      </c>
      <c r="BG108" s="317">
        <f t="shared" si="143"/>
        <v>-1000000</v>
      </c>
      <c r="BH108" s="317">
        <f t="shared" si="143"/>
        <v>-1000000</v>
      </c>
      <c r="BI108" s="919">
        <f t="shared" si="143"/>
        <v>-1000000</v>
      </c>
      <c r="BJ108" s="646">
        <f t="shared" si="102"/>
        <v>5.0999999999999996</v>
      </c>
      <c r="BK108" s="913">
        <f t="shared" si="103"/>
        <v>4.1174328962520264</v>
      </c>
      <c r="BL108" s="317"/>
      <c r="BM108" s="317"/>
      <c r="BN108" s="317"/>
      <c r="BO108" s="913">
        <f t="shared" si="104"/>
        <v>3</v>
      </c>
      <c r="BP108" s="783">
        <f t="shared" si="117"/>
        <v>1000000</v>
      </c>
      <c r="CK108" s="642">
        <f t="shared" si="128"/>
        <v>102</v>
      </c>
      <c r="CL108" s="609">
        <f t="shared" si="105"/>
        <v>7.2300142128566796</v>
      </c>
      <c r="CM108" s="609">
        <f t="shared" si="118"/>
        <v>5.0999999999999996</v>
      </c>
      <c r="CN108" s="610">
        <f t="shared" si="148"/>
        <v>8.5058869531162067</v>
      </c>
      <c r="CO108" s="611">
        <f t="shared" si="148"/>
        <v>8.505897972540156</v>
      </c>
      <c r="CP108" s="612">
        <f t="shared" si="148"/>
        <v>8.5058989738650279</v>
      </c>
      <c r="CQ108" s="611">
        <f t="shared" si="149"/>
        <v>2.250308004884634</v>
      </c>
      <c r="CR108" s="611">
        <f t="shared" si="149"/>
        <v>2.6512333012042681</v>
      </c>
      <c r="CS108" s="611">
        <f t="shared" si="149"/>
        <v>3.0521585975239023</v>
      </c>
      <c r="CT108" s="610">
        <f t="shared" si="106"/>
        <v>10.75619495800084</v>
      </c>
      <c r="CU108" s="611">
        <f t="shared" si="106"/>
        <v>11.157131273744424</v>
      </c>
      <c r="CV108" s="612">
        <f t="shared" si="106"/>
        <v>11.558057571388931</v>
      </c>
      <c r="CW108" s="613">
        <f t="shared" si="146"/>
        <v>10.75619495800084</v>
      </c>
      <c r="CX108" s="613">
        <f t="shared" si="146"/>
        <v>11.157131273744424</v>
      </c>
      <c r="CY108" s="613">
        <f t="shared" si="146"/>
        <v>11.558057571388931</v>
      </c>
      <c r="CZ108" s="609">
        <f t="shared" si="107"/>
        <v>8.5058990739490348</v>
      </c>
      <c r="DA108" s="609"/>
      <c r="DB108" s="609">
        <f t="shared" si="120"/>
        <v>5.0999999999999996</v>
      </c>
      <c r="DC108" s="610">
        <f t="shared" si="144"/>
        <v>3.1992688219223331E-5</v>
      </c>
      <c r="DD108" s="611">
        <f t="shared" si="144"/>
        <v>3.4250966139746041E-6</v>
      </c>
      <c r="DE108" s="612">
        <f t="shared" si="144"/>
        <v>3.5830105660767974E-7</v>
      </c>
      <c r="DF108" s="611">
        <f t="shared" si="147"/>
        <v>3.4199806187018689E-5</v>
      </c>
      <c r="DG108" s="611">
        <f t="shared" si="147"/>
        <v>3.7057303003962392E-6</v>
      </c>
      <c r="DH108" s="611">
        <f t="shared" si="147"/>
        <v>3.9237121995938788E-7</v>
      </c>
      <c r="DI108" s="614">
        <f t="shared" si="109"/>
        <v>8</v>
      </c>
      <c r="DJ108" s="615"/>
      <c r="DK108" s="609">
        <f t="shared" si="121"/>
        <v>5.0999999999999996</v>
      </c>
      <c r="DL108" s="611">
        <f t="shared" si="150"/>
        <v>3.9403177894490593</v>
      </c>
      <c r="DM108" s="611">
        <f t="shared" si="150"/>
        <v>1000000</v>
      </c>
      <c r="DN108" s="611">
        <f t="shared" si="150"/>
        <v>1000000</v>
      </c>
      <c r="DO108" s="610">
        <f t="shared" si="151"/>
        <v>0.3422493142989147</v>
      </c>
      <c r="DP108" s="611">
        <f t="shared" si="151"/>
        <v>0.36159931429891484</v>
      </c>
      <c r="DQ108" s="612">
        <f t="shared" si="151"/>
        <v>0.39255931429891511</v>
      </c>
      <c r="DR108" s="611">
        <f t="shared" si="110"/>
        <v>4.282567103747974</v>
      </c>
      <c r="DS108" s="611">
        <f t="shared" si="110"/>
        <v>1000000.3615993143</v>
      </c>
      <c r="DT108" s="611">
        <f t="shared" si="110"/>
        <v>1000000.3925593143</v>
      </c>
      <c r="DU108" s="609">
        <f t="shared" si="122"/>
        <v>4.2</v>
      </c>
      <c r="DV108" s="611"/>
      <c r="DW108" s="646">
        <f t="shared" si="111"/>
        <v>13.6</v>
      </c>
      <c r="DX108" s="621">
        <f t="shared" si="152"/>
        <v>6.8526152526580217</v>
      </c>
      <c r="DY108" s="621">
        <f t="shared" si="152"/>
        <v>7.0222481221663235</v>
      </c>
      <c r="DZ108" s="621">
        <f t="shared" si="152"/>
        <v>7.1603103658058114</v>
      </c>
      <c r="EA108" s="610">
        <f t="shared" si="145"/>
        <v>6.7447625700998</v>
      </c>
      <c r="EB108" s="611">
        <f t="shared" si="145"/>
        <v>6.7723320156460041</v>
      </c>
      <c r="EC108" s="612">
        <f t="shared" si="145"/>
        <v>6.7958817098683841</v>
      </c>
      <c r="ED108" s="610">
        <f t="shared" si="123"/>
        <v>8</v>
      </c>
      <c r="EE108" s="611">
        <f t="shared" si="124"/>
        <v>8.5058990739490348</v>
      </c>
      <c r="EF108" s="645">
        <f t="shared" si="125"/>
        <v>-1000000</v>
      </c>
      <c r="EG108" s="902"/>
      <c r="EH108" s="646">
        <f t="shared" si="113"/>
        <v>13.6</v>
      </c>
      <c r="EI108" s="610">
        <f t="shared" si="153"/>
        <v>-0.10785268255822222</v>
      </c>
      <c r="EJ108" s="986">
        <f t="shared" si="153"/>
        <v>-0.24991610652031904</v>
      </c>
      <c r="EK108" s="612">
        <f t="shared" si="153"/>
        <v>-0.36442865593742768</v>
      </c>
    </row>
    <row r="109" spans="21:141" ht="15" customHeight="1" x14ac:dyDescent="0.25">
      <c r="U109" s="642">
        <f t="shared" si="127"/>
        <v>103</v>
      </c>
      <c r="W109" s="609">
        <f t="shared" si="90"/>
        <v>7.3008967051395874</v>
      </c>
      <c r="X109" s="610">
        <f t="shared" si="154"/>
        <v>3.8189606857010858</v>
      </c>
      <c r="Y109" s="611">
        <f t="shared" si="154"/>
        <v>3.7349606857010857</v>
      </c>
      <c r="Z109" s="611">
        <f t="shared" si="154"/>
        <v>3.6005606857010859</v>
      </c>
      <c r="AA109" s="611">
        <f t="shared" si="154"/>
        <v>3.3317606857010857</v>
      </c>
      <c r="AB109" s="982">
        <f t="shared" si="91"/>
        <v>1000000</v>
      </c>
      <c r="AC109" s="919">
        <f t="shared" si="92"/>
        <v>3.8693606857010856</v>
      </c>
      <c r="AD109" s="611">
        <f t="shared" si="137"/>
        <v>3.6482386990225835</v>
      </c>
      <c r="AE109" s="611">
        <f t="shared" si="137"/>
        <v>3.5448886990225832</v>
      </c>
      <c r="AF109" s="611">
        <f t="shared" si="137"/>
        <v>3.379528699022583</v>
      </c>
      <c r="AG109" s="612">
        <f t="shared" si="129"/>
        <v>3.0488086990225827</v>
      </c>
      <c r="AH109" s="609">
        <f t="shared" si="93"/>
        <v>3</v>
      </c>
      <c r="AI109" s="895">
        <f t="shared" si="114"/>
        <v>-1000000</v>
      </c>
      <c r="AJ109" s="610">
        <f t="shared" si="94"/>
        <v>7.3008967051395874</v>
      </c>
      <c r="AK109" s="609">
        <f t="shared" si="115"/>
        <v>-0.15911198667850218</v>
      </c>
      <c r="AL109" s="611">
        <f t="shared" si="155"/>
        <v>-0.17072198667850227</v>
      </c>
      <c r="AM109" s="611">
        <f t="shared" si="155"/>
        <v>-0.19007198667850245</v>
      </c>
      <c r="AN109" s="611">
        <f t="shared" si="155"/>
        <v>-0.22103198667850271</v>
      </c>
      <c r="AO109" s="612">
        <f t="shared" si="155"/>
        <v>-0.28295198667850324</v>
      </c>
      <c r="AP109" s="902">
        <v>0</v>
      </c>
      <c r="AQ109" s="783">
        <f t="shared" si="95"/>
        <v>1000000</v>
      </c>
      <c r="AR109" s="983"/>
      <c r="AS109" s="609">
        <f t="shared" si="96"/>
        <v>7.3008967051395874</v>
      </c>
      <c r="AT109" s="610">
        <f t="shared" si="142"/>
        <v>3.6482386990225835</v>
      </c>
      <c r="AU109" s="611">
        <f t="shared" si="142"/>
        <v>3.5448886990225832</v>
      </c>
      <c r="AV109" s="611">
        <f t="shared" si="142"/>
        <v>3.379528699022583</v>
      </c>
      <c r="AW109" s="612">
        <f t="shared" si="142"/>
        <v>3.0488086990225827</v>
      </c>
      <c r="AX109" s="982">
        <f t="shared" si="98"/>
        <v>1000000</v>
      </c>
      <c r="AY109" s="611">
        <f t="shared" si="99"/>
        <v>3</v>
      </c>
      <c r="AZ109" s="612">
        <f t="shared" si="100"/>
        <v>3.8693606857010856</v>
      </c>
      <c r="BB109" s="984">
        <f t="shared" si="116"/>
        <v>4.1106179531196378</v>
      </c>
      <c r="BC109" s="985">
        <f t="shared" si="156"/>
        <v>3.6877552793100321</v>
      </c>
      <c r="BD109" s="985">
        <f t="shared" si="156"/>
        <v>3.6251442855447928</v>
      </c>
      <c r="BE109" s="528">
        <f t="shared" si="156"/>
        <v>3.5618631248091872</v>
      </c>
      <c r="BF109" s="913">
        <f t="shared" si="143"/>
        <v>4.1106179531196378</v>
      </c>
      <c r="BG109" s="317">
        <f t="shared" si="143"/>
        <v>-1000000</v>
      </c>
      <c r="BH109" s="317">
        <f t="shared" si="143"/>
        <v>-1000000</v>
      </c>
      <c r="BI109" s="919">
        <f t="shared" si="143"/>
        <v>-1000000</v>
      </c>
      <c r="BJ109" s="646">
        <f t="shared" si="102"/>
        <v>5.1499999999999995</v>
      </c>
      <c r="BK109" s="913">
        <f t="shared" si="103"/>
        <v>4.1106179531196378</v>
      </c>
      <c r="BL109" s="317"/>
      <c r="BM109" s="317"/>
      <c r="BN109" s="317"/>
      <c r="BO109" s="913">
        <f t="shared" si="104"/>
        <v>3</v>
      </c>
      <c r="BP109" s="783">
        <f t="shared" si="117"/>
        <v>1000000</v>
      </c>
      <c r="CK109" s="642">
        <f t="shared" si="128"/>
        <v>103</v>
      </c>
      <c r="CL109" s="609">
        <f t="shared" si="105"/>
        <v>7.3008967051395874</v>
      </c>
      <c r="CM109" s="609">
        <f t="shared" si="118"/>
        <v>5.1499999999999995</v>
      </c>
      <c r="CN109" s="610">
        <f t="shared" si="148"/>
        <v>8.5058884516898239</v>
      </c>
      <c r="CO109" s="611">
        <f t="shared" si="148"/>
        <v>8.5058981311450701</v>
      </c>
      <c r="CP109" s="612">
        <f t="shared" si="148"/>
        <v>8.5058989902682196</v>
      </c>
      <c r="CQ109" s="611">
        <f t="shared" si="149"/>
        <v>2.250308004884634</v>
      </c>
      <c r="CR109" s="611">
        <f t="shared" si="149"/>
        <v>2.6512333012042681</v>
      </c>
      <c r="CS109" s="611">
        <f t="shared" si="149"/>
        <v>3.0521585975239023</v>
      </c>
      <c r="CT109" s="610">
        <f t="shared" si="106"/>
        <v>10.756196456574457</v>
      </c>
      <c r="CU109" s="611">
        <f t="shared" si="106"/>
        <v>11.157131432349338</v>
      </c>
      <c r="CV109" s="612">
        <f t="shared" si="106"/>
        <v>11.558057587792122</v>
      </c>
      <c r="CW109" s="613">
        <f t="shared" si="146"/>
        <v>10.756196456574457</v>
      </c>
      <c r="CX109" s="613">
        <f t="shared" si="146"/>
        <v>11.157131432349338</v>
      </c>
      <c r="CY109" s="613">
        <f t="shared" si="146"/>
        <v>11.558057587792122</v>
      </c>
      <c r="CZ109" s="609">
        <f t="shared" si="107"/>
        <v>8.5058990739490348</v>
      </c>
      <c r="DA109" s="609"/>
      <c r="DB109" s="609">
        <f t="shared" si="120"/>
        <v>5.1499999999999995</v>
      </c>
      <c r="DC109" s="610">
        <f t="shared" si="144"/>
        <v>2.803723406859822E-5</v>
      </c>
      <c r="DD109" s="611">
        <f t="shared" si="144"/>
        <v>2.9318763709875734E-6</v>
      </c>
      <c r="DE109" s="612">
        <f t="shared" si="144"/>
        <v>2.9957758059528983E-7</v>
      </c>
      <c r="DF109" s="611">
        <f t="shared" si="147"/>
        <v>2.9971472343959354E-5</v>
      </c>
      <c r="DG109" s="611">
        <f t="shared" si="147"/>
        <v>3.1720982818228663E-6</v>
      </c>
      <c r="DH109" s="611">
        <f t="shared" si="147"/>
        <v>3.2806383387651411E-7</v>
      </c>
      <c r="DI109" s="614">
        <f t="shared" si="109"/>
        <v>8</v>
      </c>
      <c r="DJ109" s="615"/>
      <c r="DK109" s="609">
        <f t="shared" si="121"/>
        <v>5.1499999999999995</v>
      </c>
      <c r="DL109" s="611">
        <f t="shared" si="150"/>
        <v>3.9471327325814483</v>
      </c>
      <c r="DM109" s="611">
        <f t="shared" si="150"/>
        <v>1000000</v>
      </c>
      <c r="DN109" s="611">
        <f t="shared" si="150"/>
        <v>1000000</v>
      </c>
      <c r="DO109" s="610">
        <f t="shared" si="151"/>
        <v>0.3422493142989147</v>
      </c>
      <c r="DP109" s="611">
        <f t="shared" si="151"/>
        <v>0.36159931429891484</v>
      </c>
      <c r="DQ109" s="612">
        <f t="shared" si="151"/>
        <v>0.39255931429891511</v>
      </c>
      <c r="DR109" s="611">
        <f t="shared" si="110"/>
        <v>4.2893820468803625</v>
      </c>
      <c r="DS109" s="611">
        <f t="shared" si="110"/>
        <v>1000000.3615993143</v>
      </c>
      <c r="DT109" s="611">
        <f t="shared" si="110"/>
        <v>1000000.3925593143</v>
      </c>
      <c r="DU109" s="609">
        <f t="shared" si="122"/>
        <v>4.2</v>
      </c>
      <c r="DV109" s="611"/>
      <c r="DW109" s="646">
        <f t="shared" si="111"/>
        <v>13.733333333333333</v>
      </c>
      <c r="DX109" s="621">
        <f t="shared" si="152"/>
        <v>6.8383741582238198</v>
      </c>
      <c r="DY109" s="621">
        <f t="shared" si="152"/>
        <v>7.0092872406803775</v>
      </c>
      <c r="DZ109" s="621">
        <f t="shared" si="152"/>
        <v>7.1484219528207298</v>
      </c>
      <c r="EA109" s="610">
        <f t="shared" si="145"/>
        <v>6.7203283115311532</v>
      </c>
      <c r="EB109" s="611">
        <f t="shared" si="145"/>
        <v>6.7486531310729791</v>
      </c>
      <c r="EC109" s="612">
        <f t="shared" si="145"/>
        <v>6.7728522387633125</v>
      </c>
      <c r="ED109" s="610">
        <f t="shared" si="123"/>
        <v>8</v>
      </c>
      <c r="EE109" s="611">
        <f t="shared" si="124"/>
        <v>8.5058990739490348</v>
      </c>
      <c r="EF109" s="645">
        <f t="shared" si="125"/>
        <v>-1000000</v>
      </c>
      <c r="EG109" s="902"/>
      <c r="EH109" s="646">
        <f t="shared" si="113"/>
        <v>13.733333333333333</v>
      </c>
      <c r="EI109" s="610">
        <f t="shared" si="153"/>
        <v>-0.11804584669266704</v>
      </c>
      <c r="EJ109" s="986">
        <f t="shared" si="153"/>
        <v>-0.26063410960739875</v>
      </c>
      <c r="EK109" s="612">
        <f t="shared" si="153"/>
        <v>-0.37556971405741724</v>
      </c>
    </row>
    <row r="110" spans="21:141" ht="15" customHeight="1" x14ac:dyDescent="0.25">
      <c r="U110" s="642">
        <f t="shared" si="127"/>
        <v>104</v>
      </c>
      <c r="W110" s="609">
        <f t="shared" si="90"/>
        <v>7.3717791974224971</v>
      </c>
      <c r="X110" s="610">
        <f t="shared" si="154"/>
        <v>3.8158106857010856</v>
      </c>
      <c r="Y110" s="611">
        <f t="shared" si="154"/>
        <v>3.7265606857010858</v>
      </c>
      <c r="Z110" s="611">
        <f t="shared" si="154"/>
        <v>3.5837606857010855</v>
      </c>
      <c r="AA110" s="611">
        <f t="shared" si="154"/>
        <v>3.2981606857010854</v>
      </c>
      <c r="AB110" s="982">
        <f t="shared" si="91"/>
        <v>1000000</v>
      </c>
      <c r="AC110" s="919">
        <f t="shared" si="92"/>
        <v>3.8693606857010856</v>
      </c>
      <c r="AD110" s="611">
        <f t="shared" si="137"/>
        <v>3.6442098703500276</v>
      </c>
      <c r="AE110" s="611">
        <f t="shared" si="137"/>
        <v>3.5356098703500276</v>
      </c>
      <c r="AF110" s="611">
        <f t="shared" si="137"/>
        <v>3.361849870350027</v>
      </c>
      <c r="AG110" s="612">
        <f t="shared" si="129"/>
        <v>3.0143298703500263</v>
      </c>
      <c r="AH110" s="609">
        <f t="shared" si="93"/>
        <v>3</v>
      </c>
      <c r="AI110" s="895">
        <f t="shared" si="114"/>
        <v>-1000000</v>
      </c>
      <c r="AJ110" s="610">
        <f t="shared" si="94"/>
        <v>7.3717791974224971</v>
      </c>
      <c r="AK110" s="609">
        <f t="shared" si="115"/>
        <v>-0.15999081535105811</v>
      </c>
      <c r="AL110" s="611">
        <f t="shared" si="155"/>
        <v>-0.1716008153510582</v>
      </c>
      <c r="AM110" s="611">
        <f t="shared" si="155"/>
        <v>-0.19095081535105837</v>
      </c>
      <c r="AN110" s="611">
        <f t="shared" si="155"/>
        <v>-0.22191081535105864</v>
      </c>
      <c r="AO110" s="612">
        <f t="shared" si="155"/>
        <v>-0.2838308153510592</v>
      </c>
      <c r="AP110" s="902">
        <v>0</v>
      </c>
      <c r="AQ110" s="783">
        <f t="shared" si="95"/>
        <v>1000000</v>
      </c>
      <c r="AR110" s="983"/>
      <c r="AS110" s="609">
        <f t="shared" si="96"/>
        <v>7.3717791974224971</v>
      </c>
      <c r="AT110" s="610">
        <f t="shared" si="142"/>
        <v>3.6442098703500276</v>
      </c>
      <c r="AU110" s="611">
        <f t="shared" si="142"/>
        <v>3.5356098703500276</v>
      </c>
      <c r="AV110" s="611">
        <f t="shared" si="142"/>
        <v>3.361849870350027</v>
      </c>
      <c r="AW110" s="612">
        <f t="shared" si="142"/>
        <v>3.0143298703500263</v>
      </c>
      <c r="AX110" s="982">
        <f t="shared" si="98"/>
        <v>1000000</v>
      </c>
      <c r="AY110" s="611">
        <f t="shared" si="99"/>
        <v>3</v>
      </c>
      <c r="AZ110" s="612">
        <f t="shared" si="100"/>
        <v>3.8693606857010856</v>
      </c>
      <c r="BB110" s="984">
        <f t="shared" si="116"/>
        <v>4.1023548688753193</v>
      </c>
      <c r="BC110" s="985">
        <f t="shared" si="156"/>
        <v>3.6867456281524391</v>
      </c>
      <c r="BD110" s="985">
        <f t="shared" si="156"/>
        <v>3.6250084932232647</v>
      </c>
      <c r="BE110" s="528">
        <f t="shared" si="156"/>
        <v>3.5617692170512392</v>
      </c>
      <c r="BF110" s="913">
        <f t="shared" si="143"/>
        <v>4.1023548688753193</v>
      </c>
      <c r="BG110" s="317">
        <f t="shared" si="143"/>
        <v>-1000000</v>
      </c>
      <c r="BH110" s="317">
        <f t="shared" si="143"/>
        <v>-1000000</v>
      </c>
      <c r="BI110" s="919">
        <f t="shared" si="143"/>
        <v>-1000000</v>
      </c>
      <c r="BJ110" s="646">
        <f t="shared" si="102"/>
        <v>5.2</v>
      </c>
      <c r="BK110" s="913">
        <f t="shared" si="103"/>
        <v>4.1023548688753193</v>
      </c>
      <c r="BL110" s="317"/>
      <c r="BM110" s="317"/>
      <c r="BN110" s="317"/>
      <c r="BO110" s="913">
        <f t="shared" si="104"/>
        <v>3</v>
      </c>
      <c r="BP110" s="783">
        <f t="shared" si="117"/>
        <v>1000000</v>
      </c>
      <c r="CK110" s="642">
        <f t="shared" si="128"/>
        <v>104</v>
      </c>
      <c r="CL110" s="609">
        <f t="shared" si="105"/>
        <v>7.3717791974224971</v>
      </c>
      <c r="CM110" s="609">
        <f t="shared" si="118"/>
        <v>5.2</v>
      </c>
      <c r="CN110" s="610">
        <f t="shared" si="148"/>
        <v>8.5058897649855059</v>
      </c>
      <c r="CO110" s="611">
        <f t="shared" si="148"/>
        <v>8.5058982669105845</v>
      </c>
      <c r="CP110" s="612">
        <f t="shared" si="148"/>
        <v>8.5058990039830213</v>
      </c>
      <c r="CQ110" s="611">
        <f t="shared" si="149"/>
        <v>2.250308004884634</v>
      </c>
      <c r="CR110" s="611">
        <f t="shared" si="149"/>
        <v>2.6512333012042681</v>
      </c>
      <c r="CS110" s="611">
        <f t="shared" si="149"/>
        <v>3.0521585975239023</v>
      </c>
      <c r="CT110" s="610">
        <f t="shared" si="106"/>
        <v>10.756197769870139</v>
      </c>
      <c r="CU110" s="611">
        <f t="shared" si="106"/>
        <v>11.157131568114853</v>
      </c>
      <c r="CV110" s="612">
        <f t="shared" si="106"/>
        <v>11.558057601506924</v>
      </c>
      <c r="CW110" s="613">
        <f t="shared" si="146"/>
        <v>10.756197769870139</v>
      </c>
      <c r="CX110" s="613">
        <f t="shared" si="146"/>
        <v>11.157131568114853</v>
      </c>
      <c r="CY110" s="613">
        <f t="shared" si="146"/>
        <v>11.558057601506924</v>
      </c>
      <c r="CZ110" s="609">
        <f t="shared" si="107"/>
        <v>8.5058990739490348</v>
      </c>
      <c r="DA110" s="609"/>
      <c r="DB110" s="609">
        <f t="shared" si="120"/>
        <v>5.2</v>
      </c>
      <c r="DC110" s="610">
        <f t="shared" si="144"/>
        <v>2.4570817207696502E-5</v>
      </c>
      <c r="DD110" s="611">
        <f t="shared" si="144"/>
        <v>2.5096807546051353E-6</v>
      </c>
      <c r="DE110" s="612">
        <f t="shared" si="144"/>
        <v>2.5047854350481264E-7</v>
      </c>
      <c r="DF110" s="611">
        <f t="shared" si="147"/>
        <v>2.6265913639633336E-5</v>
      </c>
      <c r="DG110" s="611">
        <f t="shared" si="147"/>
        <v>2.715310287726386E-6</v>
      </c>
      <c r="DH110" s="611">
        <f t="shared" si="147"/>
        <v>2.7429603477457539E-7</v>
      </c>
      <c r="DI110" s="614">
        <f t="shared" si="109"/>
        <v>8</v>
      </c>
      <c r="DJ110" s="615"/>
      <c r="DK110" s="609">
        <f t="shared" si="121"/>
        <v>5.2</v>
      </c>
      <c r="DL110" s="611">
        <f t="shared" si="150"/>
        <v>3.9553958168257668</v>
      </c>
      <c r="DM110" s="611">
        <f t="shared" si="150"/>
        <v>1000000</v>
      </c>
      <c r="DN110" s="611">
        <f t="shared" si="150"/>
        <v>1000000</v>
      </c>
      <c r="DO110" s="610">
        <f t="shared" si="151"/>
        <v>0.3422493142989147</v>
      </c>
      <c r="DP110" s="611">
        <f t="shared" si="151"/>
        <v>0.36159931429891484</v>
      </c>
      <c r="DQ110" s="612">
        <f t="shared" si="151"/>
        <v>0.39255931429891511</v>
      </c>
      <c r="DR110" s="611">
        <f t="shared" si="110"/>
        <v>4.2976451311246819</v>
      </c>
      <c r="DS110" s="611">
        <f t="shared" si="110"/>
        <v>1000000.3615993143</v>
      </c>
      <c r="DT110" s="611">
        <f t="shared" si="110"/>
        <v>1000000.3925593143</v>
      </c>
      <c r="DU110" s="609">
        <f t="shared" si="122"/>
        <v>4.2</v>
      </c>
      <c r="DV110" s="611"/>
      <c r="DW110" s="646">
        <f t="shared" si="111"/>
        <v>13.866666666666667</v>
      </c>
      <c r="DX110" s="621">
        <f t="shared" si="152"/>
        <v>6.8241665917903678</v>
      </c>
      <c r="DY110" s="621">
        <f t="shared" si="152"/>
        <v>6.9963537489448999</v>
      </c>
      <c r="DZ110" s="621">
        <f t="shared" si="152"/>
        <v>7.1365563297885171</v>
      </c>
      <c r="EA110" s="610">
        <f t="shared" si="145"/>
        <v>6.6960960591473562</v>
      </c>
      <c r="EB110" s="611">
        <f t="shared" si="145"/>
        <v>6.7251787892593864</v>
      </c>
      <c r="EC110" s="612">
        <f t="shared" si="145"/>
        <v>6.7500297031047225</v>
      </c>
      <c r="ED110" s="610">
        <f t="shared" si="123"/>
        <v>8</v>
      </c>
      <c r="EE110" s="611">
        <f t="shared" si="124"/>
        <v>8.5058990739490348</v>
      </c>
      <c r="EF110" s="645">
        <f t="shared" si="125"/>
        <v>-1000000</v>
      </c>
      <c r="EG110" s="902"/>
      <c r="EH110" s="646">
        <f t="shared" si="113"/>
        <v>13.866666666666667</v>
      </c>
      <c r="EI110" s="610">
        <f t="shared" si="153"/>
        <v>-0.12807053264301205</v>
      </c>
      <c r="EJ110" s="986">
        <f t="shared" si="153"/>
        <v>-0.27117495968551353</v>
      </c>
      <c r="EK110" s="612">
        <f t="shared" si="153"/>
        <v>-0.38652662668379456</v>
      </c>
    </row>
    <row r="111" spans="21:141" ht="15" customHeight="1" x14ac:dyDescent="0.25">
      <c r="U111" s="642">
        <f t="shared" si="127"/>
        <v>105</v>
      </c>
      <c r="W111" s="609">
        <f t="shared" si="90"/>
        <v>7.442661689705405</v>
      </c>
      <c r="X111" s="610">
        <f t="shared" si="154"/>
        <v>3.8122406857010858</v>
      </c>
      <c r="Y111" s="611">
        <f t="shared" si="154"/>
        <v>3.7170406857010856</v>
      </c>
      <c r="Z111" s="611">
        <f t="shared" si="154"/>
        <v>3.5647206857010856</v>
      </c>
      <c r="AA111" s="611">
        <f t="shared" si="154"/>
        <v>3.2600806857010856</v>
      </c>
      <c r="AB111" s="982">
        <f t="shared" si="91"/>
        <v>1000000</v>
      </c>
      <c r="AC111" s="919">
        <f t="shared" si="92"/>
        <v>3.8693606857010856</v>
      </c>
      <c r="AD111" s="611">
        <f t="shared" si="137"/>
        <v>3.6397842264377065</v>
      </c>
      <c r="AE111" s="611">
        <f t="shared" si="137"/>
        <v>3.5252342264377061</v>
      </c>
      <c r="AF111" s="611">
        <f t="shared" si="137"/>
        <v>3.3419542264377058</v>
      </c>
      <c r="AG111" s="612">
        <f t="shared" si="129"/>
        <v>2.9753942264377051</v>
      </c>
      <c r="AH111" s="609">
        <f t="shared" si="93"/>
        <v>3</v>
      </c>
      <c r="AI111" s="895">
        <f t="shared" si="114"/>
        <v>-1000000</v>
      </c>
      <c r="AJ111" s="610">
        <f t="shared" si="94"/>
        <v>7.442661689705405</v>
      </c>
      <c r="AK111" s="609">
        <f t="shared" si="115"/>
        <v>-0.16084645926337937</v>
      </c>
      <c r="AL111" s="611">
        <f t="shared" si="155"/>
        <v>-0.17245645926337946</v>
      </c>
      <c r="AM111" s="611">
        <f t="shared" si="155"/>
        <v>-0.19180645926337964</v>
      </c>
      <c r="AN111" s="611">
        <f t="shared" si="155"/>
        <v>-0.2227664592633799</v>
      </c>
      <c r="AO111" s="612">
        <f t="shared" si="155"/>
        <v>-0.28468645926338043</v>
      </c>
      <c r="AP111" s="902">
        <v>0</v>
      </c>
      <c r="AQ111" s="783">
        <f t="shared" si="95"/>
        <v>1000000</v>
      </c>
      <c r="AR111" s="983"/>
      <c r="AS111" s="609">
        <f t="shared" si="96"/>
        <v>7.442661689705405</v>
      </c>
      <c r="AT111" s="610">
        <f t="shared" si="142"/>
        <v>3.6397842264377065</v>
      </c>
      <c r="AU111" s="611">
        <f t="shared" si="142"/>
        <v>3.5252342264377061</v>
      </c>
      <c r="AV111" s="611">
        <f t="shared" si="142"/>
        <v>3.3419542264377058</v>
      </c>
      <c r="AW111" s="612">
        <f t="shared" si="142"/>
        <v>2.9753942264377051</v>
      </c>
      <c r="AX111" s="982">
        <f t="shared" si="98"/>
        <v>1000000</v>
      </c>
      <c r="AY111" s="611">
        <f t="shared" si="99"/>
        <v>3</v>
      </c>
      <c r="AZ111" s="612">
        <f t="shared" si="100"/>
        <v>3.8693606857010856</v>
      </c>
      <c r="BB111" s="984">
        <f t="shared" si="116"/>
        <v>4.0921271873002585</v>
      </c>
      <c r="BC111" s="985">
        <f t="shared" si="156"/>
        <v>3.6857650366526551</v>
      </c>
      <c r="BD111" s="985">
        <f t="shared" si="156"/>
        <v>3.6248767270123485</v>
      </c>
      <c r="BE111" s="528">
        <f t="shared" si="156"/>
        <v>3.5616773010990261</v>
      </c>
      <c r="BF111" s="913">
        <f t="shared" si="143"/>
        <v>4.0921271873002585</v>
      </c>
      <c r="BG111" s="317">
        <f t="shared" si="143"/>
        <v>-1000000</v>
      </c>
      <c r="BH111" s="317">
        <f t="shared" si="143"/>
        <v>-1000000</v>
      </c>
      <c r="BI111" s="919">
        <f t="shared" si="143"/>
        <v>-1000000</v>
      </c>
      <c r="BJ111" s="646">
        <f t="shared" si="102"/>
        <v>5.25</v>
      </c>
      <c r="BK111" s="913">
        <f t="shared" si="103"/>
        <v>4.0921271873002585</v>
      </c>
      <c r="BL111" s="317"/>
      <c r="BM111" s="317"/>
      <c r="BN111" s="317"/>
      <c r="BO111" s="913">
        <f t="shared" si="104"/>
        <v>3</v>
      </c>
      <c r="BP111" s="783">
        <f t="shared" si="117"/>
        <v>1000000</v>
      </c>
      <c r="CK111" s="642">
        <f t="shared" si="128"/>
        <v>105</v>
      </c>
      <c r="CL111" s="609">
        <f t="shared" si="105"/>
        <v>7.442661689705405</v>
      </c>
      <c r="CM111" s="609">
        <f t="shared" si="118"/>
        <v>5.25</v>
      </c>
      <c r="CN111" s="610">
        <f t="shared" si="148"/>
        <v>8.5058909159103102</v>
      </c>
      <c r="CO111" s="611">
        <f t="shared" si="148"/>
        <v>8.5058983831256114</v>
      </c>
      <c r="CP111" s="612">
        <f t="shared" si="148"/>
        <v>8.5058990154500478</v>
      </c>
      <c r="CQ111" s="611">
        <f t="shared" si="149"/>
        <v>2.250308004884634</v>
      </c>
      <c r="CR111" s="611">
        <f t="shared" si="149"/>
        <v>2.6512333012042681</v>
      </c>
      <c r="CS111" s="611">
        <f t="shared" si="149"/>
        <v>3.0521585975239023</v>
      </c>
      <c r="CT111" s="610">
        <f t="shared" si="106"/>
        <v>10.756198920794944</v>
      </c>
      <c r="CU111" s="611">
        <f t="shared" si="106"/>
        <v>11.15713168432988</v>
      </c>
      <c r="CV111" s="612">
        <f t="shared" si="106"/>
        <v>11.558057612973951</v>
      </c>
      <c r="CW111" s="613">
        <f t="shared" si="146"/>
        <v>10.756198920794944</v>
      </c>
      <c r="CX111" s="613">
        <f t="shared" si="146"/>
        <v>11.15713168432988</v>
      </c>
      <c r="CY111" s="613">
        <f t="shared" si="146"/>
        <v>11.558057612973951</v>
      </c>
      <c r="CZ111" s="609">
        <f t="shared" si="107"/>
        <v>8.5058990739490348</v>
      </c>
      <c r="DA111" s="609"/>
      <c r="DB111" s="609">
        <f t="shared" si="120"/>
        <v>5.25</v>
      </c>
      <c r="DC111" s="610">
        <f t="shared" si="144"/>
        <v>2.1532974928158498E-5</v>
      </c>
      <c r="DD111" s="611">
        <f t="shared" si="144"/>
        <v>2.1482820873220573E-6</v>
      </c>
      <c r="DE111" s="612">
        <f t="shared" si="144"/>
        <v>2.0942655532374302E-7</v>
      </c>
      <c r="DF111" s="611">
        <f t="shared" si="147"/>
        <v>2.3018496086990662E-5</v>
      </c>
      <c r="DG111" s="611">
        <f t="shared" si="147"/>
        <v>2.324300538703036E-6</v>
      </c>
      <c r="DH111" s="611">
        <f t="shared" si="147"/>
        <v>2.2934052879009041E-7</v>
      </c>
      <c r="DI111" s="614">
        <f t="shared" si="109"/>
        <v>8</v>
      </c>
      <c r="DJ111" s="615"/>
      <c r="DK111" s="609">
        <f t="shared" si="121"/>
        <v>5.25</v>
      </c>
      <c r="DL111" s="611">
        <f t="shared" si="150"/>
        <v>3.9656234984008267</v>
      </c>
      <c r="DM111" s="611">
        <f t="shared" si="150"/>
        <v>1000000</v>
      </c>
      <c r="DN111" s="611">
        <f t="shared" si="150"/>
        <v>1000000</v>
      </c>
      <c r="DO111" s="610">
        <f t="shared" si="151"/>
        <v>0.3422493142989147</v>
      </c>
      <c r="DP111" s="611">
        <f t="shared" si="151"/>
        <v>0.36159931429891484</v>
      </c>
      <c r="DQ111" s="612">
        <f t="shared" si="151"/>
        <v>0.39255931429891511</v>
      </c>
      <c r="DR111" s="611">
        <f t="shared" si="110"/>
        <v>4.3078728126997419</v>
      </c>
      <c r="DS111" s="611">
        <f t="shared" si="110"/>
        <v>1000000.3615993143</v>
      </c>
      <c r="DT111" s="611">
        <f t="shared" si="110"/>
        <v>1000000.3925593143</v>
      </c>
      <c r="DU111" s="609">
        <f t="shared" si="122"/>
        <v>4.2</v>
      </c>
      <c r="DV111" s="611"/>
      <c r="DW111" s="646">
        <f t="shared" si="111"/>
        <v>14</v>
      </c>
      <c r="DX111" s="621">
        <f t="shared" si="152"/>
        <v>6.8099924350937462</v>
      </c>
      <c r="DY111" s="621">
        <f t="shared" si="152"/>
        <v>6.9834475602289192</v>
      </c>
      <c r="DZ111" s="621">
        <f t="shared" si="152"/>
        <v>7.1247134312398028</v>
      </c>
      <c r="EA111" s="610">
        <f t="shared" si="145"/>
        <v>6.6720629099850433</v>
      </c>
      <c r="EB111" s="611">
        <f t="shared" si="145"/>
        <v>6.7019059753925667</v>
      </c>
      <c r="EC111" s="612">
        <f t="shared" si="145"/>
        <v>6.7274109937659485</v>
      </c>
      <c r="ED111" s="610">
        <f t="shared" si="123"/>
        <v>8</v>
      </c>
      <c r="EE111" s="611">
        <f t="shared" si="124"/>
        <v>8.5058990739490348</v>
      </c>
      <c r="EF111" s="645">
        <f t="shared" si="125"/>
        <v>-1000000</v>
      </c>
      <c r="EG111" s="902"/>
      <c r="EH111" s="646">
        <f t="shared" si="113"/>
        <v>14</v>
      </c>
      <c r="EI111" s="610">
        <f t="shared" si="153"/>
        <v>-0.13792952510870293</v>
      </c>
      <c r="EJ111" s="986">
        <f t="shared" si="153"/>
        <v>-0.2815415848363525</v>
      </c>
      <c r="EK111" s="612">
        <f t="shared" si="153"/>
        <v>-0.3973024374738543</v>
      </c>
    </row>
    <row r="112" spans="21:141" ht="15" customHeight="1" x14ac:dyDescent="0.25">
      <c r="U112" s="642">
        <f t="shared" si="127"/>
        <v>106</v>
      </c>
      <c r="W112" s="609">
        <f t="shared" si="90"/>
        <v>7.5135441819883138</v>
      </c>
      <c r="X112" s="610">
        <f t="shared" si="154"/>
        <v>3.8081606857010857</v>
      </c>
      <c r="Y112" s="611">
        <f t="shared" si="154"/>
        <v>3.7061606857010858</v>
      </c>
      <c r="Z112" s="611">
        <f t="shared" si="154"/>
        <v>3.5429606857010856</v>
      </c>
      <c r="AA112" s="611">
        <f t="shared" si="154"/>
        <v>3.216560685701086</v>
      </c>
      <c r="AB112" s="982">
        <f t="shared" si="91"/>
        <v>1000000</v>
      </c>
      <c r="AC112" s="919">
        <f t="shared" si="92"/>
        <v>3.8693606857010856</v>
      </c>
      <c r="AD112" s="611">
        <f t="shared" si="137"/>
        <v>3.6348711556384079</v>
      </c>
      <c r="AE112" s="611">
        <f t="shared" si="137"/>
        <v>3.5135211556384078</v>
      </c>
      <c r="AF112" s="611">
        <f t="shared" si="137"/>
        <v>3.3193611556384073</v>
      </c>
      <c r="AG112" s="612"/>
      <c r="AH112" s="609">
        <f t="shared" si="93"/>
        <v>3</v>
      </c>
      <c r="AI112" s="895">
        <f t="shared" si="114"/>
        <v>-1000000</v>
      </c>
      <c r="AJ112" s="610">
        <f t="shared" si="94"/>
        <v>7.5135441819883138</v>
      </c>
      <c r="AK112" s="609">
        <f t="shared" si="115"/>
        <v>-0.1616795300626778</v>
      </c>
      <c r="AL112" s="611">
        <f t="shared" si="155"/>
        <v>-0.17328953006267789</v>
      </c>
      <c r="AM112" s="611">
        <f t="shared" si="155"/>
        <v>-0.19263953006267806</v>
      </c>
      <c r="AN112" s="611">
        <f t="shared" si="155"/>
        <v>-0.22359953006267833</v>
      </c>
      <c r="AO112" s="612">
        <f t="shared" si="155"/>
        <v>-0.28551953006267888</v>
      </c>
      <c r="AP112" s="902">
        <v>0</v>
      </c>
      <c r="AQ112" s="783">
        <f t="shared" si="95"/>
        <v>1000000</v>
      </c>
      <c r="AR112" s="983"/>
      <c r="AS112" s="609">
        <f t="shared" si="96"/>
        <v>7.5135441819883138</v>
      </c>
      <c r="AT112" s="610">
        <f t="shared" si="142"/>
        <v>3.6348711556384079</v>
      </c>
      <c r="AU112" s="611">
        <f t="shared" si="142"/>
        <v>3.5135211556384078</v>
      </c>
      <c r="AV112" s="611">
        <f t="shared" si="142"/>
        <v>3.3193611556384073</v>
      </c>
      <c r="AW112" s="612">
        <f t="shared" si="142"/>
        <v>2.9310411556384071</v>
      </c>
      <c r="AX112" s="982">
        <f t="shared" si="98"/>
        <v>1000000</v>
      </c>
      <c r="AY112" s="611">
        <f t="shared" si="99"/>
        <v>3</v>
      </c>
      <c r="AZ112" s="612">
        <f t="shared" si="100"/>
        <v>3.8693606857010856</v>
      </c>
      <c r="BB112" s="984">
        <f t="shared" si="116"/>
        <v>4.0791397381555923</v>
      </c>
      <c r="BC112" s="985">
        <f t="shared" si="156"/>
        <v>3.6848125591503602</v>
      </c>
      <c r="BD112" s="985">
        <f t="shared" si="156"/>
        <v>3.6247488009273185</v>
      </c>
      <c r="BE112" s="528">
        <f t="shared" si="156"/>
        <v>3.5615873140973009</v>
      </c>
      <c r="BF112" s="913">
        <f t="shared" si="143"/>
        <v>4.0791397381555923</v>
      </c>
      <c r="BG112" s="317">
        <f t="shared" si="143"/>
        <v>-1000000</v>
      </c>
      <c r="BH112" s="317">
        <f t="shared" si="143"/>
        <v>-1000000</v>
      </c>
      <c r="BI112" s="919">
        <f t="shared" si="143"/>
        <v>-1000000</v>
      </c>
      <c r="BJ112" s="646">
        <f t="shared" si="102"/>
        <v>5.3</v>
      </c>
      <c r="BK112" s="913">
        <f t="shared" si="103"/>
        <v>4.0791397381555923</v>
      </c>
      <c r="BL112" s="317"/>
      <c r="BM112" s="317"/>
      <c r="BN112" s="317"/>
      <c r="BO112" s="913">
        <f t="shared" si="104"/>
        <v>3</v>
      </c>
      <c r="BP112" s="783">
        <f t="shared" si="117"/>
        <v>1000000</v>
      </c>
      <c r="CK112" s="642">
        <f t="shared" si="128"/>
        <v>106</v>
      </c>
      <c r="CL112" s="609">
        <f t="shared" si="105"/>
        <v>7.5135441819883138</v>
      </c>
      <c r="CM112" s="609">
        <f t="shared" si="118"/>
        <v>5.3</v>
      </c>
      <c r="CN112" s="610">
        <f t="shared" si="148"/>
        <v>8.5058919245391529</v>
      </c>
      <c r="CO112" s="611">
        <f t="shared" si="148"/>
        <v>8.5058984826054616</v>
      </c>
      <c r="CP112" s="612">
        <f t="shared" si="148"/>
        <v>8.505899025037694</v>
      </c>
      <c r="CQ112" s="611">
        <f t="shared" si="149"/>
        <v>2.250308004884634</v>
      </c>
      <c r="CR112" s="611">
        <f t="shared" si="149"/>
        <v>2.6512333012042681</v>
      </c>
      <c r="CS112" s="611">
        <f t="shared" si="149"/>
        <v>3.0521585975239023</v>
      </c>
      <c r="CT112" s="610">
        <f t="shared" si="106"/>
        <v>10.756199929423786</v>
      </c>
      <c r="CU112" s="611">
        <f t="shared" si="106"/>
        <v>11.15713178380973</v>
      </c>
      <c r="CV112" s="612">
        <f t="shared" si="106"/>
        <v>11.558057622561597</v>
      </c>
      <c r="CW112" s="613">
        <f t="shared" si="146"/>
        <v>10.756199929423786</v>
      </c>
      <c r="CX112" s="613">
        <f t="shared" si="146"/>
        <v>11.15713178380973</v>
      </c>
      <c r="CY112" s="613">
        <f t="shared" si="146"/>
        <v>11.558057622561597</v>
      </c>
      <c r="CZ112" s="609">
        <f t="shared" si="107"/>
        <v>8.5058990739490348</v>
      </c>
      <c r="DA112" s="609"/>
      <c r="DB112" s="609">
        <f t="shared" si="120"/>
        <v>5.3</v>
      </c>
      <c r="DC112" s="610">
        <f t="shared" si="144"/>
        <v>1.887071990065772E-5</v>
      </c>
      <c r="DD112" s="611">
        <f t="shared" si="144"/>
        <v>1.8389254960975871E-6</v>
      </c>
      <c r="DE112" s="612">
        <f t="shared" si="144"/>
        <v>1.7510275116210138E-7</v>
      </c>
      <c r="DF112" s="611">
        <f t="shared" si="147"/>
        <v>2.0172576853383433E-5</v>
      </c>
      <c r="DG112" s="611">
        <f t="shared" si="147"/>
        <v>1.9895970027050752E-6</v>
      </c>
      <c r="DH112" s="611">
        <f t="shared" si="147"/>
        <v>1.9175292464979135E-7</v>
      </c>
      <c r="DI112" s="614">
        <f t="shared" si="109"/>
        <v>8</v>
      </c>
      <c r="DJ112" s="615"/>
      <c r="DK112" s="609">
        <f t="shared" si="121"/>
        <v>5.3</v>
      </c>
      <c r="DL112" s="611">
        <f t="shared" si="150"/>
        <v>3.9786109475454938</v>
      </c>
      <c r="DM112" s="611">
        <f t="shared" si="150"/>
        <v>1000000</v>
      </c>
      <c r="DN112" s="611">
        <f t="shared" si="150"/>
        <v>1000000</v>
      </c>
      <c r="DO112" s="610">
        <f t="shared" si="151"/>
        <v>0.3422493142989147</v>
      </c>
      <c r="DP112" s="611">
        <f t="shared" si="151"/>
        <v>0.36159931429891484</v>
      </c>
      <c r="DQ112" s="612">
        <f t="shared" si="151"/>
        <v>0.39255931429891511</v>
      </c>
      <c r="DR112" s="611">
        <f t="shared" si="110"/>
        <v>4.320860261844409</v>
      </c>
      <c r="DS112" s="611">
        <f t="shared" si="110"/>
        <v>1000000.3615993143</v>
      </c>
      <c r="DT112" s="611">
        <f t="shared" si="110"/>
        <v>1000000.3925593143</v>
      </c>
      <c r="DU112" s="609">
        <f t="shared" si="122"/>
        <v>4.2</v>
      </c>
      <c r="DV112" s="611"/>
      <c r="DW112" s="646">
        <f t="shared" si="111"/>
        <v>14.133333333333333</v>
      </c>
      <c r="DX112" s="621">
        <f t="shared" si="152"/>
        <v>6.7958515704255831</v>
      </c>
      <c r="DY112" s="621">
        <f t="shared" si="152"/>
        <v>6.9705685881672554</v>
      </c>
      <c r="DZ112" s="621">
        <f t="shared" si="152"/>
        <v>7.1128931919557461</v>
      </c>
      <c r="EA112" s="610">
        <f t="shared" si="145"/>
        <v>6.6482260076634319</v>
      </c>
      <c r="EB112" s="611">
        <f t="shared" si="145"/>
        <v>6.6788317234225838</v>
      </c>
      <c r="EC112" s="612">
        <f t="shared" si="145"/>
        <v>6.7049930521780858</v>
      </c>
      <c r="ED112" s="610">
        <f t="shared" si="123"/>
        <v>8</v>
      </c>
      <c r="EE112" s="611">
        <f t="shared" si="124"/>
        <v>8.5058990739490348</v>
      </c>
      <c r="EF112" s="645">
        <f t="shared" si="125"/>
        <v>-1000000</v>
      </c>
      <c r="EG112" s="902"/>
      <c r="EH112" s="646">
        <f t="shared" si="113"/>
        <v>14.133333333333333</v>
      </c>
      <c r="EI112" s="610">
        <f t="shared" si="153"/>
        <v>-0.14762556276215166</v>
      </c>
      <c r="EJ112" s="986">
        <f t="shared" si="153"/>
        <v>-0.29173686474467164</v>
      </c>
      <c r="EK112" s="612">
        <f t="shared" si="153"/>
        <v>-0.40790013977766026</v>
      </c>
    </row>
    <row r="113" spans="21:141" ht="15" customHeight="1" x14ac:dyDescent="0.25">
      <c r="U113" s="642">
        <f t="shared" si="127"/>
        <v>107</v>
      </c>
      <c r="W113" s="609">
        <f t="shared" si="90"/>
        <v>7.5844266742712234</v>
      </c>
      <c r="X113" s="610">
        <f t="shared" si="154"/>
        <v>3.8034529933933934</v>
      </c>
      <c r="Y113" s="611">
        <f t="shared" si="154"/>
        <v>3.6936068395472392</v>
      </c>
      <c r="Z113" s="611">
        <f t="shared" si="154"/>
        <v>3.5178529933933933</v>
      </c>
      <c r="AA113" s="611">
        <f t="shared" si="154"/>
        <v>3.166345301085701</v>
      </c>
      <c r="AB113" s="982">
        <f t="shared" si="91"/>
        <v>1000000</v>
      </c>
      <c r="AC113" s="919">
        <f t="shared" si="92"/>
        <v>3.8693606857010856</v>
      </c>
      <c r="AD113" s="611">
        <f t="shared" si="137"/>
        <v>3.6293523701333585</v>
      </c>
      <c r="AE113" s="611">
        <f t="shared" si="137"/>
        <v>3.5001562162872042</v>
      </c>
      <c r="AF113" s="611">
        <f t="shared" si="137"/>
        <v>3.2934423701333579</v>
      </c>
      <c r="AG113" s="612"/>
      <c r="AH113" s="609">
        <f t="shared" si="93"/>
        <v>3</v>
      </c>
      <c r="AI113" s="895">
        <f t="shared" si="114"/>
        <v>-1000000</v>
      </c>
      <c r="AJ113" s="610">
        <f t="shared" si="94"/>
        <v>7.5844266742712234</v>
      </c>
      <c r="AK113" s="609">
        <f t="shared" si="115"/>
        <v>-0.16249062326003469</v>
      </c>
      <c r="AL113" s="611">
        <f t="shared" si="155"/>
        <v>-0.17410062326003478</v>
      </c>
      <c r="AM113" s="611">
        <f t="shared" si="155"/>
        <v>-0.19345062326003495</v>
      </c>
      <c r="AN113" s="611">
        <f t="shared" si="155"/>
        <v>-0.22441062326003522</v>
      </c>
      <c r="AO113" s="612">
        <f t="shared" si="155"/>
        <v>-0.28633062326003578</v>
      </c>
      <c r="AP113" s="902">
        <v>0</v>
      </c>
      <c r="AQ113" s="783">
        <f t="shared" si="95"/>
        <v>1000000</v>
      </c>
      <c r="AR113" s="983"/>
      <c r="AS113" s="609">
        <f t="shared" si="96"/>
        <v>7.5844266742712234</v>
      </c>
      <c r="AT113" s="610">
        <f t="shared" si="142"/>
        <v>3.6293523701333585</v>
      </c>
      <c r="AU113" s="611">
        <f t="shared" si="142"/>
        <v>3.5001562162872042</v>
      </c>
      <c r="AV113" s="611">
        <f t="shared" si="142"/>
        <v>3.2934423701333579</v>
      </c>
      <c r="AW113" s="612">
        <f t="shared" si="142"/>
        <v>2.880014677825665</v>
      </c>
      <c r="AX113" s="982">
        <f t="shared" si="98"/>
        <v>1000000</v>
      </c>
      <c r="AY113" s="611">
        <f t="shared" si="99"/>
        <v>3</v>
      </c>
      <c r="AZ113" s="612">
        <f t="shared" si="100"/>
        <v>3.8693606857010856</v>
      </c>
      <c r="BB113" s="984">
        <f t="shared" si="116"/>
        <v>4.0621012989441265</v>
      </c>
      <c r="BC113" s="985">
        <f t="shared" si="156"/>
        <v>3.6838872876199185</v>
      </c>
      <c r="BD113" s="985">
        <f t="shared" si="156"/>
        <v>3.624624539863992</v>
      </c>
      <c r="BE113" s="528">
        <f t="shared" si="156"/>
        <v>3.5614991958250313</v>
      </c>
      <c r="BF113" s="913">
        <f t="shared" si="143"/>
        <v>4.0621012989441265</v>
      </c>
      <c r="BG113" s="317">
        <f t="shared" si="143"/>
        <v>-1000000</v>
      </c>
      <c r="BH113" s="317">
        <f t="shared" si="143"/>
        <v>-1000000</v>
      </c>
      <c r="BI113" s="919">
        <f t="shared" si="143"/>
        <v>-1000000</v>
      </c>
      <c r="BJ113" s="646">
        <f t="shared" si="102"/>
        <v>5.3500000000000005</v>
      </c>
      <c r="BK113" s="913">
        <f t="shared" si="103"/>
        <v>4.0621012989441265</v>
      </c>
      <c r="BL113" s="317"/>
      <c r="BM113" s="317"/>
      <c r="BN113" s="317"/>
      <c r="BO113" s="913">
        <f t="shared" si="104"/>
        <v>3</v>
      </c>
      <c r="BP113" s="783">
        <f t="shared" si="117"/>
        <v>1000000</v>
      </c>
      <c r="CK113" s="642">
        <f t="shared" si="128"/>
        <v>107</v>
      </c>
      <c r="CL113" s="609">
        <f t="shared" si="105"/>
        <v>7.5844266742712234</v>
      </c>
      <c r="CM113" s="609">
        <f t="shared" si="118"/>
        <v>5.3500000000000005</v>
      </c>
      <c r="CN113" s="610">
        <f t="shared" si="148"/>
        <v>8.505892808464969</v>
      </c>
      <c r="CO113" s="611">
        <f t="shared" si="148"/>
        <v>8.5058985677600294</v>
      </c>
      <c r="CP113" s="612">
        <f t="shared" si="148"/>
        <v>8.5058990330539803</v>
      </c>
      <c r="CQ113" s="611">
        <f t="shared" si="149"/>
        <v>2.250308004884634</v>
      </c>
      <c r="CR113" s="611">
        <f t="shared" si="149"/>
        <v>2.6512333012042681</v>
      </c>
      <c r="CS113" s="611">
        <f t="shared" si="149"/>
        <v>3.0521585975239023</v>
      </c>
      <c r="CT113" s="610">
        <f t="shared" si="106"/>
        <v>10.756200813349603</v>
      </c>
      <c r="CU113" s="611">
        <f t="shared" si="106"/>
        <v>11.157131868964298</v>
      </c>
      <c r="CV113" s="612">
        <f t="shared" si="106"/>
        <v>11.558057630577883</v>
      </c>
      <c r="CW113" s="613">
        <f t="shared" si="146"/>
        <v>10.756200813349603</v>
      </c>
      <c r="CX113" s="613">
        <f t="shared" si="146"/>
        <v>11.157131868964298</v>
      </c>
      <c r="CY113" s="613">
        <f t="shared" si="146"/>
        <v>11.558057630577883</v>
      </c>
      <c r="CZ113" s="609">
        <f t="shared" si="107"/>
        <v>8.5058990739490348</v>
      </c>
      <c r="DA113" s="609"/>
      <c r="DB113" s="609">
        <f t="shared" si="120"/>
        <v>5.3500000000000005</v>
      </c>
      <c r="DC113" s="610">
        <f t="shared" si="144"/>
        <v>1.6537615947502185E-5</v>
      </c>
      <c r="DD113" s="611">
        <f t="shared" si="144"/>
        <v>1.5741168257903872E-6</v>
      </c>
      <c r="DE113" s="612">
        <f t="shared" si="144"/>
        <v>1.4640442047637734E-7</v>
      </c>
      <c r="DF113" s="611">
        <f t="shared" si="147"/>
        <v>1.767851632195036E-5</v>
      </c>
      <c r="DG113" s="611">
        <f t="shared" si="147"/>
        <v>1.7030913568305309E-6</v>
      </c>
      <c r="DH113" s="611">
        <f t="shared" si="147"/>
        <v>1.6032572602852951E-7</v>
      </c>
      <c r="DI113" s="614">
        <f t="shared" si="109"/>
        <v>8</v>
      </c>
      <c r="DJ113" s="615"/>
      <c r="DK113" s="609">
        <f t="shared" si="121"/>
        <v>5.3500000000000005</v>
      </c>
      <c r="DL113" s="611">
        <f t="shared" si="150"/>
        <v>3.9956493867569591</v>
      </c>
      <c r="DM113" s="611">
        <f t="shared" si="150"/>
        <v>1000000</v>
      </c>
      <c r="DN113" s="611">
        <f t="shared" si="150"/>
        <v>1000000</v>
      </c>
      <c r="DO113" s="610">
        <f t="shared" si="151"/>
        <v>0.3422493142989147</v>
      </c>
      <c r="DP113" s="611">
        <f t="shared" si="151"/>
        <v>0.36159931429891484</v>
      </c>
      <c r="DQ113" s="612">
        <f t="shared" si="151"/>
        <v>0.39255931429891511</v>
      </c>
      <c r="DR113" s="611">
        <f t="shared" si="110"/>
        <v>4.3378987010558738</v>
      </c>
      <c r="DS113" s="611">
        <f t="shared" si="110"/>
        <v>1000000.3615993143</v>
      </c>
      <c r="DT113" s="611">
        <f t="shared" si="110"/>
        <v>1000000.3925593143</v>
      </c>
      <c r="DU113" s="609">
        <f t="shared" si="122"/>
        <v>4.2</v>
      </c>
      <c r="DV113" s="611"/>
      <c r="DW113" s="646">
        <f t="shared" si="111"/>
        <v>14.266666666666667</v>
      </c>
      <c r="DX113" s="621">
        <f t="shared" si="152"/>
        <v>6.7817438806298078</v>
      </c>
      <c r="DY113" s="621">
        <f t="shared" si="152"/>
        <v>6.9577167467586047</v>
      </c>
      <c r="DZ113" s="621">
        <f t="shared" si="152"/>
        <v>7.1010955469668335</v>
      </c>
      <c r="EA113" s="610">
        <f t="shared" si="145"/>
        <v>6.6245825416203088</v>
      </c>
      <c r="EB113" s="611">
        <f t="shared" si="145"/>
        <v>6.6559531152603792</v>
      </c>
      <c r="EC113" s="612">
        <f t="shared" si="145"/>
        <v>6.6827728694972794</v>
      </c>
      <c r="ED113" s="610">
        <f t="shared" si="123"/>
        <v>8</v>
      </c>
      <c r="EE113" s="611">
        <f t="shared" si="124"/>
        <v>8.5058990739490348</v>
      </c>
      <c r="EF113" s="645">
        <f t="shared" si="125"/>
        <v>-1000000</v>
      </c>
      <c r="EG113" s="902"/>
      <c r="EH113" s="646">
        <f t="shared" si="113"/>
        <v>14.266666666666667</v>
      </c>
      <c r="EI113" s="610">
        <f t="shared" si="153"/>
        <v>-0.15716133900949902</v>
      </c>
      <c r="EJ113" s="986">
        <f t="shared" si="153"/>
        <v>-0.30176363149822549</v>
      </c>
      <c r="EK113" s="612">
        <f t="shared" si="153"/>
        <v>-0.41832267746955454</v>
      </c>
    </row>
    <row r="114" spans="21:141" ht="15" customHeight="1" x14ac:dyDescent="0.25">
      <c r="U114" s="642">
        <f t="shared" si="127"/>
        <v>108</v>
      </c>
      <c r="W114" s="609">
        <f t="shared" si="90"/>
        <v>7.6553091665541313</v>
      </c>
      <c r="X114" s="610">
        <f t="shared" si="154"/>
        <v>3.7979606857010855</v>
      </c>
      <c r="Y114" s="611">
        <f t="shared" si="154"/>
        <v>3.6789606857010857</v>
      </c>
      <c r="Z114" s="611">
        <f t="shared" si="154"/>
        <v>3.4885606857010858</v>
      </c>
      <c r="AA114" s="611">
        <f t="shared" si="154"/>
        <v>3.1077606857010855</v>
      </c>
      <c r="AB114" s="982">
        <f t="shared" si="91"/>
        <v>1000000</v>
      </c>
      <c r="AC114" s="919">
        <f t="shared" si="92"/>
        <v>3.8693606857010856</v>
      </c>
      <c r="AD114" s="611">
        <f t="shared" si="137"/>
        <v>3.6230703670449897</v>
      </c>
      <c r="AE114" s="611">
        <f t="shared" si="137"/>
        <v>3.4847203670449898</v>
      </c>
      <c r="AF114" s="611">
        <f t="shared" si="137"/>
        <v>3.2633603670449896</v>
      </c>
      <c r="AG114" s="612"/>
      <c r="AH114" s="609">
        <f t="shared" si="93"/>
        <v>3</v>
      </c>
      <c r="AI114" s="895">
        <f t="shared" si="114"/>
        <v>-1000000</v>
      </c>
      <c r="AJ114" s="610">
        <f t="shared" si="94"/>
        <v>7.6553091665541313</v>
      </c>
      <c r="AK114" s="609">
        <f t="shared" si="115"/>
        <v>-0.16328031865609552</v>
      </c>
      <c r="AL114" s="611">
        <f t="shared" si="155"/>
        <v>-0.17489031865609561</v>
      </c>
      <c r="AM114" s="611">
        <f t="shared" si="155"/>
        <v>-0.19424031865609578</v>
      </c>
      <c r="AN114" s="611">
        <f t="shared" si="155"/>
        <v>-0.22520031865609605</v>
      </c>
      <c r="AO114" s="612">
        <f t="shared" si="155"/>
        <v>-0.28712031865609661</v>
      </c>
      <c r="AP114" s="902">
        <v>0</v>
      </c>
      <c r="AQ114" s="783">
        <f t="shared" si="95"/>
        <v>1000000</v>
      </c>
      <c r="AR114" s="983"/>
      <c r="AS114" s="609">
        <f t="shared" si="96"/>
        <v>7.6553091665541313</v>
      </c>
      <c r="AT114" s="610">
        <f t="shared" si="142"/>
        <v>3.6230703670449897</v>
      </c>
      <c r="AU114" s="611">
        <f t="shared" si="142"/>
        <v>3.4847203670449898</v>
      </c>
      <c r="AV114" s="611">
        <f t="shared" si="142"/>
        <v>3.2633603670449896</v>
      </c>
      <c r="AW114" s="612">
        <f t="shared" si="142"/>
        <v>2.8206403670449891</v>
      </c>
      <c r="AX114" s="982">
        <f t="shared" si="98"/>
        <v>1000000</v>
      </c>
      <c r="AY114" s="611">
        <f t="shared" si="99"/>
        <v>3</v>
      </c>
      <c r="AZ114" s="612">
        <f t="shared" si="100"/>
        <v>3.8693606857010856</v>
      </c>
      <c r="BB114" s="984">
        <f t="shared" si="116"/>
        <v>4.0387663046386706</v>
      </c>
      <c r="BC114" s="985">
        <f t="shared" si="156"/>
        <v>3.6829883496291513</v>
      </c>
      <c r="BD114" s="985">
        <f t="shared" si="156"/>
        <v>3.6245037788790713</v>
      </c>
      <c r="BE114" s="528">
        <f t="shared" si="156"/>
        <v>3.5614128885569456</v>
      </c>
      <c r="BF114" s="913">
        <f t="shared" si="143"/>
        <v>4.0387663046386706</v>
      </c>
      <c r="BG114" s="317">
        <f t="shared" si="143"/>
        <v>-1000000</v>
      </c>
      <c r="BH114" s="317">
        <f t="shared" si="143"/>
        <v>-1000000</v>
      </c>
      <c r="BI114" s="919">
        <f t="shared" si="143"/>
        <v>-1000000</v>
      </c>
      <c r="BJ114" s="646">
        <f t="shared" si="102"/>
        <v>5.4</v>
      </c>
      <c r="BK114" s="913">
        <f t="shared" si="103"/>
        <v>4.0387663046386706</v>
      </c>
      <c r="BL114" s="317"/>
      <c r="BM114" s="317"/>
      <c r="BN114" s="317"/>
      <c r="BO114" s="913">
        <f t="shared" si="104"/>
        <v>3</v>
      </c>
      <c r="BP114" s="783">
        <f t="shared" si="117"/>
        <v>1000000</v>
      </c>
      <c r="CK114" s="642">
        <f t="shared" si="128"/>
        <v>108</v>
      </c>
      <c r="CL114" s="609">
        <f t="shared" si="105"/>
        <v>7.6553091665541313</v>
      </c>
      <c r="CM114" s="609">
        <f t="shared" si="118"/>
        <v>5.4</v>
      </c>
      <c r="CN114" s="610">
        <f t="shared" si="148"/>
        <v>8.5058935831055607</v>
      </c>
      <c r="CO114" s="611">
        <f t="shared" si="148"/>
        <v>8.5058986406521822</v>
      </c>
      <c r="CP114" s="612">
        <f t="shared" si="148"/>
        <v>8.5058990397564447</v>
      </c>
      <c r="CQ114" s="611">
        <f t="shared" si="149"/>
        <v>2.250308004884634</v>
      </c>
      <c r="CR114" s="611">
        <f t="shared" si="149"/>
        <v>2.6512333012042681</v>
      </c>
      <c r="CS114" s="611">
        <f t="shared" si="149"/>
        <v>3.0521585975239023</v>
      </c>
      <c r="CT114" s="610">
        <f t="shared" si="106"/>
        <v>10.756201587990194</v>
      </c>
      <c r="CU114" s="611">
        <f t="shared" si="106"/>
        <v>11.15713194185645</v>
      </c>
      <c r="CV114" s="612">
        <f t="shared" si="106"/>
        <v>11.558057637280347</v>
      </c>
      <c r="CW114" s="613">
        <f t="shared" si="146"/>
        <v>10.756201587990194</v>
      </c>
      <c r="CX114" s="613">
        <f t="shared" si="146"/>
        <v>11.15713194185645</v>
      </c>
      <c r="CY114" s="613">
        <f t="shared" si="146"/>
        <v>11.558057637280347</v>
      </c>
      <c r="CZ114" s="609">
        <f t="shared" si="107"/>
        <v>8.5058990739490348</v>
      </c>
      <c r="DA114" s="609"/>
      <c r="DB114" s="609">
        <f t="shared" si="120"/>
        <v>5.4</v>
      </c>
      <c r="DC114" s="610">
        <f t="shared" si="144"/>
        <v>1.4492968083191531E-5</v>
      </c>
      <c r="DD114" s="611">
        <f t="shared" si="144"/>
        <v>1.3474410934508683E-6</v>
      </c>
      <c r="DE114" s="612">
        <f t="shared" si="144"/>
        <v>1.2240958061921762E-7</v>
      </c>
      <c r="DF114" s="611">
        <f t="shared" si="147"/>
        <v>1.54928118334397E-5</v>
      </c>
      <c r="DG114" s="611">
        <f t="shared" si="147"/>
        <v>1.4578430551637262E-6</v>
      </c>
      <c r="DH114" s="611">
        <f t="shared" si="147"/>
        <v>1.3404928722593515E-7</v>
      </c>
      <c r="DI114" s="614">
        <f t="shared" si="109"/>
        <v>8</v>
      </c>
      <c r="DJ114" s="615"/>
      <c r="DK114" s="609">
        <f t="shared" si="121"/>
        <v>5.4</v>
      </c>
      <c r="DL114" s="611">
        <f t="shared" si="150"/>
        <v>4.0189843810624151</v>
      </c>
      <c r="DM114" s="611">
        <f t="shared" si="150"/>
        <v>1000000</v>
      </c>
      <c r="DN114" s="611">
        <f t="shared" si="150"/>
        <v>1000000</v>
      </c>
      <c r="DO114" s="610">
        <f t="shared" si="151"/>
        <v>0.3422493142989147</v>
      </c>
      <c r="DP114" s="611">
        <f t="shared" si="151"/>
        <v>0.36159931429891484</v>
      </c>
      <c r="DQ114" s="612">
        <f t="shared" si="151"/>
        <v>0.39255931429891511</v>
      </c>
      <c r="DR114" s="611">
        <f t="shared" si="110"/>
        <v>4.3612336953613298</v>
      </c>
      <c r="DS114" s="611">
        <f t="shared" si="110"/>
        <v>1000000.3615993143</v>
      </c>
      <c r="DT114" s="611">
        <f t="shared" si="110"/>
        <v>1000000.3925593143</v>
      </c>
      <c r="DU114" s="609">
        <f t="shared" si="122"/>
        <v>4.2</v>
      </c>
      <c r="DV114" s="611"/>
      <c r="DW114" s="646">
        <f t="shared" si="111"/>
        <v>14.4</v>
      </c>
      <c r="DX114" s="621">
        <f t="shared" si="152"/>
        <v>6.7676692490994013</v>
      </c>
      <c r="DY114" s="621">
        <f t="shared" si="152"/>
        <v>6.9448919503636182</v>
      </c>
      <c r="DZ114" s="621">
        <f t="shared" si="152"/>
        <v>7.0893204315516973</v>
      </c>
      <c r="EA114" s="610">
        <f t="shared" si="145"/>
        <v>6.6011297463606065</v>
      </c>
      <c r="EB114" s="611">
        <f t="shared" si="145"/>
        <v>6.6332672799891457</v>
      </c>
      <c r="EC114" s="612">
        <f t="shared" si="145"/>
        <v>6.6607474857857865</v>
      </c>
      <c r="ED114" s="610">
        <f t="shared" si="123"/>
        <v>8</v>
      </c>
      <c r="EE114" s="611">
        <f t="shared" si="124"/>
        <v>8.5058990739490348</v>
      </c>
      <c r="EF114" s="645">
        <f t="shared" si="125"/>
        <v>-1000000</v>
      </c>
      <c r="EG114" s="902"/>
      <c r="EH114" s="646">
        <f t="shared" si="113"/>
        <v>14.4</v>
      </c>
      <c r="EI114" s="610">
        <f t="shared" si="153"/>
        <v>-0.16653950273879481</v>
      </c>
      <c r="EJ114" s="986">
        <f t="shared" si="153"/>
        <v>-0.3116246703744725</v>
      </c>
      <c r="EK114" s="612">
        <f t="shared" si="153"/>
        <v>-0.42857294576591087</v>
      </c>
    </row>
    <row r="115" spans="21:141" ht="15" customHeight="1" x14ac:dyDescent="0.25">
      <c r="U115" s="642">
        <f t="shared" si="127"/>
        <v>109</v>
      </c>
      <c r="W115" s="609">
        <f t="shared" si="90"/>
        <v>7.7261916588370401</v>
      </c>
      <c r="X115" s="610">
        <f t="shared" si="154"/>
        <v>3.7914697766101764</v>
      </c>
      <c r="Y115" s="611">
        <f t="shared" si="154"/>
        <v>3.6616515947919948</v>
      </c>
      <c r="Z115" s="611">
        <f t="shared" si="154"/>
        <v>3.4539425038829039</v>
      </c>
      <c r="AA115" s="611">
        <f t="shared" si="154"/>
        <v>3.0385243220647222</v>
      </c>
      <c r="AB115" s="982">
        <f t="shared" si="91"/>
        <v>1000000</v>
      </c>
      <c r="AC115" s="919">
        <f t="shared" si="92"/>
        <v>3.8693606857010856</v>
      </c>
      <c r="AD115" s="611">
        <f t="shared" si="137"/>
        <v>3.6158105958546427</v>
      </c>
      <c r="AE115" s="611">
        <f t="shared" si="137"/>
        <v>3.4666424140364609</v>
      </c>
      <c r="AF115" s="611">
        <f t="shared" si="137"/>
        <v>3.2279733231273697</v>
      </c>
      <c r="AG115" s="612"/>
      <c r="AH115" s="609">
        <f t="shared" si="93"/>
        <v>3</v>
      </c>
      <c r="AI115" s="895">
        <f t="shared" si="114"/>
        <v>-1000000</v>
      </c>
      <c r="AJ115" s="610">
        <f t="shared" si="94"/>
        <v>7.7261916588370401</v>
      </c>
      <c r="AK115" s="609">
        <f t="shared" si="115"/>
        <v>-0.16404918075553346</v>
      </c>
      <c r="AL115" s="611">
        <f t="shared" si="155"/>
        <v>-0.17565918075553355</v>
      </c>
      <c r="AM115" s="611">
        <f t="shared" si="155"/>
        <v>-0.19500918075553372</v>
      </c>
      <c r="AN115" s="611">
        <f t="shared" si="155"/>
        <v>-0.22596918075553399</v>
      </c>
      <c r="AO115" s="612">
        <f t="shared" si="155"/>
        <v>-0.28788918075553455</v>
      </c>
      <c r="AP115" s="902">
        <v>0</v>
      </c>
      <c r="AQ115" s="783">
        <f t="shared" si="95"/>
        <v>1000000</v>
      </c>
      <c r="AR115" s="983"/>
      <c r="AS115" s="609">
        <f t="shared" si="96"/>
        <v>7.7261916588370401</v>
      </c>
      <c r="AT115" s="610">
        <f t="shared" si="142"/>
        <v>3.6158105958546427</v>
      </c>
      <c r="AU115" s="611">
        <f t="shared" si="142"/>
        <v>3.4666424140364609</v>
      </c>
      <c r="AV115" s="611">
        <f t="shared" si="142"/>
        <v>3.2279733231273697</v>
      </c>
      <c r="AW115" s="612">
        <f t="shared" si="142"/>
        <v>2.7506351413091878</v>
      </c>
      <c r="AX115" s="982">
        <f t="shared" si="98"/>
        <v>1000000</v>
      </c>
      <c r="AY115" s="611">
        <f t="shared" si="99"/>
        <v>3</v>
      </c>
      <c r="AZ115" s="612">
        <f t="shared" si="100"/>
        <v>3.8693606857010856</v>
      </c>
      <c r="BB115" s="984">
        <f t="shared" si="116"/>
        <v>4.0048533141362306</v>
      </c>
      <c r="BC115" s="985">
        <f t="shared" si="156"/>
        <v>3.682114906452481</v>
      </c>
      <c r="BD115" s="985">
        <f t="shared" si="156"/>
        <v>3.6243863625216086</v>
      </c>
      <c r="BE115" s="528">
        <f t="shared" si="156"/>
        <v>3.5613283369339235</v>
      </c>
      <c r="BF115" s="913">
        <f t="shared" si="143"/>
        <v>4.0048533141362306</v>
      </c>
      <c r="BG115" s="317">
        <f t="shared" si="143"/>
        <v>-1000000</v>
      </c>
      <c r="BH115" s="317">
        <f t="shared" si="143"/>
        <v>-1000000</v>
      </c>
      <c r="BI115" s="919">
        <f t="shared" si="143"/>
        <v>-1000000</v>
      </c>
      <c r="BJ115" s="646">
        <f t="shared" si="102"/>
        <v>5.45</v>
      </c>
      <c r="BK115" s="913">
        <f t="shared" si="103"/>
        <v>4.0048533141362306</v>
      </c>
      <c r="BL115" s="317"/>
      <c r="BM115" s="317"/>
      <c r="BN115" s="317"/>
      <c r="BO115" s="913">
        <f t="shared" si="104"/>
        <v>3</v>
      </c>
      <c r="BP115" s="783">
        <f t="shared" si="117"/>
        <v>1000000</v>
      </c>
      <c r="CK115" s="642">
        <f t="shared" si="128"/>
        <v>109</v>
      </c>
      <c r="CL115" s="609">
        <f t="shared" si="105"/>
        <v>7.7261916588370401</v>
      </c>
      <c r="CM115" s="609">
        <f t="shared" si="118"/>
        <v>5.45</v>
      </c>
      <c r="CN115" s="610">
        <f t="shared" si="148"/>
        <v>8.5058942619725393</v>
      </c>
      <c r="CO115" s="611">
        <f t="shared" si="148"/>
        <v>8.5058987030477287</v>
      </c>
      <c r="CP115" s="612">
        <f t="shared" si="148"/>
        <v>8.5058990453604117</v>
      </c>
      <c r="CQ115" s="611">
        <f t="shared" si="149"/>
        <v>2.250308004884634</v>
      </c>
      <c r="CR115" s="611">
        <f t="shared" si="149"/>
        <v>2.6512333012042681</v>
      </c>
      <c r="CS115" s="611">
        <f t="shared" si="149"/>
        <v>3.0521585975239023</v>
      </c>
      <c r="CT115" s="610">
        <f t="shared" si="106"/>
        <v>10.756202266857173</v>
      </c>
      <c r="CU115" s="611">
        <f t="shared" si="106"/>
        <v>11.157132004251997</v>
      </c>
      <c r="CV115" s="612">
        <f t="shared" si="106"/>
        <v>11.558057642884314</v>
      </c>
      <c r="CW115" s="613">
        <f t="shared" si="146"/>
        <v>10.756202266857173</v>
      </c>
      <c r="CX115" s="613">
        <f t="shared" si="146"/>
        <v>11.157132004251997</v>
      </c>
      <c r="CY115" s="613">
        <f t="shared" si="146"/>
        <v>11.558057642884314</v>
      </c>
      <c r="CZ115" s="609">
        <f t="shared" si="107"/>
        <v>8.5058990739490348</v>
      </c>
      <c r="DA115" s="609"/>
      <c r="DB115" s="609">
        <f t="shared" si="120"/>
        <v>5.45</v>
      </c>
      <c r="DC115" s="610">
        <f t="shared" si="144"/>
        <v>1.2701112695275347E-5</v>
      </c>
      <c r="DD115" s="611">
        <f t="shared" si="144"/>
        <v>1.153407085530919E-6</v>
      </c>
      <c r="DE115" s="612">
        <f t="shared" si="144"/>
        <v>1.0234735657992278E-7</v>
      </c>
      <c r="DF115" s="611">
        <f t="shared" si="147"/>
        <v>1.3577339572634675E-5</v>
      </c>
      <c r="DG115" s="611">
        <f t="shared" si="147"/>
        <v>1.2479109301466496E-6</v>
      </c>
      <c r="DH115" s="611">
        <f t="shared" si="147"/>
        <v>1.1207934136336956E-7</v>
      </c>
      <c r="DI115" s="614">
        <f t="shared" si="109"/>
        <v>8</v>
      </c>
      <c r="DJ115" s="615"/>
      <c r="DK115" s="609">
        <f t="shared" si="121"/>
        <v>5.45</v>
      </c>
      <c r="DL115" s="611">
        <f t="shared" si="150"/>
        <v>4.0528973715648551</v>
      </c>
      <c r="DM115" s="611">
        <f t="shared" si="150"/>
        <v>1000000</v>
      </c>
      <c r="DN115" s="611">
        <f t="shared" si="150"/>
        <v>1000000</v>
      </c>
      <c r="DO115" s="610">
        <f t="shared" si="151"/>
        <v>0.3422493142989147</v>
      </c>
      <c r="DP115" s="611">
        <f t="shared" si="151"/>
        <v>0.36159931429891484</v>
      </c>
      <c r="DQ115" s="612">
        <f t="shared" si="151"/>
        <v>0.39255931429891511</v>
      </c>
      <c r="DR115" s="611">
        <f t="shared" si="110"/>
        <v>4.3951466858637698</v>
      </c>
      <c r="DS115" s="611">
        <f t="shared" si="110"/>
        <v>1000000.3615993143</v>
      </c>
      <c r="DT115" s="611">
        <f t="shared" si="110"/>
        <v>1000000.3925593143</v>
      </c>
      <c r="DU115" s="609">
        <f t="shared" si="122"/>
        <v>4.2</v>
      </c>
      <c r="DV115" s="611"/>
      <c r="DW115" s="646">
        <f t="shared" si="111"/>
        <v>14.533333333333333</v>
      </c>
      <c r="DX115" s="621">
        <f t="shared" si="152"/>
        <v>6.7536275597731965</v>
      </c>
      <c r="DY115" s="621">
        <f t="shared" si="152"/>
        <v>6.9320941137030037</v>
      </c>
      <c r="DZ115" s="621">
        <f t="shared" si="152"/>
        <v>7.0775677812359197</v>
      </c>
      <c r="EA115" s="610">
        <f t="shared" si="145"/>
        <v>6.5778649007173744</v>
      </c>
      <c r="EB115" s="611">
        <f t="shared" si="145"/>
        <v>6.6107713930887169</v>
      </c>
      <c r="EC115" s="612">
        <f t="shared" si="145"/>
        <v>6.6389139892065288</v>
      </c>
      <c r="ED115" s="610">
        <f t="shared" si="123"/>
        <v>8</v>
      </c>
      <c r="EE115" s="611">
        <f t="shared" si="124"/>
        <v>8.5058990739490348</v>
      </c>
      <c r="EF115" s="645">
        <f t="shared" si="125"/>
        <v>-1000000</v>
      </c>
      <c r="EG115" s="902"/>
      <c r="EH115" s="646">
        <f t="shared" si="113"/>
        <v>14.533333333333333</v>
      </c>
      <c r="EI115" s="610">
        <f t="shared" si="153"/>
        <v>-0.17576265905582256</v>
      </c>
      <c r="EJ115" s="986">
        <f t="shared" si="153"/>
        <v>-0.32132272061428724</v>
      </c>
      <c r="EK115" s="612">
        <f t="shared" si="153"/>
        <v>-0.43865379202939137</v>
      </c>
    </row>
    <row r="116" spans="21:141" ht="15" customHeight="1" x14ac:dyDescent="0.25">
      <c r="U116" s="642">
        <f t="shared" si="127"/>
        <v>110</v>
      </c>
      <c r="W116" s="609">
        <f t="shared" si="90"/>
        <v>7.7970741511199479</v>
      </c>
      <c r="X116" s="610">
        <f t="shared" si="154"/>
        <v>3.7836806857010856</v>
      </c>
      <c r="Y116" s="611">
        <f t="shared" si="154"/>
        <v>3.6408806857010858</v>
      </c>
      <c r="Z116" s="611">
        <f t="shared" si="154"/>
        <v>3.412400685701086</v>
      </c>
      <c r="AA116" s="611">
        <f t="shared" si="154"/>
        <v>2.955440685701086</v>
      </c>
      <c r="AB116" s="982">
        <f t="shared" si="91"/>
        <v>1000000</v>
      </c>
      <c r="AC116" s="919">
        <f t="shared" si="92"/>
        <v>3.8693606857010856</v>
      </c>
      <c r="AD116" s="611">
        <f t="shared" si="137"/>
        <v>3.6072729265305066</v>
      </c>
      <c r="AE116" s="611">
        <f t="shared" si="137"/>
        <v>3.4451229265305066</v>
      </c>
      <c r="AF116" s="611">
        <f t="shared" si="137"/>
        <v>3.1856829265305064</v>
      </c>
      <c r="AG116" s="612"/>
      <c r="AH116" s="609">
        <f t="shared" si="93"/>
        <v>3</v>
      </c>
      <c r="AI116" s="895">
        <f t="shared" si="114"/>
        <v>-1000000</v>
      </c>
      <c r="AJ116" s="610">
        <f t="shared" si="94"/>
        <v>7.7970741511199479</v>
      </c>
      <c r="AK116" s="609">
        <f t="shared" si="115"/>
        <v>-0.16479775917057915</v>
      </c>
      <c r="AL116" s="611">
        <f t="shared" si="155"/>
        <v>-0.17640775917057924</v>
      </c>
      <c r="AM116" s="611">
        <f t="shared" si="155"/>
        <v>-0.19575775917057942</v>
      </c>
      <c r="AN116" s="611">
        <f t="shared" si="155"/>
        <v>-0.22671775917057968</v>
      </c>
      <c r="AO116" s="612">
        <f t="shared" si="155"/>
        <v>-0.28863775917058021</v>
      </c>
      <c r="AP116" s="902">
        <v>0</v>
      </c>
      <c r="AQ116" s="783">
        <f t="shared" si="95"/>
        <v>1000000</v>
      </c>
      <c r="AR116" s="983"/>
      <c r="AS116" s="609">
        <f t="shared" si="96"/>
        <v>7.7970741511199479</v>
      </c>
      <c r="AT116" s="610">
        <f t="shared" si="142"/>
        <v>3.6072729265305066</v>
      </c>
      <c r="AU116" s="611">
        <f t="shared" si="142"/>
        <v>3.4451229265305066</v>
      </c>
      <c r="AV116" s="611">
        <f t="shared" si="142"/>
        <v>3.1856829265305064</v>
      </c>
      <c r="AW116" s="612">
        <f t="shared" si="142"/>
        <v>2.6668029265305058</v>
      </c>
      <c r="AX116" s="982">
        <f t="shared" si="98"/>
        <v>1000000</v>
      </c>
      <c r="AY116" s="611">
        <f t="shared" si="99"/>
        <v>3</v>
      </c>
      <c r="AZ116" s="612">
        <f t="shared" si="100"/>
        <v>3.8693606857010856</v>
      </c>
      <c r="BB116" s="984">
        <f t="shared" si="116"/>
        <v>3.9510615937233458</v>
      </c>
      <c r="BC116" s="985">
        <f t="shared" si="156"/>
        <v>3.6812661513234217</v>
      </c>
      <c r="BD116" s="985">
        <f t="shared" si="156"/>
        <v>3.624272144211766</v>
      </c>
      <c r="BE116" s="528">
        <f t="shared" si="156"/>
        <v>3.5612454878415547</v>
      </c>
      <c r="BF116" s="913">
        <f t="shared" si="143"/>
        <v>3.9510615937233458</v>
      </c>
      <c r="BG116" s="317">
        <f t="shared" si="143"/>
        <v>-1000000</v>
      </c>
      <c r="BH116" s="317">
        <f t="shared" si="143"/>
        <v>-1000000</v>
      </c>
      <c r="BI116" s="919">
        <f t="shared" si="143"/>
        <v>-1000000</v>
      </c>
      <c r="BJ116" s="646">
        <f t="shared" si="102"/>
        <v>5.5</v>
      </c>
      <c r="BK116" s="913">
        <f t="shared" si="103"/>
        <v>3.9510615937233458</v>
      </c>
      <c r="BL116" s="317"/>
      <c r="BM116" s="317"/>
      <c r="BN116" s="317"/>
      <c r="BO116" s="913">
        <f t="shared" si="104"/>
        <v>3</v>
      </c>
      <c r="BP116" s="783">
        <f t="shared" si="117"/>
        <v>1000000</v>
      </c>
      <c r="CK116" s="642">
        <f t="shared" si="128"/>
        <v>110</v>
      </c>
      <c r="CL116" s="609">
        <f t="shared" si="105"/>
        <v>7.7970741511199479</v>
      </c>
      <c r="CM116" s="609">
        <f t="shared" si="118"/>
        <v>5.5</v>
      </c>
      <c r="CN116" s="610">
        <f t="shared" si="148"/>
        <v>8.5058948569069912</v>
      </c>
      <c r="CO116" s="611">
        <f t="shared" si="148"/>
        <v>8.5058987564582029</v>
      </c>
      <c r="CP116" s="612">
        <f t="shared" si="148"/>
        <v>8.5058990500459224</v>
      </c>
      <c r="CQ116" s="611">
        <f t="shared" si="149"/>
        <v>2.250308004884634</v>
      </c>
      <c r="CR116" s="611">
        <f t="shared" si="149"/>
        <v>2.6512333012042681</v>
      </c>
      <c r="CS116" s="611">
        <f t="shared" si="149"/>
        <v>3.0521585975239023</v>
      </c>
      <c r="CT116" s="610">
        <f t="shared" si="106"/>
        <v>10.756202861791625</v>
      </c>
      <c r="CU116" s="611">
        <f t="shared" si="106"/>
        <v>11.157132057662471</v>
      </c>
      <c r="CV116" s="612">
        <f t="shared" si="106"/>
        <v>11.558057647569825</v>
      </c>
      <c r="CW116" s="613">
        <f t="shared" si="146"/>
        <v>10.756202861791625</v>
      </c>
      <c r="CX116" s="613">
        <f t="shared" si="146"/>
        <v>11.157132057662471</v>
      </c>
      <c r="CY116" s="613">
        <f t="shared" si="146"/>
        <v>11.558057647569825</v>
      </c>
      <c r="CZ116" s="609">
        <f t="shared" si="107"/>
        <v>8.5058990739490348</v>
      </c>
      <c r="DA116" s="609"/>
      <c r="DB116" s="609">
        <f t="shared" si="120"/>
        <v>5.5</v>
      </c>
      <c r="DC116" s="610">
        <f t="shared" si="144"/>
        <v>1.1130795484547881E-5</v>
      </c>
      <c r="DD116" s="611">
        <f t="shared" si="144"/>
        <v>9.8731433338272068E-7</v>
      </c>
      <c r="DE116" s="612">
        <f t="shared" si="144"/>
        <v>8.5573215314597268E-8</v>
      </c>
      <c r="DF116" s="611">
        <f t="shared" si="147"/>
        <v>1.189868903850315E-5</v>
      </c>
      <c r="DG116" s="611">
        <f t="shared" si="147"/>
        <v>1.0682094853109485E-6</v>
      </c>
      <c r="DH116" s="611">
        <f t="shared" si="147"/>
        <v>9.3710212922815448E-8</v>
      </c>
      <c r="DI116" s="614">
        <f t="shared" si="109"/>
        <v>8</v>
      </c>
      <c r="DJ116" s="615"/>
      <c r="DK116" s="609">
        <f t="shared" si="121"/>
        <v>5.5</v>
      </c>
      <c r="DL116" s="611">
        <f t="shared" si="150"/>
        <v>4.1066890919777403</v>
      </c>
      <c r="DM116" s="611">
        <f t="shared" si="150"/>
        <v>1000000</v>
      </c>
      <c r="DN116" s="611">
        <f t="shared" si="150"/>
        <v>1000000</v>
      </c>
      <c r="DO116" s="610">
        <f t="shared" si="151"/>
        <v>0.3422493142989147</v>
      </c>
      <c r="DP116" s="611">
        <f t="shared" si="151"/>
        <v>0.36159931429891484</v>
      </c>
      <c r="DQ116" s="612">
        <f t="shared" si="151"/>
        <v>0.39255931429891511</v>
      </c>
      <c r="DR116" s="611">
        <f t="shared" si="110"/>
        <v>4.448938406276655</v>
      </c>
      <c r="DS116" s="611">
        <f t="shared" si="110"/>
        <v>1000000.3615993143</v>
      </c>
      <c r="DT116" s="611">
        <f t="shared" si="110"/>
        <v>1000000.3925593143</v>
      </c>
      <c r="DU116" s="609">
        <f t="shared" si="122"/>
        <v>4.2</v>
      </c>
      <c r="DV116" s="611"/>
      <c r="DW116" s="646">
        <f t="shared" si="111"/>
        <v>14.666666666666666</v>
      </c>
      <c r="DX116" s="621">
        <f t="shared" si="152"/>
        <v>6.7396186971326788</v>
      </c>
      <c r="DY116" s="621">
        <f t="shared" si="152"/>
        <v>6.9193231518556306</v>
      </c>
      <c r="DZ116" s="621">
        <f t="shared" si="152"/>
        <v>7.0658375317908702</v>
      </c>
      <c r="EA116" s="610">
        <f t="shared" si="145"/>
        <v>6.5547853271249252</v>
      </c>
      <c r="EB116" s="611">
        <f t="shared" si="145"/>
        <v>6.5884626756727585</v>
      </c>
      <c r="EC116" s="612">
        <f t="shared" si="145"/>
        <v>6.6172695152309826</v>
      </c>
      <c r="ED116" s="610">
        <f t="shared" si="123"/>
        <v>8</v>
      </c>
      <c r="EE116" s="611">
        <f t="shared" si="124"/>
        <v>8.5058990739490348</v>
      </c>
      <c r="EF116" s="645">
        <f t="shared" si="125"/>
        <v>-1000000</v>
      </c>
      <c r="EG116" s="902"/>
      <c r="EH116" s="646">
        <f t="shared" si="113"/>
        <v>14.666666666666666</v>
      </c>
      <c r="EI116" s="610">
        <f t="shared" si="153"/>
        <v>-0.18483337000775357</v>
      </c>
      <c r="EJ116" s="986">
        <f t="shared" si="153"/>
        <v>-0.33086047618287218</v>
      </c>
      <c r="EK116" s="612">
        <f t="shared" si="153"/>
        <v>-0.44856801655988754</v>
      </c>
    </row>
    <row r="117" spans="21:141" ht="15" customHeight="1" x14ac:dyDescent="0.25">
      <c r="U117" s="642">
        <f t="shared" si="127"/>
        <v>111</v>
      </c>
      <c r="W117" s="609">
        <f t="shared" si="90"/>
        <v>7.8679566434028576</v>
      </c>
      <c r="X117" s="610">
        <f t="shared" si="154"/>
        <v>3.7741606857010854</v>
      </c>
      <c r="Y117" s="611">
        <f t="shared" si="154"/>
        <v>3.6154940190344189</v>
      </c>
      <c r="Z117" s="611">
        <f t="shared" si="154"/>
        <v>3.3616273523677522</v>
      </c>
      <c r="AA117" s="611"/>
      <c r="AB117" s="982">
        <f t="shared" si="91"/>
        <v>1000000</v>
      </c>
      <c r="AC117" s="919">
        <f t="shared" si="92"/>
        <v>3.8693606857010856</v>
      </c>
      <c r="AD117" s="611">
        <f t="shared" si="137"/>
        <v>3.5970240966871807</v>
      </c>
      <c r="AE117" s="611">
        <f t="shared" si="137"/>
        <v>3.419007430020514</v>
      </c>
      <c r="AF117" s="611">
        <f t="shared" si="137"/>
        <v>3.134180763353847</v>
      </c>
      <c r="AG117" s="612"/>
      <c r="AH117" s="609">
        <f t="shared" si="93"/>
        <v>3</v>
      </c>
      <c r="AI117" s="895">
        <f t="shared" si="114"/>
        <v>-1000000</v>
      </c>
      <c r="AJ117" s="610">
        <f t="shared" si="94"/>
        <v>7.8679566434028576</v>
      </c>
      <c r="AK117" s="609">
        <f t="shared" si="115"/>
        <v>-0.16552658901390477</v>
      </c>
      <c r="AL117" s="611">
        <f t="shared" si="155"/>
        <v>-0.17713658901390486</v>
      </c>
      <c r="AM117" s="611">
        <f t="shared" si="155"/>
        <v>-0.19648658901390503</v>
      </c>
      <c r="AN117" s="611">
        <f t="shared" si="155"/>
        <v>-0.2274465890139053</v>
      </c>
      <c r="AO117" s="612">
        <f t="shared" si="155"/>
        <v>-0.28936658901390583</v>
      </c>
      <c r="AP117" s="902">
        <v>0</v>
      </c>
      <c r="AQ117" s="783">
        <f t="shared" si="95"/>
        <v>1000000</v>
      </c>
      <c r="AR117" s="983"/>
      <c r="AS117" s="609">
        <f t="shared" si="96"/>
        <v>7.8679566434028576</v>
      </c>
      <c r="AT117" s="610">
        <f t="shared" si="142"/>
        <v>3.5970240966871807</v>
      </c>
      <c r="AU117" s="611">
        <f t="shared" si="142"/>
        <v>3.419007430020514</v>
      </c>
      <c r="AV117" s="611">
        <f t="shared" si="142"/>
        <v>3.134180763353847</v>
      </c>
      <c r="AW117" s="612">
        <f t="shared" si="142"/>
        <v>-0.28936658901390583</v>
      </c>
      <c r="AX117" s="982">
        <f t="shared" si="98"/>
        <v>1000000</v>
      </c>
      <c r="AY117" s="611">
        <f t="shared" si="99"/>
        <v>3</v>
      </c>
      <c r="AZ117" s="612">
        <f t="shared" si="100"/>
        <v>3.8693606857010856</v>
      </c>
      <c r="BB117" s="984">
        <f t="shared" si="116"/>
        <v>3.8526662283840838</v>
      </c>
      <c r="BC117" s="985">
        <f t="shared" si="156"/>
        <v>3.6804413078131577</v>
      </c>
      <c r="BD117" s="985">
        <f t="shared" si="156"/>
        <v>3.6241609856633494</v>
      </c>
      <c r="BE117" s="528">
        <f t="shared" si="156"/>
        <v>3.5611642902962561</v>
      </c>
      <c r="BF117" s="913">
        <f t="shared" si="143"/>
        <v>3.8526662283840838</v>
      </c>
      <c r="BG117" s="317">
        <f t="shared" si="143"/>
        <v>-1000000</v>
      </c>
      <c r="BH117" s="317">
        <f t="shared" si="143"/>
        <v>-1000000</v>
      </c>
      <c r="BI117" s="919">
        <f t="shared" si="143"/>
        <v>-1000000</v>
      </c>
      <c r="BJ117" s="646">
        <f t="shared" si="102"/>
        <v>5.5500000000000007</v>
      </c>
      <c r="BK117" s="913">
        <f t="shared" si="103"/>
        <v>3.8526662283840838</v>
      </c>
      <c r="BL117" s="317"/>
      <c r="BM117" s="317"/>
      <c r="BN117" s="317"/>
      <c r="BO117" s="913">
        <f t="shared" si="104"/>
        <v>3</v>
      </c>
      <c r="BP117" s="783">
        <f t="shared" si="117"/>
        <v>1000000</v>
      </c>
      <c r="CK117" s="642">
        <f t="shared" si="128"/>
        <v>111</v>
      </c>
      <c r="CL117" s="609">
        <f t="shared" si="105"/>
        <v>7.8679566434028576</v>
      </c>
      <c r="CM117" s="609">
        <f t="shared" si="118"/>
        <v>5.5500000000000007</v>
      </c>
      <c r="CN117" s="610">
        <f t="shared" si="148"/>
        <v>8.5058953782860112</v>
      </c>
      <c r="CO117" s="611">
        <f t="shared" si="148"/>
        <v>8.5058988021774695</v>
      </c>
      <c r="CP117" s="612">
        <f t="shared" si="148"/>
        <v>8.5058990539635051</v>
      </c>
      <c r="CQ117" s="611">
        <f t="shared" si="149"/>
        <v>2.250308004884634</v>
      </c>
      <c r="CR117" s="611">
        <f t="shared" si="149"/>
        <v>2.6512333012042681</v>
      </c>
      <c r="CS117" s="611">
        <f t="shared" si="149"/>
        <v>3.0521585975239023</v>
      </c>
      <c r="CT117" s="610">
        <f t="shared" si="106"/>
        <v>10.756203383170645</v>
      </c>
      <c r="CU117" s="611">
        <f t="shared" si="106"/>
        <v>11.157132103381738</v>
      </c>
      <c r="CV117" s="612">
        <f t="shared" si="106"/>
        <v>11.558057651487408</v>
      </c>
      <c r="CW117" s="613">
        <f t="shared" si="146"/>
        <v>10.756203383170645</v>
      </c>
      <c r="CX117" s="613">
        <f t="shared" si="146"/>
        <v>11.157132103381738</v>
      </c>
      <c r="CY117" s="613">
        <f t="shared" si="146"/>
        <v>11.558057651487408</v>
      </c>
      <c r="CZ117" s="609">
        <f t="shared" si="107"/>
        <v>8.5058990739490348</v>
      </c>
      <c r="DA117" s="609"/>
      <c r="DB117" s="609">
        <f t="shared" si="120"/>
        <v>5.5500000000000007</v>
      </c>
      <c r="DC117" s="610">
        <f t="shared" si="144"/>
        <v>9.7546263143478986E-6</v>
      </c>
      <c r="DD117" s="611">
        <f t="shared" si="144"/>
        <v>8.4513924453157185E-7</v>
      </c>
      <c r="DE117" s="612">
        <f t="shared" si="144"/>
        <v>7.154825902670053E-8</v>
      </c>
      <c r="DF117" s="611">
        <f t="shared" si="147"/>
        <v>1.0427580399152555E-5</v>
      </c>
      <c r="DG117" s="611">
        <f t="shared" si="147"/>
        <v>9.143853318960152E-7</v>
      </c>
      <c r="DH117" s="611">
        <f t="shared" si="147"/>
        <v>7.83516540536755E-8</v>
      </c>
      <c r="DI117" s="614">
        <f t="shared" si="109"/>
        <v>8</v>
      </c>
      <c r="DJ117" s="615"/>
      <c r="DK117" s="609">
        <f t="shared" si="121"/>
        <v>5.5500000000000007</v>
      </c>
      <c r="DL117" s="611">
        <f t="shared" si="150"/>
        <v>4.2050844573170023</v>
      </c>
      <c r="DM117" s="611">
        <f t="shared" si="150"/>
        <v>1000000</v>
      </c>
      <c r="DN117" s="611">
        <f t="shared" si="150"/>
        <v>1000000</v>
      </c>
      <c r="DO117" s="610">
        <f t="shared" si="151"/>
        <v>0.3422493142989147</v>
      </c>
      <c r="DP117" s="611">
        <f t="shared" si="151"/>
        <v>0.36159931429891484</v>
      </c>
      <c r="DQ117" s="612">
        <f t="shared" si="151"/>
        <v>0.39255931429891511</v>
      </c>
      <c r="DR117" s="611">
        <f t="shared" si="110"/>
        <v>4.547333771615917</v>
      </c>
      <c r="DS117" s="611">
        <f t="shared" si="110"/>
        <v>1000000.3615993143</v>
      </c>
      <c r="DT117" s="611">
        <f t="shared" si="110"/>
        <v>1000000.3925593143</v>
      </c>
      <c r="DU117" s="609">
        <f t="shared" si="122"/>
        <v>4.2</v>
      </c>
      <c r="DV117" s="611"/>
      <c r="DW117" s="646">
        <f t="shared" si="111"/>
        <v>14.8</v>
      </c>
      <c r="DX117" s="621">
        <f t="shared" si="152"/>
        <v>6.7256425461988236</v>
      </c>
      <c r="DY117" s="621">
        <f t="shared" si="152"/>
        <v>6.9065789802566586</v>
      </c>
      <c r="DZ117" s="621">
        <f t="shared" si="152"/>
        <v>7.05412961923252</v>
      </c>
      <c r="EA117" s="610">
        <f t="shared" si="145"/>
        <v>6.531888390903978</v>
      </c>
      <c r="EB117" s="611">
        <f t="shared" si="145"/>
        <v>6.5663383937385547</v>
      </c>
      <c r="EC117" s="612">
        <f t="shared" si="145"/>
        <v>6.5958112458601104</v>
      </c>
      <c r="ED117" s="610">
        <f t="shared" si="123"/>
        <v>8</v>
      </c>
      <c r="EE117" s="611">
        <f t="shared" si="124"/>
        <v>8.5058990739490348</v>
      </c>
      <c r="EF117" s="645">
        <f t="shared" si="125"/>
        <v>-1000000</v>
      </c>
      <c r="EG117" s="902"/>
      <c r="EH117" s="646">
        <f t="shared" si="113"/>
        <v>14.8</v>
      </c>
      <c r="EI117" s="610">
        <f t="shared" si="153"/>
        <v>-0.19375415529484563</v>
      </c>
      <c r="EJ117" s="986">
        <f t="shared" si="153"/>
        <v>-0.3402405865181044</v>
      </c>
      <c r="EK117" s="612">
        <f t="shared" si="153"/>
        <v>-0.45831837337240922</v>
      </c>
    </row>
    <row r="118" spans="21:141" ht="15" customHeight="1" x14ac:dyDescent="0.25">
      <c r="U118" s="642">
        <f t="shared" si="127"/>
        <v>112</v>
      </c>
      <c r="W118" s="609">
        <f t="shared" si="90"/>
        <v>7.9388391356857655</v>
      </c>
      <c r="X118" s="610">
        <f t="shared" si="154"/>
        <v>3.7622606857010856</v>
      </c>
      <c r="Y118" s="611">
        <f t="shared" si="154"/>
        <v>3.5837606857010855</v>
      </c>
      <c r="Z118" s="611">
        <f t="shared" si="154"/>
        <v>3.2981606857010854</v>
      </c>
      <c r="AA118" s="611"/>
      <c r="AB118" s="982">
        <f t="shared" si="91"/>
        <v>1000000</v>
      </c>
      <c r="AC118" s="919">
        <f t="shared" si="92"/>
        <v>3.8693606857010856</v>
      </c>
      <c r="AD118" s="611">
        <f t="shared" si="137"/>
        <v>3.5844144944199425</v>
      </c>
      <c r="AE118" s="611">
        <f t="shared" si="137"/>
        <v>3.3865644944199422</v>
      </c>
      <c r="AF118" s="611">
        <f t="shared" si="137"/>
        <v>3.0700044944199418</v>
      </c>
      <c r="AG118" s="612"/>
      <c r="AH118" s="609">
        <f t="shared" si="93"/>
        <v>3</v>
      </c>
      <c r="AI118" s="895">
        <f t="shared" si="114"/>
        <v>-1000000</v>
      </c>
      <c r="AJ118" s="610">
        <f t="shared" si="94"/>
        <v>7.9388391356857655</v>
      </c>
      <c r="AK118" s="609">
        <f t="shared" si="115"/>
        <v>-0.16623619128114298</v>
      </c>
      <c r="AL118" s="611">
        <f t="shared" si="155"/>
        <v>-0.17784619128114307</v>
      </c>
      <c r="AM118" s="611">
        <f t="shared" si="155"/>
        <v>-0.19719619128114324</v>
      </c>
      <c r="AN118" s="611">
        <f t="shared" si="155"/>
        <v>-0.22815619128114351</v>
      </c>
      <c r="AO118" s="612">
        <f t="shared" si="155"/>
        <v>-0.29007619128114404</v>
      </c>
      <c r="AP118" s="902">
        <v>0</v>
      </c>
      <c r="AQ118" s="783">
        <f t="shared" si="95"/>
        <v>1000000</v>
      </c>
      <c r="AR118" s="983"/>
      <c r="AS118" s="609">
        <f t="shared" si="96"/>
        <v>7.9388391356857655</v>
      </c>
      <c r="AT118" s="610">
        <f t="shared" si="142"/>
        <v>3.5844144944199425</v>
      </c>
      <c r="AU118" s="611">
        <f t="shared" si="142"/>
        <v>3.3865644944199422</v>
      </c>
      <c r="AV118" s="611">
        <f t="shared" si="142"/>
        <v>3.0700044944199418</v>
      </c>
      <c r="AW118" s="612">
        <f t="shared" si="142"/>
        <v>-0.29007619128114404</v>
      </c>
      <c r="AX118" s="982">
        <f t="shared" si="98"/>
        <v>1000000</v>
      </c>
      <c r="AY118" s="611">
        <f t="shared" si="99"/>
        <v>3</v>
      </c>
      <c r="AZ118" s="612">
        <f t="shared" si="100"/>
        <v>3.8693606857010856</v>
      </c>
      <c r="BB118" s="984">
        <f t="shared" si="116"/>
        <v>3.6148994384373627</v>
      </c>
      <c r="BC118" s="985">
        <f t="shared" si="156"/>
        <v>3.6796396283234127</v>
      </c>
      <c r="BD118" s="985">
        <f t="shared" si="156"/>
        <v>3.6240527563468552</v>
      </c>
      <c r="BE118" s="528">
        <f t="shared" si="156"/>
        <v>3.5610846953383897</v>
      </c>
      <c r="BF118" s="913">
        <f t="shared" si="143"/>
        <v>3.6148994384373627</v>
      </c>
      <c r="BG118" s="317">
        <f t="shared" si="143"/>
        <v>-1000000</v>
      </c>
      <c r="BH118" s="317">
        <f t="shared" si="143"/>
        <v>-1000000</v>
      </c>
      <c r="BI118" s="919">
        <f t="shared" si="143"/>
        <v>-1000000</v>
      </c>
      <c r="BJ118" s="646">
        <f t="shared" si="102"/>
        <v>5.6</v>
      </c>
      <c r="BK118" s="913">
        <f t="shared" si="103"/>
        <v>3.6148994384373627</v>
      </c>
      <c r="BL118" s="317"/>
      <c r="BM118" s="317"/>
      <c r="BN118" s="317"/>
      <c r="BO118" s="913">
        <f t="shared" si="104"/>
        <v>3</v>
      </c>
      <c r="BP118" s="783">
        <f t="shared" si="117"/>
        <v>1000000</v>
      </c>
      <c r="CK118" s="642">
        <f t="shared" si="128"/>
        <v>112</v>
      </c>
      <c r="CL118" s="609">
        <f t="shared" si="105"/>
        <v>7.9388391356857655</v>
      </c>
      <c r="CM118" s="609">
        <f t="shared" si="118"/>
        <v>5.6</v>
      </c>
      <c r="CN118" s="610">
        <f t="shared" si="148"/>
        <v>8.5058958352037148</v>
      </c>
      <c r="CO118" s="611">
        <f t="shared" si="148"/>
        <v>8.5058988413130781</v>
      </c>
      <c r="CP118" s="612">
        <f t="shared" si="148"/>
        <v>8.5058990572390183</v>
      </c>
      <c r="CQ118" s="611">
        <f t="shared" si="149"/>
        <v>2.250308004884634</v>
      </c>
      <c r="CR118" s="611">
        <f t="shared" si="149"/>
        <v>2.6512333012042681</v>
      </c>
      <c r="CS118" s="611">
        <f t="shared" si="149"/>
        <v>3.0521585975239023</v>
      </c>
      <c r="CT118" s="610">
        <f t="shared" si="106"/>
        <v>10.756203840088348</v>
      </c>
      <c r="CU118" s="611">
        <f t="shared" si="106"/>
        <v>11.157132142517346</v>
      </c>
      <c r="CV118" s="612">
        <f t="shared" si="106"/>
        <v>11.558057654762921</v>
      </c>
      <c r="CW118" s="613">
        <f t="shared" ref="CW118:CY126" si="157">IF((CW117+$CD$32*($CM118-$CM117))&lt;CT118,(CW117+$CD$32*($CM118-$CM117)),CT118)</f>
        <v>10.756203840088348</v>
      </c>
      <c r="CX118" s="613">
        <f t="shared" si="157"/>
        <v>11.157132142517346</v>
      </c>
      <c r="CY118" s="613">
        <f t="shared" si="157"/>
        <v>11.558057654762921</v>
      </c>
      <c r="CZ118" s="609">
        <f t="shared" si="107"/>
        <v>8.5058990739490348</v>
      </c>
      <c r="DA118" s="609"/>
      <c r="DB118" s="609">
        <f t="shared" si="120"/>
        <v>5.6</v>
      </c>
      <c r="DC118" s="610">
        <f t="shared" si="144"/>
        <v>8.5486014602157575E-6</v>
      </c>
      <c r="DD118" s="611">
        <f t="shared" si="144"/>
        <v>7.2343763125590767E-7</v>
      </c>
      <c r="DE118" s="612">
        <f t="shared" si="144"/>
        <v>5.9821912159453651E-8</v>
      </c>
      <c r="DF118" s="611">
        <f t="shared" si="147"/>
        <v>9.1383540734570617E-6</v>
      </c>
      <c r="DG118" s="611">
        <f t="shared" si="147"/>
        <v>7.8271217063276562E-7</v>
      </c>
      <c r="DH118" s="611">
        <f t="shared" si="147"/>
        <v>6.551026388024324E-8</v>
      </c>
      <c r="DI118" s="614">
        <f t="shared" si="109"/>
        <v>8</v>
      </c>
      <c r="DJ118" s="615"/>
      <c r="DK118" s="609">
        <f t="shared" si="121"/>
        <v>5.6</v>
      </c>
      <c r="DL118" s="611">
        <f t="shared" si="150"/>
        <v>4.4428512472637225</v>
      </c>
      <c r="DM118" s="611">
        <f t="shared" si="150"/>
        <v>1000000</v>
      </c>
      <c r="DN118" s="611">
        <f t="shared" si="150"/>
        <v>1000000</v>
      </c>
      <c r="DO118" s="610">
        <f t="shared" si="151"/>
        <v>0.3422493142989147</v>
      </c>
      <c r="DP118" s="611">
        <f t="shared" si="151"/>
        <v>0.36159931429891484</v>
      </c>
      <c r="DQ118" s="612">
        <f t="shared" si="151"/>
        <v>0.39255931429891511</v>
      </c>
      <c r="DR118" s="611">
        <f t="shared" si="110"/>
        <v>4.7851005615626372</v>
      </c>
      <c r="DS118" s="611">
        <f t="shared" si="110"/>
        <v>1000000.3615993143</v>
      </c>
      <c r="DT118" s="611">
        <f t="shared" si="110"/>
        <v>1000000.3925593143</v>
      </c>
      <c r="DU118" s="609">
        <f t="shared" si="122"/>
        <v>4.2</v>
      </c>
      <c r="DV118" s="611"/>
      <c r="DW118" s="646">
        <f t="shared" si="111"/>
        <v>14.933333333333334</v>
      </c>
      <c r="DX118" s="621">
        <f t="shared" si="152"/>
        <v>6.7116989925289499</v>
      </c>
      <c r="DY118" s="621">
        <f t="shared" si="152"/>
        <v>6.8938615146956606</v>
      </c>
      <c r="DZ118" s="621">
        <f t="shared" si="152"/>
        <v>7.0424439798202938</v>
      </c>
      <c r="EA118" s="610">
        <f t="shared" si="145"/>
        <v>6.5091714995585779</v>
      </c>
      <c r="EB118" s="611">
        <f t="shared" si="145"/>
        <v>6.5443958574291585</v>
      </c>
      <c r="EC118" s="612">
        <f t="shared" si="145"/>
        <v>6.5745364088581946</v>
      </c>
      <c r="ED118" s="610">
        <f t="shared" si="123"/>
        <v>8</v>
      </c>
      <c r="EE118" s="611">
        <f t="shared" si="124"/>
        <v>8.5058990739490348</v>
      </c>
      <c r="EF118" s="645">
        <f t="shared" si="125"/>
        <v>-1000000</v>
      </c>
      <c r="EG118" s="902"/>
      <c r="EH118" s="646">
        <f t="shared" si="113"/>
        <v>14.933333333333334</v>
      </c>
      <c r="EI118" s="610">
        <f t="shared" si="153"/>
        <v>-0.20252749297037154</v>
      </c>
      <c r="EJ118" s="986">
        <f t="shared" si="153"/>
        <v>-0.34946565726650158</v>
      </c>
      <c r="EK118" s="612">
        <f t="shared" si="153"/>
        <v>-0.46790757096209923</v>
      </c>
    </row>
    <row r="119" spans="21:141" ht="15" customHeight="1" x14ac:dyDescent="0.25">
      <c r="U119" s="642">
        <f t="shared" si="127"/>
        <v>113</v>
      </c>
      <c r="W119" s="609">
        <f t="shared" si="90"/>
        <v>8.0097216279686752</v>
      </c>
      <c r="X119" s="610">
        <f t="shared" si="154"/>
        <v>3.7469606857010853</v>
      </c>
      <c r="Y119" s="611">
        <f t="shared" si="154"/>
        <v>3.5429606857010851</v>
      </c>
      <c r="Z119" s="611">
        <f t="shared" si="154"/>
        <v>3.2165606857010847</v>
      </c>
      <c r="AA119" s="611"/>
      <c r="AB119" s="982">
        <f t="shared" si="91"/>
        <v>1000000</v>
      </c>
      <c r="AC119" s="919">
        <f t="shared" si="92"/>
        <v>3.8693606857010856</v>
      </c>
      <c r="AD119" s="611">
        <f t="shared" si="137"/>
        <v>3.5684236124777704</v>
      </c>
      <c r="AE119" s="611">
        <f t="shared" si="137"/>
        <v>3.34507361247777</v>
      </c>
      <c r="AF119" s="611">
        <f t="shared" si="137"/>
        <v>2.9877136124777692</v>
      </c>
      <c r="AG119" s="612"/>
      <c r="AH119" s="609">
        <f t="shared" si="93"/>
        <v>3</v>
      </c>
      <c r="AI119" s="895">
        <f t="shared" si="114"/>
        <v>1000000</v>
      </c>
      <c r="AJ119" s="610">
        <f t="shared" si="94"/>
        <v>8.0097216279686752</v>
      </c>
      <c r="AK119" s="609">
        <f t="shared" si="115"/>
        <v>-0.16692707322331493</v>
      </c>
      <c r="AL119" s="611">
        <f t="shared" si="155"/>
        <v>-0.17853707322331502</v>
      </c>
      <c r="AM119" s="611">
        <f t="shared" si="155"/>
        <v>-0.1978870732233152</v>
      </c>
      <c r="AN119" s="611">
        <f t="shared" si="155"/>
        <v>-0.22884707322331546</v>
      </c>
      <c r="AO119" s="612">
        <f t="shared" si="155"/>
        <v>-0.29076707322331602</v>
      </c>
      <c r="AP119" s="902">
        <v>0</v>
      </c>
      <c r="AQ119" s="783">
        <f t="shared" si="95"/>
        <v>1000000</v>
      </c>
      <c r="AR119" s="983"/>
      <c r="AS119" s="609">
        <f t="shared" si="96"/>
        <v>8.0097216279686752</v>
      </c>
      <c r="AT119" s="610">
        <f t="shared" si="142"/>
        <v>3.5684236124777704</v>
      </c>
      <c r="AU119" s="611">
        <f t="shared" si="142"/>
        <v>3.34507361247777</v>
      </c>
      <c r="AV119" s="611">
        <f t="shared" si="142"/>
        <v>2.9877136124777692</v>
      </c>
      <c r="AW119" s="612">
        <f t="shared" si="142"/>
        <v>-0.29076707322331602</v>
      </c>
      <c r="AX119" s="982">
        <f t="shared" si="98"/>
        <v>1000000</v>
      </c>
      <c r="AY119" s="611">
        <f t="shared" si="99"/>
        <v>3</v>
      </c>
      <c r="AZ119" s="612">
        <f t="shared" si="100"/>
        <v>3.8693606857010856</v>
      </c>
      <c r="BB119" s="984">
        <f t="shared" si="116"/>
        <v>2.2228903384835799</v>
      </c>
      <c r="BC119" s="985">
        <f t="shared" si="156"/>
        <v>3.6788603926831382</v>
      </c>
      <c r="BD119" s="985">
        <f t="shared" si="156"/>
        <v>3.6239473329900358</v>
      </c>
      <c r="BE119" s="528">
        <f t="shared" si="156"/>
        <v>3.5610066559318674</v>
      </c>
      <c r="BF119" s="913">
        <f t="shared" si="143"/>
        <v>2.2228903384835799</v>
      </c>
      <c r="BG119" s="317">
        <f t="shared" si="143"/>
        <v>-1000000</v>
      </c>
      <c r="BH119" s="317">
        <f t="shared" si="143"/>
        <v>-1000000</v>
      </c>
      <c r="BI119" s="919">
        <f t="shared" si="143"/>
        <v>-1000000</v>
      </c>
      <c r="BJ119" s="646">
        <f t="shared" si="102"/>
        <v>5.65</v>
      </c>
      <c r="BK119" s="913">
        <f t="shared" si="103"/>
        <v>2.2228903384835799</v>
      </c>
      <c r="BL119" s="317"/>
      <c r="BM119" s="317"/>
      <c r="BN119" s="317"/>
      <c r="BO119" s="913">
        <f t="shared" si="104"/>
        <v>3</v>
      </c>
      <c r="BP119" s="783">
        <f t="shared" si="117"/>
        <v>1000000</v>
      </c>
      <c r="CK119" s="642">
        <f t="shared" si="128"/>
        <v>113</v>
      </c>
      <c r="CL119" s="609">
        <f t="shared" si="105"/>
        <v>8.0097216279686752</v>
      </c>
      <c r="CM119" s="609">
        <f t="shared" si="118"/>
        <v>5.65</v>
      </c>
      <c r="CN119" s="610">
        <f t="shared" si="148"/>
        <v>8.5058962356298551</v>
      </c>
      <c r="CO119" s="611">
        <f t="shared" si="148"/>
        <v>8.5058988748130862</v>
      </c>
      <c r="CP119" s="612">
        <f t="shared" si="148"/>
        <v>8.5058990599776934</v>
      </c>
      <c r="CQ119" s="611">
        <f t="shared" si="149"/>
        <v>2.250308004884634</v>
      </c>
      <c r="CR119" s="611">
        <f t="shared" si="149"/>
        <v>2.6512333012042681</v>
      </c>
      <c r="CS119" s="611">
        <f t="shared" si="149"/>
        <v>3.0521585975239023</v>
      </c>
      <c r="CT119" s="610">
        <f t="shared" si="106"/>
        <v>10.756204240514489</v>
      </c>
      <c r="CU119" s="611">
        <f t="shared" si="106"/>
        <v>11.157132176017354</v>
      </c>
      <c r="CV119" s="612">
        <f t="shared" si="106"/>
        <v>11.558057657501596</v>
      </c>
      <c r="CW119" s="613">
        <f t="shared" si="157"/>
        <v>10.756204240514489</v>
      </c>
      <c r="CX119" s="613">
        <f t="shared" si="157"/>
        <v>11.157132176017354</v>
      </c>
      <c r="CY119" s="613">
        <f t="shared" si="157"/>
        <v>11.558057657501596</v>
      </c>
      <c r="CZ119" s="609">
        <f t="shared" si="107"/>
        <v>8.5058990739490348</v>
      </c>
      <c r="DA119" s="609"/>
      <c r="DB119" s="609">
        <f t="shared" si="120"/>
        <v>5.65</v>
      </c>
      <c r="DC119" s="610">
        <f t="shared" si="144"/>
        <v>7.491684926783167E-6</v>
      </c>
      <c r="DD119" s="611">
        <f t="shared" si="144"/>
        <v>6.1926127523191092E-7</v>
      </c>
      <c r="DE119" s="612">
        <f t="shared" si="144"/>
        <v>5.0017445890303E-8</v>
      </c>
      <c r="DF119" s="611">
        <f t="shared" ref="DF119:DH126" si="158">(CW119-CW118)/($DB119-$DB118)</f>
        <v>8.0085228049141508E-6</v>
      </c>
      <c r="DG119" s="611">
        <f t="shared" si="158"/>
        <v>6.700001620174494E-7</v>
      </c>
      <c r="DH119" s="611">
        <f t="shared" si="158"/>
        <v>5.4773501290127698E-8</v>
      </c>
      <c r="DI119" s="614">
        <f t="shared" si="109"/>
        <v>8</v>
      </c>
      <c r="DJ119" s="615"/>
      <c r="DK119" s="609">
        <f t="shared" si="121"/>
        <v>5.65</v>
      </c>
      <c r="DL119" s="611">
        <f t="shared" si="150"/>
        <v>5.8348603472175053</v>
      </c>
      <c r="DM119" s="611">
        <f t="shared" si="150"/>
        <v>1000000</v>
      </c>
      <c r="DN119" s="611">
        <f t="shared" si="150"/>
        <v>1000000</v>
      </c>
      <c r="DO119" s="610">
        <f t="shared" si="151"/>
        <v>0.3422493142989147</v>
      </c>
      <c r="DP119" s="611">
        <f t="shared" si="151"/>
        <v>0.36159931429891484</v>
      </c>
      <c r="DQ119" s="612">
        <f t="shared" si="151"/>
        <v>0.39255931429891511</v>
      </c>
      <c r="DR119" s="611">
        <f t="shared" si="110"/>
        <v>6.17710966151642</v>
      </c>
      <c r="DS119" s="611">
        <f t="shared" si="110"/>
        <v>1000000.3615993143</v>
      </c>
      <c r="DT119" s="611">
        <f t="shared" si="110"/>
        <v>1000000.3925593143</v>
      </c>
      <c r="DU119" s="609">
        <f t="shared" si="122"/>
        <v>4.2</v>
      </c>
      <c r="DV119" s="611"/>
      <c r="DW119" s="646">
        <f t="shared" si="111"/>
        <v>15.066666666666666</v>
      </c>
      <c r="DX119" s="621">
        <f t="shared" si="152"/>
        <v>6.6977879222135908</v>
      </c>
      <c r="DY119" s="621">
        <f t="shared" si="152"/>
        <v>6.8811706713147807</v>
      </c>
      <c r="DZ119" s="621">
        <f t="shared" si="152"/>
        <v>7.0307805500559031</v>
      </c>
      <c r="EA119" s="610">
        <f t="shared" si="145"/>
        <v>6.4866321020846014</v>
      </c>
      <c r="EB119" s="611">
        <f t="shared" si="145"/>
        <v>6.5226324203077457</v>
      </c>
      <c r="EC119" s="612">
        <f t="shared" si="145"/>
        <v>6.5534422769992888</v>
      </c>
      <c r="ED119" s="610">
        <f t="shared" si="123"/>
        <v>8</v>
      </c>
      <c r="EE119" s="611">
        <f t="shared" si="124"/>
        <v>8.5058990739490348</v>
      </c>
      <c r="EF119" s="645">
        <f t="shared" si="125"/>
        <v>-1000000</v>
      </c>
      <c r="EG119" s="902"/>
      <c r="EH119" s="646">
        <f t="shared" si="113"/>
        <v>15.066666666666666</v>
      </c>
      <c r="EI119" s="610">
        <f t="shared" si="153"/>
        <v>-0.21115582012898937</v>
      </c>
      <c r="EJ119" s="986">
        <f t="shared" si="153"/>
        <v>-0.3585382510070354</v>
      </c>
      <c r="EK119" s="612">
        <f t="shared" si="153"/>
        <v>-0.47733827305661425</v>
      </c>
    </row>
    <row r="120" spans="21:141" ht="15" customHeight="1" x14ac:dyDescent="0.25">
      <c r="U120" s="642">
        <f t="shared" si="127"/>
        <v>114</v>
      </c>
      <c r="W120" s="609">
        <f t="shared" si="90"/>
        <v>8.0806041202515821</v>
      </c>
      <c r="X120" s="610">
        <f t="shared" si="154"/>
        <v>3.7265606857010862</v>
      </c>
      <c r="Y120" s="611">
        <f t="shared" si="154"/>
        <v>3.4885606857010867</v>
      </c>
      <c r="Z120" s="611">
        <f t="shared" si="154"/>
        <v>3.1077606857010882</v>
      </c>
      <c r="AA120" s="611"/>
      <c r="AB120" s="982">
        <f t="shared" si="91"/>
        <v>1000000</v>
      </c>
      <c r="AC120" s="919">
        <f t="shared" si="92"/>
        <v>3.8693606857010856</v>
      </c>
      <c r="AD120" s="611">
        <f t="shared" si="137"/>
        <v>3.5473509569916537</v>
      </c>
      <c r="AE120" s="611">
        <f t="shared" si="137"/>
        <v>3.290000956991654</v>
      </c>
      <c r="AF120" s="611"/>
      <c r="AG120" s="612"/>
      <c r="AH120" s="609">
        <f t="shared" si="93"/>
        <v>3</v>
      </c>
      <c r="AI120" s="895">
        <f t="shared" si="114"/>
        <v>1000000</v>
      </c>
      <c r="AJ120" s="610">
        <f t="shared" si="94"/>
        <v>8.0806041202515821</v>
      </c>
      <c r="AK120" s="609">
        <f t="shared" si="115"/>
        <v>-0.16759972870943241</v>
      </c>
      <c r="AL120" s="611">
        <f t="shared" si="155"/>
        <v>-0.1792097287094325</v>
      </c>
      <c r="AM120" s="611">
        <f t="shared" si="155"/>
        <v>-0.19855972870943267</v>
      </c>
      <c r="AN120" s="611">
        <f t="shared" si="155"/>
        <v>-0.22951972870943294</v>
      </c>
      <c r="AO120" s="612">
        <f t="shared" si="155"/>
        <v>-0.29143972870943347</v>
      </c>
      <c r="AP120" s="902">
        <v>0</v>
      </c>
      <c r="AQ120" s="783">
        <f t="shared" si="95"/>
        <v>1000000</v>
      </c>
      <c r="AR120" s="983"/>
      <c r="AS120" s="609">
        <f t="shared" si="96"/>
        <v>8.0806041202515821</v>
      </c>
      <c r="AT120" s="610">
        <f t="shared" si="142"/>
        <v>3.5473509569916537</v>
      </c>
      <c r="AU120" s="611">
        <f t="shared" si="142"/>
        <v>3.290000956991654</v>
      </c>
      <c r="AV120" s="611">
        <f t="shared" si="142"/>
        <v>2.8782409569916552</v>
      </c>
      <c r="AW120" s="612">
        <f t="shared" si="142"/>
        <v>-0.29143972870943347</v>
      </c>
      <c r="AX120" s="982">
        <f t="shared" si="98"/>
        <v>1000000</v>
      </c>
      <c r="AY120" s="611">
        <f t="shared" si="99"/>
        <v>3</v>
      </c>
      <c r="AZ120" s="612">
        <f t="shared" si="100"/>
        <v>3.8693606857010856</v>
      </c>
      <c r="BB120" s="984">
        <f t="shared" si="116"/>
        <v>5.5655066464353098</v>
      </c>
      <c r="BC120" s="985">
        <f t="shared" si="156"/>
        <v>3.6781029068396869</v>
      </c>
      <c r="BD120" s="985">
        <f t="shared" si="156"/>
        <v>3.623844599113228</v>
      </c>
      <c r="BE120" s="528">
        <f t="shared" si="156"/>
        <v>3.5609301268697759</v>
      </c>
      <c r="BF120" s="913">
        <f t="shared" si="143"/>
        <v>-1000000</v>
      </c>
      <c r="BG120" s="317">
        <f t="shared" si="143"/>
        <v>-1000000</v>
      </c>
      <c r="BH120" s="317">
        <f t="shared" si="143"/>
        <v>-1000000</v>
      </c>
      <c r="BI120" s="919">
        <f t="shared" si="143"/>
        <v>-1000000</v>
      </c>
      <c r="BJ120" s="646">
        <f t="shared" si="102"/>
        <v>5.6999999999999993</v>
      </c>
      <c r="BK120" s="913"/>
      <c r="BL120" s="317"/>
      <c r="BM120" s="317"/>
      <c r="BN120" s="317"/>
      <c r="BO120" s="913">
        <f t="shared" si="104"/>
        <v>3</v>
      </c>
      <c r="BP120" s="783">
        <f t="shared" si="117"/>
        <v>1000000</v>
      </c>
      <c r="CK120" s="642">
        <f t="shared" si="128"/>
        <v>114</v>
      </c>
      <c r="CL120" s="609">
        <f t="shared" si="105"/>
        <v>8.0806041202515821</v>
      </c>
      <c r="CM120" s="609">
        <f t="shared" si="118"/>
        <v>5.6999999999999993</v>
      </c>
      <c r="CN120" s="610">
        <f t="shared" si="148"/>
        <v>8.5058965865488307</v>
      </c>
      <c r="CO120" s="611">
        <f t="shared" si="148"/>
        <v>8.5058989034890295</v>
      </c>
      <c r="CP120" s="612">
        <f t="shared" si="148"/>
        <v>8.5058990622675168</v>
      </c>
      <c r="CQ120" s="611">
        <f t="shared" si="149"/>
        <v>2.250308004884634</v>
      </c>
      <c r="CR120" s="611">
        <f t="shared" si="149"/>
        <v>2.6512333012042681</v>
      </c>
      <c r="CS120" s="611">
        <f t="shared" si="149"/>
        <v>3.0521585975239023</v>
      </c>
      <c r="CT120" s="610">
        <f t="shared" si="106"/>
        <v>10.756204591433464</v>
      </c>
      <c r="CU120" s="611">
        <f t="shared" si="106"/>
        <v>11.157132204693298</v>
      </c>
      <c r="CV120" s="612">
        <f t="shared" si="106"/>
        <v>11.55805765979142</v>
      </c>
      <c r="CW120" s="613">
        <f t="shared" si="157"/>
        <v>10.756204591433464</v>
      </c>
      <c r="CX120" s="613">
        <f t="shared" si="157"/>
        <v>11.157132204693298</v>
      </c>
      <c r="CY120" s="613">
        <f t="shared" si="157"/>
        <v>11.55805765979142</v>
      </c>
      <c r="CZ120" s="609">
        <f t="shared" si="107"/>
        <v>8.5058990739490348</v>
      </c>
      <c r="DA120" s="609"/>
      <c r="DB120" s="609">
        <f t="shared" si="120"/>
        <v>5.6999999999999993</v>
      </c>
      <c r="DC120" s="610">
        <f t="shared" si="144"/>
        <v>6.565441529049111E-6</v>
      </c>
      <c r="DD120" s="611">
        <f t="shared" si="144"/>
        <v>5.3008650702357778E-7</v>
      </c>
      <c r="DE120" s="612">
        <f t="shared" si="144"/>
        <v>4.1819875077230462E-8</v>
      </c>
      <c r="DF120" s="611">
        <f t="shared" si="158"/>
        <v>7.0183795131130545E-6</v>
      </c>
      <c r="DG120" s="611">
        <f t="shared" si="158"/>
        <v>5.7351886795232839E-7</v>
      </c>
      <c r="DH120" s="611">
        <f t="shared" si="158"/>
        <v>4.5796468839399565E-8</v>
      </c>
      <c r="DI120" s="614">
        <f t="shared" si="109"/>
        <v>8</v>
      </c>
      <c r="DJ120" s="615"/>
      <c r="DK120" s="609">
        <f t="shared" si="121"/>
        <v>5.6999999999999993</v>
      </c>
      <c r="DL120" s="611">
        <f t="shared" si="150"/>
        <v>1000000</v>
      </c>
      <c r="DM120" s="611">
        <f t="shared" si="150"/>
        <v>1000000</v>
      </c>
      <c r="DN120" s="611">
        <f t="shared" si="150"/>
        <v>1000000</v>
      </c>
      <c r="DO120" s="610">
        <f t="shared" si="151"/>
        <v>0.3422493142989147</v>
      </c>
      <c r="DP120" s="611">
        <f t="shared" si="151"/>
        <v>0.36159931429891484</v>
      </c>
      <c r="DQ120" s="612">
        <f t="shared" si="151"/>
        <v>0.39255931429891511</v>
      </c>
      <c r="DR120" s="611">
        <f t="shared" si="110"/>
        <v>1000000.3422493143</v>
      </c>
      <c r="DS120" s="611">
        <f t="shared" si="110"/>
        <v>1000000.3615993143</v>
      </c>
      <c r="DT120" s="611">
        <f t="shared" si="110"/>
        <v>1000000.3925593143</v>
      </c>
      <c r="DU120" s="609">
        <f t="shared" si="122"/>
        <v>4.2</v>
      </c>
      <c r="DV120" s="611"/>
      <c r="DW120" s="646">
        <f t="shared" si="111"/>
        <v>15.2</v>
      </c>
      <c r="DX120" s="621">
        <f t="shared" si="152"/>
        <v>6.6839092218734004</v>
      </c>
      <c r="DY120" s="621">
        <f t="shared" si="152"/>
        <v>6.8685063666068791</v>
      </c>
      <c r="DZ120" s="621">
        <f t="shared" si="152"/>
        <v>7.0191392666821981</v>
      </c>
      <c r="EA120" s="610">
        <f t="shared" si="145"/>
        <v>6.4642676882896772</v>
      </c>
      <c r="EB120" s="611">
        <f t="shared" si="145"/>
        <v>6.501045478643908</v>
      </c>
      <c r="EC120" s="612">
        <f t="shared" si="145"/>
        <v>6.5325261673261323</v>
      </c>
      <c r="ED120" s="610">
        <f t="shared" si="123"/>
        <v>8</v>
      </c>
      <c r="EE120" s="611">
        <f t="shared" si="124"/>
        <v>8.5058990739490348</v>
      </c>
      <c r="EF120" s="645">
        <f t="shared" si="125"/>
        <v>-1000000</v>
      </c>
      <c r="EG120" s="902"/>
      <c r="EH120" s="646">
        <f t="shared" si="113"/>
        <v>15.2</v>
      </c>
      <c r="EI120" s="610">
        <f t="shared" si="153"/>
        <v>-0.21964153358372362</v>
      </c>
      <c r="EJ120" s="986">
        <f t="shared" si="153"/>
        <v>-0.36746088796297105</v>
      </c>
      <c r="EK120" s="612">
        <f t="shared" si="153"/>
        <v>-0.48661309935606578</v>
      </c>
    </row>
    <row r="121" spans="21:141" ht="15" customHeight="1" x14ac:dyDescent="0.25">
      <c r="U121" s="642">
        <f t="shared" si="127"/>
        <v>115</v>
      </c>
      <c r="W121" s="609">
        <f t="shared" si="90"/>
        <v>8.1514866125344927</v>
      </c>
      <c r="X121" s="610">
        <f t="shared" si="154"/>
        <v>3.6980006857010852</v>
      </c>
      <c r="Y121" s="611">
        <f t="shared" si="154"/>
        <v>3.4124006857010842</v>
      </c>
      <c r="Z121" s="611">
        <f t="shared" si="154"/>
        <v>2.9554406857010824</v>
      </c>
      <c r="AA121" s="611"/>
      <c r="AB121" s="982">
        <f t="shared" si="91"/>
        <v>1000000</v>
      </c>
      <c r="AC121" s="919">
        <f t="shared" si="92"/>
        <v>3.8693606857010856</v>
      </c>
      <c r="AD121" s="611">
        <f t="shared" si="137"/>
        <v>3.5181360471215504</v>
      </c>
      <c r="AE121" s="611">
        <f t="shared" si="137"/>
        <v>3.2131860471215492</v>
      </c>
      <c r="AF121" s="611"/>
      <c r="AG121" s="612"/>
      <c r="AH121" s="609">
        <f t="shared" si="93"/>
        <v>3</v>
      </c>
      <c r="AI121" s="895">
        <f t="shared" si="114"/>
        <v>1000000</v>
      </c>
      <c r="AJ121" s="610">
        <f t="shared" si="94"/>
        <v>8.1514866125344927</v>
      </c>
      <c r="AK121" s="609">
        <f t="shared" si="115"/>
        <v>-0.16825463857953496</v>
      </c>
      <c r="AL121" s="611">
        <f t="shared" si="155"/>
        <v>-0.17986463857953505</v>
      </c>
      <c r="AM121" s="611">
        <f t="shared" si="155"/>
        <v>-0.19921463857953522</v>
      </c>
      <c r="AN121" s="611">
        <f t="shared" si="155"/>
        <v>-0.23017463857953549</v>
      </c>
      <c r="AO121" s="612">
        <f t="shared" si="155"/>
        <v>-0.29209463857953605</v>
      </c>
      <c r="AP121" s="902">
        <v>0</v>
      </c>
      <c r="AQ121" s="783">
        <f t="shared" si="95"/>
        <v>1000000</v>
      </c>
      <c r="AR121" s="983"/>
      <c r="AS121" s="609">
        <f t="shared" si="96"/>
        <v>8.1514866125344927</v>
      </c>
      <c r="AT121" s="610">
        <f t="shared" si="142"/>
        <v>3.5181360471215504</v>
      </c>
      <c r="AU121" s="611">
        <f t="shared" si="142"/>
        <v>3.2131860471215492</v>
      </c>
      <c r="AV121" s="611">
        <f>Z121+AN121</f>
        <v>2.7252660471215471</v>
      </c>
      <c r="AW121" s="612">
        <f t="shared" si="142"/>
        <v>-0.29209463857953605</v>
      </c>
      <c r="AX121" s="982">
        <f t="shared" si="98"/>
        <v>1000000</v>
      </c>
      <c r="AY121" s="611">
        <f t="shared" si="99"/>
        <v>3</v>
      </c>
      <c r="AZ121" s="612">
        <f t="shared" si="100"/>
        <v>3.8693606857010856</v>
      </c>
      <c r="BB121" s="984">
        <f t="shared" si="116"/>
        <v>4.6983114708205385</v>
      </c>
      <c r="BC121" s="985">
        <f t="shared" si="156"/>
        <v>3.6773665016361479</v>
      </c>
      <c r="BD121" s="985">
        <f t="shared" si="156"/>
        <v>3.6237444445968783</v>
      </c>
      <c r="BE121" s="528">
        <f t="shared" si="156"/>
        <v>3.5608550646855965</v>
      </c>
      <c r="BF121" s="913">
        <f t="shared" si="143"/>
        <v>-1000000</v>
      </c>
      <c r="BG121" s="317">
        <f t="shared" si="143"/>
        <v>-1000000</v>
      </c>
      <c r="BH121" s="317">
        <f t="shared" si="143"/>
        <v>-1000000</v>
      </c>
      <c r="BI121" s="919">
        <f t="shared" si="143"/>
        <v>-1000000</v>
      </c>
      <c r="BJ121" s="646">
        <f t="shared" si="102"/>
        <v>5.75</v>
      </c>
      <c r="BK121" s="913"/>
      <c r="BL121" s="317"/>
      <c r="BM121" s="317"/>
      <c r="BN121" s="317"/>
      <c r="BO121" s="913">
        <f t="shared" si="104"/>
        <v>3</v>
      </c>
      <c r="BP121" s="783">
        <f t="shared" si="117"/>
        <v>1000000</v>
      </c>
      <c r="CK121" s="642">
        <f t="shared" si="128"/>
        <v>115</v>
      </c>
      <c r="CL121" s="609">
        <f t="shared" si="105"/>
        <v>8.1514866125344927</v>
      </c>
      <c r="CM121" s="609">
        <f t="shared" si="118"/>
        <v>5.75</v>
      </c>
      <c r="CN121" s="610">
        <f t="shared" si="148"/>
        <v>8.5058968940815198</v>
      </c>
      <c r="CO121" s="611">
        <f t="shared" si="148"/>
        <v>8.5058989280355863</v>
      </c>
      <c r="CP121" s="612">
        <f t="shared" si="148"/>
        <v>8.5058990641820493</v>
      </c>
      <c r="CQ121" s="611">
        <f t="shared" si="149"/>
        <v>2.250308004884634</v>
      </c>
      <c r="CR121" s="611">
        <f t="shared" si="149"/>
        <v>2.6512333012042681</v>
      </c>
      <c r="CS121" s="611">
        <f t="shared" si="149"/>
        <v>3.0521585975239023</v>
      </c>
      <c r="CT121" s="610">
        <f t="shared" si="106"/>
        <v>10.756204898966153</v>
      </c>
      <c r="CU121" s="611">
        <f t="shared" si="106"/>
        <v>11.157132229239854</v>
      </c>
      <c r="CV121" s="612">
        <f t="shared" si="106"/>
        <v>11.558057661705952</v>
      </c>
      <c r="CW121" s="613">
        <f t="shared" si="157"/>
        <v>10.756204898966153</v>
      </c>
      <c r="CX121" s="613">
        <f t="shared" si="157"/>
        <v>11.157132229239854</v>
      </c>
      <c r="CY121" s="613">
        <f t="shared" si="157"/>
        <v>11.558057661705952</v>
      </c>
      <c r="CZ121" s="609">
        <f t="shared" si="107"/>
        <v>8.5058990739490348</v>
      </c>
      <c r="DA121" s="609"/>
      <c r="DB121" s="609">
        <f t="shared" si="120"/>
        <v>5.75</v>
      </c>
      <c r="DC121" s="610">
        <f t="shared" si="144"/>
        <v>5.7537153380890037E-6</v>
      </c>
      <c r="DD121" s="611">
        <f t="shared" si="144"/>
        <v>4.5375307025814808E-7</v>
      </c>
      <c r="DE121" s="612">
        <f t="shared" si="144"/>
        <v>3.4965838825732866E-8</v>
      </c>
      <c r="DF121" s="611">
        <f t="shared" si="158"/>
        <v>6.1506537818444522E-6</v>
      </c>
      <c r="DG121" s="611">
        <f t="shared" si="158"/>
        <v>4.9093113574371484E-7</v>
      </c>
      <c r="DH121" s="611">
        <f t="shared" si="158"/>
        <v>3.8290650650196224E-8</v>
      </c>
      <c r="DI121" s="614">
        <f t="shared" si="109"/>
        <v>8</v>
      </c>
      <c r="DJ121" s="615"/>
      <c r="DK121" s="609">
        <f t="shared" si="121"/>
        <v>5.75</v>
      </c>
      <c r="DL121" s="611">
        <f t="shared" si="150"/>
        <v>1000000</v>
      </c>
      <c r="DM121" s="611">
        <f t="shared" si="150"/>
        <v>1000000</v>
      </c>
      <c r="DN121" s="611">
        <f t="shared" si="150"/>
        <v>1000000</v>
      </c>
      <c r="DO121" s="610">
        <f t="shared" si="151"/>
        <v>0.3422493142989147</v>
      </c>
      <c r="DP121" s="611">
        <f t="shared" si="151"/>
        <v>0.36159931429891484</v>
      </c>
      <c r="DQ121" s="612">
        <f t="shared" si="151"/>
        <v>0.39255931429891511</v>
      </c>
      <c r="DR121" s="611">
        <f t="shared" si="110"/>
        <v>1000000.3422493143</v>
      </c>
      <c r="DS121" s="611">
        <f t="shared" si="110"/>
        <v>1000000.3615993143</v>
      </c>
      <c r="DT121" s="611">
        <f t="shared" si="110"/>
        <v>1000000.3925593143</v>
      </c>
      <c r="DU121" s="609">
        <f t="shared" si="122"/>
        <v>4.2</v>
      </c>
      <c r="DV121" s="611"/>
      <c r="DW121" s="646">
        <f t="shared" si="111"/>
        <v>15.333333333333334</v>
      </c>
      <c r="DX121" s="621">
        <f t="shared" si="152"/>
        <v>6.67006277865607</v>
      </c>
      <c r="DY121" s="621">
        <f t="shared" si="152"/>
        <v>6.8558685174137111</v>
      </c>
      <c r="DZ121" s="621">
        <f t="shared" si="152"/>
        <v>7.0075200666820292</v>
      </c>
      <c r="EA121" s="610">
        <f t="shared" si="145"/>
        <v>6.4420757881243045</v>
      </c>
      <c r="EB121" s="611">
        <f t="shared" si="145"/>
        <v>6.4796324707117634</v>
      </c>
      <c r="EC121" s="612">
        <f t="shared" si="145"/>
        <v>6.5117854404212991</v>
      </c>
      <c r="ED121" s="610">
        <f t="shared" si="123"/>
        <v>8</v>
      </c>
      <c r="EE121" s="611">
        <f t="shared" si="124"/>
        <v>8.5058990739490348</v>
      </c>
      <c r="EF121" s="645">
        <f t="shared" si="125"/>
        <v>-1000000</v>
      </c>
      <c r="EG121" s="902"/>
      <c r="EH121" s="646">
        <f t="shared" si="113"/>
        <v>15.333333333333334</v>
      </c>
      <c r="EI121" s="610">
        <f t="shared" si="153"/>
        <v>-0.22798699053176552</v>
      </c>
      <c r="EJ121" s="986">
        <f t="shared" si="153"/>
        <v>-0.3762360467019481</v>
      </c>
      <c r="EK121" s="612">
        <f t="shared" si="153"/>
        <v>-0.4957346262607305</v>
      </c>
    </row>
    <row r="122" spans="21:141" ht="15" customHeight="1" x14ac:dyDescent="0.25">
      <c r="U122" s="642">
        <f t="shared" si="127"/>
        <v>116</v>
      </c>
      <c r="W122" s="609">
        <f t="shared" si="90"/>
        <v>8.2223691048173997</v>
      </c>
      <c r="X122" s="610">
        <f t="shared" si="154"/>
        <v>3.6551606857010861</v>
      </c>
      <c r="Y122" s="611">
        <f t="shared" si="154"/>
        <v>3.2981606857010872</v>
      </c>
      <c r="Z122" s="611"/>
      <c r="AA122" s="611"/>
      <c r="AB122" s="982">
        <f t="shared" si="91"/>
        <v>1000000</v>
      </c>
      <c r="AC122" s="919">
        <f t="shared" si="92"/>
        <v>3.8693606857010856</v>
      </c>
      <c r="AD122" s="611">
        <f t="shared" si="137"/>
        <v>3.4746584147126738</v>
      </c>
      <c r="AE122" s="611">
        <f t="shared" si="137"/>
        <v>3.0983084147126747</v>
      </c>
      <c r="AF122" s="611"/>
      <c r="AG122" s="612"/>
      <c r="AH122" s="609">
        <f t="shared" si="93"/>
        <v>3</v>
      </c>
      <c r="AI122" s="895">
        <f t="shared" si="114"/>
        <v>1000000</v>
      </c>
      <c r="AJ122" s="610">
        <f t="shared" si="94"/>
        <v>8.2223691048173997</v>
      </c>
      <c r="AK122" s="609">
        <f t="shared" si="115"/>
        <v>-0.16889227098841234</v>
      </c>
      <c r="AL122" s="611">
        <f t="shared" si="155"/>
        <v>-0.18050227098841243</v>
      </c>
      <c r="AM122" s="611">
        <f t="shared" si="155"/>
        <v>-0.1998522709884126</v>
      </c>
      <c r="AN122" s="611">
        <f t="shared" si="155"/>
        <v>-0.23081227098841287</v>
      </c>
      <c r="AO122" s="612">
        <f t="shared" si="155"/>
        <v>-0.29273227098841342</v>
      </c>
      <c r="AP122" s="902">
        <v>0</v>
      </c>
      <c r="AQ122" s="783">
        <f t="shared" si="95"/>
        <v>1000000</v>
      </c>
      <c r="AR122" s="983"/>
      <c r="AS122" s="609">
        <f t="shared" si="96"/>
        <v>8.2223691048173997</v>
      </c>
      <c r="AT122" s="610">
        <f t="shared" si="142"/>
        <v>3.4746584147126738</v>
      </c>
      <c r="AU122" s="611">
        <f t="shared" si="142"/>
        <v>3.0983084147126747</v>
      </c>
      <c r="AV122" s="611">
        <f t="shared" si="142"/>
        <v>-0.23081227098841287</v>
      </c>
      <c r="AW122" s="612">
        <f t="shared" si="142"/>
        <v>-0.29273227098841342</v>
      </c>
      <c r="AX122" s="982">
        <f t="shared" si="98"/>
        <v>1000000</v>
      </c>
      <c r="AY122" s="611">
        <f t="shared" si="99"/>
        <v>3</v>
      </c>
      <c r="AZ122" s="612">
        <f t="shared" si="100"/>
        <v>3.8693606857010856</v>
      </c>
      <c r="BB122" s="984">
        <f t="shared" si="116"/>
        <v>4.5012793850411086</v>
      </c>
      <c r="BC122" s="985">
        <f t="shared" si="156"/>
        <v>3.6766505316673856</v>
      </c>
      <c r="BD122" s="985">
        <f t="shared" si="156"/>
        <v>3.6236467652789215</v>
      </c>
      <c r="BE122" s="528">
        <f t="shared" si="156"/>
        <v>3.5607814275696255</v>
      </c>
      <c r="BF122" s="913">
        <f t="shared" si="143"/>
        <v>-1000000</v>
      </c>
      <c r="BG122" s="317">
        <f t="shared" si="143"/>
        <v>-1000000</v>
      </c>
      <c r="BH122" s="317">
        <f t="shared" si="143"/>
        <v>-1000000</v>
      </c>
      <c r="BI122" s="919">
        <f t="shared" si="143"/>
        <v>-1000000</v>
      </c>
      <c r="BJ122" s="646">
        <f t="shared" si="102"/>
        <v>5.8</v>
      </c>
      <c r="BK122" s="913"/>
      <c r="BL122" s="317"/>
      <c r="BM122" s="317"/>
      <c r="BN122" s="317"/>
      <c r="BO122" s="913">
        <f t="shared" si="104"/>
        <v>3</v>
      </c>
      <c r="BP122" s="783">
        <f t="shared" si="117"/>
        <v>1000000</v>
      </c>
      <c r="CK122" s="642">
        <f t="shared" si="128"/>
        <v>116</v>
      </c>
      <c r="CL122" s="609">
        <f t="shared" si="105"/>
        <v>8.2223691048173997</v>
      </c>
      <c r="CM122" s="609">
        <f t="shared" si="118"/>
        <v>5.8</v>
      </c>
      <c r="CN122" s="610">
        <f t="shared" si="148"/>
        <v>8.5058971635920386</v>
      </c>
      <c r="CO122" s="611">
        <f t="shared" si="148"/>
        <v>8.505898949047392</v>
      </c>
      <c r="CP122" s="612">
        <f t="shared" si="148"/>
        <v>8.5058990657828009</v>
      </c>
      <c r="CQ122" s="611">
        <f t="shared" si="149"/>
        <v>2.250308004884634</v>
      </c>
      <c r="CR122" s="611">
        <f t="shared" si="149"/>
        <v>2.6512333012042681</v>
      </c>
      <c r="CS122" s="611">
        <f t="shared" si="149"/>
        <v>3.0521585975239023</v>
      </c>
      <c r="CT122" s="610">
        <f t="shared" si="106"/>
        <v>10.756205168476672</v>
      </c>
      <c r="CU122" s="611">
        <f t="shared" si="106"/>
        <v>11.15713225025166</v>
      </c>
      <c r="CV122" s="612">
        <f t="shared" si="106"/>
        <v>11.558057663306704</v>
      </c>
      <c r="CW122" s="613">
        <f t="shared" si="157"/>
        <v>10.756205168476672</v>
      </c>
      <c r="CX122" s="613">
        <f t="shared" si="157"/>
        <v>11.15713225025166</v>
      </c>
      <c r="CY122" s="613">
        <f t="shared" si="157"/>
        <v>11.558057663306704</v>
      </c>
      <c r="CZ122" s="609">
        <f t="shared" si="107"/>
        <v>8.5058990739490348</v>
      </c>
      <c r="DA122" s="609"/>
      <c r="DB122" s="609">
        <f t="shared" si="120"/>
        <v>5.8</v>
      </c>
      <c r="DC122" s="610">
        <f t="shared" si="144"/>
        <v>5.0423478825125547E-6</v>
      </c>
      <c r="DD122" s="611">
        <f t="shared" si="144"/>
        <v>3.8841178947333339E-7</v>
      </c>
      <c r="DE122" s="612">
        <f t="shared" si="144"/>
        <v>2.9235139572494761E-8</v>
      </c>
      <c r="DF122" s="611">
        <f t="shared" si="158"/>
        <v>5.3902103758218995E-6</v>
      </c>
      <c r="DG122" s="611">
        <f t="shared" si="158"/>
        <v>4.202361125749136E-7</v>
      </c>
      <c r="DH122" s="611">
        <f t="shared" si="158"/>
        <v>3.2015030626553311E-8</v>
      </c>
      <c r="DI122" s="614">
        <f t="shared" si="109"/>
        <v>8</v>
      </c>
      <c r="DJ122" s="615"/>
      <c r="DK122" s="609">
        <f t="shared" si="121"/>
        <v>5.8</v>
      </c>
      <c r="DL122" s="611">
        <f t="shared" si="150"/>
        <v>1000000</v>
      </c>
      <c r="DM122" s="611">
        <f t="shared" si="150"/>
        <v>1000000</v>
      </c>
      <c r="DN122" s="611">
        <f t="shared" si="150"/>
        <v>1000000</v>
      </c>
      <c r="DO122" s="610">
        <f t="shared" si="151"/>
        <v>0.3422493142989147</v>
      </c>
      <c r="DP122" s="611">
        <f t="shared" si="151"/>
        <v>0.36159931429891484</v>
      </c>
      <c r="DQ122" s="612">
        <f t="shared" si="151"/>
        <v>0.39255931429891511</v>
      </c>
      <c r="DR122" s="611">
        <f t="shared" si="110"/>
        <v>1000000.3422493143</v>
      </c>
      <c r="DS122" s="611">
        <f t="shared" si="110"/>
        <v>1000000.3615993143</v>
      </c>
      <c r="DT122" s="611">
        <f t="shared" si="110"/>
        <v>1000000.3925593143</v>
      </c>
      <c r="DU122" s="609">
        <f t="shared" si="122"/>
        <v>4.2</v>
      </c>
      <c r="DV122" s="611"/>
      <c r="DW122" s="646">
        <f t="shared" si="111"/>
        <v>15.466666666666667</v>
      </c>
      <c r="DX122" s="621">
        <f t="shared" si="152"/>
        <v>6.6562484802332635</v>
      </c>
      <c r="DY122" s="621">
        <f t="shared" si="152"/>
        <v>6.8432570409240991</v>
      </c>
      <c r="DZ122" s="621">
        <f t="shared" si="152"/>
        <v>6.9959228872771009</v>
      </c>
      <c r="EA122" s="610">
        <f t="shared" si="145"/>
        <v>6.4200539710240019</v>
      </c>
      <c r="EB122" s="611">
        <f t="shared" si="145"/>
        <v>6.4583908760996138</v>
      </c>
      <c r="EC122" s="612">
        <f t="shared" si="145"/>
        <v>6.4912174996903662</v>
      </c>
      <c r="ED122" s="610">
        <f t="shared" si="123"/>
        <v>8</v>
      </c>
      <c r="EE122" s="611">
        <f t="shared" si="124"/>
        <v>8.5058990739490348</v>
      </c>
      <c r="EF122" s="645">
        <f t="shared" si="125"/>
        <v>-1000000</v>
      </c>
      <c r="EG122" s="902"/>
      <c r="EH122" s="646">
        <f t="shared" si="113"/>
        <v>15.466666666666667</v>
      </c>
      <c r="EI122" s="610">
        <f t="shared" si="153"/>
        <v>-0.23619450920926166</v>
      </c>
      <c r="EJ122" s="986">
        <f t="shared" si="153"/>
        <v>-0.38486616482448488</v>
      </c>
      <c r="EK122" s="612">
        <f t="shared" si="153"/>
        <v>-0.50470538758673422</v>
      </c>
    </row>
    <row r="123" spans="21:141" ht="15" customHeight="1" x14ac:dyDescent="0.25">
      <c r="U123" s="642">
        <f t="shared" si="127"/>
        <v>117</v>
      </c>
      <c r="W123" s="609">
        <f t="shared" si="90"/>
        <v>8.2932515971003085</v>
      </c>
      <c r="X123" s="610">
        <f t="shared" si="154"/>
        <v>3.583760685701086</v>
      </c>
      <c r="Y123" s="611">
        <f t="shared" si="154"/>
        <v>3.1077606857010864</v>
      </c>
      <c r="Z123" s="611"/>
      <c r="AA123" s="611"/>
      <c r="AB123" s="982">
        <f t="shared" si="91"/>
        <v>1000000</v>
      </c>
      <c r="AC123" s="919">
        <f t="shared" si="92"/>
        <v>3.8693606857010856</v>
      </c>
      <c r="AD123" s="611">
        <f t="shared" si="137"/>
        <v>3.4026376039608257</v>
      </c>
      <c r="AE123" s="611">
        <f t="shared" si="137"/>
        <v>2.9072876039608264</v>
      </c>
      <c r="AF123" s="611"/>
      <c r="AG123" s="612"/>
      <c r="AH123" s="609">
        <f t="shared" si="93"/>
        <v>3</v>
      </c>
      <c r="AI123" s="895">
        <f t="shared" si="114"/>
        <v>1000000</v>
      </c>
      <c r="AJ123" s="610">
        <f t="shared" si="94"/>
        <v>8.2932515971003085</v>
      </c>
      <c r="AK123" s="609">
        <f t="shared" si="115"/>
        <v>-0.16951308174025997</v>
      </c>
      <c r="AL123" s="611">
        <f t="shared" si="155"/>
        <v>-0.18112308174026007</v>
      </c>
      <c r="AM123" s="611">
        <f t="shared" si="155"/>
        <v>-0.20047308174026024</v>
      </c>
      <c r="AN123" s="611">
        <f t="shared" si="155"/>
        <v>-0.2314330817402605</v>
      </c>
      <c r="AO123" s="612">
        <f t="shared" si="155"/>
        <v>-0.29335308174026103</v>
      </c>
      <c r="AP123" s="902">
        <v>0</v>
      </c>
      <c r="AQ123" s="783">
        <f t="shared" si="95"/>
        <v>1000000</v>
      </c>
      <c r="AR123" s="983"/>
      <c r="AS123" s="609">
        <f t="shared" si="96"/>
        <v>8.2932515971003085</v>
      </c>
      <c r="AT123" s="610">
        <f t="shared" si="142"/>
        <v>3.4026376039608257</v>
      </c>
      <c r="AU123" s="611">
        <f t="shared" si="142"/>
        <v>2.9072876039608264</v>
      </c>
      <c r="AV123" s="611">
        <f t="shared" si="142"/>
        <v>-0.2314330817402605</v>
      </c>
      <c r="AW123" s="612">
        <f t="shared" si="142"/>
        <v>-0.29335308174026103</v>
      </c>
      <c r="AX123" s="982">
        <f t="shared" si="98"/>
        <v>1000000</v>
      </c>
      <c r="AY123" s="611">
        <f t="shared" si="99"/>
        <v>3</v>
      </c>
      <c r="AZ123" s="612">
        <f t="shared" si="100"/>
        <v>3.8693606857010856</v>
      </c>
      <c r="BB123" s="984">
        <f t="shared" si="116"/>
        <v>4.4140752857373462</v>
      </c>
      <c r="BC123" s="985">
        <f t="shared" si="156"/>
        <v>3.6759543742081173</v>
      </c>
      <c r="BD123" s="985">
        <f t="shared" si="156"/>
        <v>3.6235514625798406</v>
      </c>
      <c r="BE123" s="528">
        <f t="shared" si="156"/>
        <v>3.560709175290234</v>
      </c>
      <c r="BF123" s="913">
        <f t="shared" si="143"/>
        <v>-1000000</v>
      </c>
      <c r="BG123" s="317">
        <f t="shared" si="143"/>
        <v>-1000000</v>
      </c>
      <c r="BH123" s="317">
        <f t="shared" si="143"/>
        <v>-1000000</v>
      </c>
      <c r="BI123" s="919">
        <f t="shared" si="143"/>
        <v>-1000000</v>
      </c>
      <c r="BJ123" s="646">
        <f t="shared" si="102"/>
        <v>5.85</v>
      </c>
      <c r="BK123" s="913"/>
      <c r="BL123" s="317"/>
      <c r="BM123" s="317"/>
      <c r="BN123" s="317"/>
      <c r="BO123" s="913">
        <f t="shared" si="104"/>
        <v>3</v>
      </c>
      <c r="BP123" s="783">
        <f t="shared" si="117"/>
        <v>1000000</v>
      </c>
      <c r="CK123" s="642">
        <f t="shared" si="128"/>
        <v>117</v>
      </c>
      <c r="CL123" s="609">
        <f t="shared" si="105"/>
        <v>8.2932515971003085</v>
      </c>
      <c r="CM123" s="609">
        <f t="shared" si="118"/>
        <v>5.85</v>
      </c>
      <c r="CN123" s="610">
        <f t="shared" si="148"/>
        <v>8.5058973997813041</v>
      </c>
      <c r="CO123" s="611">
        <f t="shared" si="148"/>
        <v>8.5058989670334597</v>
      </c>
      <c r="CP123" s="612">
        <f t="shared" si="148"/>
        <v>8.5058990671212005</v>
      </c>
      <c r="CQ123" s="611">
        <f t="shared" si="149"/>
        <v>2.250308004884634</v>
      </c>
      <c r="CR123" s="611">
        <f t="shared" si="149"/>
        <v>2.6512333012042681</v>
      </c>
      <c r="CS123" s="611">
        <f t="shared" si="149"/>
        <v>3.0521585975239023</v>
      </c>
      <c r="CT123" s="610">
        <f t="shared" si="106"/>
        <v>10.756205404665938</v>
      </c>
      <c r="CU123" s="611">
        <f t="shared" si="106"/>
        <v>11.157132268237728</v>
      </c>
      <c r="CV123" s="612">
        <f t="shared" si="106"/>
        <v>11.558057664645103</v>
      </c>
      <c r="CW123" s="613">
        <f t="shared" si="157"/>
        <v>10.756205404665938</v>
      </c>
      <c r="CX123" s="613">
        <f t="shared" si="157"/>
        <v>11.157132268237728</v>
      </c>
      <c r="CY123" s="613">
        <f t="shared" si="157"/>
        <v>11.558057664645103</v>
      </c>
      <c r="CZ123" s="609">
        <f t="shared" si="107"/>
        <v>8.5058990739490348</v>
      </c>
      <c r="DA123" s="609"/>
      <c r="DB123" s="609">
        <f t="shared" si="120"/>
        <v>5.85</v>
      </c>
      <c r="DC123" s="610">
        <f t="shared" si="144"/>
        <v>4.418931190419887E-6</v>
      </c>
      <c r="DD123" s="611">
        <f t="shared" si="144"/>
        <v>3.3247977389122249E-7</v>
      </c>
      <c r="DE123" s="612">
        <f t="shared" si="144"/>
        <v>2.4443668864430233E-8</v>
      </c>
      <c r="DF123" s="611">
        <f t="shared" si="158"/>
        <v>4.723785309579415E-6</v>
      </c>
      <c r="DG123" s="611">
        <f t="shared" si="158"/>
        <v>3.5972135492556972E-7</v>
      </c>
      <c r="DH123" s="611">
        <f t="shared" si="158"/>
        <v>2.6767992267196046E-8</v>
      </c>
      <c r="DI123" s="614">
        <f t="shared" si="109"/>
        <v>8</v>
      </c>
      <c r="DJ123" s="615"/>
      <c r="DK123" s="609">
        <f t="shared" si="121"/>
        <v>5.85</v>
      </c>
      <c r="DL123" s="611">
        <f t="shared" si="150"/>
        <v>1000000</v>
      </c>
      <c r="DM123" s="611">
        <f t="shared" si="150"/>
        <v>1000000</v>
      </c>
      <c r="DN123" s="611">
        <f t="shared" si="150"/>
        <v>1000000</v>
      </c>
      <c r="DO123" s="610">
        <f t="shared" si="151"/>
        <v>0.3422493142989147</v>
      </c>
      <c r="DP123" s="611">
        <f t="shared" si="151"/>
        <v>0.36159931429891484</v>
      </c>
      <c r="DQ123" s="612">
        <f t="shared" si="151"/>
        <v>0.39255931429891511</v>
      </c>
      <c r="DR123" s="611">
        <f t="shared" si="110"/>
        <v>1000000.3422493143</v>
      </c>
      <c r="DS123" s="611">
        <f t="shared" si="110"/>
        <v>1000000.3615993143</v>
      </c>
      <c r="DT123" s="611">
        <f t="shared" si="110"/>
        <v>1000000.3925593143</v>
      </c>
      <c r="DU123" s="609">
        <f t="shared" si="122"/>
        <v>4.2</v>
      </c>
      <c r="DV123" s="611"/>
      <c r="DW123" s="646">
        <f t="shared" si="111"/>
        <v>15.6</v>
      </c>
      <c r="DX123" s="621">
        <f t="shared" si="152"/>
        <v>6.6424662147975937</v>
      </c>
      <c r="DY123" s="621">
        <f t="shared" si="152"/>
        <v>6.8306718546721248</v>
      </c>
      <c r="DZ123" s="621">
        <f t="shared" si="152"/>
        <v>6.9843476659268502</v>
      </c>
      <c r="EA123" s="610">
        <f t="shared" si="145"/>
        <v>6.3981998452623072</v>
      </c>
      <c r="EB123" s="611">
        <f t="shared" si="145"/>
        <v>6.4373182150310164</v>
      </c>
      <c r="EC123" s="612">
        <f t="shared" si="145"/>
        <v>6.4708197906569449</v>
      </c>
      <c r="ED123" s="610">
        <f t="shared" si="123"/>
        <v>8</v>
      </c>
      <c r="EE123" s="611">
        <f t="shared" si="124"/>
        <v>8.5058990739490348</v>
      </c>
      <c r="EF123" s="645">
        <f t="shared" si="125"/>
        <v>-1000000</v>
      </c>
      <c r="EG123" s="902"/>
      <c r="EH123" s="646">
        <f t="shared" si="113"/>
        <v>15.6</v>
      </c>
      <c r="EI123" s="610">
        <f t="shared" si="153"/>
        <v>-0.24426636953528647</v>
      </c>
      <c r="EJ123" s="986">
        <f t="shared" si="153"/>
        <v>-0.39335363964110837</v>
      </c>
      <c r="EK123" s="612">
        <f t="shared" si="153"/>
        <v>-0.51352787526990529</v>
      </c>
    </row>
    <row r="124" spans="21:141" ht="15" customHeight="1" x14ac:dyDescent="0.25">
      <c r="U124" s="642">
        <f t="shared" si="127"/>
        <v>118</v>
      </c>
      <c r="W124" s="609">
        <f t="shared" si="90"/>
        <v>8.3641340893832172</v>
      </c>
      <c r="X124" s="610">
        <f t="shared" si="154"/>
        <v>3.440960685701087</v>
      </c>
      <c r="Y124" s="611"/>
      <c r="Z124" s="611"/>
      <c r="AA124" s="611"/>
      <c r="AB124" s="982">
        <f t="shared" si="91"/>
        <v>1000000</v>
      </c>
      <c r="AC124" s="919">
        <f t="shared" si="92"/>
        <v>3.8693606857010856</v>
      </c>
      <c r="AD124" s="611">
        <f t="shared" si="137"/>
        <v>3.2592331710865818</v>
      </c>
      <c r="AE124" s="611"/>
      <c r="AF124" s="611"/>
      <c r="AG124" s="612"/>
      <c r="AH124" s="609">
        <f t="shared" si="93"/>
        <v>3</v>
      </c>
      <c r="AI124" s="895">
        <f t="shared" si="114"/>
        <v>1000000</v>
      </c>
      <c r="AJ124" s="610">
        <f t="shared" si="94"/>
        <v>8.3641340893832172</v>
      </c>
      <c r="AK124" s="609">
        <f t="shared" si="115"/>
        <v>-0.17011751461450514</v>
      </c>
      <c r="AL124" s="611">
        <f t="shared" si="155"/>
        <v>-0.18172751461450523</v>
      </c>
      <c r="AM124" s="611">
        <f t="shared" si="155"/>
        <v>-0.2010775146145054</v>
      </c>
      <c r="AN124" s="611">
        <f t="shared" si="155"/>
        <v>-0.23203751461450567</v>
      </c>
      <c r="AO124" s="612">
        <f t="shared" si="155"/>
        <v>-0.2939575146145062</v>
      </c>
      <c r="AP124" s="902">
        <v>0</v>
      </c>
      <c r="AQ124" s="783">
        <f t="shared" si="95"/>
        <v>1000000</v>
      </c>
      <c r="AR124" s="983"/>
      <c r="AS124" s="609">
        <f t="shared" si="96"/>
        <v>8.3641340893832172</v>
      </c>
      <c r="AT124" s="610">
        <f t="shared" si="142"/>
        <v>3.2592331710865818</v>
      </c>
      <c r="AU124" s="611">
        <f t="shared" si="142"/>
        <v>-0.2010775146145054</v>
      </c>
      <c r="AV124" s="611">
        <f t="shared" si="142"/>
        <v>-0.23203751461450567</v>
      </c>
      <c r="AW124" s="612">
        <f t="shared" si="142"/>
        <v>-0.2939575146145062</v>
      </c>
      <c r="AX124" s="982">
        <f t="shared" si="98"/>
        <v>1000000</v>
      </c>
      <c r="AY124" s="611">
        <f t="shared" si="99"/>
        <v>3</v>
      </c>
      <c r="AZ124" s="612">
        <f t="shared" si="100"/>
        <v>3.8693606857010856</v>
      </c>
      <c r="BB124" s="984">
        <f t="shared" si="116"/>
        <v>4.3648850768513805</v>
      </c>
      <c r="BC124" s="985">
        <f t="shared" si="156"/>
        <v>3.675277428207036</v>
      </c>
      <c r="BD124" s="985">
        <f t="shared" si="156"/>
        <v>3.6234584431533903</v>
      </c>
      <c r="BE124" s="528">
        <f t="shared" si="156"/>
        <v>3.5606382691196368</v>
      </c>
      <c r="BF124" s="913">
        <f t="shared" si="143"/>
        <v>-1000000</v>
      </c>
      <c r="BG124" s="317">
        <f t="shared" si="143"/>
        <v>-1000000</v>
      </c>
      <c r="BH124" s="317">
        <f t="shared" si="143"/>
        <v>-1000000</v>
      </c>
      <c r="BI124" s="919">
        <f t="shared" si="143"/>
        <v>-1000000</v>
      </c>
      <c r="BJ124" s="646">
        <f t="shared" si="102"/>
        <v>5.8999999999999995</v>
      </c>
      <c r="BK124" s="913"/>
      <c r="BL124" s="317"/>
      <c r="BM124" s="317"/>
      <c r="BN124" s="317"/>
      <c r="BO124" s="913">
        <f t="shared" si="104"/>
        <v>3</v>
      </c>
      <c r="BP124" s="783">
        <f t="shared" si="117"/>
        <v>1000000</v>
      </c>
      <c r="CK124" s="642">
        <f t="shared" si="128"/>
        <v>118</v>
      </c>
      <c r="CL124" s="609">
        <f t="shared" si="105"/>
        <v>8.3641340893832172</v>
      </c>
      <c r="CM124" s="609">
        <f t="shared" si="118"/>
        <v>5.8999999999999995</v>
      </c>
      <c r="CN124" s="610">
        <f t="shared" si="148"/>
        <v>8.5058976067690271</v>
      </c>
      <c r="CO124" s="611">
        <f t="shared" si="148"/>
        <v>8.5058989824294997</v>
      </c>
      <c r="CP124" s="612">
        <f t="shared" si="148"/>
        <v>8.5058990682402431</v>
      </c>
      <c r="CQ124" s="611">
        <f t="shared" si="149"/>
        <v>2.250308004884634</v>
      </c>
      <c r="CR124" s="611">
        <f t="shared" si="149"/>
        <v>2.6512333012042681</v>
      </c>
      <c r="CS124" s="611">
        <f t="shared" si="149"/>
        <v>3.0521585975239023</v>
      </c>
      <c r="CT124" s="610">
        <f t="shared" si="106"/>
        <v>10.756205611653661</v>
      </c>
      <c r="CU124" s="611">
        <f t="shared" si="106"/>
        <v>11.157132283633768</v>
      </c>
      <c r="CV124" s="612">
        <f t="shared" si="106"/>
        <v>11.558057665764146</v>
      </c>
      <c r="CW124" s="613">
        <f t="shared" si="157"/>
        <v>10.756205611653661</v>
      </c>
      <c r="CX124" s="613">
        <f t="shared" si="157"/>
        <v>11.157132283633768</v>
      </c>
      <c r="CY124" s="613">
        <f t="shared" si="157"/>
        <v>11.558057665764146</v>
      </c>
      <c r="CZ124" s="609">
        <f t="shared" si="107"/>
        <v>8.5058990739490348</v>
      </c>
      <c r="DA124" s="609"/>
      <c r="DB124" s="609">
        <f t="shared" si="120"/>
        <v>5.8999999999999995</v>
      </c>
      <c r="DC124" s="610">
        <f t="shared" si="144"/>
        <v>3.872591364310161E-6</v>
      </c>
      <c r="DD124" s="611">
        <f t="shared" si="144"/>
        <v>2.8460207193156735E-7</v>
      </c>
      <c r="DE124" s="612">
        <f t="shared" si="144"/>
        <v>2.0437492561727125E-8</v>
      </c>
      <c r="DF124" s="611">
        <f t="shared" si="158"/>
        <v>4.1397544592314406E-6</v>
      </c>
      <c r="DG124" s="611">
        <f t="shared" si="158"/>
        <v>3.0792079996899813E-7</v>
      </c>
      <c r="DH124" s="611">
        <f t="shared" si="158"/>
        <v>2.2380852726655655E-8</v>
      </c>
      <c r="DI124" s="614">
        <f t="shared" si="109"/>
        <v>8</v>
      </c>
      <c r="DJ124" s="615"/>
      <c r="DK124" s="609">
        <f t="shared" si="121"/>
        <v>5.8999999999999995</v>
      </c>
      <c r="DL124" s="611">
        <f t="shared" si="150"/>
        <v>1000000</v>
      </c>
      <c r="DM124" s="611">
        <f t="shared" si="150"/>
        <v>1000000</v>
      </c>
      <c r="DN124" s="611">
        <f t="shared" si="150"/>
        <v>1000000</v>
      </c>
      <c r="DO124" s="610">
        <f t="shared" si="151"/>
        <v>0.3422493142989147</v>
      </c>
      <c r="DP124" s="611">
        <f t="shared" si="151"/>
        <v>0.36159931429891484</v>
      </c>
      <c r="DQ124" s="612">
        <f t="shared" si="151"/>
        <v>0.39255931429891511</v>
      </c>
      <c r="DR124" s="611">
        <f t="shared" si="110"/>
        <v>1000000.3422493143</v>
      </c>
      <c r="DS124" s="611">
        <f t="shared" si="110"/>
        <v>1000000.3615993143</v>
      </c>
      <c r="DT124" s="611">
        <f t="shared" si="110"/>
        <v>1000000.3925593143</v>
      </c>
      <c r="DU124" s="609">
        <f t="shared" si="122"/>
        <v>4.2</v>
      </c>
      <c r="DV124" s="611"/>
      <c r="DW124" s="646">
        <f t="shared" si="111"/>
        <v>15.733333333333333</v>
      </c>
      <c r="DX124" s="621">
        <f t="shared" si="152"/>
        <v>6.6287158710595877</v>
      </c>
      <c r="DY124" s="621">
        <f t="shared" si="152"/>
        <v>6.8181128765353378</v>
      </c>
      <c r="DZ124" s="621">
        <f t="shared" si="152"/>
        <v>6.9727943403273134</v>
      </c>
      <c r="EA124" s="610">
        <f t="shared" si="145"/>
        <v>6.3765110573144206</v>
      </c>
      <c r="EB124" s="611">
        <f t="shared" si="145"/>
        <v>6.416412047697051</v>
      </c>
      <c r="EC124" s="612">
        <f t="shared" si="145"/>
        <v>6.4505898002693165</v>
      </c>
      <c r="ED124" s="610">
        <f t="shared" si="123"/>
        <v>8</v>
      </c>
      <c r="EE124" s="611">
        <f t="shared" si="124"/>
        <v>8.5058990739490348</v>
      </c>
      <c r="EF124" s="645">
        <f t="shared" si="125"/>
        <v>-1000000</v>
      </c>
      <c r="EG124" s="902"/>
      <c r="EH124" s="646">
        <f t="shared" si="113"/>
        <v>15.733333333333333</v>
      </c>
      <c r="EI124" s="610">
        <f t="shared" si="153"/>
        <v>-0.25220481374516757</v>
      </c>
      <c r="EJ124" s="986">
        <f t="shared" si="153"/>
        <v>-0.40170082883828728</v>
      </c>
      <c r="EK124" s="612">
        <f t="shared" si="153"/>
        <v>-0.52220454005799688</v>
      </c>
    </row>
    <row r="125" spans="21:141" ht="15" customHeight="1" x14ac:dyDescent="0.25">
      <c r="U125" s="642">
        <f t="shared" si="127"/>
        <v>119</v>
      </c>
      <c r="W125" s="609">
        <f t="shared" si="90"/>
        <v>8.435016581666126</v>
      </c>
      <c r="X125" s="610">
        <f t="shared" si="154"/>
        <v>3.0125606857010827</v>
      </c>
      <c r="Y125" s="611"/>
      <c r="Z125" s="611"/>
      <c r="AA125" s="611"/>
      <c r="AB125" s="982">
        <f t="shared" si="91"/>
        <v>1000000</v>
      </c>
      <c r="AC125" s="919">
        <f t="shared" si="92"/>
        <v>3.8693606857010856</v>
      </c>
      <c r="AD125" s="611"/>
      <c r="AE125" s="611"/>
      <c r="AF125" s="611"/>
      <c r="AG125" s="612"/>
      <c r="AH125" s="609">
        <f t="shared" si="93"/>
        <v>3</v>
      </c>
      <c r="AI125" s="895">
        <f t="shared" si="114"/>
        <v>1000000</v>
      </c>
      <c r="AJ125" s="610">
        <f t="shared" si="94"/>
        <v>8.435016581666126</v>
      </c>
      <c r="AK125" s="609">
        <f t="shared" si="115"/>
        <v>-0.17070600168303768</v>
      </c>
      <c r="AL125" s="611">
        <f t="shared" si="155"/>
        <v>-0.18231600168303777</v>
      </c>
      <c r="AM125" s="611">
        <f t="shared" si="155"/>
        <v>-0.20166600168303794</v>
      </c>
      <c r="AN125" s="611">
        <f t="shared" si="155"/>
        <v>-0.23262600168303821</v>
      </c>
      <c r="AO125" s="612">
        <f t="shared" si="155"/>
        <v>-0.29454600168303874</v>
      </c>
      <c r="AP125" s="902">
        <v>0</v>
      </c>
      <c r="AQ125" s="783">
        <f t="shared" si="95"/>
        <v>1000000</v>
      </c>
      <c r="AR125" s="983"/>
      <c r="AS125" s="609">
        <f t="shared" si="96"/>
        <v>8.435016581666126</v>
      </c>
      <c r="AT125" s="610">
        <f t="shared" si="142"/>
        <v>2.8302446840180449</v>
      </c>
      <c r="AU125" s="611">
        <f t="shared" si="142"/>
        <v>-0.20166600168303794</v>
      </c>
      <c r="AV125" s="611">
        <f t="shared" si="142"/>
        <v>-0.23262600168303821</v>
      </c>
      <c r="AW125" s="612">
        <f t="shared" si="142"/>
        <v>-0.29454600168303874</v>
      </c>
      <c r="AX125" s="982">
        <f t="shared" si="98"/>
        <v>1000000</v>
      </c>
      <c r="AY125" s="611">
        <f t="shared" si="99"/>
        <v>3</v>
      </c>
      <c r="AZ125" s="612">
        <f t="shared" si="100"/>
        <v>3.8693606857010856</v>
      </c>
      <c r="BB125" s="984">
        <f t="shared" si="116"/>
        <v>4.3333004872190388</v>
      </c>
      <c r="BC125" s="985">
        <f t="shared" si="156"/>
        <v>3.6746191133415866</v>
      </c>
      <c r="BD125" s="985">
        <f t="shared" si="156"/>
        <v>3.6233676185611352</v>
      </c>
      <c r="BE125" s="528">
        <f t="shared" si="156"/>
        <v>3.5605686717638663</v>
      </c>
      <c r="BF125" s="913">
        <f t="shared" si="143"/>
        <v>-1000000</v>
      </c>
      <c r="BG125" s="317">
        <f t="shared" si="143"/>
        <v>-1000000</v>
      </c>
      <c r="BH125" s="317">
        <f t="shared" si="143"/>
        <v>-1000000</v>
      </c>
      <c r="BI125" s="919">
        <f t="shared" si="143"/>
        <v>-1000000</v>
      </c>
      <c r="BJ125" s="646">
        <f t="shared" si="102"/>
        <v>5.95</v>
      </c>
      <c r="BK125" s="913"/>
      <c r="BL125" s="317"/>
      <c r="BM125" s="317"/>
      <c r="BN125" s="317"/>
      <c r="BO125" s="913">
        <f t="shared" si="104"/>
        <v>3</v>
      </c>
      <c r="BP125" s="783">
        <f t="shared" si="117"/>
        <v>1000000</v>
      </c>
      <c r="CK125" s="642">
        <f t="shared" si="128"/>
        <v>119</v>
      </c>
      <c r="CL125" s="609">
        <f t="shared" si="105"/>
        <v>8.435016581666126</v>
      </c>
      <c r="CM125" s="609">
        <f t="shared" si="118"/>
        <v>5.95</v>
      </c>
      <c r="CN125" s="610">
        <f t="shared" si="148"/>
        <v>8.5058977881655764</v>
      </c>
      <c r="CO125" s="611">
        <f t="shared" si="148"/>
        <v>8.5058989956084829</v>
      </c>
      <c r="CP125" s="612">
        <f t="shared" si="148"/>
        <v>8.5058990691758822</v>
      </c>
      <c r="CQ125" s="611">
        <f t="shared" si="149"/>
        <v>2.250308004884634</v>
      </c>
      <c r="CR125" s="611">
        <f t="shared" si="149"/>
        <v>2.6512333012042681</v>
      </c>
      <c r="CS125" s="611">
        <f t="shared" si="149"/>
        <v>3.0521585975239023</v>
      </c>
      <c r="CT125" s="610">
        <f t="shared" si="106"/>
        <v>10.75620579305021</v>
      </c>
      <c r="CU125" s="611">
        <f t="shared" si="106"/>
        <v>11.157132296812751</v>
      </c>
      <c r="CV125" s="612">
        <f t="shared" si="106"/>
        <v>11.558057666699785</v>
      </c>
      <c r="CW125" s="613">
        <f t="shared" si="157"/>
        <v>10.75620579305021</v>
      </c>
      <c r="CX125" s="613">
        <f t="shared" si="157"/>
        <v>11.157132296812751</v>
      </c>
      <c r="CY125" s="613">
        <f t="shared" si="157"/>
        <v>11.558057666699785</v>
      </c>
      <c r="CZ125" s="609">
        <f t="shared" si="107"/>
        <v>8.5058990739490348</v>
      </c>
      <c r="DA125" s="609"/>
      <c r="DB125" s="609">
        <f t="shared" si="120"/>
        <v>5.95</v>
      </c>
      <c r="DC125" s="610">
        <f t="shared" si="144"/>
        <v>3.39379891396421E-6</v>
      </c>
      <c r="DD125" s="611">
        <f t="shared" si="144"/>
        <v>2.4361884754601947E-7</v>
      </c>
      <c r="DE125" s="612">
        <f t="shared" si="144"/>
        <v>1.7087905441988006E-8</v>
      </c>
      <c r="DF125" s="611">
        <f t="shared" si="158"/>
        <v>3.6279309867381409E-6</v>
      </c>
      <c r="DG125" s="611">
        <f t="shared" si="158"/>
        <v>2.6357966476097851E-7</v>
      </c>
      <c r="DH125" s="611">
        <f t="shared" si="158"/>
        <v>1.8712782434704158E-8</v>
      </c>
      <c r="DI125" s="614">
        <f t="shared" si="109"/>
        <v>8</v>
      </c>
      <c r="DJ125" s="615"/>
      <c r="DK125" s="609">
        <f t="shared" si="121"/>
        <v>5.95</v>
      </c>
      <c r="DL125" s="611">
        <f t="shared" si="150"/>
        <v>1000000</v>
      </c>
      <c r="DM125" s="611">
        <f t="shared" si="150"/>
        <v>1000000</v>
      </c>
      <c r="DN125" s="611">
        <f t="shared" si="150"/>
        <v>1000000</v>
      </c>
      <c r="DO125" s="610">
        <f t="shared" si="151"/>
        <v>0.3422493142989147</v>
      </c>
      <c r="DP125" s="611">
        <f t="shared" si="151"/>
        <v>0.36159931429891484</v>
      </c>
      <c r="DQ125" s="612">
        <f t="shared" si="151"/>
        <v>0.39255931429891511</v>
      </c>
      <c r="DR125" s="611">
        <f t="shared" si="110"/>
        <v>1000000.3422493143</v>
      </c>
      <c r="DS125" s="611">
        <f t="shared" si="110"/>
        <v>1000000.3615993143</v>
      </c>
      <c r="DT125" s="611">
        <f t="shared" si="110"/>
        <v>1000000.3925593143</v>
      </c>
      <c r="DU125" s="609">
        <f t="shared" si="122"/>
        <v>4.2</v>
      </c>
      <c r="DV125" s="611"/>
      <c r="DW125" s="646">
        <f t="shared" si="111"/>
        <v>15.866666666666667</v>
      </c>
      <c r="DX125" s="621">
        <f t="shared" si="152"/>
        <v>6.6149973382447058</v>
      </c>
      <c r="DY125" s="621">
        <f t="shared" si="152"/>
        <v>6.8055800247329605</v>
      </c>
      <c r="DZ125" s="621">
        <f t="shared" si="152"/>
        <v>6.9612628484100192</v>
      </c>
      <c r="EA125" s="610">
        <f t="shared" si="145"/>
        <v>6.3549852912313654</v>
      </c>
      <c r="EB125" s="611">
        <f t="shared" si="145"/>
        <v>6.395669973599599</v>
      </c>
      <c r="EC125" s="612">
        <f t="shared" si="145"/>
        <v>6.4305250562185545</v>
      </c>
      <c r="ED125" s="610">
        <f t="shared" si="123"/>
        <v>8</v>
      </c>
      <c r="EE125" s="611">
        <f t="shared" si="124"/>
        <v>8.5058990739490348</v>
      </c>
      <c r="EF125" s="645">
        <f t="shared" si="125"/>
        <v>-1000000</v>
      </c>
      <c r="EG125" s="902"/>
      <c r="EH125" s="646">
        <f t="shared" si="113"/>
        <v>15.866666666666667</v>
      </c>
      <c r="EI125" s="610">
        <f t="shared" si="153"/>
        <v>-0.26001204701334091</v>
      </c>
      <c r="EJ125" s="986">
        <f t="shared" si="153"/>
        <v>-0.4099100511333611</v>
      </c>
      <c r="EK125" s="612">
        <f t="shared" si="153"/>
        <v>-0.53073779219146422</v>
      </c>
    </row>
    <row r="126" spans="21:141" ht="15" customHeight="1" x14ac:dyDescent="0.25">
      <c r="U126" s="812">
        <f t="shared" si="127"/>
        <v>120</v>
      </c>
      <c r="W126" s="813">
        <f t="shared" si="90"/>
        <v>8.5058990739490348</v>
      </c>
      <c r="X126" s="802"/>
      <c r="Y126" s="803"/>
      <c r="Z126" s="803"/>
      <c r="AA126" s="803"/>
      <c r="AB126" s="1052">
        <f t="shared" si="91"/>
        <v>-1000000</v>
      </c>
      <c r="AC126" s="1053">
        <f t="shared" si="92"/>
        <v>3.8693606857010856</v>
      </c>
      <c r="AD126" s="803"/>
      <c r="AE126" s="803"/>
      <c r="AF126" s="803"/>
      <c r="AG126" s="804"/>
      <c r="AH126" s="813">
        <f t="shared" si="93"/>
        <v>3</v>
      </c>
      <c r="AI126" s="895">
        <f t="shared" si="114"/>
        <v>1000000</v>
      </c>
      <c r="AJ126" s="610">
        <f t="shared" si="94"/>
        <v>8.5058990739490348</v>
      </c>
      <c r="AK126" s="813">
        <f t="shared" si="115"/>
        <v>-0.17127896361907144</v>
      </c>
      <c r="AL126" s="803">
        <f t="shared" si="155"/>
        <v>-0.18288896361907153</v>
      </c>
      <c r="AM126" s="803">
        <f t="shared" si="155"/>
        <v>-0.2022389636190717</v>
      </c>
      <c r="AN126" s="803">
        <f t="shared" si="155"/>
        <v>-0.23319896361907197</v>
      </c>
      <c r="AO126" s="804">
        <f t="shared" si="155"/>
        <v>-0.29511896361907253</v>
      </c>
      <c r="AP126" s="902">
        <v>0</v>
      </c>
      <c r="AQ126" s="858">
        <f t="shared" si="95"/>
        <v>-1000000</v>
      </c>
      <c r="AR126" s="983"/>
      <c r="AS126" s="813">
        <f t="shared" si="96"/>
        <v>8.5058990739490348</v>
      </c>
      <c r="AT126" s="802">
        <f t="shared" si="142"/>
        <v>-0.18288896361907153</v>
      </c>
      <c r="AU126" s="803">
        <f t="shared" si="142"/>
        <v>-0.2022389636190717</v>
      </c>
      <c r="AV126" s="803">
        <f t="shared" si="142"/>
        <v>-0.23319896361907197</v>
      </c>
      <c r="AW126" s="804">
        <f t="shared" si="142"/>
        <v>-0.29511896361907253</v>
      </c>
      <c r="AX126" s="1052">
        <f t="shared" si="98"/>
        <v>-1000000</v>
      </c>
      <c r="AY126" s="803">
        <f t="shared" si="99"/>
        <v>3</v>
      </c>
      <c r="AZ126" s="804">
        <f t="shared" si="100"/>
        <v>3.8693606857010856</v>
      </c>
      <c r="BB126" s="1014">
        <f t="shared" si="116"/>
        <v>4.3113044010584831</v>
      </c>
      <c r="BC126" s="1015">
        <f t="shared" ref="BC126:BE126" si="159">$K$25+$K$31*(1-(1-EXP(-(BB$3*$BJ126)/($K$27)))/(1-EXP(-1)))-($M$28/(1-(BC$3*$BJ126)/($K$26))+$M$30)*BC$3</f>
        <v>3.6739788691285598</v>
      </c>
      <c r="BD126" s="1015">
        <f t="shared" si="159"/>
        <v>3.6232789049690881</v>
      </c>
      <c r="BE126" s="534">
        <f t="shared" si="159"/>
        <v>3.5605003472966676</v>
      </c>
      <c r="BF126" s="1054">
        <f t="shared" si="143"/>
        <v>-1000000</v>
      </c>
      <c r="BG126" s="1055">
        <f t="shared" si="143"/>
        <v>-1000000</v>
      </c>
      <c r="BH126" s="1055">
        <f t="shared" si="143"/>
        <v>-1000000</v>
      </c>
      <c r="BI126" s="1053">
        <f t="shared" si="143"/>
        <v>-1000000</v>
      </c>
      <c r="BJ126" s="820">
        <f t="shared" si="102"/>
        <v>6</v>
      </c>
      <c r="BK126" s="1054"/>
      <c r="BL126" s="1055"/>
      <c r="BM126" s="1055"/>
      <c r="BN126" s="1055"/>
      <c r="BO126" s="1054">
        <f t="shared" si="104"/>
        <v>3</v>
      </c>
      <c r="BP126" s="858">
        <f t="shared" si="117"/>
        <v>1000000</v>
      </c>
      <c r="CK126" s="812">
        <f t="shared" si="128"/>
        <v>120</v>
      </c>
      <c r="CL126" s="813">
        <f t="shared" si="105"/>
        <v>8.5058990739490348</v>
      </c>
      <c r="CM126" s="813">
        <f t="shared" si="118"/>
        <v>6</v>
      </c>
      <c r="CN126" s="802">
        <f t="shared" si="148"/>
        <v>8.5058979471349474</v>
      </c>
      <c r="CO126" s="803">
        <f t="shared" si="148"/>
        <v>8.5058990068896669</v>
      </c>
      <c r="CP126" s="804">
        <f t="shared" si="148"/>
        <v>8.5058990699581738</v>
      </c>
      <c r="CQ126" s="802">
        <f t="shared" si="149"/>
        <v>2.250308004884634</v>
      </c>
      <c r="CR126" s="803">
        <f t="shared" si="149"/>
        <v>2.6512333012042681</v>
      </c>
      <c r="CS126" s="804">
        <f t="shared" si="149"/>
        <v>3.0521585975239023</v>
      </c>
      <c r="CT126" s="802">
        <f t="shared" si="106"/>
        <v>10.756205952019581</v>
      </c>
      <c r="CU126" s="803">
        <f t="shared" si="106"/>
        <v>11.157132308093935</v>
      </c>
      <c r="CV126" s="804">
        <f t="shared" si="106"/>
        <v>11.558057667482077</v>
      </c>
      <c r="CW126" s="802">
        <f t="shared" si="157"/>
        <v>10.756205952019581</v>
      </c>
      <c r="CX126" s="803">
        <f t="shared" si="157"/>
        <v>11.157132308093935</v>
      </c>
      <c r="CY126" s="804">
        <f t="shared" si="157"/>
        <v>11.558057667482077</v>
      </c>
      <c r="CZ126" s="813">
        <f t="shared" si="107"/>
        <v>8.5058990739490348</v>
      </c>
      <c r="DA126" s="609"/>
      <c r="DB126" s="813">
        <f t="shared" si="120"/>
        <v>6</v>
      </c>
      <c r="DC126" s="802">
        <f t="shared" si="144"/>
        <v>2.9742025390474913E-6</v>
      </c>
      <c r="DD126" s="803">
        <f t="shared" si="144"/>
        <v>2.0853728322090943E-7</v>
      </c>
      <c r="DE126" s="804">
        <f t="shared" si="144"/>
        <v>1.4287296326220523E-8</v>
      </c>
      <c r="DF126" s="611">
        <f t="shared" si="158"/>
        <v>3.1793874200047981E-6</v>
      </c>
      <c r="DG126" s="611">
        <f t="shared" si="158"/>
        <v>2.256236797393293E-7</v>
      </c>
      <c r="DH126" s="611">
        <f t="shared" si="158"/>
        <v>1.564583129720637E-8</v>
      </c>
      <c r="DI126" s="814">
        <f t="shared" si="109"/>
        <v>8</v>
      </c>
      <c r="DJ126" s="615"/>
      <c r="DK126" s="813">
        <f t="shared" si="121"/>
        <v>6</v>
      </c>
      <c r="DL126" s="803">
        <f t="shared" si="150"/>
        <v>1000000</v>
      </c>
      <c r="DM126" s="803">
        <f t="shared" si="150"/>
        <v>1000000</v>
      </c>
      <c r="DN126" s="803">
        <f t="shared" si="150"/>
        <v>1000000</v>
      </c>
      <c r="DO126" s="802">
        <f t="shared" si="151"/>
        <v>0.3422493142989147</v>
      </c>
      <c r="DP126" s="803">
        <f t="shared" si="151"/>
        <v>0.36159931429891484</v>
      </c>
      <c r="DQ126" s="804">
        <f t="shared" si="151"/>
        <v>0.39255931429891511</v>
      </c>
      <c r="DR126" s="803">
        <f t="shared" si="110"/>
        <v>1000000.3422493143</v>
      </c>
      <c r="DS126" s="803">
        <f t="shared" si="110"/>
        <v>1000000.3615993143</v>
      </c>
      <c r="DT126" s="804">
        <f t="shared" si="110"/>
        <v>1000000.3925593143</v>
      </c>
      <c r="DU126" s="813">
        <f t="shared" si="122"/>
        <v>4.2</v>
      </c>
      <c r="DV126" s="611"/>
      <c r="DW126" s="820">
        <f t="shared" si="111"/>
        <v>16</v>
      </c>
      <c r="DX126" s="621">
        <f t="shared" si="152"/>
        <v>6.6013105060903632</v>
      </c>
      <c r="DY126" s="621">
        <f t="shared" si="152"/>
        <v>6.7930732178241211</v>
      </c>
      <c r="DZ126" s="621">
        <f t="shared" si="152"/>
        <v>6.9497531283408653</v>
      </c>
      <c r="EA126" s="802">
        <f t="shared" si="145"/>
        <v>6.3336202680244469</v>
      </c>
      <c r="EB126" s="803">
        <f t="shared" si="145"/>
        <v>6.3750896309054781</v>
      </c>
      <c r="EC126" s="804">
        <f t="shared" si="145"/>
        <v>6.4106231262678737</v>
      </c>
      <c r="ED126" s="802">
        <f t="shared" si="123"/>
        <v>8</v>
      </c>
      <c r="EE126" s="803">
        <f t="shared" si="124"/>
        <v>8.5058990739490348</v>
      </c>
      <c r="EF126" s="819">
        <f t="shared" si="125"/>
        <v>-1000000</v>
      </c>
      <c r="EG126" s="928"/>
      <c r="EH126" s="820">
        <f t="shared" si="113"/>
        <v>16</v>
      </c>
      <c r="EI126" s="802">
        <f t="shared" si="153"/>
        <v>-0.26769023806591585</v>
      </c>
      <c r="EJ126" s="1056">
        <f t="shared" si="153"/>
        <v>-0.41798358691864257</v>
      </c>
      <c r="EK126" s="804">
        <f t="shared" si="153"/>
        <v>-0.53913000207299211</v>
      </c>
    </row>
    <row r="127" spans="21:141" ht="15" customHeight="1" x14ac:dyDescent="0.25">
      <c r="U127" s="902"/>
      <c r="W127" s="611"/>
      <c r="X127" s="611"/>
      <c r="Y127" s="611"/>
      <c r="Z127" s="611"/>
      <c r="AA127" s="611"/>
      <c r="AB127" s="938"/>
      <c r="AC127" s="317"/>
      <c r="AD127" s="611"/>
      <c r="AE127" s="611"/>
      <c r="AF127" s="611"/>
      <c r="AG127" s="611"/>
      <c r="AH127" s="611"/>
      <c r="AJ127" s="1057"/>
      <c r="AK127" s="803"/>
      <c r="AL127" s="803"/>
      <c r="AM127" s="803"/>
      <c r="AN127" s="803"/>
      <c r="AO127" s="928"/>
      <c r="AP127" s="1058"/>
      <c r="AQ127" s="938"/>
      <c r="AR127" s="983"/>
      <c r="AS127" s="611"/>
      <c r="AT127" s="611"/>
      <c r="AU127" s="611"/>
      <c r="AV127" s="611"/>
      <c r="AW127" s="611"/>
      <c r="AX127" s="938"/>
      <c r="AY127" s="611"/>
      <c r="AZ127" s="611"/>
      <c r="BB127" s="985"/>
      <c r="BC127" s="985"/>
      <c r="BD127" s="985"/>
      <c r="BE127" s="985"/>
      <c r="BF127" s="317"/>
      <c r="BG127" s="317"/>
      <c r="BH127" s="317"/>
      <c r="BI127" s="317"/>
      <c r="BJ127" s="317"/>
      <c r="BK127" s="317"/>
      <c r="BL127" s="317"/>
      <c r="BM127" s="317"/>
      <c r="BN127" s="317"/>
      <c r="BO127" s="317"/>
      <c r="BP127" s="317"/>
      <c r="CU127" s="558"/>
      <c r="CV127" s="558"/>
      <c r="CW127" s="558"/>
      <c r="CX127" s="558"/>
      <c r="CY127" s="558"/>
      <c r="CZ127" s="558"/>
      <c r="DA127" s="558"/>
      <c r="DB127" s="558"/>
      <c r="DC127" s="558"/>
      <c r="DD127" s="558"/>
      <c r="DE127" s="558"/>
      <c r="DF127" s="962"/>
      <c r="DG127" s="962"/>
      <c r="DH127" s="962"/>
      <c r="DI127" s="558"/>
      <c r="DJ127" s="558"/>
      <c r="ED127" s="558"/>
      <c r="EE127" s="558"/>
      <c r="EH127" s="317"/>
      <c r="EI127" s="558"/>
      <c r="EJ127" s="558"/>
      <c r="EK127" s="558"/>
    </row>
    <row r="128" spans="21:141" ht="15" customHeight="1" x14ac:dyDescent="0.25">
      <c r="U128" s="902"/>
      <c r="W128" s="1059">
        <v>8</v>
      </c>
      <c r="X128" s="1060">
        <f>$K$25-($M$28*X$3)/(1-$W128/$K$26)</f>
        <v>3.7493127897563019</v>
      </c>
      <c r="Y128" s="1057">
        <f>$K$25-($M$28*Y$3)/(1-$W128/$K$26)</f>
        <v>3.5492329631816624</v>
      </c>
      <c r="Z128" s="1057">
        <f>$K$25-($M$28*Z$3)/(1-$W128/$K$26)</f>
        <v>3.2291052406622391</v>
      </c>
      <c r="AA128" s="1061">
        <f>$K$25-($M$28*AA$3)/(1-$W128/$K$26)</f>
        <v>2.5888497956233931</v>
      </c>
      <c r="AB128" s="1062">
        <f>IF(W128&lt;$K$26,1000000,-1000000)</f>
        <v>1000000</v>
      </c>
      <c r="AC128" s="1063">
        <f>$K$25</f>
        <v>3.8693606857010856</v>
      </c>
      <c r="AD128" s="1060">
        <f t="shared" ref="AD128:AE128" si="160">AT128</f>
        <v>3.5708693825028397</v>
      </c>
      <c r="AE128" s="1057">
        <f t="shared" si="160"/>
        <v>3.3514395559282</v>
      </c>
      <c r="AF128" s="1057">
        <f>AV128</f>
        <v>3.0003518334087764</v>
      </c>
      <c r="AG128" s="1061">
        <f t="shared" ref="AG128" si="161">AW128</f>
        <v>2.2981763883699298</v>
      </c>
      <c r="AH128" s="1059">
        <f>$C$31</f>
        <v>3</v>
      </c>
      <c r="AJ128" s="1059">
        <f t="shared" si="94"/>
        <v>8</v>
      </c>
      <c r="AK128" s="1059">
        <f t="shared" si="115"/>
        <v>-0.16683340725346227</v>
      </c>
      <c r="AL128" s="1060">
        <f>$AK128-$M$30*AL$3</f>
        <v>-0.17844340725346236</v>
      </c>
      <c r="AM128" s="1057">
        <f>$AK128-$M$30*AM$3</f>
        <v>-0.19779340725346253</v>
      </c>
      <c r="AN128" s="1057">
        <f>$AK128-$M$30*AN$3</f>
        <v>-0.2287534072534628</v>
      </c>
      <c r="AO128" s="1061">
        <f>$AK128-$M$30*AO$3</f>
        <v>-0.29067340725346336</v>
      </c>
      <c r="AP128" s="1062">
        <f>IF(AJ128&lt;$K$26,1000000,-1000000)</f>
        <v>1000000</v>
      </c>
      <c r="AQ128" s="1064"/>
      <c r="AR128" s="983"/>
      <c r="AS128" s="1059">
        <f t="shared" si="96"/>
        <v>8</v>
      </c>
      <c r="AT128" s="1060">
        <f>X128+AL128</f>
        <v>3.5708693825028397</v>
      </c>
      <c r="AU128" s="1057">
        <f>Y128+AM128</f>
        <v>3.3514395559282</v>
      </c>
      <c r="AV128" s="1057">
        <f>Z128+AN128</f>
        <v>3.0003518334087764</v>
      </c>
      <c r="AW128" s="1061">
        <f>AA128+AO128</f>
        <v>2.2981763883699298</v>
      </c>
      <c r="AX128" s="1062">
        <f>IF(W128&lt;$K$26,1000000,-1000000)</f>
        <v>1000000</v>
      </c>
      <c r="AY128" s="1057">
        <f>$C$31</f>
        <v>3</v>
      </c>
      <c r="AZ128" s="623">
        <f>$K$25</f>
        <v>3.8693606857010856</v>
      </c>
      <c r="BA128" s="558"/>
      <c r="BB128" s="317"/>
      <c r="CU128" s="558"/>
      <c r="CV128" s="558"/>
      <c r="CW128" s="558"/>
      <c r="CX128" s="558"/>
      <c r="CY128" s="558"/>
      <c r="CZ128" s="558"/>
      <c r="DA128" s="558"/>
      <c r="DB128" s="558"/>
      <c r="DC128" s="558"/>
      <c r="DD128" s="558"/>
      <c r="DE128" s="558"/>
      <c r="DF128" s="558"/>
      <c r="DG128" s="558"/>
      <c r="DH128" s="558"/>
      <c r="DI128" s="558"/>
      <c r="DJ128" s="558"/>
      <c r="DW128" s="1065">
        <f>CD32</f>
        <v>8</v>
      </c>
      <c r="DX128" s="1066">
        <f>$CD$27*((1-($CD$35*$DW128)/($CD$20-DX$3))/(1+(($CD$36*$DW128)/($CD$20-DX$3))))</f>
        <v>7.4826707925442557</v>
      </c>
      <c r="DY128" s="1067">
        <f>$CD$27*((1-($CD$35*$DW128)/($CD$20-DY$3))/(1+(($CD$36*$DW128)/($CD$20-DY$3))))</f>
        <v>7.5925440345340736</v>
      </c>
      <c r="DZ128" s="1068">
        <f>$CD$27*((1-($CD$35*$DW128)/($CD$20-DZ$3))/(1+(($CD$36*$DW128)/($CD$20-DZ$3))))</f>
        <v>7.6811091606029329</v>
      </c>
      <c r="EA128" s="1066">
        <f t="shared" ref="EA128:EC128" si="162">DX128+EI128</f>
        <v>8</v>
      </c>
      <c r="EB128" s="1067">
        <f t="shared" si="162"/>
        <v>8</v>
      </c>
      <c r="EC128" s="1068">
        <f t="shared" si="162"/>
        <v>8</v>
      </c>
      <c r="ED128" s="1069"/>
      <c r="EE128" s="1069"/>
      <c r="EF128" s="1069"/>
      <c r="EG128" s="1069"/>
      <c r="EH128" s="1070">
        <f>DW128</f>
        <v>8</v>
      </c>
      <c r="EI128" s="1066">
        <f>$CD$29-($CD$29-EI$1)*((1-EXP(-$DW128/$CD$32))/(1-EXP(-1)))</f>
        <v>0.51732920745574429</v>
      </c>
      <c r="EJ128" s="1067">
        <f>$CD$29-($CD$29-EJ$1)*((1-EXP(-$DW128/$CD$32))/(1-EXP(-1)))</f>
        <v>0.40745596546592644</v>
      </c>
      <c r="EK128" s="1068">
        <f>$CD$29-($CD$29-EK$1)*((1-EXP(-$DW128/$CD$32))/(1-EXP(-1)))</f>
        <v>0.31889083939706708</v>
      </c>
    </row>
    <row r="129" spans="20:135" ht="15" customHeight="1" x14ac:dyDescent="0.25">
      <c r="U129" s="902"/>
      <c r="W129" s="611"/>
      <c r="X129" s="611"/>
      <c r="Y129" s="611"/>
      <c r="Z129" s="611"/>
      <c r="AA129" s="611"/>
      <c r="AB129" s="938"/>
      <c r="AC129" s="317"/>
      <c r="AD129" s="611"/>
      <c r="AE129" s="611"/>
      <c r="AF129" s="611"/>
      <c r="AG129" s="611"/>
      <c r="AH129" s="611"/>
      <c r="AJ129" s="611"/>
      <c r="AK129" s="611"/>
      <c r="AL129" s="611"/>
      <c r="AM129" s="611"/>
      <c r="AN129" s="611"/>
      <c r="AO129" s="902"/>
      <c r="AP129" s="938"/>
      <c r="AQ129" s="938"/>
      <c r="AR129" s="983"/>
      <c r="AS129" s="611"/>
      <c r="AT129" s="611"/>
      <c r="AU129" s="611"/>
      <c r="AV129" s="1057"/>
      <c r="AW129" s="1057"/>
      <c r="AX129" s="1071"/>
      <c r="AY129" s="1057"/>
      <c r="AZ129" s="611"/>
      <c r="BA129" s="558"/>
      <c r="BB129" s="317"/>
      <c r="CU129" s="558"/>
      <c r="CV129" s="558"/>
      <c r="CW129" s="558"/>
      <c r="CX129" s="558"/>
      <c r="CY129" s="558"/>
      <c r="CZ129" s="558"/>
      <c r="DA129" s="558"/>
      <c r="DB129" s="558"/>
      <c r="DC129" s="558"/>
      <c r="DD129" s="558"/>
      <c r="DE129" s="558"/>
      <c r="DF129" s="558"/>
      <c r="DG129" s="558"/>
      <c r="DH129" s="558"/>
      <c r="DI129" s="558"/>
      <c r="DJ129" s="558"/>
      <c r="ED129" s="558"/>
      <c r="EE129" s="558"/>
    </row>
    <row r="130" spans="20:135" ht="15" customHeight="1" x14ac:dyDescent="0.25">
      <c r="V130" s="902"/>
      <c r="W130" s="611"/>
      <c r="X130" s="611"/>
      <c r="Y130" s="611"/>
      <c r="Z130" s="611"/>
      <c r="AA130" s="611"/>
      <c r="AB130" s="938"/>
      <c r="AE130" s="611"/>
      <c r="AF130" s="611"/>
      <c r="AG130" s="611"/>
      <c r="AH130" s="611"/>
      <c r="AI130" s="611"/>
      <c r="AJ130" s="611"/>
      <c r="AK130" s="902"/>
      <c r="AL130" s="938"/>
      <c r="AM130" s="983"/>
      <c r="AN130" s="611"/>
      <c r="AO130" s="611"/>
      <c r="AP130" s="611"/>
      <c r="AQ130" s="611"/>
      <c r="AR130" s="611"/>
      <c r="AS130" s="611"/>
      <c r="AT130" s="938"/>
      <c r="AU130" s="611"/>
      <c r="AV130" s="1270" t="s">
        <v>358</v>
      </c>
      <c r="AW130" s="1271"/>
      <c r="AX130" s="1271"/>
      <c r="AY130" s="1272"/>
      <c r="AZ130" s="1072"/>
      <c r="BB130" s="1270" t="s">
        <v>358</v>
      </c>
      <c r="BC130" s="1271"/>
      <c r="BD130" s="1271"/>
      <c r="BE130" s="1272"/>
      <c r="CU130" s="558"/>
      <c r="CV130" s="558"/>
      <c r="CW130" s="558"/>
      <c r="CX130" s="558"/>
      <c r="CY130" s="558"/>
      <c r="CZ130" s="558"/>
      <c r="DA130" s="558"/>
      <c r="DB130" s="558"/>
      <c r="DC130" s="558"/>
      <c r="DD130" s="558"/>
      <c r="DE130" s="558"/>
      <c r="DF130" s="558"/>
      <c r="DG130" s="558"/>
      <c r="DH130" s="558"/>
      <c r="DI130" s="558"/>
      <c r="DJ130" s="558"/>
      <c r="ED130" s="558"/>
      <c r="EE130" s="558"/>
    </row>
    <row r="131" spans="20:135" ht="15" customHeight="1" x14ac:dyDescent="0.25">
      <c r="T131" s="558"/>
      <c r="X131" s="1270" t="s">
        <v>358</v>
      </c>
      <c r="Y131" s="1271"/>
      <c r="Z131" s="1271"/>
      <c r="AA131" s="1272"/>
      <c r="AB131" s="938"/>
      <c r="AE131" s="611"/>
      <c r="AF131" s="1270" t="s">
        <v>358</v>
      </c>
      <c r="AG131" s="1271"/>
      <c r="AH131" s="1271"/>
      <c r="AI131" s="1271"/>
      <c r="AJ131" s="1073"/>
      <c r="AK131" s="902"/>
      <c r="AL131" s="938"/>
      <c r="AM131" s="983"/>
      <c r="AN131" s="611"/>
      <c r="AO131" s="611"/>
      <c r="AP131" s="611"/>
      <c r="AQ131" s="611"/>
      <c r="AR131" s="611"/>
      <c r="AS131" s="611"/>
      <c r="AT131" s="938"/>
      <c r="AU131" s="611"/>
      <c r="AV131" s="1074">
        <f>$B$6</f>
        <v>1.5</v>
      </c>
      <c r="AW131" s="1075">
        <f>$B$7</f>
        <v>4</v>
      </c>
      <c r="AX131" s="1075">
        <f>$B$8</f>
        <v>8</v>
      </c>
      <c r="AY131" s="1076">
        <f>$B$9</f>
        <v>16</v>
      </c>
      <c r="BB131" s="1074">
        <f>$B$6</f>
        <v>1.5</v>
      </c>
      <c r="BC131" s="1075">
        <f>$B$7</f>
        <v>4</v>
      </c>
      <c r="BD131" s="1075">
        <f>$B$8</f>
        <v>8</v>
      </c>
      <c r="BE131" s="1076">
        <f>$B$9</f>
        <v>16</v>
      </c>
      <c r="CU131" s="558"/>
      <c r="CV131" s="558"/>
      <c r="CW131" s="558"/>
      <c r="CX131" s="558"/>
      <c r="CY131" s="558"/>
      <c r="CZ131" s="558"/>
      <c r="DA131" s="558"/>
      <c r="DB131" s="558"/>
      <c r="DC131" s="558"/>
      <c r="DD131" s="558"/>
      <c r="DE131" s="558"/>
      <c r="DF131" s="558"/>
      <c r="DG131" s="558"/>
      <c r="DH131" s="558"/>
      <c r="DI131" s="558"/>
      <c r="DJ131" s="558"/>
      <c r="ED131" s="558"/>
      <c r="EE131" s="558"/>
    </row>
    <row r="132" spans="20:135" ht="15" customHeight="1" x14ac:dyDescent="0.25">
      <c r="W132" s="489" t="s">
        <v>338</v>
      </c>
      <c r="X132" s="1075">
        <f>$B$6</f>
        <v>1.5</v>
      </c>
      <c r="Y132" s="1075">
        <f>$B$7</f>
        <v>4</v>
      </c>
      <c r="Z132" s="1075">
        <f>$B$8</f>
        <v>8</v>
      </c>
      <c r="AA132" s="1076">
        <f>$B$9</f>
        <v>16</v>
      </c>
      <c r="AE132" s="489" t="s">
        <v>338</v>
      </c>
      <c r="AF132" s="1075">
        <f>$B$6</f>
        <v>1.5</v>
      </c>
      <c r="AG132" s="1075">
        <f>$B$7</f>
        <v>4</v>
      </c>
      <c r="AH132" s="1075">
        <f>$B$8</f>
        <v>8</v>
      </c>
      <c r="AI132" s="1076">
        <f>$B$9</f>
        <v>16</v>
      </c>
      <c r="AN132" s="489" t="s">
        <v>338</v>
      </c>
      <c r="AO132" s="1210" t="s">
        <v>359</v>
      </c>
      <c r="AP132" s="1211"/>
      <c r="AQ132" s="1211"/>
      <c r="AR132" s="1212"/>
      <c r="AS132" s="508"/>
      <c r="AV132" s="1210" t="s">
        <v>360</v>
      </c>
      <c r="AW132" s="1211"/>
      <c r="AX132" s="1211"/>
      <c r="AY132" s="1211"/>
      <c r="AZ132" s="1077" t="s">
        <v>91</v>
      </c>
      <c r="BB132" s="1251" t="s">
        <v>361</v>
      </c>
      <c r="BC132" s="1252"/>
      <c r="BD132" s="1252"/>
      <c r="BE132" s="1253"/>
      <c r="BF132" s="1077" t="s">
        <v>91</v>
      </c>
      <c r="CU132" s="558"/>
      <c r="CV132" s="558"/>
      <c r="CW132" s="558"/>
      <c r="CX132" s="558"/>
      <c r="CY132" s="558"/>
      <c r="CZ132" s="558"/>
      <c r="DA132" s="558"/>
      <c r="DB132" s="558"/>
      <c r="DC132" s="558"/>
      <c r="DD132" s="558"/>
      <c r="DE132" s="558"/>
      <c r="DF132" s="558"/>
      <c r="DG132" s="558"/>
      <c r="DH132" s="558"/>
      <c r="DI132" s="558"/>
      <c r="DJ132" s="558"/>
      <c r="ED132" s="558"/>
      <c r="EE132" s="558"/>
    </row>
    <row r="133" spans="20:135" ht="15" customHeight="1" x14ac:dyDescent="0.25">
      <c r="W133" s="951">
        <v>0</v>
      </c>
      <c r="X133" s="617">
        <f t="shared" ref="X133:AA150" si="163">$K$25-($M$28*X$3)/(1-$W133/$K$26)</f>
        <v>3.8622206857010855</v>
      </c>
      <c r="Y133" s="622">
        <f t="shared" si="163"/>
        <v>3.8503206857010857</v>
      </c>
      <c r="Z133" s="622">
        <f t="shared" si="163"/>
        <v>3.8312806857010857</v>
      </c>
      <c r="AA133" s="622">
        <f t="shared" si="163"/>
        <v>3.7932006857010858</v>
      </c>
      <c r="AB133" s="969">
        <f t="shared" ref="AB133:AB150" si="164">IF(W133&lt;$K$26,1000000,-1000000)</f>
        <v>1000000</v>
      </c>
      <c r="AC133" s="970">
        <f t="shared" ref="AC133:AC155" si="165">$K$25</f>
        <v>3.8693606857010856</v>
      </c>
      <c r="AE133" s="609">
        <f t="shared" ref="AE133:AE150" si="166">$W133</f>
        <v>0</v>
      </c>
      <c r="AF133" s="617">
        <f t="shared" ref="AF133:AI150" si="167">($C$28-$K$25)*(1-(1-EXP(-$W133/$K$27))/(1-EXP(-1)))-$M$30*AL$3</f>
        <v>0.31902931429891446</v>
      </c>
      <c r="AG133" s="622">
        <f t="shared" si="167"/>
        <v>0.29967931429891431</v>
      </c>
      <c r="AH133" s="622">
        <f t="shared" si="167"/>
        <v>0.26871931429891405</v>
      </c>
      <c r="AI133" s="623">
        <f t="shared" si="167"/>
        <v>0.20679931429891352</v>
      </c>
      <c r="AJ133" s="768">
        <f t="shared" ref="AJ133:AJ150" si="168">IF(AE133&lt;$K$27,1000000,-1000000)</f>
        <v>1000000</v>
      </c>
      <c r="AK133" s="896">
        <v>0</v>
      </c>
      <c r="AM133" s="938"/>
      <c r="AN133" s="609">
        <f t="shared" ref="AN133:AN150" si="169">$W133</f>
        <v>0</v>
      </c>
      <c r="AO133" s="611">
        <f t="shared" ref="AO133:AR148" si="170">X133+AF133</f>
        <v>4.1812500000000004</v>
      </c>
      <c r="AP133" s="611">
        <f t="shared" si="170"/>
        <v>4.1500000000000004</v>
      </c>
      <c r="AQ133" s="611">
        <f t="shared" si="170"/>
        <v>4.0999999999999996</v>
      </c>
      <c r="AR133" s="612">
        <f t="shared" si="170"/>
        <v>3.9999999999999991</v>
      </c>
      <c r="AS133" s="969">
        <f>IF(AN133&lt;$K$26,-1000000,IF(AN133=$K$26,0,1000000))</f>
        <v>-1000000</v>
      </c>
      <c r="AT133" s="622">
        <f t="shared" ref="AT133:AT155" si="171">$C$31</f>
        <v>3</v>
      </c>
      <c r="AU133" s="623">
        <f t="shared" ref="AU133:AU155" si="172">$K$25</f>
        <v>3.8693606857010856</v>
      </c>
      <c r="AV133" s="973">
        <f>AO133</f>
        <v>4.1812500000000004</v>
      </c>
      <c r="AW133" s="974">
        <f>AP133</f>
        <v>4.1500000000000004</v>
      </c>
      <c r="AX133" s="974">
        <f t="shared" ref="AX133:AY133" si="173">AQ133</f>
        <v>4.0999999999999996</v>
      </c>
      <c r="AY133" s="970">
        <f t="shared" si="173"/>
        <v>3.9999999999999991</v>
      </c>
      <c r="AZ133" s="612">
        <f t="shared" ref="AZ133:AZ142" si="174">SUM(AV133:AY133)</f>
        <v>16.431249999999999</v>
      </c>
      <c r="BB133" s="617">
        <f t="shared" ref="BB133:BE150" si="175">(AV133-AO133)^2</f>
        <v>0</v>
      </c>
      <c r="BC133" s="622">
        <f t="shared" si="175"/>
        <v>0</v>
      </c>
      <c r="BD133" s="622">
        <f t="shared" si="175"/>
        <v>0</v>
      </c>
      <c r="BE133" s="623">
        <f t="shared" si="175"/>
        <v>0</v>
      </c>
      <c r="BF133" s="609">
        <f>SUM(BB133:BE133)</f>
        <v>0</v>
      </c>
      <c r="CU133" s="558"/>
      <c r="CV133" s="558"/>
      <c r="CW133" s="558"/>
      <c r="CX133" s="558"/>
      <c r="CY133" s="558"/>
      <c r="CZ133" s="558"/>
      <c r="DA133" s="558"/>
      <c r="DB133" s="558"/>
      <c r="DC133" s="558"/>
      <c r="DD133" s="558"/>
      <c r="DE133" s="558"/>
      <c r="DF133" s="558"/>
      <c r="DG133" s="558"/>
      <c r="DH133" s="558"/>
      <c r="DI133" s="558"/>
      <c r="DJ133" s="558"/>
      <c r="ED133" s="558"/>
      <c r="EE133" s="558"/>
    </row>
    <row r="134" spans="20:135" ht="15" customHeight="1" x14ac:dyDescent="0.25">
      <c r="W134" s="1078">
        <f>$C$4</f>
        <v>0</v>
      </c>
      <c r="X134" s="610">
        <f t="shared" si="163"/>
        <v>3.8622206857010855</v>
      </c>
      <c r="Y134" s="611">
        <f t="shared" si="163"/>
        <v>3.8503206857010857</v>
      </c>
      <c r="Z134" s="611">
        <f t="shared" si="163"/>
        <v>3.8312806857010857</v>
      </c>
      <c r="AA134" s="611">
        <f t="shared" si="163"/>
        <v>3.7932006857010858</v>
      </c>
      <c r="AB134" s="982">
        <f t="shared" si="164"/>
        <v>1000000</v>
      </c>
      <c r="AC134" s="919">
        <f t="shared" si="165"/>
        <v>3.8693606857010856</v>
      </c>
      <c r="AE134" s="609">
        <f t="shared" si="166"/>
        <v>0</v>
      </c>
      <c r="AF134" s="610">
        <f t="shared" si="167"/>
        <v>0.31902931429891446</v>
      </c>
      <c r="AG134" s="611">
        <f t="shared" si="167"/>
        <v>0.29967931429891431</v>
      </c>
      <c r="AH134" s="611">
        <f t="shared" si="167"/>
        <v>0.26871931429891405</v>
      </c>
      <c r="AI134" s="612">
        <f t="shared" si="167"/>
        <v>0.20679931429891352</v>
      </c>
      <c r="AJ134" s="783">
        <f t="shared" si="168"/>
        <v>1000000</v>
      </c>
      <c r="AK134" s="900">
        <v>0</v>
      </c>
      <c r="AM134" s="938"/>
      <c r="AN134" s="609">
        <f t="shared" si="169"/>
        <v>0</v>
      </c>
      <c r="AO134" s="611">
        <f t="shared" si="170"/>
        <v>4.1812500000000004</v>
      </c>
      <c r="AP134" s="611">
        <f t="shared" si="170"/>
        <v>4.1500000000000004</v>
      </c>
      <c r="AQ134" s="611">
        <f t="shared" si="170"/>
        <v>4.0999999999999996</v>
      </c>
      <c r="AR134" s="612">
        <f t="shared" si="170"/>
        <v>3.9999999999999991</v>
      </c>
      <c r="AS134" s="982">
        <f t="shared" ref="AS134:AS153" si="176">IF(AN134&lt;$K$26,-1000000,IF(AN134=$K$26,0,1000000))</f>
        <v>-1000000</v>
      </c>
      <c r="AT134" s="611">
        <f t="shared" si="171"/>
        <v>3</v>
      </c>
      <c r="AU134" s="612">
        <f t="shared" si="172"/>
        <v>3.8693606857010856</v>
      </c>
      <c r="AV134" s="984">
        <f>$C$6</f>
        <v>4.18</v>
      </c>
      <c r="AW134" s="985">
        <f>$C$7</f>
        <v>4.1500000000000004</v>
      </c>
      <c r="AX134" s="985">
        <f>$C$8</f>
        <v>4.0999999999999996</v>
      </c>
      <c r="AY134" s="528">
        <f>$C$9</f>
        <v>4.05</v>
      </c>
      <c r="AZ134" s="612">
        <f t="shared" si="174"/>
        <v>16.48</v>
      </c>
      <c r="BB134" s="610">
        <f t="shared" si="175"/>
        <v>1.5625000000015986E-6</v>
      </c>
      <c r="BC134" s="611">
        <f t="shared" si="175"/>
        <v>0</v>
      </c>
      <c r="BD134" s="611">
        <f t="shared" si="175"/>
        <v>0</v>
      </c>
      <c r="BE134" s="612">
        <f t="shared" si="175"/>
        <v>2.5000000000000712E-3</v>
      </c>
      <c r="BF134" s="609">
        <f t="shared" ref="BF134" si="177">SUM(BB134:BE134)</f>
        <v>2.5015625000000727E-3</v>
      </c>
      <c r="CU134" s="558"/>
      <c r="CV134" s="558"/>
      <c r="CW134" s="558"/>
      <c r="CX134" s="558"/>
      <c r="CY134" s="558"/>
      <c r="CZ134" s="558"/>
      <c r="DA134" s="558"/>
      <c r="DB134" s="558"/>
      <c r="DC134" s="558"/>
      <c r="DD134" s="558"/>
      <c r="DE134" s="558"/>
      <c r="DF134" s="558"/>
      <c r="DG134" s="558"/>
      <c r="DH134" s="558"/>
      <c r="DI134" s="558"/>
      <c r="DJ134" s="558"/>
      <c r="ED134" s="558"/>
      <c r="EE134" s="558"/>
    </row>
    <row r="135" spans="20:135" ht="15" customHeight="1" x14ac:dyDescent="0.25">
      <c r="W135" s="1078">
        <f>$D$4/1000</f>
        <v>0.5</v>
      </c>
      <c r="X135" s="610">
        <f t="shared" si="163"/>
        <v>3.8617747645163409</v>
      </c>
      <c r="Y135" s="611">
        <f t="shared" si="163"/>
        <v>3.8491315625417668</v>
      </c>
      <c r="Z135" s="611">
        <f t="shared" si="163"/>
        <v>3.8289024393824485</v>
      </c>
      <c r="AA135" s="611">
        <f t="shared" si="163"/>
        <v>3.7884441930638113</v>
      </c>
      <c r="AB135" s="982">
        <f t="shared" si="164"/>
        <v>1000000</v>
      </c>
      <c r="AC135" s="919">
        <f t="shared" si="165"/>
        <v>3.8693606857010856</v>
      </c>
      <c r="AE135" s="609">
        <f t="shared" si="166"/>
        <v>0.5</v>
      </c>
      <c r="AF135" s="610">
        <f t="shared" si="167"/>
        <v>0.22912760957529671</v>
      </c>
      <c r="AG135" s="611">
        <f t="shared" si="167"/>
        <v>0.20977760957529654</v>
      </c>
      <c r="AH135" s="611">
        <f t="shared" si="167"/>
        <v>0.17881760957529627</v>
      </c>
      <c r="AI135" s="612">
        <f t="shared" si="167"/>
        <v>0.11689760957529573</v>
      </c>
      <c r="AJ135" s="783">
        <f t="shared" si="168"/>
        <v>1000000</v>
      </c>
      <c r="AK135" s="900">
        <v>0</v>
      </c>
      <c r="AN135" s="609">
        <f t="shared" si="169"/>
        <v>0.5</v>
      </c>
      <c r="AO135" s="611">
        <f t="shared" si="170"/>
        <v>4.0909023740916375</v>
      </c>
      <c r="AP135" s="611">
        <f t="shared" si="170"/>
        <v>4.0589091721170636</v>
      </c>
      <c r="AQ135" s="611">
        <f t="shared" si="170"/>
        <v>4.0077200489577445</v>
      </c>
      <c r="AR135" s="612">
        <f t="shared" si="170"/>
        <v>3.9053418026391071</v>
      </c>
      <c r="AS135" s="982">
        <f t="shared" si="176"/>
        <v>-1000000</v>
      </c>
      <c r="AT135" s="611">
        <f t="shared" si="171"/>
        <v>3</v>
      </c>
      <c r="AU135" s="612">
        <f t="shared" si="172"/>
        <v>3.8693606857010856</v>
      </c>
      <c r="AV135" s="984">
        <f>$D$6</f>
        <v>4.0999999999999996</v>
      </c>
      <c r="AW135" s="985">
        <f>$D$7</f>
        <v>4.05</v>
      </c>
      <c r="AX135" s="985">
        <f>$D$8</f>
        <v>3.97</v>
      </c>
      <c r="AY135" s="528">
        <f>$D$9</f>
        <v>3.86</v>
      </c>
      <c r="AZ135" s="612">
        <f t="shared" si="174"/>
        <v>15.979999999999999</v>
      </c>
      <c r="BB135" s="610">
        <f t="shared" si="175"/>
        <v>8.2766797168502446E-5</v>
      </c>
      <c r="BC135" s="611">
        <f t="shared" si="175"/>
        <v>7.9373347811466504E-5</v>
      </c>
      <c r="BD135" s="611">
        <f t="shared" si="175"/>
        <v>1.4228020933746252E-3</v>
      </c>
      <c r="BE135" s="612">
        <f t="shared" si="175"/>
        <v>2.0558790665637537E-3</v>
      </c>
      <c r="BF135" s="609">
        <f t="shared" ref="BF135:BF150" si="178">SUM(BB135:BE135)</f>
        <v>3.6408213049183478E-3</v>
      </c>
      <c r="CU135" s="558"/>
      <c r="CV135" s="558"/>
      <c r="CW135" s="558"/>
      <c r="CX135" s="558"/>
      <c r="CY135" s="558"/>
      <c r="CZ135" s="558"/>
      <c r="DA135" s="558"/>
      <c r="DB135" s="558"/>
      <c r="DC135" s="558"/>
      <c r="DD135" s="558"/>
      <c r="DE135" s="558"/>
      <c r="DF135" s="558"/>
      <c r="DG135" s="558"/>
      <c r="DH135" s="558"/>
      <c r="DI135" s="558"/>
      <c r="DJ135" s="558"/>
      <c r="ED135" s="558"/>
      <c r="EE135" s="558"/>
    </row>
    <row r="136" spans="20:135" ht="15" customHeight="1" x14ac:dyDescent="0.25">
      <c r="W136" s="1078">
        <f>$E$4/1000</f>
        <v>1</v>
      </c>
      <c r="X136" s="610">
        <f t="shared" si="163"/>
        <v>3.8612694339017133</v>
      </c>
      <c r="Y136" s="611">
        <f t="shared" si="163"/>
        <v>3.8477840142360931</v>
      </c>
      <c r="Z136" s="611">
        <f t="shared" si="163"/>
        <v>3.8262073427711005</v>
      </c>
      <c r="AA136" s="611">
        <f t="shared" si="163"/>
        <v>3.7830539998411159</v>
      </c>
      <c r="AB136" s="982">
        <f t="shared" si="164"/>
        <v>1000000</v>
      </c>
      <c r="AC136" s="919">
        <f t="shared" si="165"/>
        <v>3.8693606857010856</v>
      </c>
      <c r="AE136" s="609">
        <f t="shared" si="166"/>
        <v>1</v>
      </c>
      <c r="AF136" s="610">
        <f t="shared" si="167"/>
        <v>0.15467778310506258</v>
      </c>
      <c r="AG136" s="611">
        <f t="shared" si="167"/>
        <v>0.13532778310506241</v>
      </c>
      <c r="AH136" s="611">
        <f t="shared" si="167"/>
        <v>0.10436778310506215</v>
      </c>
      <c r="AI136" s="612">
        <f t="shared" si="167"/>
        <v>4.2447783105061601E-2</v>
      </c>
      <c r="AJ136" s="783">
        <f t="shared" si="168"/>
        <v>1000000</v>
      </c>
      <c r="AK136" s="900">
        <v>0</v>
      </c>
      <c r="AN136" s="609">
        <f t="shared" si="169"/>
        <v>1</v>
      </c>
      <c r="AO136" s="611">
        <f t="shared" si="170"/>
        <v>4.0159472170067758</v>
      </c>
      <c r="AP136" s="611">
        <f t="shared" si="170"/>
        <v>3.9831117973411554</v>
      </c>
      <c r="AQ136" s="611">
        <f t="shared" si="170"/>
        <v>3.9305751258761625</v>
      </c>
      <c r="AR136" s="612">
        <f t="shared" si="170"/>
        <v>3.8255017829461777</v>
      </c>
      <c r="AS136" s="982">
        <f t="shared" si="176"/>
        <v>-1000000</v>
      </c>
      <c r="AT136" s="611">
        <f t="shared" si="171"/>
        <v>3</v>
      </c>
      <c r="AU136" s="612">
        <f t="shared" si="172"/>
        <v>3.8693606857010856</v>
      </c>
      <c r="AV136" s="984">
        <f>$E$6</f>
        <v>4.0199999999999996</v>
      </c>
      <c r="AW136" s="985">
        <f>$E$7</f>
        <v>3.97</v>
      </c>
      <c r="AX136" s="985">
        <f>$E$8</f>
        <v>3.9</v>
      </c>
      <c r="AY136" s="528">
        <f>$E$9</f>
        <v>3.8</v>
      </c>
      <c r="AZ136" s="612">
        <f t="shared" si="174"/>
        <v>15.690000000000001</v>
      </c>
      <c r="BB136" s="610">
        <f t="shared" si="175"/>
        <v>1.6425049990163724E-5</v>
      </c>
      <c r="BC136" s="611">
        <f t="shared" si="175"/>
        <v>1.7191922951552446E-4</v>
      </c>
      <c r="BD136" s="611">
        <f t="shared" si="175"/>
        <v>9.3483832234318926E-4</v>
      </c>
      <c r="BE136" s="612">
        <f t="shared" si="175"/>
        <v>6.5034093343396934E-4</v>
      </c>
      <c r="BF136" s="609">
        <f t="shared" si="178"/>
        <v>1.7735235352828469E-3</v>
      </c>
      <c r="CU136" s="558"/>
      <c r="CV136" s="558"/>
      <c r="CW136" s="558"/>
      <c r="CX136" s="558"/>
      <c r="CY136" s="558"/>
      <c r="CZ136" s="558"/>
      <c r="DA136" s="558"/>
      <c r="DB136" s="558"/>
      <c r="DC136" s="558"/>
      <c r="DD136" s="558"/>
      <c r="DE136" s="558"/>
      <c r="DF136" s="558"/>
      <c r="DG136" s="558"/>
      <c r="DH136" s="558"/>
      <c r="DI136" s="558"/>
      <c r="DJ136" s="558"/>
      <c r="ED136" s="558"/>
      <c r="EE136" s="558"/>
    </row>
    <row r="137" spans="20:135" ht="15" customHeight="1" x14ac:dyDescent="0.25">
      <c r="W137" s="1078">
        <f>$F$4/1000</f>
        <v>1.5</v>
      </c>
      <c r="X137" s="610">
        <f t="shared" si="163"/>
        <v>3.8606919739844376</v>
      </c>
      <c r="Y137" s="611">
        <f t="shared" si="163"/>
        <v>3.8462441211233571</v>
      </c>
      <c r="Z137" s="611">
        <f t="shared" si="163"/>
        <v>3.8231275565456291</v>
      </c>
      <c r="AA137" s="611">
        <f t="shared" si="163"/>
        <v>3.7768944273901726</v>
      </c>
      <c r="AB137" s="982">
        <f t="shared" si="164"/>
        <v>1000000</v>
      </c>
      <c r="AC137" s="919">
        <f t="shared" si="165"/>
        <v>3.8693606857010856</v>
      </c>
      <c r="AE137" s="609">
        <f t="shared" si="166"/>
        <v>1.5</v>
      </c>
      <c r="AF137" s="610">
        <f t="shared" si="167"/>
        <v>9.3024039402560196E-2</v>
      </c>
      <c r="AG137" s="611">
        <f t="shared" si="167"/>
        <v>7.3674039402560038E-2</v>
      </c>
      <c r="AH137" s="611">
        <f t="shared" si="167"/>
        <v>4.2714039402559766E-2</v>
      </c>
      <c r="AI137" s="612">
        <f t="shared" si="167"/>
        <v>-1.9205960597440772E-2</v>
      </c>
      <c r="AJ137" s="783">
        <f t="shared" si="168"/>
        <v>1000000</v>
      </c>
      <c r="AK137" s="900">
        <v>0</v>
      </c>
      <c r="AN137" s="609">
        <f t="shared" si="169"/>
        <v>1.5</v>
      </c>
      <c r="AO137" s="611">
        <f t="shared" si="170"/>
        <v>3.9537160133869977</v>
      </c>
      <c r="AP137" s="611">
        <f t="shared" si="170"/>
        <v>3.919918160525917</v>
      </c>
      <c r="AQ137" s="611">
        <f t="shared" si="170"/>
        <v>3.8658415959481887</v>
      </c>
      <c r="AR137" s="612">
        <f t="shared" si="170"/>
        <v>3.7576884667927319</v>
      </c>
      <c r="AS137" s="982">
        <f t="shared" si="176"/>
        <v>-1000000</v>
      </c>
      <c r="AT137" s="611">
        <f t="shared" si="171"/>
        <v>3</v>
      </c>
      <c r="AU137" s="612">
        <f t="shared" si="172"/>
        <v>3.8693606857010856</v>
      </c>
      <c r="AV137" s="984">
        <f>$F$6</f>
        <v>3.97</v>
      </c>
      <c r="AW137" s="985">
        <f>$F$7</f>
        <v>3.92</v>
      </c>
      <c r="AX137" s="985">
        <f>$F$8</f>
        <v>3.85</v>
      </c>
      <c r="AY137" s="528">
        <f>$F$9</f>
        <v>3.73</v>
      </c>
      <c r="AZ137" s="612">
        <f t="shared" si="174"/>
        <v>15.47</v>
      </c>
      <c r="BB137" s="610">
        <f t="shared" si="175"/>
        <v>2.6516822001244314E-4</v>
      </c>
      <c r="BC137" s="611">
        <f t="shared" si="175"/>
        <v>6.6976995181676308E-9</v>
      </c>
      <c r="BD137" s="611">
        <f t="shared" si="175"/>
        <v>2.5095616218566452E-4</v>
      </c>
      <c r="BE137" s="612">
        <f t="shared" si="175"/>
        <v>7.6665119333222038E-4</v>
      </c>
      <c r="BF137" s="609">
        <f t="shared" si="178"/>
        <v>1.2827822732298462E-3</v>
      </c>
      <c r="CU137" s="558"/>
      <c r="CV137" s="558"/>
      <c r="CW137" s="558"/>
      <c r="CX137" s="558"/>
      <c r="CY137" s="558"/>
      <c r="CZ137" s="558"/>
      <c r="DA137" s="558"/>
      <c r="DB137" s="558"/>
      <c r="DC137" s="558"/>
      <c r="DD137" s="558"/>
      <c r="DE137" s="558"/>
      <c r="DF137" s="558"/>
      <c r="DG137" s="558"/>
      <c r="DH137" s="558"/>
      <c r="DI137" s="558"/>
      <c r="DJ137" s="558"/>
      <c r="ED137" s="558"/>
      <c r="EE137" s="558"/>
    </row>
    <row r="138" spans="20:135" ht="15" customHeight="1" x14ac:dyDescent="0.25">
      <c r="W138" s="1078">
        <f>$G$4/1000</f>
        <v>2</v>
      </c>
      <c r="X138" s="610">
        <f t="shared" si="163"/>
        <v>3.8600257546334982</v>
      </c>
      <c r="Y138" s="611">
        <f t="shared" si="163"/>
        <v>3.8444675361875187</v>
      </c>
      <c r="Z138" s="611">
        <f t="shared" si="163"/>
        <v>3.8195743866739518</v>
      </c>
      <c r="AA138" s="611">
        <f t="shared" si="163"/>
        <v>3.7697880876468179</v>
      </c>
      <c r="AB138" s="982">
        <f t="shared" si="164"/>
        <v>1000000</v>
      </c>
      <c r="AC138" s="919">
        <f t="shared" si="165"/>
        <v>3.8693606857010856</v>
      </c>
      <c r="AE138" s="609">
        <f t="shared" si="166"/>
        <v>2</v>
      </c>
      <c r="AF138" s="610">
        <f t="shared" si="167"/>
        <v>4.1967048503412846E-2</v>
      </c>
      <c r="AG138" s="611">
        <f t="shared" si="167"/>
        <v>2.2617048503412677E-2</v>
      </c>
      <c r="AH138" s="611">
        <f t="shared" si="167"/>
        <v>-8.3429514965875917E-3</v>
      </c>
      <c r="AI138" s="612">
        <f t="shared" si="167"/>
        <v>-7.0262951496588122E-2</v>
      </c>
      <c r="AJ138" s="783">
        <f t="shared" si="168"/>
        <v>1000000</v>
      </c>
      <c r="AK138" s="900">
        <v>0</v>
      </c>
      <c r="AN138" s="609">
        <f t="shared" si="169"/>
        <v>2</v>
      </c>
      <c r="AO138" s="611">
        <f t="shared" si="170"/>
        <v>3.9019928031369111</v>
      </c>
      <c r="AP138" s="611">
        <f t="shared" si="170"/>
        <v>3.8670845846909314</v>
      </c>
      <c r="AQ138" s="611">
        <f t="shared" si="170"/>
        <v>3.8112314351773642</v>
      </c>
      <c r="AR138" s="612">
        <f t="shared" si="170"/>
        <v>3.6995251361502297</v>
      </c>
      <c r="AS138" s="982">
        <f t="shared" si="176"/>
        <v>-1000000</v>
      </c>
      <c r="AT138" s="611">
        <f t="shared" si="171"/>
        <v>3</v>
      </c>
      <c r="AU138" s="612">
        <f t="shared" si="172"/>
        <v>3.8693606857010856</v>
      </c>
      <c r="AV138" s="984">
        <f>$G$6</f>
        <v>3.92</v>
      </c>
      <c r="AW138" s="985">
        <f>$G$7</f>
        <v>3.87</v>
      </c>
      <c r="AX138" s="985">
        <f>$G$8</f>
        <v>3.82</v>
      </c>
      <c r="AY138" s="528">
        <f>$G$9</f>
        <v>3.68</v>
      </c>
      <c r="AZ138" s="612">
        <f t="shared" si="174"/>
        <v>15.29</v>
      </c>
      <c r="BB138" s="610">
        <f t="shared" si="175"/>
        <v>3.2425913886603605E-4</v>
      </c>
      <c r="BC138" s="611">
        <f t="shared" si="175"/>
        <v>8.4996464243520952E-6</v>
      </c>
      <c r="BD138" s="611">
        <f t="shared" si="175"/>
        <v>7.688772904876355E-5</v>
      </c>
      <c r="BE138" s="612">
        <f t="shared" si="175"/>
        <v>3.8123094168500079E-4</v>
      </c>
      <c r="BF138" s="609">
        <f t="shared" si="178"/>
        <v>7.9087745602415252E-4</v>
      </c>
      <c r="CU138" s="558"/>
      <c r="CV138" s="558"/>
      <c r="CW138" s="558"/>
      <c r="CX138" s="558"/>
      <c r="CY138" s="558"/>
      <c r="CZ138" s="558"/>
      <c r="DA138" s="558"/>
      <c r="DB138" s="558"/>
      <c r="DC138" s="558"/>
      <c r="DD138" s="558"/>
      <c r="DE138" s="558"/>
      <c r="DF138" s="558"/>
      <c r="DG138" s="558"/>
      <c r="DH138" s="558"/>
      <c r="DI138" s="558"/>
      <c r="DJ138" s="558"/>
      <c r="ED138" s="558"/>
      <c r="EE138" s="558"/>
    </row>
    <row r="139" spans="20:135" ht="15" customHeight="1" x14ac:dyDescent="0.25">
      <c r="W139" s="1078">
        <f>$H$4/1000</f>
        <v>2.5</v>
      </c>
      <c r="X139" s="610">
        <f t="shared" si="163"/>
        <v>3.8592486077856534</v>
      </c>
      <c r="Y139" s="611">
        <f t="shared" si="163"/>
        <v>3.8423951445932656</v>
      </c>
      <c r="Z139" s="611">
        <f t="shared" si="163"/>
        <v>3.815429603485446</v>
      </c>
      <c r="AA139" s="611">
        <f t="shared" si="163"/>
        <v>3.7614985212698064</v>
      </c>
      <c r="AB139" s="982">
        <f t="shared" si="164"/>
        <v>1000000</v>
      </c>
      <c r="AC139" s="919">
        <f t="shared" si="165"/>
        <v>3.8693606857010856</v>
      </c>
      <c r="AE139" s="609">
        <f t="shared" si="166"/>
        <v>2.5</v>
      </c>
      <c r="AF139" s="610">
        <f t="shared" si="167"/>
        <v>-3.1450916248140608E-4</v>
      </c>
      <c r="AG139" s="611">
        <f t="shared" si="167"/>
        <v>-1.9664509162481573E-2</v>
      </c>
      <c r="AH139" s="611">
        <f t="shared" si="167"/>
        <v>-5.0624509162481846E-2</v>
      </c>
      <c r="AI139" s="612">
        <f t="shared" si="167"/>
        <v>-0.11254450916248238</v>
      </c>
      <c r="AJ139" s="783">
        <f t="shared" si="168"/>
        <v>1000000</v>
      </c>
      <c r="AK139" s="900">
        <v>0</v>
      </c>
      <c r="AN139" s="609">
        <f t="shared" si="169"/>
        <v>2.5</v>
      </c>
      <c r="AO139" s="611">
        <f t="shared" si="170"/>
        <v>3.8589340986231719</v>
      </c>
      <c r="AP139" s="611">
        <f t="shared" si="170"/>
        <v>3.822730635430784</v>
      </c>
      <c r="AQ139" s="611">
        <f t="shared" si="170"/>
        <v>3.7648050943229641</v>
      </c>
      <c r="AR139" s="612">
        <f t="shared" si="170"/>
        <v>3.6489540121073238</v>
      </c>
      <c r="AS139" s="982">
        <f t="shared" si="176"/>
        <v>-1000000</v>
      </c>
      <c r="AT139" s="611">
        <f t="shared" si="171"/>
        <v>3</v>
      </c>
      <c r="AU139" s="612">
        <f t="shared" si="172"/>
        <v>3.8693606857010856</v>
      </c>
      <c r="AV139" s="984">
        <f>$H$6</f>
        <v>3.87</v>
      </c>
      <c r="AW139" s="985">
        <f>$H$7</f>
        <v>3.84</v>
      </c>
      <c r="AX139" s="985">
        <f>$H$8</f>
        <v>3.76</v>
      </c>
      <c r="AY139" s="528">
        <f>$H$9</f>
        <v>3.64</v>
      </c>
      <c r="AZ139" s="612">
        <f t="shared" si="174"/>
        <v>15.11</v>
      </c>
      <c r="BB139" s="610">
        <f t="shared" si="175"/>
        <v>1.2245417328168756E-4</v>
      </c>
      <c r="BC139" s="611">
        <f t="shared" si="175"/>
        <v>2.9823095262448968E-4</v>
      </c>
      <c r="BD139" s="611">
        <f t="shared" si="175"/>
        <v>2.3088931452583517E-5</v>
      </c>
      <c r="BE139" s="612">
        <f t="shared" si="175"/>
        <v>8.0174332818099708E-5</v>
      </c>
      <c r="BF139" s="609">
        <f t="shared" si="178"/>
        <v>5.2394839017686043E-4</v>
      </c>
      <c r="CU139" s="558"/>
      <c r="CV139" s="558"/>
      <c r="CW139" s="558"/>
      <c r="CX139" s="558"/>
      <c r="CY139" s="558"/>
      <c r="CZ139" s="558"/>
      <c r="DA139" s="558"/>
      <c r="DB139" s="558"/>
      <c r="DC139" s="558"/>
      <c r="DD139" s="558"/>
      <c r="DE139" s="558"/>
      <c r="DF139" s="558"/>
      <c r="DG139" s="558"/>
      <c r="DH139" s="558"/>
      <c r="DI139" s="558"/>
      <c r="DJ139" s="558"/>
      <c r="ED139" s="558"/>
      <c r="EE139" s="558"/>
    </row>
    <row r="140" spans="20:135" ht="15" customHeight="1" x14ac:dyDescent="0.25">
      <c r="W140" s="1078">
        <f>$I$4/1000</f>
        <v>3</v>
      </c>
      <c r="X140" s="610">
        <f t="shared" si="163"/>
        <v>3.8583303129005109</v>
      </c>
      <c r="Y140" s="611">
        <f t="shared" si="163"/>
        <v>3.8399463582328868</v>
      </c>
      <c r="Z140" s="611">
        <f t="shared" si="163"/>
        <v>3.8105320307646879</v>
      </c>
      <c r="AA140" s="611">
        <f t="shared" si="163"/>
        <v>3.7517033758282903</v>
      </c>
      <c r="AB140" s="982">
        <f t="shared" si="164"/>
        <v>1000000</v>
      </c>
      <c r="AC140" s="919">
        <f t="shared" si="165"/>
        <v>3.8693606857010856</v>
      </c>
      <c r="AE140" s="609">
        <f t="shared" si="166"/>
        <v>3</v>
      </c>
      <c r="AF140" s="610">
        <f t="shared" si="167"/>
        <v>-3.5328913403139407E-2</v>
      </c>
      <c r="AG140" s="611">
        <f t="shared" si="167"/>
        <v>-5.4678913403139573E-2</v>
      </c>
      <c r="AH140" s="611">
        <f t="shared" si="167"/>
        <v>-8.5638913403139838E-2</v>
      </c>
      <c r="AI140" s="612">
        <f t="shared" si="167"/>
        <v>-0.14755891340314037</v>
      </c>
      <c r="AJ140" s="783">
        <f t="shared" si="168"/>
        <v>-1000000</v>
      </c>
      <c r="AK140" s="900">
        <v>0</v>
      </c>
      <c r="AN140" s="609">
        <f t="shared" si="169"/>
        <v>3</v>
      </c>
      <c r="AO140" s="611">
        <f t="shared" si="170"/>
        <v>3.8230013994973713</v>
      </c>
      <c r="AP140" s="611">
        <f t="shared" si="170"/>
        <v>3.7852674448297474</v>
      </c>
      <c r="AQ140" s="611">
        <f t="shared" si="170"/>
        <v>3.7248931173615483</v>
      </c>
      <c r="AR140" s="612">
        <f t="shared" si="170"/>
        <v>3.60414446242515</v>
      </c>
      <c r="AS140" s="982">
        <f t="shared" si="176"/>
        <v>-1000000</v>
      </c>
      <c r="AT140" s="611">
        <f t="shared" si="171"/>
        <v>3</v>
      </c>
      <c r="AU140" s="612">
        <f t="shared" si="172"/>
        <v>3.8693606857010856</v>
      </c>
      <c r="AV140" s="984">
        <f>$I$6</f>
        <v>3.84</v>
      </c>
      <c r="AW140" s="985">
        <f>$I$7</f>
        <v>3.79</v>
      </c>
      <c r="AX140" s="985">
        <f>$I$8</f>
        <v>3.72</v>
      </c>
      <c r="AY140" s="528">
        <f>$I$9</f>
        <v>3.59</v>
      </c>
      <c r="AZ140" s="612">
        <f t="shared" si="174"/>
        <v>14.94</v>
      </c>
      <c r="BB140" s="610">
        <f t="shared" si="175"/>
        <v>2.889524190479646E-4</v>
      </c>
      <c r="BC140" s="611">
        <f t="shared" si="175"/>
        <v>2.2397078439484775E-5</v>
      </c>
      <c r="BD140" s="611">
        <f t="shared" si="175"/>
        <v>2.3942597513883161E-5</v>
      </c>
      <c r="BE140" s="612">
        <f t="shared" si="175"/>
        <v>2.0006581729648323E-4</v>
      </c>
      <c r="BF140" s="609">
        <f t="shared" si="178"/>
        <v>5.3535791229781583E-4</v>
      </c>
      <c r="CU140" s="558"/>
      <c r="CV140" s="558"/>
      <c r="CW140" s="558"/>
      <c r="CX140" s="558"/>
      <c r="CY140" s="558"/>
      <c r="CZ140" s="558"/>
      <c r="DA140" s="558"/>
      <c r="DB140" s="558"/>
      <c r="DC140" s="558"/>
      <c r="DD140" s="558"/>
      <c r="DE140" s="558"/>
      <c r="DF140" s="558"/>
      <c r="DG140" s="558"/>
      <c r="DH140" s="558"/>
      <c r="DI140" s="558"/>
      <c r="DJ140" s="558"/>
      <c r="ED140" s="558"/>
      <c r="EE140" s="558"/>
    </row>
    <row r="141" spans="20:135" ht="15" customHeight="1" x14ac:dyDescent="0.25">
      <c r="W141" s="1078">
        <f>$J$4/1000</f>
        <v>3.5</v>
      </c>
      <c r="X141" s="610">
        <f t="shared" si="163"/>
        <v>3.8572285754665727</v>
      </c>
      <c r="Y141" s="611">
        <f t="shared" si="163"/>
        <v>3.8370083917423843</v>
      </c>
      <c r="Z141" s="611">
        <f t="shared" si="163"/>
        <v>3.804656097783683</v>
      </c>
      <c r="AA141" s="611">
        <f t="shared" si="163"/>
        <v>3.7399515098662803</v>
      </c>
      <c r="AB141" s="982">
        <f t="shared" si="164"/>
        <v>1000000</v>
      </c>
      <c r="AC141" s="919">
        <f t="shared" si="165"/>
        <v>3.8693606857010856</v>
      </c>
      <c r="AE141" s="609">
        <f t="shared" si="166"/>
        <v>3.5</v>
      </c>
      <c r="AF141" s="610">
        <f t="shared" si="167"/>
        <v>-6.4325208052831373E-2</v>
      </c>
      <c r="AG141" s="611">
        <f t="shared" si="167"/>
        <v>-8.3675208052831532E-2</v>
      </c>
      <c r="AH141" s="611">
        <f t="shared" si="167"/>
        <v>-0.11463520805283181</v>
      </c>
      <c r="AI141" s="612">
        <f t="shared" si="167"/>
        <v>-0.17655520805283234</v>
      </c>
      <c r="AJ141" s="783">
        <f t="shared" si="168"/>
        <v>-1000000</v>
      </c>
      <c r="AK141" s="900">
        <v>0</v>
      </c>
      <c r="AN141" s="609">
        <f t="shared" si="169"/>
        <v>3.5</v>
      </c>
      <c r="AO141" s="611">
        <f t="shared" si="170"/>
        <v>3.7929033674137411</v>
      </c>
      <c r="AP141" s="611">
        <f t="shared" si="170"/>
        <v>3.7533331836895529</v>
      </c>
      <c r="AQ141" s="611">
        <f t="shared" si="170"/>
        <v>3.6900208897308513</v>
      </c>
      <c r="AR141" s="612">
        <f t="shared" si="170"/>
        <v>3.563396301813448</v>
      </c>
      <c r="AS141" s="982">
        <f t="shared" si="176"/>
        <v>-1000000</v>
      </c>
      <c r="AT141" s="611">
        <f t="shared" si="171"/>
        <v>3</v>
      </c>
      <c r="AU141" s="612">
        <f t="shared" si="172"/>
        <v>3.8693606857010856</v>
      </c>
      <c r="AV141" s="984">
        <f>$J$6</f>
        <v>3.8</v>
      </c>
      <c r="AW141" s="985">
        <f>$J$7</f>
        <v>3.75</v>
      </c>
      <c r="AX141" s="985">
        <f>$J$8</f>
        <v>3.68</v>
      </c>
      <c r="AY141" s="528">
        <f>$J$9</f>
        <v>3.55</v>
      </c>
      <c r="AZ141" s="612">
        <f t="shared" si="174"/>
        <v>14.780000000000001</v>
      </c>
      <c r="BB141" s="610">
        <f t="shared" si="175"/>
        <v>5.0362194064348843E-5</v>
      </c>
      <c r="BC141" s="611">
        <f t="shared" si="175"/>
        <v>1.1110113508301698E-5</v>
      </c>
      <c r="BD141" s="611">
        <f t="shared" si="175"/>
        <v>1.0041823099787773E-4</v>
      </c>
      <c r="BE141" s="612">
        <f t="shared" si="175"/>
        <v>1.7946090227699546E-4</v>
      </c>
      <c r="BF141" s="609">
        <f t="shared" si="178"/>
        <v>3.4135144084752373E-4</v>
      </c>
      <c r="DJ141" s="558"/>
    </row>
    <row r="142" spans="20:135" ht="15" customHeight="1" x14ac:dyDescent="0.25">
      <c r="W142" s="1078">
        <f>$K$4/1000</f>
        <v>4</v>
      </c>
      <c r="X142" s="610">
        <f t="shared" si="163"/>
        <v>3.8558823280212344</v>
      </c>
      <c r="Y142" s="611">
        <f t="shared" si="163"/>
        <v>3.8334183985548154</v>
      </c>
      <c r="Z142" s="611">
        <f t="shared" si="163"/>
        <v>3.7974761114085451</v>
      </c>
      <c r="AA142" s="611">
        <f t="shared" si="163"/>
        <v>3.7255915371160047</v>
      </c>
      <c r="AB142" s="982">
        <f t="shared" si="164"/>
        <v>1000000</v>
      </c>
      <c r="AC142" s="919">
        <f t="shared" si="165"/>
        <v>3.8693606857010856</v>
      </c>
      <c r="AE142" s="609">
        <f t="shared" si="166"/>
        <v>4</v>
      </c>
      <c r="AF142" s="610">
        <f t="shared" si="167"/>
        <v>-8.8337757220680574E-2</v>
      </c>
      <c r="AG142" s="611">
        <f t="shared" si="167"/>
        <v>-0.10768775722068073</v>
      </c>
      <c r="AH142" s="611">
        <f t="shared" si="167"/>
        <v>-0.13864775722068101</v>
      </c>
      <c r="AI142" s="612">
        <f t="shared" si="167"/>
        <v>-0.20056775722068154</v>
      </c>
      <c r="AJ142" s="783">
        <f t="shared" si="168"/>
        <v>-1000000</v>
      </c>
      <c r="AK142" s="900">
        <v>0</v>
      </c>
      <c r="AM142" s="938"/>
      <c r="AN142" s="609">
        <f t="shared" si="169"/>
        <v>4</v>
      </c>
      <c r="AO142" s="611">
        <f t="shared" si="170"/>
        <v>3.7675445708005539</v>
      </c>
      <c r="AP142" s="611">
        <f t="shared" si="170"/>
        <v>3.7257306413341347</v>
      </c>
      <c r="AQ142" s="611">
        <f t="shared" si="170"/>
        <v>3.6588283541878641</v>
      </c>
      <c r="AR142" s="612">
        <f t="shared" si="170"/>
        <v>3.525023779895323</v>
      </c>
      <c r="AS142" s="982">
        <f t="shared" si="176"/>
        <v>-1000000</v>
      </c>
      <c r="AT142" s="611">
        <f t="shared" si="171"/>
        <v>3</v>
      </c>
      <c r="AU142" s="612">
        <f t="shared" si="172"/>
        <v>3.8693606857010856</v>
      </c>
      <c r="AV142" s="984">
        <f>$K$6</f>
        <v>3.78</v>
      </c>
      <c r="AW142" s="985">
        <f>$K$7</f>
        <v>3.74</v>
      </c>
      <c r="AX142" s="985">
        <f>$K$8</f>
        <v>3.65</v>
      </c>
      <c r="AY142" s="528">
        <f>$K$9</f>
        <v>3.52</v>
      </c>
      <c r="AZ142" s="612">
        <f t="shared" si="174"/>
        <v>14.69</v>
      </c>
      <c r="BB142" s="610">
        <f t="shared" si="175"/>
        <v>1.551377165424087E-4</v>
      </c>
      <c r="BC142" s="611">
        <f t="shared" si="175"/>
        <v>2.0361459673511195E-4</v>
      </c>
      <c r="BD142" s="611">
        <f t="shared" si="175"/>
        <v>7.7939837666379485E-5</v>
      </c>
      <c r="BE142" s="612">
        <f t="shared" si="175"/>
        <v>2.5238364436651458E-5</v>
      </c>
      <c r="BF142" s="609">
        <f t="shared" si="178"/>
        <v>4.6193051538055154E-4</v>
      </c>
      <c r="DJ142" s="558"/>
    </row>
    <row r="143" spans="20:135" ht="15" customHeight="1" x14ac:dyDescent="0.25">
      <c r="W143" s="1078">
        <f>$L$4/1000</f>
        <v>4.5</v>
      </c>
      <c r="X143" s="610">
        <f t="shared" si="163"/>
        <v>3.8542000143344639</v>
      </c>
      <c r="Y143" s="611">
        <f t="shared" si="163"/>
        <v>3.8289322287234273</v>
      </c>
      <c r="Z143" s="611">
        <f t="shared" si="163"/>
        <v>3.788503771745769</v>
      </c>
      <c r="AA143" s="611">
        <f t="shared" si="163"/>
        <v>3.7076468577904524</v>
      </c>
      <c r="AB143" s="982">
        <f t="shared" si="164"/>
        <v>1000000</v>
      </c>
      <c r="AC143" s="919">
        <f t="shared" si="165"/>
        <v>3.8693606857010856</v>
      </c>
      <c r="AE143" s="609">
        <f t="shared" si="166"/>
        <v>4.5</v>
      </c>
      <c r="AF143" s="610">
        <f t="shared" si="167"/>
        <v>-0.10822314342275886</v>
      </c>
      <c r="AG143" s="611">
        <f t="shared" si="167"/>
        <v>-0.12757314342275902</v>
      </c>
      <c r="AH143" s="611">
        <f t="shared" si="167"/>
        <v>-0.15853314342275929</v>
      </c>
      <c r="AI143" s="612">
        <f t="shared" si="167"/>
        <v>-0.22045314342275985</v>
      </c>
      <c r="AJ143" s="783">
        <f t="shared" si="168"/>
        <v>-1000000</v>
      </c>
      <c r="AK143" s="900">
        <v>0</v>
      </c>
      <c r="AM143" s="938"/>
      <c r="AN143" s="609">
        <f t="shared" si="169"/>
        <v>4.5</v>
      </c>
      <c r="AO143" s="611">
        <f t="shared" si="170"/>
        <v>3.7459768709117052</v>
      </c>
      <c r="AP143" s="611">
        <f t="shared" si="170"/>
        <v>3.7013590853006684</v>
      </c>
      <c r="AQ143" s="611">
        <f t="shared" si="170"/>
        <v>3.6299706283230098</v>
      </c>
      <c r="AR143" s="612">
        <f t="shared" si="170"/>
        <v>3.4871937143676925</v>
      </c>
      <c r="AS143" s="982">
        <f t="shared" si="176"/>
        <v>-1000000</v>
      </c>
      <c r="AT143" s="611">
        <f t="shared" si="171"/>
        <v>3</v>
      </c>
      <c r="AU143" s="612">
        <f t="shared" si="172"/>
        <v>3.8693606857010856</v>
      </c>
      <c r="AV143" s="984">
        <f>$L$6</f>
        <v>3.75</v>
      </c>
      <c r="AW143" s="985">
        <f>$L$7</f>
        <v>3.7</v>
      </c>
      <c r="AX143" s="985">
        <f>$L$8</f>
        <v>3.64</v>
      </c>
      <c r="AY143" s="528">
        <f>$L$9</f>
        <v>3.48</v>
      </c>
      <c r="AZ143" s="612">
        <f t="shared" ref="AZ143:AZ150" si="179">SUM(AV143:AY143)</f>
        <v>14.57</v>
      </c>
      <c r="BB143" s="610">
        <f t="shared" si="175"/>
        <v>1.618556766108399E-5</v>
      </c>
      <c r="BC143" s="611">
        <f t="shared" si="175"/>
        <v>1.8471128544923571E-6</v>
      </c>
      <c r="BD143" s="611">
        <f t="shared" si="175"/>
        <v>1.0058829623521646E-4</v>
      </c>
      <c r="BE143" s="612">
        <f t="shared" si="175"/>
        <v>5.1749526403946381E-5</v>
      </c>
      <c r="BF143" s="609">
        <f t="shared" si="178"/>
        <v>1.7037050315473918E-4</v>
      </c>
      <c r="DJ143" s="558"/>
    </row>
    <row r="144" spans="20:135" ht="15" customHeight="1" x14ac:dyDescent="0.25">
      <c r="W144" s="1078">
        <f>$M$4/1000</f>
        <v>5</v>
      </c>
      <c r="X144" s="610">
        <f t="shared" si="163"/>
        <v>3.8520378483612223</v>
      </c>
      <c r="Y144" s="611">
        <f t="shared" si="163"/>
        <v>3.823166452794784</v>
      </c>
      <c r="Z144" s="611">
        <f t="shared" si="163"/>
        <v>3.7769722198884819</v>
      </c>
      <c r="AA144" s="611">
        <f t="shared" si="163"/>
        <v>3.6845837540758781</v>
      </c>
      <c r="AB144" s="982">
        <f t="shared" si="164"/>
        <v>1000000</v>
      </c>
      <c r="AC144" s="919">
        <f t="shared" si="165"/>
        <v>3.8693606857010856</v>
      </c>
      <c r="AE144" s="609">
        <f t="shared" si="166"/>
        <v>5</v>
      </c>
      <c r="AF144" s="610">
        <f t="shared" si="167"/>
        <v>-0.1246907238383879</v>
      </c>
      <c r="AG144" s="611">
        <f t="shared" si="167"/>
        <v>-0.14404072383838806</v>
      </c>
      <c r="AH144" s="611">
        <f t="shared" si="167"/>
        <v>-0.17500072383838833</v>
      </c>
      <c r="AI144" s="612">
        <f t="shared" si="167"/>
        <v>-0.23692072383838886</v>
      </c>
      <c r="AJ144" s="783">
        <f t="shared" si="168"/>
        <v>-1000000</v>
      </c>
      <c r="AK144" s="900">
        <v>0</v>
      </c>
      <c r="AM144" s="938"/>
      <c r="AN144" s="609">
        <f t="shared" si="169"/>
        <v>5</v>
      </c>
      <c r="AO144" s="611">
        <f t="shared" si="170"/>
        <v>3.7273471245228342</v>
      </c>
      <c r="AP144" s="611">
        <f t="shared" si="170"/>
        <v>3.6791257289563957</v>
      </c>
      <c r="AQ144" s="611">
        <f t="shared" si="170"/>
        <v>3.6019714960500937</v>
      </c>
      <c r="AR144" s="612">
        <f t="shared" si="170"/>
        <v>3.4476630302374893</v>
      </c>
      <c r="AS144" s="982">
        <f t="shared" si="176"/>
        <v>-1000000</v>
      </c>
      <c r="AT144" s="611">
        <f t="shared" si="171"/>
        <v>3</v>
      </c>
      <c r="AU144" s="612">
        <f t="shared" si="172"/>
        <v>3.8693606857010856</v>
      </c>
      <c r="AV144" s="984">
        <f>$M$6</f>
        <v>3.72</v>
      </c>
      <c r="AW144" s="985">
        <f>$M$7</f>
        <v>3.68</v>
      </c>
      <c r="AX144" s="985">
        <f>$M$8</f>
        <v>3.6</v>
      </c>
      <c r="AY144" s="528">
        <f>$M$9</f>
        <v>3.45</v>
      </c>
      <c r="AZ144" s="612">
        <f t="shared" si="179"/>
        <v>14.45</v>
      </c>
      <c r="BB144" s="610">
        <f t="shared" si="175"/>
        <v>5.3980238754029271E-5</v>
      </c>
      <c r="BC144" s="611">
        <f t="shared" si="175"/>
        <v>7.643498576852857E-7</v>
      </c>
      <c r="BD144" s="611">
        <f t="shared" si="175"/>
        <v>3.886796675534718E-6</v>
      </c>
      <c r="BE144" s="612">
        <f t="shared" si="175"/>
        <v>5.4614276708900391E-6</v>
      </c>
      <c r="BF144" s="609">
        <f t="shared" si="178"/>
        <v>6.4092812958139306E-5</v>
      </c>
      <c r="DJ144" s="558"/>
    </row>
    <row r="145" spans="19:114" ht="15" customHeight="1" x14ac:dyDescent="0.25">
      <c r="W145" s="1078">
        <f>$N$4/1000</f>
        <v>5.5</v>
      </c>
      <c r="X145" s="610">
        <f t="shared" si="163"/>
        <v>3.8491563748130928</v>
      </c>
      <c r="Y145" s="611">
        <f t="shared" si="163"/>
        <v>3.8154825233331047</v>
      </c>
      <c r="Z145" s="611">
        <f t="shared" si="163"/>
        <v>3.7616043609651237</v>
      </c>
      <c r="AA145" s="611">
        <f t="shared" si="163"/>
        <v>3.6538480362291619</v>
      </c>
      <c r="AB145" s="982">
        <f t="shared" si="164"/>
        <v>1000000</v>
      </c>
      <c r="AC145" s="919">
        <f t="shared" si="165"/>
        <v>3.8693606857010856</v>
      </c>
      <c r="AE145" s="609">
        <f t="shared" si="166"/>
        <v>5.5</v>
      </c>
      <c r="AF145" s="610">
        <f t="shared" si="167"/>
        <v>-0.13832793470215621</v>
      </c>
      <c r="AG145" s="611">
        <f t="shared" si="167"/>
        <v>-0.15767793470215638</v>
      </c>
      <c r="AH145" s="611">
        <f t="shared" si="167"/>
        <v>-0.18863793470215665</v>
      </c>
      <c r="AI145" s="612">
        <f t="shared" si="167"/>
        <v>-0.2505579347021572</v>
      </c>
      <c r="AJ145" s="783">
        <f t="shared" si="168"/>
        <v>-1000000</v>
      </c>
      <c r="AK145" s="900">
        <v>0</v>
      </c>
      <c r="AM145" s="938"/>
      <c r="AN145" s="609">
        <f t="shared" si="169"/>
        <v>5.5</v>
      </c>
      <c r="AO145" s="611">
        <f t="shared" si="170"/>
        <v>3.7108284401109364</v>
      </c>
      <c r="AP145" s="611">
        <f t="shared" si="170"/>
        <v>3.6578045886309485</v>
      </c>
      <c r="AQ145" s="611">
        <f t="shared" si="170"/>
        <v>3.5729664262629672</v>
      </c>
      <c r="AR145" s="612">
        <f t="shared" si="170"/>
        <v>3.4032901015270047</v>
      </c>
      <c r="AS145" s="982">
        <f t="shared" si="176"/>
        <v>-1000000</v>
      </c>
      <c r="AT145" s="611">
        <f t="shared" si="171"/>
        <v>3</v>
      </c>
      <c r="AU145" s="612">
        <f t="shared" si="172"/>
        <v>3.8693606857010856</v>
      </c>
      <c r="AV145" s="984">
        <f>$N$6</f>
        <v>3.71</v>
      </c>
      <c r="AW145" s="985">
        <f>$N$7</f>
        <v>3.68</v>
      </c>
      <c r="AX145" s="985">
        <f>$N$8</f>
        <v>3.58</v>
      </c>
      <c r="AY145" s="528">
        <f>$N$9</f>
        <v>3.4</v>
      </c>
      <c r="AZ145" s="612">
        <f t="shared" si="179"/>
        <v>14.370000000000001</v>
      </c>
      <c r="BB145" s="610">
        <f t="shared" si="175"/>
        <v>6.8631301740833552E-7</v>
      </c>
      <c r="BC145" s="611">
        <f t="shared" si="175"/>
        <v>4.926362858414284E-4</v>
      </c>
      <c r="BD145" s="611">
        <f t="shared" si="175"/>
        <v>4.9471159514278096E-5</v>
      </c>
      <c r="BE145" s="612">
        <f t="shared" si="175"/>
        <v>1.0824768057999438E-5</v>
      </c>
      <c r="BF145" s="609">
        <f t="shared" si="178"/>
        <v>5.5361852643111427E-4</v>
      </c>
      <c r="DJ145" s="558"/>
    </row>
    <row r="146" spans="19:114" ht="15" customHeight="1" x14ac:dyDescent="0.25">
      <c r="W146" s="1078">
        <f>$O$4/1000</f>
        <v>6</v>
      </c>
      <c r="X146" s="610">
        <f t="shared" si="163"/>
        <v>3.8451250251274582</v>
      </c>
      <c r="Y146" s="611">
        <f t="shared" si="163"/>
        <v>3.804732257504746</v>
      </c>
      <c r="Z146" s="611">
        <f t="shared" si="163"/>
        <v>3.7401038293084059</v>
      </c>
      <c r="AA146" s="611">
        <f t="shared" si="163"/>
        <v>3.6108469729157262</v>
      </c>
      <c r="AB146" s="982">
        <f t="shared" si="164"/>
        <v>1000000</v>
      </c>
      <c r="AC146" s="919">
        <f t="shared" si="165"/>
        <v>3.8693606857010856</v>
      </c>
      <c r="AE146" s="609">
        <f t="shared" si="166"/>
        <v>6</v>
      </c>
      <c r="AF146" s="610">
        <f t="shared" si="167"/>
        <v>-0.14962124649715292</v>
      </c>
      <c r="AG146" s="611">
        <f t="shared" si="167"/>
        <v>-0.16897124649715309</v>
      </c>
      <c r="AH146" s="611">
        <f t="shared" si="167"/>
        <v>-0.19993124649715335</v>
      </c>
      <c r="AI146" s="612">
        <f t="shared" si="167"/>
        <v>-0.26185124649715391</v>
      </c>
      <c r="AJ146" s="783">
        <f t="shared" si="168"/>
        <v>-1000000</v>
      </c>
      <c r="AK146" s="900">
        <v>0</v>
      </c>
      <c r="AM146" s="938"/>
      <c r="AN146" s="609">
        <f t="shared" si="169"/>
        <v>6</v>
      </c>
      <c r="AO146" s="611">
        <f t="shared" si="170"/>
        <v>3.6955037786303055</v>
      </c>
      <c r="AP146" s="611">
        <f t="shared" si="170"/>
        <v>3.6357610110075931</v>
      </c>
      <c r="AQ146" s="611">
        <f t="shared" si="170"/>
        <v>3.5401725828112527</v>
      </c>
      <c r="AR146" s="612">
        <f t="shared" si="170"/>
        <v>3.3489957264185723</v>
      </c>
      <c r="AS146" s="982">
        <f t="shared" si="176"/>
        <v>-1000000</v>
      </c>
      <c r="AT146" s="611">
        <f t="shared" si="171"/>
        <v>3</v>
      </c>
      <c r="AU146" s="612">
        <f t="shared" si="172"/>
        <v>3.8693606857010856</v>
      </c>
      <c r="AV146" s="984">
        <f>$O$6</f>
        <v>3.7</v>
      </c>
      <c r="AW146" s="985">
        <f>$O$7</f>
        <v>3.65</v>
      </c>
      <c r="AX146" s="985">
        <f>$O$8</f>
        <v>3.55</v>
      </c>
      <c r="AY146" s="528">
        <f>$O$9</f>
        <v>3.34</v>
      </c>
      <c r="AZ146" s="612">
        <f t="shared" si="179"/>
        <v>14.239999999999998</v>
      </c>
      <c r="BB146" s="610">
        <f t="shared" si="175"/>
        <v>2.0216006605298662E-5</v>
      </c>
      <c r="BC146" s="611">
        <f t="shared" si="175"/>
        <v>2.027488075258829E-4</v>
      </c>
      <c r="BD146" s="611">
        <f t="shared" si="175"/>
        <v>9.6578128601682616E-5</v>
      </c>
      <c r="BE146" s="612">
        <f t="shared" si="175"/>
        <v>8.0923093797803072E-5</v>
      </c>
      <c r="BF146" s="609">
        <f t="shared" si="178"/>
        <v>4.0046603653066726E-4</v>
      </c>
    </row>
    <row r="147" spans="19:114" ht="15" customHeight="1" x14ac:dyDescent="0.25">
      <c r="W147" s="1078">
        <f>$P$4/1000</f>
        <v>6.5</v>
      </c>
      <c r="X147" s="610">
        <f t="shared" si="163"/>
        <v>3.8390839284221503</v>
      </c>
      <c r="Y147" s="611">
        <f t="shared" si="163"/>
        <v>3.7886226662905913</v>
      </c>
      <c r="Z147" s="611">
        <f t="shared" si="163"/>
        <v>3.707884646880097</v>
      </c>
      <c r="AA147" s="611">
        <f t="shared" si="163"/>
        <v>3.5464086080591084</v>
      </c>
      <c r="AB147" s="982">
        <f t="shared" si="164"/>
        <v>1000000</v>
      </c>
      <c r="AC147" s="919">
        <f t="shared" si="165"/>
        <v>3.8693606857010856</v>
      </c>
      <c r="AE147" s="609">
        <f t="shared" si="166"/>
        <v>6.5</v>
      </c>
      <c r="AF147" s="610">
        <f t="shared" si="167"/>
        <v>-0.15897351746906108</v>
      </c>
      <c r="AG147" s="611">
        <f t="shared" si="167"/>
        <v>-0.17832351746906125</v>
      </c>
      <c r="AH147" s="611">
        <f t="shared" si="167"/>
        <v>-0.20928351746906151</v>
      </c>
      <c r="AI147" s="612">
        <f t="shared" si="167"/>
        <v>-0.27120351746906207</v>
      </c>
      <c r="AJ147" s="783">
        <f t="shared" si="168"/>
        <v>-1000000</v>
      </c>
      <c r="AK147" s="900">
        <v>0</v>
      </c>
      <c r="AM147" s="938"/>
      <c r="AN147" s="609">
        <f t="shared" si="169"/>
        <v>6.5</v>
      </c>
      <c r="AO147" s="611">
        <f t="shared" si="170"/>
        <v>3.6801104109530893</v>
      </c>
      <c r="AP147" s="611">
        <f t="shared" si="170"/>
        <v>3.6102991488215301</v>
      </c>
      <c r="AQ147" s="611">
        <f t="shared" si="170"/>
        <v>3.4986011294110355</v>
      </c>
      <c r="AR147" s="612">
        <f t="shared" si="170"/>
        <v>3.2752050905900463</v>
      </c>
      <c r="AS147" s="982">
        <f t="shared" si="176"/>
        <v>-1000000</v>
      </c>
      <c r="AT147" s="611">
        <f t="shared" si="171"/>
        <v>3</v>
      </c>
      <c r="AU147" s="612">
        <f t="shared" si="172"/>
        <v>3.8693606857010856</v>
      </c>
      <c r="AV147" s="984">
        <f>$P$6</f>
        <v>3.68</v>
      </c>
      <c r="AW147" s="985">
        <f>$P$7</f>
        <v>3.62</v>
      </c>
      <c r="AX147" s="985">
        <f>$P$8</f>
        <v>3.54</v>
      </c>
      <c r="AY147" s="528">
        <f>$P$9</f>
        <v>3.25</v>
      </c>
      <c r="AZ147" s="612">
        <f t="shared" si="179"/>
        <v>14.09</v>
      </c>
      <c r="BB147" s="610">
        <f t="shared" si="175"/>
        <v>1.219057856205854E-8</v>
      </c>
      <c r="BC147" s="611">
        <f t="shared" si="175"/>
        <v>9.4106513586822237E-5</v>
      </c>
      <c r="BD147" s="611">
        <f t="shared" si="175"/>
        <v>1.7138664860418317E-3</v>
      </c>
      <c r="BE147" s="612">
        <f t="shared" si="175"/>
        <v>6.3529659165243932E-4</v>
      </c>
      <c r="BF147" s="609">
        <f t="shared" si="178"/>
        <v>2.4432817818596554E-3</v>
      </c>
    </row>
    <row r="148" spans="19:114" ht="15" customHeight="1" x14ac:dyDescent="0.25">
      <c r="W148" s="1078">
        <f>$Q$4/1000</f>
        <v>7</v>
      </c>
      <c r="X148" s="610">
        <f t="shared" si="163"/>
        <v>3.8290312104801907</v>
      </c>
      <c r="Y148" s="611">
        <f t="shared" si="163"/>
        <v>3.7618154184453658</v>
      </c>
      <c r="Z148" s="611">
        <f t="shared" si="163"/>
        <v>3.6542701511896465</v>
      </c>
      <c r="AA148" s="611">
        <f t="shared" si="163"/>
        <v>3.4391796166782074</v>
      </c>
      <c r="AB148" s="982">
        <f t="shared" si="164"/>
        <v>1000000</v>
      </c>
      <c r="AC148" s="919">
        <f t="shared" si="165"/>
        <v>3.8693606857010856</v>
      </c>
      <c r="AE148" s="609">
        <f t="shared" si="166"/>
        <v>7</v>
      </c>
      <c r="AF148" s="610">
        <f t="shared" si="167"/>
        <v>-0.16671836450062411</v>
      </c>
      <c r="AG148" s="611">
        <f t="shared" si="167"/>
        <v>-0.18606836450062428</v>
      </c>
      <c r="AH148" s="611">
        <f t="shared" si="167"/>
        <v>-0.21702836450062454</v>
      </c>
      <c r="AI148" s="612">
        <f t="shared" si="167"/>
        <v>-0.2789483645006251</v>
      </c>
      <c r="AJ148" s="783">
        <f t="shared" si="168"/>
        <v>-1000000</v>
      </c>
      <c r="AK148" s="900">
        <v>0</v>
      </c>
      <c r="AM148" s="938"/>
      <c r="AN148" s="609">
        <f t="shared" si="169"/>
        <v>7</v>
      </c>
      <c r="AO148" s="611">
        <f t="shared" si="170"/>
        <v>3.6623128459795664</v>
      </c>
      <c r="AP148" s="611">
        <f t="shared" si="170"/>
        <v>3.5757470539447413</v>
      </c>
      <c r="AQ148" s="611">
        <f t="shared" si="170"/>
        <v>3.4372417866890221</v>
      </c>
      <c r="AR148" s="612">
        <f t="shared" si="170"/>
        <v>3.1602312521775824</v>
      </c>
      <c r="AS148" s="982">
        <f t="shared" si="176"/>
        <v>-1000000</v>
      </c>
      <c r="AT148" s="611">
        <f t="shared" si="171"/>
        <v>3</v>
      </c>
      <c r="AU148" s="612">
        <f t="shared" si="172"/>
        <v>3.8693606857010856</v>
      </c>
      <c r="AV148" s="984">
        <f>$Q$6</f>
        <v>3.65</v>
      </c>
      <c r="AW148" s="985">
        <f>$Q$7</f>
        <v>3.59</v>
      </c>
      <c r="AX148" s="985">
        <f>$Q$8</f>
        <v>3.48</v>
      </c>
      <c r="AY148" s="528">
        <f>$Q$9</f>
        <v>3</v>
      </c>
      <c r="AZ148" s="612">
        <f t="shared" si="179"/>
        <v>13.72</v>
      </c>
      <c r="BB148" s="610">
        <f t="shared" si="175"/>
        <v>1.5160617611652692E-4</v>
      </c>
      <c r="BC148" s="611">
        <f t="shared" si="175"/>
        <v>2.0314647125410908E-4</v>
      </c>
      <c r="BD148" s="611">
        <f t="shared" si="175"/>
        <v>1.8282648055470828E-3</v>
      </c>
      <c r="BE148" s="612">
        <f t="shared" si="175"/>
        <v>2.5674054174395999E-2</v>
      </c>
      <c r="BF148" s="609">
        <f t="shared" si="178"/>
        <v>2.7857071627313719E-2</v>
      </c>
    </row>
    <row r="149" spans="19:114" ht="15" customHeight="1" x14ac:dyDescent="0.25">
      <c r="W149" s="1078">
        <f>$R$4/1000</f>
        <v>7.5</v>
      </c>
      <c r="X149" s="610">
        <f t="shared" si="163"/>
        <v>3.8089847285490732</v>
      </c>
      <c r="Y149" s="611">
        <f t="shared" si="163"/>
        <v>3.7083581332957185</v>
      </c>
      <c r="Z149" s="611">
        <f t="shared" si="163"/>
        <v>3.5473555808903519</v>
      </c>
      <c r="AA149" s="611">
        <f t="shared" si="163"/>
        <v>3.2253504760796177</v>
      </c>
      <c r="AB149" s="982">
        <f t="shared" si="164"/>
        <v>1000000</v>
      </c>
      <c r="AC149" s="919">
        <f t="shared" si="165"/>
        <v>3.8693606857010856</v>
      </c>
      <c r="AE149" s="609">
        <f t="shared" si="166"/>
        <v>7.5</v>
      </c>
      <c r="AF149" s="610">
        <f t="shared" si="167"/>
        <v>-0.17313206398842595</v>
      </c>
      <c r="AG149" s="611">
        <f t="shared" si="167"/>
        <v>-0.19248206398842613</v>
      </c>
      <c r="AH149" s="611">
        <f t="shared" si="167"/>
        <v>-0.22344206398842639</v>
      </c>
      <c r="AI149" s="612">
        <f t="shared" si="167"/>
        <v>-0.28536206398842695</v>
      </c>
      <c r="AJ149" s="783">
        <f t="shared" si="168"/>
        <v>-1000000</v>
      </c>
      <c r="AK149" s="900">
        <v>0</v>
      </c>
      <c r="AM149" s="938"/>
      <c r="AN149" s="609">
        <f t="shared" si="169"/>
        <v>7.5</v>
      </c>
      <c r="AO149" s="611">
        <f t="shared" ref="AO149:AQ150" si="180">X149+AF149</f>
        <v>3.6358526645606473</v>
      </c>
      <c r="AP149" s="611">
        <f t="shared" si="180"/>
        <v>3.5158760693072924</v>
      </c>
      <c r="AQ149" s="611">
        <f t="shared" si="180"/>
        <v>3.3239135169019254</v>
      </c>
      <c r="AR149" s="612"/>
      <c r="AS149" s="982">
        <f t="shared" si="176"/>
        <v>-1000000</v>
      </c>
      <c r="AT149" s="611">
        <f t="shared" si="171"/>
        <v>3</v>
      </c>
      <c r="AU149" s="612">
        <f t="shared" si="172"/>
        <v>3.8693606857010856</v>
      </c>
      <c r="AV149" s="984">
        <f>$R$6</f>
        <v>3.61</v>
      </c>
      <c r="AW149" s="985">
        <f>$R$7</f>
        <v>3.55</v>
      </c>
      <c r="AX149" s="985">
        <f>$R$8</f>
        <v>3.4</v>
      </c>
      <c r="AY149" s="528"/>
      <c r="AZ149" s="612">
        <f t="shared" si="179"/>
        <v>10.56</v>
      </c>
      <c r="BB149" s="610">
        <f t="shared" si="175"/>
        <v>6.6836026488535335E-4</v>
      </c>
      <c r="BC149" s="611">
        <f t="shared" si="175"/>
        <v>1.1644426459207031E-3</v>
      </c>
      <c r="BD149" s="611">
        <f t="shared" si="175"/>
        <v>5.7891529102335809E-3</v>
      </c>
      <c r="BE149" s="612"/>
      <c r="BF149" s="609">
        <f t="shared" si="178"/>
        <v>7.621955821039637E-3</v>
      </c>
    </row>
    <row r="150" spans="19:114" ht="15" customHeight="1" x14ac:dyDescent="0.25">
      <c r="W150" s="1079">
        <f>$S$4/1000</f>
        <v>8</v>
      </c>
      <c r="X150" s="610">
        <f t="shared" si="163"/>
        <v>3.7493127897563019</v>
      </c>
      <c r="Y150" s="611">
        <f t="shared" si="163"/>
        <v>3.5492329631816624</v>
      </c>
      <c r="Z150" s="611">
        <f t="shared" si="163"/>
        <v>3.2291052406622391</v>
      </c>
      <c r="AA150" s="611">
        <f t="shared" si="163"/>
        <v>2.5888497956233931</v>
      </c>
      <c r="AB150" s="982">
        <f t="shared" si="164"/>
        <v>1000000</v>
      </c>
      <c r="AC150" s="919">
        <f t="shared" si="165"/>
        <v>3.8693606857010856</v>
      </c>
      <c r="AE150" s="813">
        <f t="shared" si="166"/>
        <v>8</v>
      </c>
      <c r="AF150" s="610">
        <f t="shared" si="167"/>
        <v>-0.17844340725346231</v>
      </c>
      <c r="AG150" s="611">
        <f t="shared" si="167"/>
        <v>-0.19779340725346248</v>
      </c>
      <c r="AH150" s="611">
        <f t="shared" si="167"/>
        <v>-0.22875340725346274</v>
      </c>
      <c r="AI150" s="612">
        <f t="shared" si="167"/>
        <v>-0.2906734072534633</v>
      </c>
      <c r="AJ150" s="783">
        <f t="shared" si="168"/>
        <v>-1000000</v>
      </c>
      <c r="AK150" s="900">
        <v>0</v>
      </c>
      <c r="AM150" s="938"/>
      <c r="AN150" s="813">
        <f t="shared" si="169"/>
        <v>8</v>
      </c>
      <c r="AO150" s="803">
        <f t="shared" si="180"/>
        <v>3.5708693825028397</v>
      </c>
      <c r="AP150" s="803">
        <f t="shared" si="180"/>
        <v>3.3514395559282</v>
      </c>
      <c r="AQ150" s="803">
        <f t="shared" si="180"/>
        <v>3.0003518334087764</v>
      </c>
      <c r="AR150" s="804"/>
      <c r="AS150" s="1052">
        <f t="shared" si="176"/>
        <v>-1000000</v>
      </c>
      <c r="AT150" s="803">
        <f t="shared" si="171"/>
        <v>3</v>
      </c>
      <c r="AU150" s="804">
        <f t="shared" si="172"/>
        <v>3.8693606857010856</v>
      </c>
      <c r="AV150" s="1014">
        <f>$S$6</f>
        <v>3.35</v>
      </c>
      <c r="AW150" s="1015">
        <f>$S$7</f>
        <v>3.3</v>
      </c>
      <c r="AX150" s="1080">
        <f>$S$8</f>
        <v>3</v>
      </c>
      <c r="AY150" s="534"/>
      <c r="AZ150" s="804">
        <f t="shared" si="179"/>
        <v>9.65</v>
      </c>
      <c r="BB150" s="802">
        <f t="shared" si="175"/>
        <v>4.8783284127185668E-2</v>
      </c>
      <c r="BC150" s="803">
        <f t="shared" si="175"/>
        <v>2.6460279140904314E-3</v>
      </c>
      <c r="BD150" s="803">
        <f t="shared" si="175"/>
        <v>1.2378674753123914E-7</v>
      </c>
      <c r="BE150" s="804"/>
      <c r="BF150" s="813">
        <f t="shared" si="178"/>
        <v>5.1429435828023631E-2</v>
      </c>
    </row>
    <row r="151" spans="19:114" ht="15" customHeight="1" x14ac:dyDescent="0.25">
      <c r="W151" s="1078"/>
      <c r="AN151" s="814">
        <v>8.5</v>
      </c>
      <c r="AO151" s="611"/>
      <c r="AP151" s="611"/>
      <c r="AQ151" s="611"/>
      <c r="AS151" s="982">
        <f t="shared" si="176"/>
        <v>-1000000</v>
      </c>
      <c r="AT151" s="611"/>
      <c r="AU151" s="611"/>
    </row>
    <row r="152" spans="19:114" ht="15" customHeight="1" x14ac:dyDescent="0.25">
      <c r="W152" s="1078"/>
      <c r="AN152" s="1081">
        <f>K26</f>
        <v>8.5058990739490348</v>
      </c>
      <c r="AO152" s="611"/>
      <c r="AP152" s="611"/>
      <c r="AQ152" s="611"/>
      <c r="AS152" s="982">
        <f t="shared" si="176"/>
        <v>0</v>
      </c>
      <c r="AT152" s="611"/>
      <c r="AU152" s="611"/>
    </row>
    <row r="153" spans="19:114" ht="15" customHeight="1" x14ac:dyDescent="0.25">
      <c r="AN153" s="1081">
        <v>9</v>
      </c>
      <c r="AS153" s="982">
        <f t="shared" si="176"/>
        <v>1000000</v>
      </c>
    </row>
    <row r="154" spans="19:114" ht="15" customHeight="1" x14ac:dyDescent="0.25">
      <c r="W154" s="900">
        <v>8.5</v>
      </c>
      <c r="X154" s="617"/>
      <c r="Y154" s="622"/>
      <c r="Z154" s="622"/>
      <c r="AA154" s="622"/>
      <c r="AB154" s="969">
        <f>IF(W154&lt;$K$26,1000000,-1000000)</f>
        <v>1000000</v>
      </c>
      <c r="AC154" s="970">
        <f t="shared" si="165"/>
        <v>3.8693606857010856</v>
      </c>
      <c r="AE154" s="617">
        <f>$W154</f>
        <v>8.5</v>
      </c>
      <c r="AF154" s="617">
        <f t="shared" ref="AF154:AI155" si="181">($C$28-$K$25)*(1-(1-EXP(-$W154/$K$27))/(1-EXP(-1)))-$M$30*AL$3</f>
        <v>-0.18284186205052608</v>
      </c>
      <c r="AG154" s="622">
        <f t="shared" si="181"/>
        <v>-0.20219186205052625</v>
      </c>
      <c r="AH154" s="622">
        <f t="shared" si="181"/>
        <v>-0.23315186205052651</v>
      </c>
      <c r="AI154" s="623">
        <f t="shared" si="181"/>
        <v>-0.29507186205052705</v>
      </c>
      <c r="AJ154" s="768">
        <f>IF(AE154&lt;$K$27,1000000,-1000000)</f>
        <v>-1000000</v>
      </c>
      <c r="AK154" s="896">
        <v>0</v>
      </c>
      <c r="AM154" s="938"/>
      <c r="AN154" s="617">
        <f>$W154</f>
        <v>8.5</v>
      </c>
      <c r="AO154" s="617"/>
      <c r="AP154" s="622"/>
      <c r="AQ154" s="622"/>
      <c r="AR154" s="622"/>
      <c r="AS154" s="969">
        <f>IF(W154&lt;$K$26,1000000,-1000000)</f>
        <v>1000000</v>
      </c>
      <c r="AT154" s="622">
        <f t="shared" si="171"/>
        <v>3</v>
      </c>
      <c r="AU154" s="623">
        <f t="shared" si="172"/>
        <v>3.8693606857010856</v>
      </c>
    </row>
    <row r="155" spans="19:114" ht="15" customHeight="1" x14ac:dyDescent="0.25">
      <c r="W155" s="802">
        <f>W106</f>
        <v>7.0882492282908629</v>
      </c>
      <c r="X155" s="802"/>
      <c r="Y155" s="803"/>
      <c r="Z155" s="803"/>
      <c r="AA155" s="803"/>
      <c r="AB155" s="1052">
        <f>IF(W155&lt;$K$26,1000000,-1000000)</f>
        <v>1000000</v>
      </c>
      <c r="AC155" s="1053">
        <f t="shared" si="165"/>
        <v>3.8693606857010856</v>
      </c>
      <c r="AE155" s="802">
        <f>$W155</f>
        <v>7.0882492282908629</v>
      </c>
      <c r="AF155" s="802">
        <f t="shared" si="181"/>
        <v>-0.16794002432029517</v>
      </c>
      <c r="AG155" s="803">
        <f t="shared" si="181"/>
        <v>-0.18729002432029535</v>
      </c>
      <c r="AH155" s="803">
        <f t="shared" si="181"/>
        <v>-0.21825002432029561</v>
      </c>
      <c r="AI155" s="804">
        <f t="shared" si="181"/>
        <v>-0.28017002432029614</v>
      </c>
      <c r="AJ155" s="858">
        <f>IF(AE155&lt;$K$27,1000000,-1000000)</f>
        <v>-1000000</v>
      </c>
      <c r="AK155" s="925">
        <v>0</v>
      </c>
      <c r="AM155" s="938"/>
      <c r="AN155" s="802">
        <f>$W155</f>
        <v>7.0882492282908629</v>
      </c>
      <c r="AO155" s="802"/>
      <c r="AP155" s="803"/>
      <c r="AQ155" s="803"/>
      <c r="AR155" s="803"/>
      <c r="AS155" s="1052">
        <f>IF(W155&lt;$K$26,1000000,-1000000)</f>
        <v>1000000</v>
      </c>
      <c r="AT155" s="803">
        <f t="shared" si="171"/>
        <v>3</v>
      </c>
      <c r="AU155" s="804">
        <f t="shared" si="172"/>
        <v>3.8693606857010856</v>
      </c>
    </row>
    <row r="156" spans="19:114" ht="15" customHeight="1" x14ac:dyDescent="0.25">
      <c r="AY156" s="480"/>
      <c r="AZ156" s="1082">
        <f>(SUM(AZ133:AZ150))^0.5</f>
        <v>16.140360900549901</v>
      </c>
      <c r="BE156" s="480"/>
      <c r="BF156" s="1082">
        <f>(SUM(BF133:BF150))^0.5</f>
        <v>0.31998820019724061</v>
      </c>
    </row>
    <row r="157" spans="19:114" ht="15" customHeight="1" x14ac:dyDescent="0.25">
      <c r="S157" s="558"/>
      <c r="T157" s="558"/>
      <c r="AZ157" s="144" t="s">
        <v>362</v>
      </c>
      <c r="BA157" s="885">
        <f>BF156/AZ156</f>
        <v>1.9825343570002742E-2</v>
      </c>
      <c r="BB157" s="137" t="s">
        <v>363</v>
      </c>
    </row>
    <row r="158" spans="19:114" ht="15" customHeight="1" x14ac:dyDescent="0.25">
      <c r="S158" s="558"/>
      <c r="T158" s="558"/>
    </row>
    <row r="159" spans="19:114" ht="15" customHeight="1" x14ac:dyDescent="0.25">
      <c r="S159" s="558"/>
      <c r="T159" s="558"/>
    </row>
    <row r="160" spans="19:114" ht="15" customHeight="1" x14ac:dyDescent="0.25">
      <c r="S160" s="558"/>
      <c r="T160" s="558"/>
    </row>
    <row r="161" spans="19:20" ht="15" customHeight="1" x14ac:dyDescent="0.25">
      <c r="S161" s="558"/>
      <c r="T161" s="558"/>
    </row>
    <row r="162" spans="19:20" ht="15" customHeight="1" x14ac:dyDescent="0.25">
      <c r="S162" s="558"/>
      <c r="T162" s="558"/>
    </row>
    <row r="163" spans="19:20" ht="15" customHeight="1" x14ac:dyDescent="0.25">
      <c r="S163" s="558"/>
      <c r="T163" s="558"/>
    </row>
    <row r="164" spans="19:20" ht="15" customHeight="1" x14ac:dyDescent="0.25">
      <c r="S164" s="558"/>
      <c r="T164" s="558"/>
    </row>
    <row r="165" spans="19:20" ht="15" customHeight="1" x14ac:dyDescent="0.25">
      <c r="S165" s="558"/>
      <c r="T165" s="558"/>
    </row>
    <row r="166" spans="19:20" ht="15" customHeight="1" x14ac:dyDescent="0.25">
      <c r="S166" s="558"/>
      <c r="T166" s="558"/>
    </row>
  </sheetData>
  <sheetProtection sheet="1" objects="1" scenarios="1"/>
  <mergeCells count="33">
    <mergeCell ref="EI2:EK2"/>
    <mergeCell ref="EA1:ED1"/>
    <mergeCell ref="DL2:DN2"/>
    <mergeCell ref="DO2:DQ2"/>
    <mergeCell ref="DR2:DT2"/>
    <mergeCell ref="DX2:DZ2"/>
    <mergeCell ref="B3:S3"/>
    <mergeCell ref="U3:U4"/>
    <mergeCell ref="DF3:DH3"/>
    <mergeCell ref="X4:AA4"/>
    <mergeCell ref="AD4:AG4"/>
    <mergeCell ref="AK4:AO4"/>
    <mergeCell ref="AT4:AW4"/>
    <mergeCell ref="BK4:BN4"/>
    <mergeCell ref="CN4:CP4"/>
    <mergeCell ref="CQ4:CS4"/>
    <mergeCell ref="DR4:DT4"/>
    <mergeCell ref="DX4:DZ4"/>
    <mergeCell ref="EI4:EK4"/>
    <mergeCell ref="J32:J33"/>
    <mergeCell ref="AV130:AY130"/>
    <mergeCell ref="BB130:BE130"/>
    <mergeCell ref="CT4:CV4"/>
    <mergeCell ref="CW4:CY4"/>
    <mergeCell ref="DC4:DE4"/>
    <mergeCell ref="DF4:DH4"/>
    <mergeCell ref="DL4:DN4"/>
    <mergeCell ref="DO4:DQ4"/>
    <mergeCell ref="X131:AA131"/>
    <mergeCell ref="AF131:AI131"/>
    <mergeCell ref="AO132:AR132"/>
    <mergeCell ref="AV132:AY132"/>
    <mergeCell ref="BB132:BE132"/>
  </mergeCells>
  <conditionalFormatting sqref="DW5:DW126">
    <cfRule type="cellIs" dxfId="1" priority="1" operator="equal">
      <formula>$CD$32</formula>
    </cfRule>
  </conditionalFormatting>
  <pageMargins left="0.7" right="0.7" top="0.75" bottom="0.75" header="0.3" footer="0.3"/>
  <pageSetup paperSize="9" orientation="portrait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12289" r:id="rId4">
          <objectPr defaultSize="0" autoPict="0" r:id="rId5">
            <anchor moveWithCells="1">
              <from>
                <xdr:col>49</xdr:col>
                <xdr:colOff>180975</xdr:colOff>
                <xdr:row>153</xdr:row>
                <xdr:rowOff>180975</xdr:rowOff>
              </from>
              <to>
                <xdr:col>50</xdr:col>
                <xdr:colOff>428625</xdr:colOff>
                <xdr:row>155</xdr:row>
                <xdr:rowOff>38100</xdr:rowOff>
              </to>
            </anchor>
          </objectPr>
        </oleObject>
      </mc:Choice>
      <mc:Fallback>
        <oleObject progId="Equation.3" shapeId="12289" r:id="rId4"/>
      </mc:Fallback>
    </mc:AlternateContent>
    <mc:AlternateContent xmlns:mc="http://schemas.openxmlformats.org/markup-compatibility/2006">
      <mc:Choice Requires="x14">
        <oleObject progId="Equation.3" shapeId="12290" r:id="rId6">
          <objectPr defaultSize="0" autoPict="0" r:id="rId7">
            <anchor moveWithCells="1">
              <from>
                <xdr:col>55</xdr:col>
                <xdr:colOff>19050</xdr:colOff>
                <xdr:row>153</xdr:row>
                <xdr:rowOff>152400</xdr:rowOff>
              </from>
              <to>
                <xdr:col>56</xdr:col>
                <xdr:colOff>438150</xdr:colOff>
                <xdr:row>155</xdr:row>
                <xdr:rowOff>66675</xdr:rowOff>
              </to>
            </anchor>
          </objectPr>
        </oleObject>
      </mc:Choice>
      <mc:Fallback>
        <oleObject progId="Equation.3" shapeId="12290" r:id="rId6"/>
      </mc:Fallback>
    </mc:AlternateContent>
    <mc:AlternateContent xmlns:mc="http://schemas.openxmlformats.org/markup-compatibility/2006">
      <mc:Choice Requires="x14">
        <oleObject progId="Equation.3" shapeId="12291" r:id="rId8">
          <objectPr defaultSize="0" autoPict="0" r:id="rId9">
            <anchor moveWithCells="1">
              <from>
                <xdr:col>3</xdr:col>
                <xdr:colOff>161925</xdr:colOff>
                <xdr:row>16</xdr:row>
                <xdr:rowOff>152400</xdr:rowOff>
              </from>
              <to>
                <xdr:col>13</xdr:col>
                <xdr:colOff>38100</xdr:colOff>
                <xdr:row>22</xdr:row>
                <xdr:rowOff>95250</xdr:rowOff>
              </to>
            </anchor>
          </objectPr>
        </oleObject>
      </mc:Choice>
      <mc:Fallback>
        <oleObject progId="Equation.3" shapeId="12291" r:id="rId8"/>
      </mc:Fallback>
    </mc:AlternateContent>
    <mc:AlternateContent xmlns:mc="http://schemas.openxmlformats.org/markup-compatibility/2006">
      <mc:Choice Requires="x14">
        <oleObject progId="Equation.3" shapeId="12292" r:id="rId10">
          <objectPr defaultSize="0" autoPict="0" r:id="rId11">
            <anchor moveWithCells="1">
              <from>
                <xdr:col>76</xdr:col>
                <xdr:colOff>28575</xdr:colOff>
                <xdr:row>1</xdr:row>
                <xdr:rowOff>28575</xdr:rowOff>
              </from>
              <to>
                <xdr:col>85</xdr:col>
                <xdr:colOff>190500</xdr:colOff>
                <xdr:row>6</xdr:row>
                <xdr:rowOff>161925</xdr:rowOff>
              </to>
            </anchor>
          </objectPr>
        </oleObject>
      </mc:Choice>
      <mc:Fallback>
        <oleObject progId="Equation.3" shapeId="12292" r:id="rId10"/>
      </mc:Fallback>
    </mc:AlternateContent>
    <mc:AlternateContent xmlns:mc="http://schemas.openxmlformats.org/markup-compatibility/2006">
      <mc:Choice Requires="x14">
        <oleObject progId="Equation.3" shapeId="12293" r:id="rId12">
          <objectPr defaultSize="0" autoPict="0" r:id="rId13">
            <anchor moveWithCells="1">
              <from>
                <xdr:col>83</xdr:col>
                <xdr:colOff>66675</xdr:colOff>
                <xdr:row>19</xdr:row>
                <xdr:rowOff>9525</xdr:rowOff>
              </from>
              <to>
                <xdr:col>87</xdr:col>
                <xdr:colOff>19050</xdr:colOff>
                <xdr:row>21</xdr:row>
                <xdr:rowOff>180975</xdr:rowOff>
              </to>
            </anchor>
          </objectPr>
        </oleObject>
      </mc:Choice>
      <mc:Fallback>
        <oleObject progId="Equation.3" shapeId="12293" r:id="rId12"/>
      </mc:Fallback>
    </mc:AlternateContent>
    <mc:AlternateContent xmlns:mc="http://schemas.openxmlformats.org/markup-compatibility/2006">
      <mc:Choice Requires="x14">
        <oleObject progId="Equation.3" shapeId="12294" r:id="rId14">
          <objectPr defaultSize="0" autoPict="0" r:id="rId15">
            <anchor moveWithCells="1">
              <from>
                <xdr:col>75</xdr:col>
                <xdr:colOff>381000</xdr:colOff>
                <xdr:row>11</xdr:row>
                <xdr:rowOff>66675</xdr:rowOff>
              </from>
              <to>
                <xdr:col>78</xdr:col>
                <xdr:colOff>438150</xdr:colOff>
                <xdr:row>13</xdr:row>
                <xdr:rowOff>133350</xdr:rowOff>
              </to>
            </anchor>
          </objectPr>
        </oleObject>
      </mc:Choice>
      <mc:Fallback>
        <oleObject progId="Equation.3" shapeId="12294" r:id="rId14"/>
      </mc:Fallback>
    </mc:AlternateContent>
    <mc:AlternateContent xmlns:mc="http://schemas.openxmlformats.org/markup-compatibility/2006">
      <mc:Choice Requires="x14">
        <oleObject progId="Equation.3" shapeId="12295" r:id="rId16">
          <objectPr defaultSize="0" autoPict="0" r:id="rId17">
            <anchor moveWithCells="1">
              <from>
                <xdr:col>83</xdr:col>
                <xdr:colOff>190500</xdr:colOff>
                <xdr:row>22</xdr:row>
                <xdr:rowOff>171450</xdr:rowOff>
              </from>
              <to>
                <xdr:col>85</xdr:col>
                <xdr:colOff>352425</xdr:colOff>
                <xdr:row>25</xdr:row>
                <xdr:rowOff>0</xdr:rowOff>
              </to>
            </anchor>
          </objectPr>
        </oleObject>
      </mc:Choice>
      <mc:Fallback>
        <oleObject progId="Equation.3" shapeId="12295" r:id="rId16"/>
      </mc:Fallback>
    </mc:AlternateContent>
    <mc:AlternateContent xmlns:mc="http://schemas.openxmlformats.org/markup-compatibility/2006">
      <mc:Choice Requires="x14">
        <oleObject progId="Equation.3" shapeId="12296" r:id="rId18">
          <objectPr defaultSize="0" autoPict="0" r:id="rId19">
            <anchor moveWithCells="1">
              <from>
                <xdr:col>82</xdr:col>
                <xdr:colOff>390525</xdr:colOff>
                <xdr:row>14</xdr:row>
                <xdr:rowOff>95250</xdr:rowOff>
              </from>
              <to>
                <xdr:col>85</xdr:col>
                <xdr:colOff>390525</xdr:colOff>
                <xdr:row>17</xdr:row>
                <xdr:rowOff>9525</xdr:rowOff>
              </to>
            </anchor>
          </objectPr>
        </oleObject>
      </mc:Choice>
      <mc:Fallback>
        <oleObject progId="Equation.3" shapeId="12296" r:id="rId18"/>
      </mc:Fallback>
    </mc:AlternateContent>
    <mc:AlternateContent xmlns:mc="http://schemas.openxmlformats.org/markup-compatibility/2006">
      <mc:Choice Requires="x14">
        <oleObject progId="Equation.3" shapeId="12297" r:id="rId20">
          <objectPr defaultSize="0" autoPict="0" r:id="rId21">
            <anchor moveWithCells="1">
              <from>
                <xdr:col>82</xdr:col>
                <xdr:colOff>419100</xdr:colOff>
                <xdr:row>26</xdr:row>
                <xdr:rowOff>28575</xdr:rowOff>
              </from>
              <to>
                <xdr:col>86</xdr:col>
                <xdr:colOff>9525</xdr:colOff>
                <xdr:row>28</xdr:row>
                <xdr:rowOff>133350</xdr:rowOff>
              </to>
            </anchor>
          </objectPr>
        </oleObject>
      </mc:Choice>
      <mc:Fallback>
        <oleObject progId="Equation.3" shapeId="12297" r:id="rId20"/>
      </mc:Fallback>
    </mc:AlternateContent>
    <mc:AlternateContent xmlns:mc="http://schemas.openxmlformats.org/markup-compatibility/2006">
      <mc:Choice Requires="x14">
        <oleObject progId="Equation.3" shapeId="12298" r:id="rId22">
          <objectPr defaultSize="0" autoPict="0" r:id="rId23">
            <anchor moveWithCells="1">
              <from>
                <xdr:col>82</xdr:col>
                <xdr:colOff>38100</xdr:colOff>
                <xdr:row>11</xdr:row>
                <xdr:rowOff>66675</xdr:rowOff>
              </from>
              <to>
                <xdr:col>85</xdr:col>
                <xdr:colOff>438150</xdr:colOff>
                <xdr:row>13</xdr:row>
                <xdr:rowOff>142875</xdr:rowOff>
              </to>
            </anchor>
          </objectPr>
        </oleObject>
      </mc:Choice>
      <mc:Fallback>
        <oleObject progId="Equation.3" shapeId="12298" r:id="rId22"/>
      </mc:Fallback>
    </mc:AlternateContent>
    <mc:AlternateContent xmlns:mc="http://schemas.openxmlformats.org/markup-compatibility/2006">
      <mc:Choice Requires="x14">
        <oleObject progId="Equation.3" shapeId="12299" r:id="rId24">
          <objectPr defaultSize="0" autoPict="0" r:id="rId25">
            <anchor moveWithCells="1">
              <from>
                <xdr:col>75</xdr:col>
                <xdr:colOff>428625</xdr:colOff>
                <xdr:row>7</xdr:row>
                <xdr:rowOff>142875</xdr:rowOff>
              </from>
              <to>
                <xdr:col>85</xdr:col>
                <xdr:colOff>381000</xdr:colOff>
                <xdr:row>9</xdr:row>
                <xdr:rowOff>180975</xdr:rowOff>
              </to>
            </anchor>
          </objectPr>
        </oleObject>
      </mc:Choice>
      <mc:Fallback>
        <oleObject progId="Equation.3" shapeId="12299" r:id="rId24"/>
      </mc:Fallback>
    </mc:AlternateContent>
    <mc:AlternateContent xmlns:mc="http://schemas.openxmlformats.org/markup-compatibility/2006">
      <mc:Choice Requires="x14">
        <oleObject progId="Equation.3" shapeId="12300" r:id="rId26">
          <objectPr defaultSize="0" autoPict="0" r:id="rId27">
            <anchor moveWithCells="1">
              <from>
                <xdr:col>74</xdr:col>
                <xdr:colOff>438150</xdr:colOff>
                <xdr:row>14</xdr:row>
                <xdr:rowOff>0</xdr:rowOff>
              </from>
              <to>
                <xdr:col>82</xdr:col>
                <xdr:colOff>76200</xdr:colOff>
                <xdr:row>16</xdr:row>
                <xdr:rowOff>180975</xdr:rowOff>
              </to>
            </anchor>
          </objectPr>
        </oleObject>
      </mc:Choice>
      <mc:Fallback>
        <oleObject progId="Equation.3" shapeId="12300" r:id="rId26"/>
      </mc:Fallback>
    </mc:AlternateContent>
    <mc:AlternateContent xmlns:mc="http://schemas.openxmlformats.org/markup-compatibility/2006">
      <mc:Choice Requires="x14">
        <oleObject progId="Equation.3" shapeId="12301" r:id="rId28">
          <objectPr defaultSize="0" autoPict="0" r:id="rId29">
            <anchor moveWithCells="1">
              <from>
                <xdr:col>69</xdr:col>
                <xdr:colOff>66675</xdr:colOff>
                <xdr:row>17</xdr:row>
                <xdr:rowOff>28575</xdr:rowOff>
              </from>
              <to>
                <xdr:col>79</xdr:col>
                <xdr:colOff>390525</xdr:colOff>
                <xdr:row>22</xdr:row>
                <xdr:rowOff>28575</xdr:rowOff>
              </to>
            </anchor>
          </objectPr>
        </oleObject>
      </mc:Choice>
      <mc:Fallback>
        <oleObject progId="Equation.3" shapeId="12301" r:id="rId28"/>
      </mc:Fallback>
    </mc:AlternateContent>
    <mc:AlternateContent xmlns:mc="http://schemas.openxmlformats.org/markup-compatibility/2006">
      <mc:Choice Requires="x14">
        <oleObject progId="Equation.3" shapeId="12302" r:id="rId30">
          <objectPr defaultSize="0" autoPict="0" r:id="rId31">
            <anchor moveWithCells="1">
              <from>
                <xdr:col>143</xdr:col>
                <xdr:colOff>190500</xdr:colOff>
                <xdr:row>0</xdr:row>
                <xdr:rowOff>133350</xdr:rowOff>
              </from>
              <to>
                <xdr:col>149</xdr:col>
                <xdr:colOff>133350</xdr:colOff>
                <xdr:row>6</xdr:row>
                <xdr:rowOff>95250</xdr:rowOff>
              </to>
            </anchor>
          </objectPr>
        </oleObject>
      </mc:Choice>
      <mc:Fallback>
        <oleObject progId="Equation.3" shapeId="12302" r:id="rId30"/>
      </mc:Fallback>
    </mc:AlternateContent>
    <mc:AlternateContent xmlns:mc="http://schemas.openxmlformats.org/markup-compatibility/2006">
      <mc:Choice Requires="x14">
        <oleObject progId="Equation.3" shapeId="12303" r:id="rId32">
          <objectPr defaultSize="0" autoPict="0" r:id="rId33">
            <anchor moveWithCells="1">
              <from>
                <xdr:col>142</xdr:col>
                <xdr:colOff>428625</xdr:colOff>
                <xdr:row>8</xdr:row>
                <xdr:rowOff>142875</xdr:rowOff>
              </from>
              <to>
                <xdr:col>149</xdr:col>
                <xdr:colOff>333375</xdr:colOff>
                <xdr:row>13</xdr:row>
                <xdr:rowOff>47625</xdr:rowOff>
              </to>
            </anchor>
          </objectPr>
        </oleObject>
      </mc:Choice>
      <mc:Fallback>
        <oleObject progId="Equation.3" shapeId="12303" r:id="rId32"/>
      </mc:Fallback>
    </mc:AlternateContent>
    <mc:AlternateContent xmlns:mc="http://schemas.openxmlformats.org/markup-compatibility/2006">
      <mc:Choice Requires="x14">
        <oleObject progId="Equation.3" shapeId="12304" r:id="rId34">
          <objectPr defaultSize="0" autoPict="0" r:id="rId35">
            <anchor moveWithCells="1">
              <from>
                <xdr:col>142</xdr:col>
                <xdr:colOff>428625</xdr:colOff>
                <xdr:row>13</xdr:row>
                <xdr:rowOff>142875</xdr:rowOff>
              </from>
              <to>
                <xdr:col>149</xdr:col>
                <xdr:colOff>295275</xdr:colOff>
                <xdr:row>15</xdr:row>
                <xdr:rowOff>85725</xdr:rowOff>
              </to>
            </anchor>
          </objectPr>
        </oleObject>
      </mc:Choice>
      <mc:Fallback>
        <oleObject progId="Equation.3" shapeId="12304" r:id="rId3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76"/>
  <sheetViews>
    <sheetView zoomScale="75" zoomScaleNormal="75" workbookViewId="0">
      <selection activeCell="R2" sqref="R2"/>
    </sheetView>
  </sheetViews>
  <sheetFormatPr baseColWidth="10" defaultColWidth="9.7109375" defaultRowHeight="15" customHeight="1" x14ac:dyDescent="0.25"/>
  <cols>
    <col min="5" max="12" width="9.7109375" customWidth="1"/>
    <col min="15" max="15" width="9.7109375" style="138" customWidth="1"/>
    <col min="16" max="17" width="9.7109375" customWidth="1"/>
    <col min="18" max="18" width="9.7109375" style="1087" customWidth="1"/>
    <col min="19" max="22" width="9.7109375" customWidth="1"/>
  </cols>
  <sheetData>
    <row r="1" spans="1:23" ht="15" customHeight="1" x14ac:dyDescent="0.25">
      <c r="A1" s="1282" t="s">
        <v>364</v>
      </c>
      <c r="B1" s="1282"/>
      <c r="C1" s="1282"/>
      <c r="D1" s="1282"/>
      <c r="E1" s="1282"/>
      <c r="F1" s="1282"/>
      <c r="G1" s="1282"/>
      <c r="H1" s="1282"/>
      <c r="I1" s="1282"/>
      <c r="J1" s="1282"/>
      <c r="K1" s="1282"/>
      <c r="L1" s="1282"/>
      <c r="M1" s="1083"/>
      <c r="N1" s="1083"/>
      <c r="O1" s="1084"/>
      <c r="P1" s="1083"/>
      <c r="Q1" s="1083"/>
      <c r="R1" s="1083"/>
      <c r="S1" s="1083"/>
      <c r="T1" s="1083"/>
      <c r="U1" s="1083"/>
      <c r="V1" s="1083"/>
      <c r="W1" s="1083"/>
    </row>
    <row r="2" spans="1:23" ht="15" customHeight="1" x14ac:dyDescent="0.25">
      <c r="A2" s="1282"/>
      <c r="B2" s="1282"/>
      <c r="C2" s="1282"/>
      <c r="D2" s="1282"/>
      <c r="E2" s="1282"/>
      <c r="F2" s="1282"/>
      <c r="G2" s="1282"/>
      <c r="H2" s="1282"/>
      <c r="I2" s="1282"/>
      <c r="J2" s="1282"/>
      <c r="K2" s="1282"/>
      <c r="L2" s="1282"/>
      <c r="M2" s="1083"/>
      <c r="N2" s="1083"/>
      <c r="O2" s="1084"/>
      <c r="P2" s="1083"/>
      <c r="Q2" s="1083"/>
      <c r="R2" s="1083"/>
      <c r="S2" s="1083"/>
      <c r="T2" s="1083"/>
      <c r="U2" s="1083"/>
      <c r="V2" s="1083"/>
      <c r="W2" s="1083"/>
    </row>
    <row r="3" spans="1:23" ht="15" customHeight="1" x14ac:dyDescent="0.25">
      <c r="B3" s="171" t="s">
        <v>365</v>
      </c>
      <c r="C3" s="1085" t="s">
        <v>366</v>
      </c>
      <c r="D3" s="1086">
        <v>63</v>
      </c>
      <c r="I3" s="308" t="s">
        <v>367</v>
      </c>
      <c r="V3" s="1088"/>
      <c r="W3" s="1088"/>
    </row>
    <row r="4" spans="1:23" ht="15" customHeight="1" x14ac:dyDescent="0.25">
      <c r="B4" s="136" t="s">
        <v>173</v>
      </c>
      <c r="C4" s="139">
        <v>3000</v>
      </c>
      <c r="D4" s="471" t="s">
        <v>208</v>
      </c>
      <c r="E4" s="1089"/>
      <c r="V4" s="1090"/>
    </row>
    <row r="5" spans="1:23" ht="15" customHeight="1" x14ac:dyDescent="0.25">
      <c r="B5" s="136" t="s">
        <v>278</v>
      </c>
      <c r="C5" s="161">
        <v>2</v>
      </c>
      <c r="D5" s="471" t="s">
        <v>368</v>
      </c>
      <c r="O5" s="139">
        <f>K10*C6</f>
        <v>7980.4166666666697</v>
      </c>
      <c r="P5" s="471" t="s">
        <v>369</v>
      </c>
      <c r="V5" s="1090"/>
    </row>
    <row r="6" spans="1:23" ht="15" customHeight="1" x14ac:dyDescent="0.25">
      <c r="B6" s="136" t="s">
        <v>265</v>
      </c>
      <c r="C6" s="161">
        <v>2.14</v>
      </c>
      <c r="D6" s="471" t="s">
        <v>368</v>
      </c>
      <c r="V6" s="1088"/>
      <c r="W6" s="1088"/>
    </row>
    <row r="7" spans="1:23" ht="15" customHeight="1" x14ac:dyDescent="0.25">
      <c r="B7" s="136" t="s">
        <v>370</v>
      </c>
      <c r="C7" s="161">
        <v>1.75</v>
      </c>
      <c r="D7" s="471" t="s">
        <v>368</v>
      </c>
      <c r="O7" s="139">
        <f>(K10*H27*K11/1000000)*LN(I26/(K10-I27))</f>
        <v>370.69238950473982</v>
      </c>
      <c r="P7" s="471" t="s">
        <v>369</v>
      </c>
      <c r="V7" s="1091"/>
      <c r="W7" s="1092"/>
    </row>
    <row r="8" spans="1:23" ht="15" customHeight="1" x14ac:dyDescent="0.25">
      <c r="B8" s="136" t="s">
        <v>371</v>
      </c>
      <c r="C8" s="161">
        <v>2.25</v>
      </c>
      <c r="D8" s="1093" t="s">
        <v>368</v>
      </c>
      <c r="I8" s="228"/>
      <c r="J8" s="319"/>
      <c r="K8" s="319"/>
      <c r="L8" s="318"/>
      <c r="V8" s="1088"/>
      <c r="W8" s="1088"/>
    </row>
    <row r="9" spans="1:23" ht="15" customHeight="1" x14ac:dyDescent="0.25">
      <c r="B9" s="136" t="s">
        <v>372</v>
      </c>
      <c r="C9" s="139">
        <v>1310</v>
      </c>
      <c r="D9" s="1094" t="s">
        <v>373</v>
      </c>
      <c r="N9" s="136"/>
      <c r="O9" s="410"/>
      <c r="P9" s="137"/>
      <c r="V9" s="1088"/>
      <c r="W9" s="1088"/>
    </row>
    <row r="10" spans="1:23" ht="15" customHeight="1" x14ac:dyDescent="0.25">
      <c r="B10" s="136" t="s">
        <v>374</v>
      </c>
      <c r="C10" s="139" t="e">
        <f>#REF!</f>
        <v>#REF!</v>
      </c>
      <c r="D10" s="1094" t="s">
        <v>373</v>
      </c>
      <c r="J10" s="136" t="s">
        <v>268</v>
      </c>
      <c r="K10" s="1095">
        <f>H37/$H$34</f>
        <v>3729.1666666666679</v>
      </c>
      <c r="L10" s="471" t="s">
        <v>208</v>
      </c>
      <c r="V10" s="1091"/>
      <c r="W10" s="471"/>
    </row>
    <row r="11" spans="1:23" ht="15" customHeight="1" x14ac:dyDescent="0.25">
      <c r="D11" s="309"/>
      <c r="J11" s="136" t="s">
        <v>375</v>
      </c>
      <c r="K11" s="410">
        <f>(J40/K10)*1000000</f>
        <v>203.35195530726273</v>
      </c>
      <c r="L11" s="137" t="s">
        <v>376</v>
      </c>
      <c r="V11" s="1096"/>
      <c r="W11" s="1096"/>
    </row>
    <row r="12" spans="1:23" ht="15" customHeight="1" x14ac:dyDescent="0.25">
      <c r="A12" s="308" t="s">
        <v>377</v>
      </c>
      <c r="E12" s="136" t="s">
        <v>378</v>
      </c>
      <c r="F12" s="138">
        <f>6.02263*10^(23)</f>
        <v>6.02263E+23</v>
      </c>
      <c r="G12" s="471" t="s">
        <v>379</v>
      </c>
      <c r="K12" s="138"/>
      <c r="V12" s="1088"/>
      <c r="W12" s="1088"/>
    </row>
    <row r="13" spans="1:23" ht="15" customHeight="1" x14ac:dyDescent="0.25">
      <c r="B13" s="559" t="s">
        <v>380</v>
      </c>
      <c r="C13" s="1097">
        <v>3</v>
      </c>
      <c r="D13" s="1093" t="s">
        <v>381</v>
      </c>
      <c r="E13" s="136" t="s">
        <v>382</v>
      </c>
      <c r="F13" s="139">
        <v>96494</v>
      </c>
      <c r="G13" s="467" t="s">
        <v>383</v>
      </c>
      <c r="J13" s="136"/>
      <c r="K13" s="139">
        <f>1/(K11/1000000)</f>
        <v>4917.5824175824137</v>
      </c>
      <c r="L13" s="471" t="s">
        <v>91</v>
      </c>
      <c r="Q13" s="319"/>
      <c r="R13" s="1088"/>
      <c r="S13" s="1088"/>
      <c r="V13" s="1091"/>
      <c r="W13" s="471"/>
    </row>
    <row r="14" spans="1:23" ht="15" customHeight="1" x14ac:dyDescent="0.25">
      <c r="B14" s="559" t="s">
        <v>384</v>
      </c>
      <c r="C14" s="1097">
        <v>6</v>
      </c>
      <c r="D14" s="1093" t="s">
        <v>381</v>
      </c>
      <c r="E14" s="136" t="s">
        <v>385</v>
      </c>
      <c r="F14" s="139">
        <v>2</v>
      </c>
      <c r="G14" s="467" t="s">
        <v>386</v>
      </c>
      <c r="K14" s="410"/>
      <c r="Q14" s="319"/>
      <c r="R14" s="1088"/>
      <c r="S14" s="1088"/>
      <c r="T14" s="1088"/>
      <c r="U14" s="1098"/>
      <c r="V14" s="1096"/>
      <c r="W14" s="1096"/>
    </row>
    <row r="15" spans="1:23" ht="15" customHeight="1" x14ac:dyDescent="0.25">
      <c r="B15" s="136" t="s">
        <v>209</v>
      </c>
      <c r="C15" s="138">
        <f>(C21-C14-C13)/2</f>
        <v>5</v>
      </c>
      <c r="D15" s="471" t="s">
        <v>381</v>
      </c>
      <c r="E15" s="136" t="s">
        <v>387</v>
      </c>
      <c r="F15" s="139">
        <v>1000</v>
      </c>
      <c r="G15" s="1099" t="s">
        <v>373</v>
      </c>
      <c r="Q15" s="228"/>
      <c r="R15" s="1090"/>
      <c r="S15" s="1088"/>
      <c r="T15" s="1088"/>
      <c r="U15" s="1098"/>
      <c r="V15" s="1098"/>
      <c r="W15" s="1088"/>
    </row>
    <row r="16" spans="1:23" ht="15" customHeight="1" x14ac:dyDescent="0.25">
      <c r="K16" s="1100">
        <f>K13/G18</f>
        <v>3.1015463748827923</v>
      </c>
      <c r="L16" s="471" t="s">
        <v>388</v>
      </c>
      <c r="Q16" s="319"/>
      <c r="R16" s="1096"/>
      <c r="V16" s="139"/>
      <c r="W16" s="471"/>
    </row>
    <row r="17" spans="1:28" ht="15" customHeight="1" x14ac:dyDescent="0.25">
      <c r="B17" s="135" t="s">
        <v>389</v>
      </c>
      <c r="C17" s="138">
        <f>(D3-1)/2</f>
        <v>31</v>
      </c>
      <c r="D17" s="471" t="s">
        <v>390</v>
      </c>
      <c r="Q17" s="309"/>
      <c r="W17" s="1101"/>
    </row>
    <row r="18" spans="1:28" ht="15" customHeight="1" x14ac:dyDescent="0.25">
      <c r="A18" s="309"/>
      <c r="B18" s="559" t="s">
        <v>391</v>
      </c>
      <c r="C18" s="228">
        <v>737</v>
      </c>
      <c r="D18" s="1093" t="s">
        <v>381</v>
      </c>
      <c r="G18" s="139">
        <f>C28/(C15/1000)</f>
        <v>1585.5259999999998</v>
      </c>
      <c r="H18" s="467" t="s">
        <v>392</v>
      </c>
      <c r="I18" s="309"/>
      <c r="J18" s="309"/>
      <c r="Q18" s="309"/>
      <c r="W18" s="1088"/>
    </row>
    <row r="19" spans="1:28" ht="15" customHeight="1" x14ac:dyDescent="0.25">
      <c r="A19" s="309"/>
      <c r="B19" s="559" t="s">
        <v>393</v>
      </c>
      <c r="C19" s="228">
        <v>218</v>
      </c>
      <c r="D19" s="1093" t="s">
        <v>381</v>
      </c>
      <c r="I19" s="1102"/>
      <c r="J19" s="1095"/>
      <c r="K19" s="310">
        <f>H26/$C$28</f>
        <v>67.737772827440239</v>
      </c>
      <c r="L19" s="471" t="s">
        <v>394</v>
      </c>
      <c r="Q19" s="309"/>
      <c r="V19" s="1103"/>
      <c r="W19" s="471"/>
      <c r="X19" s="309"/>
    </row>
    <row r="20" spans="1:28" ht="15" customHeight="1" x14ac:dyDescent="0.25">
      <c r="A20" s="309"/>
      <c r="B20" s="559" t="s">
        <v>395</v>
      </c>
      <c r="C20" s="228">
        <v>670</v>
      </c>
      <c r="D20" s="1093" t="s">
        <v>381</v>
      </c>
      <c r="I20" s="1104"/>
      <c r="J20" s="1104"/>
      <c r="K20" s="310">
        <f>H27/$C$28</f>
        <v>47.302913985642618</v>
      </c>
      <c r="L20" s="471" t="s">
        <v>394</v>
      </c>
      <c r="W20" s="1088"/>
      <c r="X20" s="309"/>
      <c r="AA20" s="159"/>
      <c r="AB20" s="471"/>
    </row>
    <row r="21" spans="1:28" ht="15" customHeight="1" x14ac:dyDescent="0.25">
      <c r="A21" s="309"/>
      <c r="B21" s="559" t="s">
        <v>198</v>
      </c>
      <c r="C21" s="228">
        <v>19</v>
      </c>
      <c r="D21" s="1093" t="s">
        <v>381</v>
      </c>
      <c r="I21" s="1095"/>
      <c r="J21" s="1102"/>
      <c r="K21" s="1105"/>
      <c r="L21" s="309"/>
      <c r="W21" s="1088"/>
      <c r="X21" s="941"/>
    </row>
    <row r="22" spans="1:28" ht="15" customHeight="1" x14ac:dyDescent="0.25">
      <c r="B22" s="136" t="s">
        <v>396</v>
      </c>
      <c r="C22" s="138">
        <v>148</v>
      </c>
      <c r="D22" s="471" t="s">
        <v>381</v>
      </c>
      <c r="K22" s="159" t="e">
        <f>((C9-F15)/(C10-F15))</f>
        <v>#REF!</v>
      </c>
      <c r="L22" s="471" t="s">
        <v>397</v>
      </c>
      <c r="N22" s="1095"/>
      <c r="W22" s="1088"/>
      <c r="X22" s="1106"/>
      <c r="AA22" s="1103"/>
      <c r="AB22" s="137"/>
    </row>
    <row r="23" spans="1:28" ht="15" customHeight="1" x14ac:dyDescent="0.25">
      <c r="B23" s="136" t="s">
        <v>398</v>
      </c>
      <c r="C23" s="138">
        <f>(C22-C13)/2</f>
        <v>72.5</v>
      </c>
      <c r="D23" s="471" t="s">
        <v>381</v>
      </c>
      <c r="I23" s="147"/>
      <c r="J23" s="147"/>
      <c r="L23" s="138"/>
      <c r="N23" s="1095"/>
      <c r="W23" s="1088"/>
      <c r="X23" s="319"/>
    </row>
    <row r="24" spans="1:28" ht="15" customHeight="1" x14ac:dyDescent="0.25">
      <c r="B24" s="136" t="s">
        <v>393</v>
      </c>
      <c r="C24" s="138">
        <v>2</v>
      </c>
      <c r="D24" s="471" t="s">
        <v>381</v>
      </c>
      <c r="E24" s="136"/>
      <c r="G24" s="1107"/>
      <c r="H24" s="1108"/>
      <c r="M24" s="1095"/>
      <c r="N24" s="1095"/>
      <c r="W24" s="1088"/>
      <c r="X24" s="309"/>
    </row>
    <row r="25" spans="1:28" s="314" customFormat="1" ht="15" customHeight="1" x14ac:dyDescent="0.25">
      <c r="B25" s="144" t="s">
        <v>399</v>
      </c>
      <c r="C25" s="1109">
        <f>C19-$C$24*2</f>
        <v>214</v>
      </c>
      <c r="D25" s="467" t="s">
        <v>381</v>
      </c>
      <c r="G25" s="949" t="s">
        <v>400</v>
      </c>
      <c r="H25" s="949" t="s">
        <v>401</v>
      </c>
      <c r="I25" s="949" t="s">
        <v>402</v>
      </c>
      <c r="J25" s="1110" t="s">
        <v>403</v>
      </c>
      <c r="K25" s="1077" t="s">
        <v>404</v>
      </c>
      <c r="L25" s="1077" t="s">
        <v>405</v>
      </c>
      <c r="M25" s="1111"/>
      <c r="N25" s="1112"/>
      <c r="O25" s="1109"/>
      <c r="R25" s="1113"/>
      <c r="W25" s="1114"/>
      <c r="X25" s="315"/>
    </row>
    <row r="26" spans="1:28" ht="15" customHeight="1" x14ac:dyDescent="0.25">
      <c r="B26" s="136" t="s">
        <v>406</v>
      </c>
      <c r="C26" s="138">
        <f>C20-$C$23</f>
        <v>597.5</v>
      </c>
      <c r="D26" s="471" t="s">
        <v>381</v>
      </c>
      <c r="E26" s="309"/>
      <c r="G26" s="1115">
        <v>5</v>
      </c>
      <c r="H26" s="1116">
        <v>537</v>
      </c>
      <c r="I26" s="1116">
        <f>G26*H26</f>
        <v>2685</v>
      </c>
      <c r="J26" s="1117">
        <v>1.75</v>
      </c>
      <c r="K26" s="1116">
        <f>-($K$10*$H26*($K$11/1000000))*LN(($K$10-$I26)/$K$10)</f>
        <v>518.38344733290342</v>
      </c>
      <c r="L26" s="1118">
        <f>((($K$10-K26)/$K$10)^2)*100</f>
        <v>74.130747926417328</v>
      </c>
      <c r="M26" s="1119"/>
      <c r="N26" s="1120"/>
      <c r="R26" s="1096"/>
      <c r="S26" s="139"/>
      <c r="T26" s="1096"/>
      <c r="U26" s="1088"/>
      <c r="W26" s="1088"/>
      <c r="X26" s="309"/>
    </row>
    <row r="27" spans="1:28" ht="15" customHeight="1" x14ac:dyDescent="0.25">
      <c r="B27" s="136" t="s">
        <v>407</v>
      </c>
      <c r="C27" s="139">
        <f>C25*C26</f>
        <v>127865</v>
      </c>
      <c r="D27" s="471" t="s">
        <v>408</v>
      </c>
      <c r="E27" s="309"/>
      <c r="G27" s="1115">
        <v>8</v>
      </c>
      <c r="H27" s="1116">
        <v>375</v>
      </c>
      <c r="I27" s="1116">
        <f>G27*H27</f>
        <v>3000</v>
      </c>
      <c r="J27" s="1117">
        <v>1.75</v>
      </c>
      <c r="K27" s="1116">
        <f>-($K$10*$H27*($K$11/1000000))*LN(($K$10-$I27)/$K$10)</f>
        <v>464.11073354991282</v>
      </c>
      <c r="L27" s="1118">
        <f>((($K$10-K27)/$K$10)^2)*100</f>
        <v>76.658031670864318</v>
      </c>
      <c r="M27" s="1095"/>
      <c r="N27" s="1095"/>
      <c r="X27" s="309"/>
    </row>
    <row r="28" spans="1:28" ht="15" customHeight="1" x14ac:dyDescent="0.25">
      <c r="B28" s="1121" t="s">
        <v>409</v>
      </c>
      <c r="C28" s="1122">
        <f>((C17*2*(C27))/1000000)</f>
        <v>7.9276299999999997</v>
      </c>
      <c r="D28" s="1123" t="s">
        <v>410</v>
      </c>
      <c r="E28" s="309"/>
      <c r="F28" s="309"/>
      <c r="G28" s="309"/>
      <c r="L28" s="1111"/>
      <c r="M28" s="1095"/>
      <c r="N28" s="1095"/>
      <c r="X28" s="319"/>
    </row>
    <row r="29" spans="1:28" ht="15" customHeight="1" x14ac:dyDescent="0.25">
      <c r="A29" s="309"/>
      <c r="B29" s="309"/>
      <c r="E29" s="309"/>
      <c r="F29" s="309"/>
      <c r="G29" s="309"/>
      <c r="L29" s="1095"/>
      <c r="M29" s="1095"/>
      <c r="N29" s="1095"/>
      <c r="O29" s="318"/>
      <c r="P29" s="1124"/>
      <c r="Q29" s="309"/>
      <c r="X29" s="309"/>
    </row>
    <row r="30" spans="1:28" ht="15" customHeight="1" x14ac:dyDescent="0.25">
      <c r="A30" s="309"/>
      <c r="B30" s="1125">
        <v>100</v>
      </c>
      <c r="C30" s="309"/>
      <c r="D30" s="309"/>
      <c r="E30" s="508"/>
      <c r="F30" s="508"/>
      <c r="G30" s="1095"/>
      <c r="H30" s="508"/>
      <c r="I30" s="1126"/>
      <c r="J30" s="1126"/>
      <c r="K30" s="1127"/>
      <c r="L30" s="1119"/>
      <c r="M30" s="1119"/>
      <c r="N30" s="1095"/>
      <c r="O30" s="318"/>
      <c r="P30" s="1124"/>
      <c r="Q30" s="309"/>
      <c r="X30" s="309"/>
    </row>
    <row r="31" spans="1:28" ht="15" customHeight="1" x14ac:dyDescent="0.25">
      <c r="A31" s="309"/>
      <c r="B31" s="331" t="s">
        <v>217</v>
      </c>
      <c r="C31" s="1095">
        <f>H26</f>
        <v>537</v>
      </c>
      <c r="D31" s="1095">
        <f>H27</f>
        <v>375</v>
      </c>
      <c r="E31" s="313"/>
      <c r="F31" s="313"/>
      <c r="G31" s="313"/>
      <c r="H31" s="1128"/>
      <c r="I31" s="1128"/>
      <c r="J31" s="1128"/>
      <c r="K31" s="1128"/>
      <c r="L31" s="1129"/>
      <c r="M31" s="1129"/>
      <c r="N31" s="1120"/>
      <c r="O31" s="1130"/>
      <c r="P31" s="1131"/>
      <c r="Q31" s="309"/>
      <c r="X31" s="309"/>
    </row>
    <row r="32" spans="1:28" s="314" customFormat="1" ht="15" customHeight="1" x14ac:dyDescent="0.25">
      <c r="A32" s="138"/>
      <c r="B32" s="139">
        <v>0</v>
      </c>
      <c r="C32" s="159">
        <f>$C$6</f>
        <v>2.14</v>
      </c>
      <c r="D32" s="159">
        <f>$C$6</f>
        <v>2.14</v>
      </c>
      <c r="E32" s="320">
        <f>$C$7</f>
        <v>1.75</v>
      </c>
      <c r="F32" s="319">
        <f t="shared" ref="F32:F75" si="0">IF(B32&lt;$K$10,-1000000,IF(B32=$K$10,0,1000000))</f>
        <v>-1000000</v>
      </c>
      <c r="G32" s="319"/>
      <c r="H32" s="1132">
        <f>$C$6-J26</f>
        <v>0.39000000000000012</v>
      </c>
      <c r="I32" s="1133">
        <f>-H26</f>
        <v>-537</v>
      </c>
      <c r="J32" s="1134">
        <f>I26*($C$6-J26)</f>
        <v>1047.1500000000003</v>
      </c>
      <c r="K32" s="1095"/>
      <c r="L32" s="1095"/>
      <c r="M32" s="1095"/>
      <c r="N32" s="1095"/>
      <c r="O32" s="318"/>
      <c r="P32" s="315"/>
      <c r="Q32" s="315"/>
      <c r="X32" s="315"/>
    </row>
    <row r="33" spans="1:25" s="314" customFormat="1" ht="15" customHeight="1" x14ac:dyDescent="0.25">
      <c r="A33" s="139"/>
      <c r="B33" s="139">
        <v>0</v>
      </c>
      <c r="C33" s="159">
        <f t="shared" ref="C33:D52" si="1">$C$6-($K$11/1000000)*C$31/(1-$B33/$K$10)</f>
        <v>2.0308000000000002</v>
      </c>
      <c r="D33" s="159">
        <f t="shared" si="1"/>
        <v>2.0637430167597768</v>
      </c>
      <c r="E33" s="320">
        <f t="shared" ref="E33:E75" si="2">$C$7</f>
        <v>1.75</v>
      </c>
      <c r="F33" s="319">
        <f t="shared" si="0"/>
        <v>-1000000</v>
      </c>
      <c r="G33" s="319"/>
      <c r="H33" s="1135">
        <f>$C$6-J27</f>
        <v>0.39000000000000012</v>
      </c>
      <c r="I33" s="1095">
        <f>-H27</f>
        <v>-375</v>
      </c>
      <c r="J33" s="1136">
        <f>I27*($C$6-J27)</f>
        <v>1170.0000000000005</v>
      </c>
      <c r="K33" s="1095"/>
      <c r="L33" s="1095"/>
      <c r="M33" s="1095"/>
      <c r="N33" s="1095"/>
      <c r="O33" s="318"/>
      <c r="P33" s="315"/>
      <c r="Q33" s="315"/>
      <c r="X33" s="315"/>
    </row>
    <row r="34" spans="1:25" s="314" customFormat="1" ht="15" customHeight="1" x14ac:dyDescent="0.25">
      <c r="A34"/>
      <c r="B34" s="139">
        <f>B33+$B$30</f>
        <v>100</v>
      </c>
      <c r="C34" s="159">
        <f t="shared" si="1"/>
        <v>2.0277910447761194</v>
      </c>
      <c r="D34" s="159">
        <f t="shared" si="1"/>
        <v>2.0616417910447762</v>
      </c>
      <c r="E34" s="320">
        <f t="shared" si="2"/>
        <v>1.75</v>
      </c>
      <c r="F34" s="319">
        <f t="shared" si="0"/>
        <v>-1000000</v>
      </c>
      <c r="G34" s="1087"/>
      <c r="H34" s="1283">
        <f>MDETERM(H32:I33)</f>
        <v>63.180000000000021</v>
      </c>
      <c r="I34" s="1284"/>
      <c r="J34" s="1137"/>
      <c r="K34" s="1104"/>
      <c r="L34" s="1095"/>
      <c r="M34" s="1095"/>
      <c r="N34" s="1095"/>
      <c r="O34" s="318"/>
      <c r="P34" s="315"/>
      <c r="Q34" s="315"/>
      <c r="X34" s="315"/>
    </row>
    <row r="35" spans="1:25" s="314" customFormat="1" ht="15" customHeight="1" x14ac:dyDescent="0.25">
      <c r="A35"/>
      <c r="B35" s="139">
        <f t="shared" ref="B35:B59" si="3">B34+$B$30</f>
        <v>200</v>
      </c>
      <c r="C35" s="159">
        <f t="shared" si="1"/>
        <v>2.0246115702479339</v>
      </c>
      <c r="D35" s="159">
        <f t="shared" si="1"/>
        <v>2.0594214876033057</v>
      </c>
      <c r="E35" s="320">
        <f t="shared" si="2"/>
        <v>1.75</v>
      </c>
      <c r="F35" s="319">
        <f t="shared" si="0"/>
        <v>-1000000</v>
      </c>
      <c r="G35" s="1096"/>
      <c r="H35" s="1138">
        <f>$J$32</f>
        <v>1047.1500000000003</v>
      </c>
      <c r="I35" s="1133">
        <f t="shared" ref="I35:I36" si="4">I32</f>
        <v>-537</v>
      </c>
      <c r="J35" s="1139"/>
      <c r="K35" s="1140"/>
      <c r="L35" s="1095"/>
      <c r="M35" s="1095"/>
      <c r="N35" s="1095"/>
      <c r="O35" s="318"/>
      <c r="P35" s="315"/>
      <c r="Q35" s="315"/>
      <c r="X35" s="315"/>
    </row>
    <row r="36" spans="1:25" s="314" customFormat="1" ht="15" customHeight="1" x14ac:dyDescent="0.25">
      <c r="A36" s="309"/>
      <c r="B36" s="139">
        <f t="shared" si="3"/>
        <v>300</v>
      </c>
      <c r="C36" s="159">
        <f t="shared" si="1"/>
        <v>2.0212466585662212</v>
      </c>
      <c r="D36" s="159">
        <f t="shared" si="1"/>
        <v>2.0570716889428917</v>
      </c>
      <c r="E36" s="320">
        <f t="shared" si="2"/>
        <v>1.75</v>
      </c>
      <c r="F36" s="319">
        <f t="shared" si="0"/>
        <v>-1000000</v>
      </c>
      <c r="G36" s="1087"/>
      <c r="H36" s="1141">
        <f>$J$33</f>
        <v>1170.0000000000005</v>
      </c>
      <c r="I36" s="1095">
        <f t="shared" si="4"/>
        <v>-375</v>
      </c>
      <c r="J36" s="1142" t="s">
        <v>398</v>
      </c>
      <c r="K36" s="1104"/>
      <c r="L36" s="1129"/>
      <c r="M36" s="1129"/>
      <c r="N36" s="1120"/>
      <c r="O36" s="1130"/>
      <c r="P36" s="1131"/>
      <c r="Q36" s="315"/>
      <c r="S36" s="309"/>
      <c r="V36" s="309"/>
      <c r="W36" s="309"/>
      <c r="X36" s="309"/>
      <c r="Y36" s="309"/>
    </row>
    <row r="37" spans="1:25" s="314" customFormat="1" ht="15" customHeight="1" x14ac:dyDescent="0.25">
      <c r="A37" s="309"/>
      <c r="B37" s="139">
        <f t="shared" si="3"/>
        <v>400</v>
      </c>
      <c r="C37" s="159">
        <f t="shared" si="1"/>
        <v>2.0176795994993744</v>
      </c>
      <c r="D37" s="159">
        <f t="shared" si="1"/>
        <v>2.0545807259073845</v>
      </c>
      <c r="E37" s="320">
        <f t="shared" si="2"/>
        <v>1.75</v>
      </c>
      <c r="F37" s="319">
        <f t="shared" si="0"/>
        <v>-1000000</v>
      </c>
      <c r="G37"/>
      <c r="H37" s="1283">
        <f>MDETERM(H35:I36)</f>
        <v>235608.75000000015</v>
      </c>
      <c r="I37" s="1284"/>
      <c r="J37" s="1137">
        <f>H37/$H$34</f>
        <v>3729.1666666666679</v>
      </c>
      <c r="K37" s="1104"/>
      <c r="L37" s="1143"/>
      <c r="M37" s="1143"/>
      <c r="N37" s="1143"/>
      <c r="O37" s="319"/>
      <c r="P37" s="315"/>
      <c r="Q37" s="315"/>
      <c r="V37" s="309"/>
      <c r="W37" s="309"/>
      <c r="X37" s="309"/>
      <c r="Y37" s="309"/>
    </row>
    <row r="38" spans="1:25" s="314" customFormat="1" ht="15" customHeight="1" x14ac:dyDescent="0.25">
      <c r="A38"/>
      <c r="B38" s="139">
        <f t="shared" si="3"/>
        <v>500</v>
      </c>
      <c r="C38" s="159">
        <f t="shared" si="1"/>
        <v>2.013891612903226</v>
      </c>
      <c r="D38" s="159">
        <f t="shared" si="1"/>
        <v>2.0519354838709676</v>
      </c>
      <c r="E38" s="320">
        <f t="shared" si="2"/>
        <v>1.75</v>
      </c>
      <c r="F38" s="319">
        <f t="shared" si="0"/>
        <v>-1000000</v>
      </c>
      <c r="G38" s="228"/>
      <c r="H38" s="1132">
        <f>H32</f>
        <v>0.39000000000000012</v>
      </c>
      <c r="I38" s="1133">
        <f>$J$32</f>
        <v>1047.1500000000003</v>
      </c>
      <c r="J38" s="1144"/>
      <c r="K38" s="1140"/>
      <c r="L38" s="1143"/>
      <c r="M38" s="1143"/>
      <c r="N38" s="1143"/>
      <c r="O38" s="319"/>
      <c r="P38" s="315"/>
      <c r="Q38" s="315"/>
      <c r="V38" s="309"/>
      <c r="W38" s="309"/>
      <c r="X38" s="309"/>
      <c r="Y38" s="309"/>
    </row>
    <row r="39" spans="1:25" ht="15" customHeight="1" x14ac:dyDescent="0.25">
      <c r="A39" s="319"/>
      <c r="B39" s="139">
        <f t="shared" si="3"/>
        <v>600</v>
      </c>
      <c r="C39" s="159">
        <f t="shared" si="1"/>
        <v>2.0098615179760322</v>
      </c>
      <c r="D39" s="159">
        <f t="shared" si="1"/>
        <v>2.0491211717709721</v>
      </c>
      <c r="E39" s="320">
        <f t="shared" si="2"/>
        <v>1.75</v>
      </c>
      <c r="F39" s="319">
        <f t="shared" si="0"/>
        <v>-1000000</v>
      </c>
      <c r="H39" s="1135">
        <f>H33</f>
        <v>0.39000000000000012</v>
      </c>
      <c r="I39" s="1095">
        <f>$J$33</f>
        <v>1170.0000000000005</v>
      </c>
      <c r="J39" s="1142" t="s">
        <v>411</v>
      </c>
      <c r="K39" s="1104"/>
      <c r="L39" s="1143"/>
      <c r="M39" s="1143"/>
      <c r="N39" s="1143"/>
      <c r="O39" s="319"/>
      <c r="P39" s="309"/>
      <c r="Q39" s="309"/>
      <c r="V39" s="309"/>
      <c r="W39" s="309"/>
      <c r="X39" s="309"/>
      <c r="Y39" s="309"/>
    </row>
    <row r="40" spans="1:25" ht="15" customHeight="1" x14ac:dyDescent="0.25">
      <c r="A40" s="309"/>
      <c r="B40" s="139">
        <f t="shared" si="3"/>
        <v>700</v>
      </c>
      <c r="C40" s="159">
        <f t="shared" si="1"/>
        <v>2.0055653370013755</v>
      </c>
      <c r="D40" s="159">
        <f t="shared" si="1"/>
        <v>2.046121045392022</v>
      </c>
      <c r="E40" s="320">
        <f t="shared" si="2"/>
        <v>1.75</v>
      </c>
      <c r="F40" s="319">
        <f t="shared" si="0"/>
        <v>-1000000</v>
      </c>
      <c r="G40" s="315"/>
      <c r="H40" s="1283">
        <f>MDETERM(H38:I39)</f>
        <v>47.911500000000068</v>
      </c>
      <c r="I40" s="1284"/>
      <c r="J40" s="1145">
        <f>H40/$H$34</f>
        <v>0.75833333333333419</v>
      </c>
      <c r="K40" s="1146"/>
      <c r="L40" s="1143"/>
      <c r="M40" s="1143"/>
      <c r="N40" s="1143"/>
      <c r="O40" s="319"/>
      <c r="P40" s="309"/>
      <c r="Q40" s="309"/>
      <c r="V40" s="309"/>
      <c r="W40" s="309"/>
      <c r="X40" s="309"/>
      <c r="Y40" s="309"/>
    </row>
    <row r="41" spans="1:25" ht="15" customHeight="1" x14ac:dyDescent="0.25">
      <c r="A41" s="309"/>
      <c r="B41" s="139">
        <f t="shared" si="3"/>
        <v>800</v>
      </c>
      <c r="C41" s="159">
        <f t="shared" si="1"/>
        <v>2.0009758179231865</v>
      </c>
      <c r="D41" s="159">
        <f t="shared" si="1"/>
        <v>2.0429160739687058</v>
      </c>
      <c r="E41" s="320">
        <f t="shared" si="2"/>
        <v>1.75</v>
      </c>
      <c r="F41" s="319">
        <f t="shared" si="0"/>
        <v>-1000000</v>
      </c>
      <c r="G41" s="315"/>
      <c r="H41" s="315"/>
      <c r="I41" s="1119"/>
      <c r="J41" s="1119"/>
      <c r="K41" s="1147"/>
      <c r="L41" s="1129"/>
      <c r="M41" s="1129"/>
      <c r="N41" s="1120"/>
      <c r="O41" s="1130"/>
      <c r="P41" s="1131"/>
      <c r="Q41" s="309"/>
      <c r="V41" s="309"/>
      <c r="W41" s="309"/>
      <c r="X41" s="309"/>
      <c r="Y41" s="309"/>
    </row>
    <row r="42" spans="1:25" ht="15" customHeight="1" x14ac:dyDescent="0.25">
      <c r="A42" s="309"/>
      <c r="B42" s="139">
        <f t="shared" si="3"/>
        <v>900</v>
      </c>
      <c r="C42" s="159">
        <f t="shared" si="1"/>
        <v>1.9960618556701031</v>
      </c>
      <c r="D42" s="159">
        <f t="shared" si="1"/>
        <v>2.0394845360824743</v>
      </c>
      <c r="E42" s="320">
        <f t="shared" si="2"/>
        <v>1.75</v>
      </c>
      <c r="F42" s="319">
        <f t="shared" si="0"/>
        <v>-1000000</v>
      </c>
      <c r="G42" s="309"/>
      <c r="H42" s="309"/>
      <c r="I42" s="1147"/>
      <c r="J42" s="1147"/>
      <c r="K42" s="1147"/>
      <c r="L42" s="1147"/>
      <c r="M42" s="1147"/>
      <c r="N42" s="1147"/>
      <c r="O42" s="228"/>
      <c r="P42" s="309"/>
      <c r="Q42" s="309"/>
      <c r="R42" s="309"/>
      <c r="S42" s="309"/>
      <c r="T42" s="309"/>
      <c r="U42" s="309"/>
      <c r="V42" s="309"/>
      <c r="W42" s="309"/>
      <c r="X42" s="309"/>
      <c r="Y42" s="309"/>
    </row>
    <row r="43" spans="1:25" ht="15" customHeight="1" x14ac:dyDescent="0.25">
      <c r="A43" s="309"/>
      <c r="B43" s="139">
        <f t="shared" si="3"/>
        <v>1000</v>
      </c>
      <c r="C43" s="159">
        <f t="shared" si="1"/>
        <v>1.990787786259542</v>
      </c>
      <c r="D43" s="159">
        <f t="shared" si="1"/>
        <v>2.0358015267175573</v>
      </c>
      <c r="E43" s="320">
        <f t="shared" si="2"/>
        <v>1.75</v>
      </c>
      <c r="F43" s="319">
        <f t="shared" si="0"/>
        <v>-1000000</v>
      </c>
      <c r="G43" s="309"/>
      <c r="H43" s="309"/>
      <c r="I43" s="1147"/>
      <c r="J43" s="1147"/>
      <c r="K43" s="1147"/>
      <c r="L43" s="1147"/>
      <c r="M43" s="1147"/>
      <c r="N43" s="1147"/>
      <c r="O43" s="228"/>
      <c r="P43" s="309"/>
      <c r="Q43" s="309"/>
      <c r="R43" s="309"/>
      <c r="S43" s="309"/>
      <c r="T43" s="309"/>
      <c r="U43" s="309"/>
      <c r="V43" s="309"/>
      <c r="W43" s="309"/>
      <c r="X43" s="309"/>
      <c r="Y43" s="309"/>
    </row>
    <row r="44" spans="1:25" ht="15" customHeight="1" x14ac:dyDescent="0.25">
      <c r="A44" s="309"/>
      <c r="B44" s="139">
        <f t="shared" si="3"/>
        <v>1100</v>
      </c>
      <c r="C44" s="159">
        <f t="shared" si="1"/>
        <v>1.9851125198098256</v>
      </c>
      <c r="D44" s="159">
        <f t="shared" si="1"/>
        <v>2.0318383518225041</v>
      </c>
      <c r="E44" s="320">
        <f t="shared" si="2"/>
        <v>1.75</v>
      </c>
      <c r="F44" s="319">
        <f t="shared" si="0"/>
        <v>-1000000</v>
      </c>
      <c r="I44" s="1119"/>
      <c r="J44" s="1119"/>
      <c r="K44" s="1147"/>
      <c r="L44" s="1147"/>
      <c r="M44" s="1147"/>
      <c r="N44" s="1147"/>
      <c r="O44" s="228"/>
      <c r="P44" s="309"/>
      <c r="Q44" s="309"/>
      <c r="R44" s="309"/>
      <c r="S44" s="309"/>
      <c r="T44" s="309"/>
      <c r="U44" s="309"/>
      <c r="V44" s="309"/>
      <c r="W44" s="309"/>
      <c r="X44" s="309"/>
      <c r="Y44" s="309"/>
    </row>
    <row r="45" spans="1:25" ht="15" customHeight="1" x14ac:dyDescent="0.25">
      <c r="A45" s="309"/>
      <c r="B45" s="139">
        <f t="shared" si="3"/>
        <v>1200</v>
      </c>
      <c r="C45" s="159">
        <f t="shared" si="1"/>
        <v>1.9789884678747942</v>
      </c>
      <c r="D45" s="159">
        <f t="shared" si="1"/>
        <v>2.0275617792421747</v>
      </c>
      <c r="E45" s="320">
        <f t="shared" si="2"/>
        <v>1.75</v>
      </c>
      <c r="F45" s="319">
        <f t="shared" si="0"/>
        <v>-1000000</v>
      </c>
      <c r="G45" s="309"/>
      <c r="H45" s="309"/>
      <c r="I45" s="1104"/>
      <c r="J45" s="1104"/>
      <c r="K45" s="1104"/>
      <c r="L45" s="1147"/>
      <c r="M45" s="1147"/>
      <c r="N45" s="1147"/>
      <c r="O45" s="228"/>
      <c r="P45" s="309"/>
      <c r="Q45" s="309"/>
      <c r="R45" s="309"/>
      <c r="S45" s="309"/>
      <c r="T45" s="309"/>
      <c r="U45" s="309"/>
      <c r="V45" s="309"/>
      <c r="W45" s="309"/>
      <c r="X45" s="309"/>
      <c r="Y45" s="309"/>
    </row>
    <row r="46" spans="1:25" ht="15" customHeight="1" x14ac:dyDescent="0.25">
      <c r="A46" s="309"/>
      <c r="B46" s="139">
        <f t="shared" si="3"/>
        <v>1300</v>
      </c>
      <c r="C46" s="159">
        <f t="shared" si="1"/>
        <v>1.9723602058319041</v>
      </c>
      <c r="D46" s="159">
        <f t="shared" si="1"/>
        <v>2.022933104631218</v>
      </c>
      <c r="E46" s="320">
        <f t="shared" si="2"/>
        <v>1.75</v>
      </c>
      <c r="F46" s="319">
        <f t="shared" si="0"/>
        <v>-1000000</v>
      </c>
      <c r="I46" s="1104"/>
      <c r="J46" s="1104"/>
      <c r="K46" s="1104"/>
      <c r="L46" s="1147"/>
      <c r="M46" s="1147"/>
      <c r="N46" s="1147"/>
      <c r="O46" s="228"/>
      <c r="P46" s="309"/>
      <c r="Q46" s="309"/>
      <c r="R46" s="309"/>
      <c r="S46" s="309"/>
      <c r="T46" s="309"/>
      <c r="U46" s="309"/>
      <c r="V46" s="309"/>
      <c r="W46" s="309"/>
      <c r="X46" s="309"/>
      <c r="Y46" s="309"/>
    </row>
    <row r="47" spans="1:25" ht="15" customHeight="1" x14ac:dyDescent="0.25">
      <c r="A47" s="309"/>
      <c r="B47" s="139">
        <f t="shared" si="3"/>
        <v>1400</v>
      </c>
      <c r="C47" s="159">
        <f t="shared" si="1"/>
        <v>1.9651627906976745</v>
      </c>
      <c r="D47" s="159">
        <f t="shared" si="1"/>
        <v>2.017906976744186</v>
      </c>
      <c r="E47" s="320">
        <f t="shared" si="2"/>
        <v>1.75</v>
      </c>
      <c r="F47" s="319">
        <f t="shared" si="0"/>
        <v>-1000000</v>
      </c>
      <c r="I47" s="1104"/>
      <c r="J47" s="1104"/>
      <c r="K47" s="1104"/>
      <c r="L47" s="1147"/>
      <c r="M47" s="1147"/>
      <c r="N47" s="1147"/>
      <c r="O47" s="228"/>
      <c r="P47" s="309"/>
      <c r="Q47" s="309"/>
      <c r="R47" s="309"/>
      <c r="S47" s="309"/>
      <c r="T47" s="309"/>
      <c r="U47" s="309"/>
      <c r="V47" s="309"/>
      <c r="W47" s="309"/>
      <c r="X47" s="309"/>
      <c r="Y47" s="309"/>
    </row>
    <row r="48" spans="1:25" ht="15" customHeight="1" x14ac:dyDescent="0.25">
      <c r="A48" s="309"/>
      <c r="B48" s="139">
        <f t="shared" si="3"/>
        <v>1500</v>
      </c>
      <c r="C48" s="159">
        <f t="shared" si="1"/>
        <v>1.9573196261682244</v>
      </c>
      <c r="D48" s="159">
        <f t="shared" si="1"/>
        <v>2.0124299065420561</v>
      </c>
      <c r="E48" s="320">
        <f t="shared" si="2"/>
        <v>1.75</v>
      </c>
      <c r="F48" s="319">
        <f t="shared" si="0"/>
        <v>-1000000</v>
      </c>
      <c r="G48" s="309"/>
      <c r="H48" s="309"/>
      <c r="I48" s="1147"/>
      <c r="J48" s="1147"/>
      <c r="K48" s="1147"/>
      <c r="L48" s="1147"/>
      <c r="M48" s="1147"/>
      <c r="N48" s="1147"/>
      <c r="O48" s="228"/>
      <c r="P48" s="309"/>
      <c r="Q48" s="309"/>
      <c r="R48" s="309"/>
      <c r="S48" s="309"/>
      <c r="T48" s="309"/>
      <c r="U48" s="309"/>
      <c r="V48" s="309"/>
      <c r="W48" s="309"/>
      <c r="X48" s="309"/>
      <c r="Y48" s="309"/>
    </row>
    <row r="49" spans="1:25" ht="15" customHeight="1" x14ac:dyDescent="0.25">
      <c r="A49" s="309"/>
      <c r="B49" s="139">
        <f t="shared" si="3"/>
        <v>1600</v>
      </c>
      <c r="C49" s="159">
        <f t="shared" si="1"/>
        <v>1.9487397260273973</v>
      </c>
      <c r="D49" s="159">
        <f t="shared" si="1"/>
        <v>2.0064383561643835</v>
      </c>
      <c r="E49" s="320">
        <f t="shared" si="2"/>
        <v>1.75</v>
      </c>
      <c r="F49" s="319">
        <f t="shared" si="0"/>
        <v>-1000000</v>
      </c>
      <c r="G49" s="309"/>
      <c r="H49" s="309"/>
      <c r="I49" s="1147"/>
      <c r="J49" s="1147"/>
      <c r="K49" s="1147"/>
      <c r="L49" s="1147"/>
      <c r="M49" s="1147"/>
      <c r="N49" s="1147"/>
      <c r="O49" s="228"/>
      <c r="P49" s="309"/>
      <c r="Q49" s="309"/>
      <c r="R49" s="309"/>
      <c r="S49" s="309"/>
      <c r="T49" s="309"/>
      <c r="U49" s="309"/>
      <c r="V49" s="309"/>
      <c r="W49" s="309"/>
      <c r="X49" s="309"/>
      <c r="Y49" s="309"/>
    </row>
    <row r="50" spans="1:25" ht="15" customHeight="1" x14ac:dyDescent="0.25">
      <c r="A50" s="309"/>
      <c r="B50" s="139">
        <f t="shared" si="3"/>
        <v>1700</v>
      </c>
      <c r="C50" s="159">
        <f t="shared" si="1"/>
        <v>1.9393141683778234</v>
      </c>
      <c r="D50" s="159">
        <f t="shared" si="1"/>
        <v>1.9998562628336756</v>
      </c>
      <c r="E50" s="320">
        <f t="shared" si="2"/>
        <v>1.75</v>
      </c>
      <c r="F50" s="319">
        <f t="shared" si="0"/>
        <v>-1000000</v>
      </c>
      <c r="G50" s="309"/>
      <c r="H50" s="309"/>
      <c r="I50" s="1147"/>
      <c r="J50" s="1147"/>
      <c r="K50" s="1147"/>
      <c r="L50" s="1147"/>
      <c r="M50" s="1147"/>
      <c r="N50" s="1147"/>
      <c r="O50" s="228"/>
      <c r="P50" s="309"/>
      <c r="Q50" s="309"/>
      <c r="R50" s="309"/>
      <c r="S50" s="309"/>
      <c r="T50" s="309"/>
      <c r="U50" s="309"/>
      <c r="V50" s="309"/>
      <c r="W50" s="309"/>
      <c r="X50" s="309"/>
      <c r="Y50" s="309"/>
    </row>
    <row r="51" spans="1:25" ht="15" customHeight="1" x14ac:dyDescent="0.25">
      <c r="A51" s="309"/>
      <c r="B51" s="139">
        <f t="shared" si="3"/>
        <v>1800</v>
      </c>
      <c r="C51" s="159">
        <f t="shared" si="1"/>
        <v>1.9289114470842332</v>
      </c>
      <c r="D51" s="159">
        <f t="shared" si="1"/>
        <v>1.9925917926565875</v>
      </c>
      <c r="E51" s="320">
        <f t="shared" si="2"/>
        <v>1.75</v>
      </c>
      <c r="F51" s="319">
        <f t="shared" si="0"/>
        <v>-1000000</v>
      </c>
      <c r="G51" s="309"/>
      <c r="H51" s="309"/>
      <c r="I51" s="1147"/>
      <c r="J51" s="1147"/>
      <c r="K51" s="1147"/>
      <c r="L51" s="1147"/>
      <c r="M51" s="1147"/>
      <c r="N51" s="1147"/>
      <c r="O51" s="228"/>
      <c r="P51" s="309"/>
      <c r="Q51" s="309"/>
      <c r="R51" s="309"/>
      <c r="S51" s="309"/>
      <c r="T51" s="309"/>
      <c r="U51" s="309"/>
      <c r="V51" s="309"/>
      <c r="W51" s="309"/>
      <c r="X51" s="309"/>
      <c r="Y51" s="309"/>
    </row>
    <row r="52" spans="1:25" ht="15" customHeight="1" x14ac:dyDescent="0.25">
      <c r="A52" s="309"/>
      <c r="B52" s="139">
        <f t="shared" si="3"/>
        <v>1900</v>
      </c>
      <c r="C52" s="159">
        <f t="shared" si="1"/>
        <v>1.9173712984054669</v>
      </c>
      <c r="D52" s="159">
        <f t="shared" si="1"/>
        <v>1.9845330296127563</v>
      </c>
      <c r="E52" s="320">
        <f t="shared" si="2"/>
        <v>1.75</v>
      </c>
      <c r="F52" s="319">
        <f t="shared" si="0"/>
        <v>-1000000</v>
      </c>
      <c r="G52" s="309"/>
      <c r="H52" s="309"/>
      <c r="I52" s="1147"/>
      <c r="J52" s="1147"/>
      <c r="K52" s="1147"/>
      <c r="L52" s="1147"/>
      <c r="M52" s="1147"/>
      <c r="N52" s="1147"/>
      <c r="O52" s="228"/>
      <c r="P52" s="309"/>
      <c r="Q52" s="309"/>
      <c r="R52" s="309"/>
      <c r="S52" s="309"/>
      <c r="T52" s="309"/>
      <c r="U52" s="309"/>
      <c r="V52" s="309"/>
      <c r="W52" s="309"/>
      <c r="X52" s="309"/>
      <c r="Y52" s="309"/>
    </row>
    <row r="53" spans="1:25" ht="15" customHeight="1" x14ac:dyDescent="0.25">
      <c r="A53" s="309"/>
      <c r="B53" s="139">
        <f t="shared" si="3"/>
        <v>2000</v>
      </c>
      <c r="C53" s="159">
        <f t="shared" ref="C53:D69" si="5">$C$6-($K$11/1000000)*C$31/(1-$B53/$K$10)</f>
        <v>1.9044963855421686</v>
      </c>
      <c r="D53" s="159">
        <f t="shared" si="5"/>
        <v>1.9755421686746988</v>
      </c>
      <c r="E53" s="320">
        <f t="shared" si="2"/>
        <v>1.75</v>
      </c>
      <c r="F53" s="319">
        <f t="shared" si="0"/>
        <v>-1000000</v>
      </c>
      <c r="G53" s="309"/>
      <c r="H53" s="309"/>
      <c r="I53" s="1147"/>
      <c r="J53" s="1147"/>
      <c r="K53" s="1147"/>
      <c r="L53" s="1147"/>
      <c r="M53" s="1147"/>
      <c r="N53" s="1147"/>
      <c r="O53" s="228"/>
      <c r="P53" s="309"/>
      <c r="Q53" s="309"/>
      <c r="R53" s="309"/>
      <c r="S53" s="309"/>
      <c r="T53" s="309"/>
      <c r="U53" s="309"/>
      <c r="V53" s="309"/>
      <c r="W53" s="309"/>
      <c r="X53" s="309"/>
      <c r="Y53" s="309"/>
    </row>
    <row r="54" spans="1:25" ht="15" customHeight="1" x14ac:dyDescent="0.25">
      <c r="A54" s="309"/>
      <c r="B54" s="139">
        <f t="shared" si="3"/>
        <v>2100</v>
      </c>
      <c r="C54" s="159">
        <f t="shared" si="5"/>
        <v>1.8900409207161126</v>
      </c>
      <c r="D54" s="159">
        <f t="shared" si="5"/>
        <v>1.965447570332481</v>
      </c>
      <c r="E54" s="320">
        <f t="shared" si="2"/>
        <v>1.75</v>
      </c>
      <c r="F54" s="319">
        <f t="shared" si="0"/>
        <v>-1000000</v>
      </c>
      <c r="G54" s="309"/>
      <c r="H54" s="309"/>
      <c r="I54" s="1147"/>
      <c r="J54" s="1147"/>
      <c r="K54" s="1147"/>
      <c r="L54" s="1147"/>
      <c r="M54" s="1147"/>
      <c r="N54" s="1147"/>
      <c r="O54" s="228"/>
      <c r="P54" s="309"/>
      <c r="Q54" s="309"/>
      <c r="R54" s="309"/>
      <c r="S54" s="309"/>
      <c r="T54" s="309"/>
      <c r="U54" s="309"/>
      <c r="V54" s="309"/>
      <c r="W54" s="309"/>
      <c r="X54" s="309"/>
      <c r="Y54" s="309"/>
    </row>
    <row r="55" spans="1:25" ht="15" customHeight="1" x14ac:dyDescent="0.25">
      <c r="A55" s="309"/>
      <c r="B55" s="139">
        <f t="shared" si="3"/>
        <v>2200</v>
      </c>
      <c r="C55" s="159">
        <f t="shared" si="5"/>
        <v>1.8736948228882835</v>
      </c>
      <c r="D55" s="159">
        <f t="shared" si="5"/>
        <v>1.954032697547684</v>
      </c>
      <c r="E55" s="320">
        <f t="shared" si="2"/>
        <v>1.75</v>
      </c>
      <c r="F55" s="319">
        <f t="shared" si="0"/>
        <v>-1000000</v>
      </c>
      <c r="G55" s="309"/>
      <c r="H55" s="309"/>
      <c r="I55" s="1147"/>
      <c r="J55" s="1147"/>
      <c r="K55" s="1147"/>
      <c r="L55" s="1147"/>
      <c r="M55" s="1147"/>
      <c r="N55" s="1147"/>
      <c r="O55" s="228"/>
      <c r="P55" s="309"/>
      <c r="Q55" s="309"/>
      <c r="R55" s="309"/>
      <c r="S55" s="309"/>
      <c r="T55" s="309"/>
      <c r="U55" s="309"/>
      <c r="V55" s="309"/>
      <c r="W55" s="309"/>
      <c r="X55" s="309"/>
      <c r="Y55" s="309"/>
    </row>
    <row r="56" spans="1:25" ht="15" customHeight="1" x14ac:dyDescent="0.25">
      <c r="A56" s="309"/>
      <c r="B56" s="139">
        <f t="shared" si="3"/>
        <v>2300</v>
      </c>
      <c r="C56" s="159">
        <f t="shared" si="5"/>
        <v>1.8550612244897959</v>
      </c>
      <c r="D56" s="159">
        <f t="shared" si="5"/>
        <v>1.9410204081632654</v>
      </c>
      <c r="E56" s="320">
        <f t="shared" si="2"/>
        <v>1.75</v>
      </c>
      <c r="F56" s="319">
        <f t="shared" si="0"/>
        <v>-1000000</v>
      </c>
      <c r="G56" s="309"/>
      <c r="H56" s="309"/>
      <c r="I56" s="1147"/>
      <c r="J56" s="1147"/>
      <c r="K56" s="1147"/>
      <c r="L56" s="1147"/>
      <c r="M56" s="1147"/>
      <c r="N56" s="1147"/>
      <c r="O56" s="228"/>
      <c r="P56" s="309"/>
      <c r="Q56" s="309"/>
      <c r="R56" s="309"/>
      <c r="S56" s="309"/>
      <c r="T56" s="309"/>
      <c r="U56" s="309"/>
      <c r="V56" s="309"/>
      <c r="W56" s="309"/>
      <c r="X56" s="309"/>
      <c r="Y56" s="309"/>
    </row>
    <row r="57" spans="1:25" ht="15" customHeight="1" x14ac:dyDescent="0.25">
      <c r="A57" s="309"/>
      <c r="B57" s="139">
        <f t="shared" si="3"/>
        <v>2400</v>
      </c>
      <c r="C57" s="159">
        <f t="shared" si="5"/>
        <v>1.8336238244514107</v>
      </c>
      <c r="D57" s="159">
        <f t="shared" si="5"/>
        <v>1.9260501567398121</v>
      </c>
      <c r="E57" s="320">
        <f t="shared" si="2"/>
        <v>1.75</v>
      </c>
      <c r="F57" s="319">
        <f t="shared" si="0"/>
        <v>-1000000</v>
      </c>
      <c r="G57" s="309"/>
      <c r="H57" s="309"/>
      <c r="I57" s="1147"/>
      <c r="J57" s="1147"/>
      <c r="K57" s="1147"/>
      <c r="L57" s="1147"/>
      <c r="M57" s="1147"/>
      <c r="N57" s="1147"/>
      <c r="O57" s="228"/>
      <c r="P57" s="309"/>
      <c r="Q57" s="309"/>
      <c r="R57" s="309"/>
      <c r="S57" s="309"/>
      <c r="T57" s="309"/>
      <c r="U57" s="309"/>
      <c r="V57" s="309"/>
      <c r="W57" s="309"/>
      <c r="X57" s="309"/>
      <c r="Y57" s="309"/>
    </row>
    <row r="58" spans="1:25" ht="15" customHeight="1" x14ac:dyDescent="0.25">
      <c r="A58" s="309"/>
      <c r="B58" s="139">
        <f t="shared" si="3"/>
        <v>2500</v>
      </c>
      <c r="C58" s="159">
        <f t="shared" si="5"/>
        <v>1.8086983050847458</v>
      </c>
      <c r="D58" s="159">
        <f t="shared" si="5"/>
        <v>1.9086440677966103</v>
      </c>
      <c r="E58" s="320">
        <f t="shared" si="2"/>
        <v>1.75</v>
      </c>
      <c r="F58" s="319">
        <f t="shared" si="0"/>
        <v>-1000000</v>
      </c>
      <c r="G58" s="309"/>
      <c r="H58" s="309"/>
      <c r="I58" s="1147"/>
      <c r="J58" s="1147"/>
      <c r="K58" s="1147"/>
      <c r="L58" s="1147"/>
      <c r="M58" s="1147"/>
      <c r="N58" s="1147"/>
      <c r="O58" s="228"/>
      <c r="P58" s="309"/>
      <c r="Q58" s="309"/>
      <c r="R58" s="309"/>
      <c r="S58" s="309"/>
      <c r="T58" s="309"/>
      <c r="U58" s="309"/>
      <c r="V58" s="309"/>
      <c r="W58" s="309"/>
      <c r="X58" s="309"/>
      <c r="Y58" s="309"/>
    </row>
    <row r="59" spans="1:25" ht="15" customHeight="1" x14ac:dyDescent="0.25">
      <c r="A59" s="309"/>
      <c r="B59" s="139">
        <f t="shared" si="3"/>
        <v>2600</v>
      </c>
      <c r="C59" s="159">
        <f t="shared" si="5"/>
        <v>1.7793579335793359</v>
      </c>
      <c r="D59" s="159">
        <f t="shared" si="5"/>
        <v>1.8881549815498155</v>
      </c>
      <c r="E59" s="320">
        <f t="shared" si="2"/>
        <v>1.75</v>
      </c>
      <c r="F59" s="319">
        <f t="shared" si="0"/>
        <v>-1000000</v>
      </c>
      <c r="G59" s="309"/>
      <c r="H59" s="309"/>
      <c r="I59" s="1147"/>
      <c r="J59" s="1147"/>
      <c r="K59" s="1147"/>
      <c r="L59" s="1147"/>
      <c r="M59" s="1147"/>
      <c r="N59" s="1147"/>
      <c r="O59" s="228"/>
      <c r="P59" s="309"/>
      <c r="Q59" s="309"/>
      <c r="R59" s="309"/>
      <c r="S59" s="309"/>
      <c r="T59" s="309"/>
      <c r="U59" s="309"/>
      <c r="V59" s="309"/>
      <c r="W59" s="309"/>
      <c r="X59" s="309"/>
      <c r="Y59" s="309"/>
    </row>
    <row r="60" spans="1:25" ht="15" customHeight="1" x14ac:dyDescent="0.25">
      <c r="A60" s="309"/>
      <c r="B60" s="1148">
        <f>I26</f>
        <v>2685</v>
      </c>
      <c r="C60" s="159">
        <f t="shared" si="5"/>
        <v>1.7500000000000002</v>
      </c>
      <c r="D60" s="159">
        <f t="shared" si="5"/>
        <v>1.8676536312849163</v>
      </c>
      <c r="E60" s="320">
        <f t="shared" si="2"/>
        <v>1.75</v>
      </c>
      <c r="F60" s="319">
        <f t="shared" si="0"/>
        <v>-1000000</v>
      </c>
      <c r="G60" s="309"/>
      <c r="H60" s="309"/>
      <c r="I60" s="1147"/>
      <c r="J60" s="1147"/>
      <c r="K60" s="1147"/>
      <c r="L60" s="1147"/>
      <c r="M60" s="1147"/>
      <c r="N60" s="1147"/>
      <c r="O60" s="228"/>
      <c r="P60" s="309"/>
      <c r="Q60" s="309"/>
      <c r="R60" s="309"/>
      <c r="S60" s="309"/>
      <c r="T60" s="309"/>
      <c r="U60" s="309"/>
      <c r="V60" s="309"/>
      <c r="W60" s="309"/>
      <c r="X60" s="309"/>
      <c r="Y60" s="309"/>
    </row>
    <row r="61" spans="1:25" ht="15" customHeight="1" x14ac:dyDescent="0.25">
      <c r="A61" s="1149"/>
      <c r="B61" s="139">
        <f>B59+$B$30</f>
        <v>2700</v>
      </c>
      <c r="C61" s="159">
        <f t="shared" si="5"/>
        <v>1.7443157894736843</v>
      </c>
      <c r="D61" s="159">
        <f t="shared" si="5"/>
        <v>1.8636842105263158</v>
      </c>
      <c r="E61" s="320">
        <f t="shared" si="2"/>
        <v>1.75</v>
      </c>
      <c r="F61" s="319">
        <f t="shared" si="0"/>
        <v>-1000000</v>
      </c>
      <c r="G61" s="204"/>
      <c r="H61" s="138"/>
      <c r="I61" s="140"/>
      <c r="J61" s="140"/>
      <c r="K61" s="140"/>
      <c r="L61" s="1147"/>
      <c r="M61" s="1147"/>
      <c r="N61" s="1147"/>
      <c r="O61" s="228"/>
      <c r="P61" s="309"/>
      <c r="Q61" s="309"/>
    </row>
    <row r="62" spans="1:25" ht="15" customHeight="1" x14ac:dyDescent="0.25">
      <c r="A62" s="1149"/>
      <c r="B62" s="139">
        <f t="shared" ref="B62:B71" si="6">B61+$B$30</f>
        <v>2800</v>
      </c>
      <c r="C62" s="159">
        <f t="shared" si="5"/>
        <v>1.701730941704036</v>
      </c>
      <c r="D62" s="159">
        <f t="shared" si="5"/>
        <v>1.8339461883408075</v>
      </c>
      <c r="E62" s="320">
        <f t="shared" si="2"/>
        <v>1.75</v>
      </c>
      <c r="F62" s="319">
        <f t="shared" si="0"/>
        <v>-1000000</v>
      </c>
      <c r="G62" s="204"/>
      <c r="H62" s="138"/>
      <c r="I62" s="140"/>
      <c r="J62" s="140"/>
      <c r="K62" s="140"/>
      <c r="L62" s="1147"/>
      <c r="M62" s="1147"/>
      <c r="N62" s="1147"/>
      <c r="O62" s="228"/>
      <c r="P62" s="309"/>
      <c r="Q62" s="309"/>
    </row>
    <row r="63" spans="1:25" ht="15" customHeight="1" x14ac:dyDescent="0.25">
      <c r="A63" s="1149"/>
      <c r="B63" s="139">
        <f t="shared" si="6"/>
        <v>2900</v>
      </c>
      <c r="C63" s="159">
        <f t="shared" si="5"/>
        <v>1.6488743718592969</v>
      </c>
      <c r="D63" s="159">
        <f t="shared" si="5"/>
        <v>1.7970351758793972</v>
      </c>
      <c r="E63" s="320">
        <f t="shared" si="2"/>
        <v>1.75</v>
      </c>
      <c r="F63" s="319">
        <f t="shared" si="0"/>
        <v>-1000000</v>
      </c>
      <c r="G63" s="204"/>
      <c r="H63" s="138"/>
      <c r="I63" s="138"/>
      <c r="J63" s="138"/>
      <c r="K63" s="138"/>
      <c r="L63" s="309"/>
      <c r="M63" s="309"/>
      <c r="N63" s="309"/>
      <c r="O63" s="228"/>
      <c r="P63" s="309"/>
      <c r="Q63" s="309"/>
    </row>
    <row r="64" spans="1:25" ht="15" customHeight="1" x14ac:dyDescent="0.25">
      <c r="A64" s="1148"/>
      <c r="B64" s="139">
        <f t="shared" si="6"/>
        <v>3000</v>
      </c>
      <c r="C64" s="159">
        <f t="shared" si="5"/>
        <v>1.5815200000000005</v>
      </c>
      <c r="D64" s="159">
        <f t="shared" si="5"/>
        <v>1.7500000000000004</v>
      </c>
      <c r="E64" s="320">
        <f t="shared" si="2"/>
        <v>1.75</v>
      </c>
      <c r="F64" s="319">
        <f t="shared" si="0"/>
        <v>-1000000</v>
      </c>
      <c r="L64" s="309"/>
      <c r="M64" s="309"/>
      <c r="N64" s="309"/>
      <c r="O64" s="228"/>
      <c r="P64" s="309"/>
      <c r="Q64" s="309"/>
    </row>
    <row r="65" spans="1:17" ht="15" customHeight="1" x14ac:dyDescent="0.25">
      <c r="A65" s="1149"/>
      <c r="B65" s="139">
        <f t="shared" si="6"/>
        <v>3100</v>
      </c>
      <c r="C65" s="159">
        <f t="shared" si="5"/>
        <v>1.492754966887418</v>
      </c>
      <c r="D65" s="159">
        <f t="shared" si="5"/>
        <v>1.6880132450331131</v>
      </c>
      <c r="E65" s="320">
        <f t="shared" si="2"/>
        <v>1.75</v>
      </c>
      <c r="F65" s="319">
        <f t="shared" si="0"/>
        <v>-1000000</v>
      </c>
      <c r="L65" s="309"/>
      <c r="M65" s="309"/>
      <c r="N65" s="309"/>
      <c r="O65" s="228"/>
      <c r="P65" s="309"/>
      <c r="Q65" s="309"/>
    </row>
    <row r="66" spans="1:17" ht="15" customHeight="1" x14ac:dyDescent="0.25">
      <c r="A66" s="1149"/>
      <c r="B66" s="139">
        <f t="shared" si="6"/>
        <v>3200</v>
      </c>
      <c r="C66" s="159">
        <f t="shared" si="5"/>
        <v>1.3704409448818906</v>
      </c>
      <c r="D66" s="159">
        <f t="shared" si="5"/>
        <v>1.602598425196851</v>
      </c>
      <c r="E66" s="320">
        <f t="shared" si="2"/>
        <v>1.75</v>
      </c>
      <c r="F66" s="319">
        <f t="shared" si="0"/>
        <v>-1000000</v>
      </c>
      <c r="L66" s="309"/>
      <c r="M66" s="309"/>
      <c r="N66" s="309"/>
      <c r="O66" s="228"/>
      <c r="P66" s="309"/>
      <c r="Q66" s="309"/>
    </row>
    <row r="67" spans="1:17" ht="15" customHeight="1" x14ac:dyDescent="0.25">
      <c r="A67" s="1149"/>
      <c r="B67" s="139">
        <f t="shared" si="6"/>
        <v>3300</v>
      </c>
      <c r="C67" s="159">
        <f t="shared" si="5"/>
        <v>1.1911262135922347</v>
      </c>
      <c r="D67" s="159">
        <f t="shared" si="5"/>
        <v>1.4773786407767002</v>
      </c>
      <c r="E67" s="320">
        <f t="shared" si="2"/>
        <v>1.75</v>
      </c>
      <c r="F67" s="319">
        <f t="shared" si="0"/>
        <v>-1000000</v>
      </c>
      <c r="L67" s="309"/>
      <c r="M67" s="309"/>
      <c r="N67" s="309"/>
      <c r="O67" s="228"/>
      <c r="P67" s="309"/>
      <c r="Q67" s="309"/>
    </row>
    <row r="68" spans="1:17" ht="15" customHeight="1" x14ac:dyDescent="0.25">
      <c r="A68" s="1148"/>
      <c r="B68" s="139">
        <f t="shared" si="6"/>
        <v>3400</v>
      </c>
      <c r="C68" s="159">
        <f t="shared" si="5"/>
        <v>0.90286075949367417</v>
      </c>
      <c r="D68" s="159">
        <f t="shared" si="5"/>
        <v>1.276075949367091</v>
      </c>
      <c r="E68" s="320">
        <f t="shared" si="2"/>
        <v>1.75</v>
      </c>
      <c r="F68" s="319">
        <f t="shared" si="0"/>
        <v>-1000000</v>
      </c>
      <c r="L68" s="309"/>
      <c r="M68" s="309"/>
      <c r="N68" s="309"/>
      <c r="O68" s="228"/>
      <c r="P68" s="309"/>
      <c r="Q68" s="309"/>
    </row>
    <row r="69" spans="1:17" ht="15" customHeight="1" x14ac:dyDescent="0.25">
      <c r="A69" s="1149"/>
      <c r="B69" s="139">
        <f t="shared" si="6"/>
        <v>3500</v>
      </c>
      <c r="C69" s="159">
        <f t="shared" si="5"/>
        <v>0.3630181818181899</v>
      </c>
      <c r="D69" s="159">
        <f t="shared" si="5"/>
        <v>0.89909090909091471</v>
      </c>
      <c r="E69" s="320">
        <f t="shared" si="2"/>
        <v>1.75</v>
      </c>
      <c r="F69" s="319">
        <f t="shared" si="0"/>
        <v>-1000000</v>
      </c>
      <c r="L69" s="309"/>
      <c r="M69" s="309"/>
      <c r="N69" s="309"/>
      <c r="O69" s="228"/>
      <c r="P69" s="309"/>
      <c r="Q69" s="309"/>
    </row>
    <row r="70" spans="1:17" ht="15" customHeight="1" x14ac:dyDescent="0.25">
      <c r="A70" s="1149"/>
      <c r="B70" s="139">
        <f t="shared" si="6"/>
        <v>3600</v>
      </c>
      <c r="C70" s="159"/>
      <c r="D70" s="159"/>
      <c r="E70" s="320">
        <f t="shared" si="2"/>
        <v>1.75</v>
      </c>
      <c r="F70" s="319">
        <f t="shared" si="0"/>
        <v>-1000000</v>
      </c>
      <c r="L70" s="309"/>
      <c r="M70" s="309"/>
      <c r="N70" s="309"/>
      <c r="O70" s="228"/>
      <c r="P70" s="309"/>
      <c r="Q70" s="309"/>
    </row>
    <row r="71" spans="1:17" ht="15" customHeight="1" x14ac:dyDescent="0.25">
      <c r="A71" s="1149"/>
      <c r="B71" s="139">
        <f t="shared" si="6"/>
        <v>3700</v>
      </c>
      <c r="C71" s="159"/>
      <c r="D71" s="159"/>
      <c r="E71" s="320">
        <f t="shared" si="2"/>
        <v>1.75</v>
      </c>
      <c r="F71" s="319">
        <f t="shared" si="0"/>
        <v>-1000000</v>
      </c>
      <c r="L71" s="309"/>
      <c r="M71" s="309"/>
      <c r="N71" s="309"/>
      <c r="O71" s="228"/>
      <c r="P71" s="309"/>
      <c r="Q71" s="309"/>
    </row>
    <row r="72" spans="1:17" ht="15" customHeight="1" x14ac:dyDescent="0.25">
      <c r="A72" s="1149"/>
      <c r="B72" s="1148">
        <f>K10</f>
        <v>3729.1666666666679</v>
      </c>
      <c r="E72" s="320">
        <f t="shared" si="2"/>
        <v>1.75</v>
      </c>
      <c r="F72" s="319">
        <f t="shared" si="0"/>
        <v>0</v>
      </c>
      <c r="L72" s="309"/>
      <c r="M72" s="309"/>
      <c r="N72" s="309"/>
      <c r="O72" s="228"/>
      <c r="P72" s="309"/>
      <c r="Q72" s="309"/>
    </row>
    <row r="73" spans="1:17" ht="15" customHeight="1" x14ac:dyDescent="0.25">
      <c r="A73" s="1149"/>
      <c r="B73" s="139">
        <f>B71+$B$30</f>
        <v>3800</v>
      </c>
      <c r="C73" s="159"/>
      <c r="D73" s="159"/>
      <c r="E73" s="320">
        <f t="shared" si="2"/>
        <v>1.75</v>
      </c>
      <c r="F73" s="319">
        <f t="shared" si="0"/>
        <v>1000000</v>
      </c>
    </row>
    <row r="74" spans="1:17" ht="15" customHeight="1" x14ac:dyDescent="0.25">
      <c r="A74" s="1149"/>
      <c r="B74" s="139">
        <f>B73+$B$30</f>
        <v>3900</v>
      </c>
      <c r="C74" s="159"/>
      <c r="D74" s="159"/>
      <c r="E74" s="320">
        <f t="shared" si="2"/>
        <v>1.75</v>
      </c>
      <c r="F74" s="319">
        <f t="shared" si="0"/>
        <v>1000000</v>
      </c>
    </row>
    <row r="75" spans="1:17" ht="15" customHeight="1" x14ac:dyDescent="0.25">
      <c r="A75" s="1148"/>
      <c r="B75" s="139">
        <f>B74+$B$30</f>
        <v>4000</v>
      </c>
      <c r="C75" s="159"/>
      <c r="D75" s="159"/>
      <c r="E75" s="320">
        <f t="shared" si="2"/>
        <v>1.75</v>
      </c>
      <c r="F75" s="319">
        <f t="shared" si="0"/>
        <v>1000000</v>
      </c>
    </row>
    <row r="76" spans="1:17" ht="15" customHeight="1" x14ac:dyDescent="0.25">
      <c r="A76" s="1149"/>
      <c r="B76" s="165"/>
      <c r="C76" s="165"/>
      <c r="D76" s="165"/>
    </row>
  </sheetData>
  <sheetProtection sheet="1" objects="1" scenarios="1"/>
  <mergeCells count="4">
    <mergeCell ref="A1:L2"/>
    <mergeCell ref="H34:I34"/>
    <mergeCell ref="H37:I37"/>
    <mergeCell ref="H40:I40"/>
  </mergeCells>
  <conditionalFormatting sqref="B76:D76">
    <cfRule type="cellIs" dxfId="0" priority="1" operator="equal">
      <formula>$C$7</formula>
    </cfRule>
  </conditionalFormatting>
  <pageMargins left="0.70866141732283472" right="0.70866141732283472" top="0.74803149606299213" bottom="0.74803149606299213" header="0.31496062992125984" footer="0.31496062992125984"/>
  <pageSetup paperSize="9" scale="98" orientation="landscape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13313" r:id="rId4">
          <objectPr defaultSize="0" autoPict="0" r:id="rId5">
            <anchor moveWithCells="1">
              <from>
                <xdr:col>5</xdr:col>
                <xdr:colOff>57150</xdr:colOff>
                <xdr:row>16</xdr:row>
                <xdr:rowOff>57150</xdr:rowOff>
              </from>
              <to>
                <xdr:col>6</xdr:col>
                <xdr:colOff>9525</xdr:colOff>
                <xdr:row>18</xdr:row>
                <xdr:rowOff>133350</xdr:rowOff>
              </to>
            </anchor>
          </objectPr>
        </oleObject>
      </mc:Choice>
      <mc:Fallback>
        <oleObject progId="Equation.3" shapeId="13313" r:id="rId4"/>
      </mc:Fallback>
    </mc:AlternateContent>
    <mc:AlternateContent xmlns:mc="http://schemas.openxmlformats.org/markup-compatibility/2006">
      <mc:Choice Requires="x14">
        <oleObject progId="Equation.3" shapeId="13314" r:id="rId6">
          <objectPr defaultSize="0" autoPict="0" r:id="rId7">
            <anchor moveWithCells="1">
              <from>
                <xdr:col>7</xdr:col>
                <xdr:colOff>161925</xdr:colOff>
                <xdr:row>20</xdr:row>
                <xdr:rowOff>152400</xdr:rowOff>
              </from>
              <to>
                <xdr:col>9</xdr:col>
                <xdr:colOff>628650</xdr:colOff>
                <xdr:row>23</xdr:row>
                <xdr:rowOff>47625</xdr:rowOff>
              </to>
            </anchor>
          </objectPr>
        </oleObject>
      </mc:Choice>
      <mc:Fallback>
        <oleObject progId="Equation.3" shapeId="13314" r:id="rId6"/>
      </mc:Fallback>
    </mc:AlternateContent>
    <mc:AlternateContent xmlns:mc="http://schemas.openxmlformats.org/markup-compatibility/2006">
      <mc:Choice Requires="x14">
        <oleObject progId="Equation.3" shapeId="13315" r:id="rId8">
          <objectPr defaultSize="0" autoPict="0" r:id="rId9">
            <anchor moveWithCells="1">
              <from>
                <xdr:col>8</xdr:col>
                <xdr:colOff>552450</xdr:colOff>
                <xdr:row>3</xdr:row>
                <xdr:rowOff>76200</xdr:rowOff>
              </from>
              <to>
                <xdr:col>11</xdr:col>
                <xdr:colOff>95250</xdr:colOff>
                <xdr:row>5</xdr:row>
                <xdr:rowOff>180975</xdr:rowOff>
              </to>
            </anchor>
          </objectPr>
        </oleObject>
      </mc:Choice>
      <mc:Fallback>
        <oleObject progId="Equation.3" shapeId="13315" r:id="rId8"/>
      </mc:Fallback>
    </mc:AlternateContent>
    <mc:AlternateContent xmlns:mc="http://schemas.openxmlformats.org/markup-compatibility/2006">
      <mc:Choice Requires="x14">
        <oleObject progId="Equation.3" shapeId="13316" r:id="rId10">
          <objectPr defaultSize="0" autoPict="0" r:id="rId11">
            <anchor moveWithCells="1">
              <from>
                <xdr:col>8</xdr:col>
                <xdr:colOff>466725</xdr:colOff>
                <xdr:row>6</xdr:row>
                <xdr:rowOff>161925</xdr:rowOff>
              </from>
              <to>
                <xdr:col>11</xdr:col>
                <xdr:colOff>190500</xdr:colOff>
                <xdr:row>8</xdr:row>
                <xdr:rowOff>19050</xdr:rowOff>
              </to>
            </anchor>
          </objectPr>
        </oleObject>
      </mc:Choice>
      <mc:Fallback>
        <oleObject progId="Equation.3" shapeId="13316" r:id="rId10"/>
      </mc:Fallback>
    </mc:AlternateContent>
    <mc:AlternateContent xmlns:mc="http://schemas.openxmlformats.org/markup-compatibility/2006">
      <mc:Choice Requires="x14">
        <oleObject progId="Equation.3" shapeId="13317" r:id="rId12">
          <objectPr defaultSize="0" autoPict="0" r:id="rId13">
            <anchor moveWithCells="1">
              <from>
                <xdr:col>8</xdr:col>
                <xdr:colOff>266700</xdr:colOff>
                <xdr:row>11</xdr:row>
                <xdr:rowOff>76200</xdr:rowOff>
              </from>
              <to>
                <xdr:col>9</xdr:col>
                <xdr:colOff>638175</xdr:colOff>
                <xdr:row>13</xdr:row>
                <xdr:rowOff>142875</xdr:rowOff>
              </to>
            </anchor>
          </objectPr>
        </oleObject>
      </mc:Choice>
      <mc:Fallback>
        <oleObject progId="Equation.3" shapeId="13317" r:id="rId12"/>
      </mc:Fallback>
    </mc:AlternateContent>
    <mc:AlternateContent xmlns:mc="http://schemas.openxmlformats.org/markup-compatibility/2006">
      <mc:Choice Requires="x14">
        <oleObject progId="Equation.3" shapeId="13318" r:id="rId14">
          <objectPr defaultSize="0" autoPict="0" r:id="rId15">
            <anchor moveWithCells="1">
              <from>
                <xdr:col>8</xdr:col>
                <xdr:colOff>295275</xdr:colOff>
                <xdr:row>17</xdr:row>
                <xdr:rowOff>85725</xdr:rowOff>
              </from>
              <to>
                <xdr:col>9</xdr:col>
                <xdr:colOff>590550</xdr:colOff>
                <xdr:row>19</xdr:row>
                <xdr:rowOff>133350</xdr:rowOff>
              </to>
            </anchor>
          </objectPr>
        </oleObject>
      </mc:Choice>
      <mc:Fallback>
        <oleObject progId="Equation.3" shapeId="13318" r:id="rId14"/>
      </mc:Fallback>
    </mc:AlternateContent>
    <mc:AlternateContent xmlns:mc="http://schemas.openxmlformats.org/markup-compatibility/2006">
      <mc:Choice Requires="x14">
        <oleObject progId="Equation.3" shapeId="13319" r:id="rId16">
          <objectPr defaultSize="0" autoPict="0" r:id="rId17">
            <anchor moveWithCells="1">
              <from>
                <xdr:col>7</xdr:col>
                <xdr:colOff>609600</xdr:colOff>
                <xdr:row>14</xdr:row>
                <xdr:rowOff>47625</xdr:rowOff>
              </from>
              <to>
                <xdr:col>10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Equation.3" shapeId="13319" r:id="rId16"/>
      </mc:Fallback>
    </mc:AlternateContent>
    <mc:AlternateContent xmlns:mc="http://schemas.openxmlformats.org/markup-compatibility/2006">
      <mc:Choice Requires="x14">
        <oleObject progId="Equation.3" shapeId="13320" r:id="rId18">
          <objectPr defaultSize="0" autoPict="0" r:id="rId19">
            <anchor moveWithCells="1">
              <from>
                <xdr:col>12</xdr:col>
                <xdr:colOff>114300</xdr:colOff>
                <xdr:row>3</xdr:row>
                <xdr:rowOff>171450</xdr:rowOff>
              </from>
              <to>
                <xdr:col>13</xdr:col>
                <xdr:colOff>619125</xdr:colOff>
                <xdr:row>5</xdr:row>
                <xdr:rowOff>19050</xdr:rowOff>
              </to>
            </anchor>
          </objectPr>
        </oleObject>
      </mc:Choice>
      <mc:Fallback>
        <oleObject progId="Equation.3" shapeId="13320" r:id="rId18"/>
      </mc:Fallback>
    </mc:AlternateContent>
    <mc:AlternateContent xmlns:mc="http://schemas.openxmlformats.org/markup-compatibility/2006">
      <mc:Choice Requires="x14">
        <oleObject progId="Equation.3" shapeId="13321" r:id="rId20">
          <objectPr defaultSize="0" autoPict="0" r:id="rId21">
            <anchor moveWithCells="1">
              <from>
                <xdr:col>12</xdr:col>
                <xdr:colOff>571500</xdr:colOff>
                <xdr:row>5</xdr:row>
                <xdr:rowOff>171450</xdr:rowOff>
              </from>
              <to>
                <xdr:col>14</xdr:col>
                <xdr:colOff>0</xdr:colOff>
                <xdr:row>7</xdr:row>
                <xdr:rowOff>19050</xdr:rowOff>
              </to>
            </anchor>
          </objectPr>
        </oleObject>
      </mc:Choice>
      <mc:Fallback>
        <oleObject progId="Equation.3" shapeId="13321" r:id="rId20"/>
      </mc:Fallback>
    </mc:AlternateContent>
    <mc:AlternateContent xmlns:mc="http://schemas.openxmlformats.org/markup-compatibility/2006">
      <mc:Choice Requires="x14">
        <oleObject progId="Equation.3" shapeId="13322" r:id="rId22">
          <objectPr defaultSize="0" autoPict="0" r:id="rId23">
            <anchor moveWithCells="1">
              <from>
                <xdr:col>11</xdr:col>
                <xdr:colOff>628650</xdr:colOff>
                <xdr:row>8</xdr:row>
                <xdr:rowOff>171450</xdr:rowOff>
              </from>
              <to>
                <xdr:col>14</xdr:col>
                <xdr:colOff>628650</xdr:colOff>
                <xdr:row>11</xdr:row>
                <xdr:rowOff>85725</xdr:rowOff>
              </to>
            </anchor>
          </objectPr>
        </oleObject>
      </mc:Choice>
      <mc:Fallback>
        <oleObject progId="Equation.3" shapeId="13322" r:id="rId22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R71"/>
  <sheetViews>
    <sheetView zoomScaleNormal="100" workbookViewId="0">
      <selection activeCell="K13" sqref="K13"/>
    </sheetView>
  </sheetViews>
  <sheetFormatPr baseColWidth="10" defaultColWidth="9.7109375" defaultRowHeight="15" customHeight="1" x14ac:dyDescent="0.25"/>
  <cols>
    <col min="1" max="1" width="2.7109375" customWidth="1"/>
    <col min="7" max="7" width="9.7109375" customWidth="1"/>
    <col min="15" max="15" width="10.5703125" bestFit="1" customWidth="1"/>
    <col min="18" max="18" width="9.7109375" customWidth="1"/>
    <col min="22" max="22" width="2.7109375" customWidth="1"/>
  </cols>
  <sheetData>
    <row r="2" spans="2:18" ht="15" customHeight="1" x14ac:dyDescent="0.4">
      <c r="G2" s="312" t="s">
        <v>237</v>
      </c>
      <c r="H2" s="1150" t="s">
        <v>412</v>
      </c>
      <c r="Q2" s="1150"/>
    </row>
    <row r="3" spans="2:18" ht="15" customHeight="1" x14ac:dyDescent="0.25">
      <c r="G3" s="312" t="s">
        <v>397</v>
      </c>
      <c r="H3" s="312" t="s">
        <v>413</v>
      </c>
      <c r="Q3" s="312"/>
      <c r="R3" s="312"/>
    </row>
    <row r="4" spans="2:18" ht="15" customHeight="1" x14ac:dyDescent="0.25">
      <c r="D4" s="312" t="s">
        <v>414</v>
      </c>
      <c r="E4" s="312" t="s">
        <v>415</v>
      </c>
      <c r="G4" s="1151">
        <v>1E-3</v>
      </c>
      <c r="H4" s="1152">
        <v>360</v>
      </c>
    </row>
    <row r="5" spans="2:18" ht="15" customHeight="1" x14ac:dyDescent="0.4">
      <c r="B5" s="1153" t="s">
        <v>416</v>
      </c>
      <c r="C5" s="1154" t="s">
        <v>34</v>
      </c>
      <c r="D5" s="1155">
        <v>1000</v>
      </c>
      <c r="E5" s="1155">
        <v>1835</v>
      </c>
      <c r="G5" s="1156">
        <v>0.01</v>
      </c>
      <c r="H5" s="1157">
        <v>308.60000000000002</v>
      </c>
      <c r="J5" s="1158"/>
      <c r="K5" s="1153"/>
      <c r="L5" s="1150"/>
      <c r="M5" s="1159"/>
    </row>
    <row r="6" spans="2:18" ht="15" customHeight="1" x14ac:dyDescent="0.25">
      <c r="B6" s="1153" t="s">
        <v>417</v>
      </c>
      <c r="C6" s="1160" t="s">
        <v>418</v>
      </c>
      <c r="D6" s="1109">
        <v>18.02</v>
      </c>
      <c r="E6" s="1109">
        <v>98.08</v>
      </c>
      <c r="G6" s="1156">
        <v>0.1</v>
      </c>
      <c r="H6" s="1157">
        <v>232.9</v>
      </c>
      <c r="J6" s="312"/>
      <c r="K6" s="1161"/>
      <c r="L6" s="312"/>
    </row>
    <row r="7" spans="2:18" ht="15" customHeight="1" x14ac:dyDescent="0.25">
      <c r="B7" s="139"/>
      <c r="C7" s="1103"/>
      <c r="G7" s="1156">
        <v>1</v>
      </c>
      <c r="H7" s="1157">
        <v>198.6</v>
      </c>
      <c r="I7" s="1162"/>
      <c r="J7" s="1163"/>
      <c r="K7" s="1164"/>
      <c r="L7" s="1164"/>
      <c r="M7" s="1165"/>
      <c r="N7" s="1148"/>
      <c r="O7" s="1148"/>
      <c r="P7" s="1148"/>
      <c r="Q7" s="1148"/>
    </row>
    <row r="8" spans="2:18" ht="15" customHeight="1" x14ac:dyDescent="0.25">
      <c r="B8" s="139"/>
      <c r="C8" s="1103"/>
      <c r="G8" s="1151">
        <v>10</v>
      </c>
      <c r="H8" s="1152">
        <v>70</v>
      </c>
      <c r="I8" s="1162"/>
      <c r="J8" s="1163"/>
      <c r="K8" s="1164"/>
      <c r="L8" s="1164"/>
      <c r="M8" s="1165"/>
      <c r="N8" s="1148"/>
      <c r="O8" s="139" t="s">
        <v>419</v>
      </c>
      <c r="P8" s="139" t="s">
        <v>420</v>
      </c>
      <c r="Q8" s="139" t="s">
        <v>91</v>
      </c>
    </row>
    <row r="9" spans="2:18" ht="15" customHeight="1" x14ac:dyDescent="0.25">
      <c r="B9" s="139"/>
      <c r="E9" s="1166"/>
      <c r="H9" s="1162"/>
      <c r="I9" s="1162"/>
      <c r="J9" s="1163"/>
      <c r="K9" s="1164"/>
      <c r="L9" s="1164"/>
      <c r="M9" s="1165"/>
      <c r="N9" s="139" t="s">
        <v>421</v>
      </c>
      <c r="O9" s="138">
        <f>O11/1000</f>
        <v>1E-3</v>
      </c>
      <c r="P9" s="138">
        <f t="shared" ref="P9:P10" si="0">O9</f>
        <v>1E-3</v>
      </c>
      <c r="Q9" s="1167">
        <f t="shared" ref="Q9:Q10" si="1">O9*P9</f>
        <v>9.9999999999999995E-7</v>
      </c>
      <c r="R9" s="139" t="s">
        <v>410</v>
      </c>
    </row>
    <row r="10" spans="2:18" ht="15" customHeight="1" x14ac:dyDescent="0.25">
      <c r="B10" s="139"/>
      <c r="C10" s="136"/>
      <c r="E10" s="1166"/>
      <c r="H10" s="1162"/>
      <c r="I10" s="1162"/>
      <c r="J10" s="1163"/>
      <c r="K10" s="1164"/>
      <c r="L10" s="1164"/>
      <c r="M10" s="1165"/>
      <c r="N10" s="139"/>
      <c r="O10" s="1103">
        <v>0.1</v>
      </c>
      <c r="P10" s="138">
        <f t="shared" si="0"/>
        <v>0.1</v>
      </c>
      <c r="Q10" s="204">
        <f t="shared" si="1"/>
        <v>1.0000000000000002E-2</v>
      </c>
      <c r="R10" s="139" t="s">
        <v>422</v>
      </c>
    </row>
    <row r="11" spans="2:18" ht="15" customHeight="1" x14ac:dyDescent="0.25">
      <c r="B11" s="139"/>
      <c r="C11" s="1103"/>
      <c r="H11" s="1162"/>
      <c r="I11" s="1162"/>
      <c r="J11" s="1163"/>
      <c r="K11" s="1164"/>
      <c r="L11" s="1164"/>
      <c r="M11" s="1165"/>
      <c r="N11" s="139"/>
      <c r="O11" s="138">
        <v>1</v>
      </c>
      <c r="P11" s="138">
        <f>O11</f>
        <v>1</v>
      </c>
      <c r="Q11" s="1168">
        <f>O11*P11</f>
        <v>1</v>
      </c>
      <c r="R11" s="139" t="s">
        <v>408</v>
      </c>
    </row>
    <row r="12" spans="2:18" ht="15" customHeight="1" x14ac:dyDescent="0.25">
      <c r="B12" s="139"/>
      <c r="C12" s="1103"/>
      <c r="E12" s="1162"/>
      <c r="F12" s="1162"/>
      <c r="H12" s="1162"/>
      <c r="I12" s="1162"/>
      <c r="J12" s="1163"/>
      <c r="K12" s="1164"/>
      <c r="L12" s="1164"/>
      <c r="M12" s="1165"/>
      <c r="N12" s="139"/>
      <c r="O12" s="139"/>
      <c r="P12" s="139"/>
      <c r="Q12" s="1148"/>
    </row>
    <row r="13" spans="2:18" ht="15" customHeight="1" x14ac:dyDescent="0.25">
      <c r="B13" s="139"/>
      <c r="C13" s="1103"/>
      <c r="E13" s="1162"/>
      <c r="F13" s="1162"/>
      <c r="H13" s="1162"/>
      <c r="I13" s="1162"/>
      <c r="J13" s="1163"/>
      <c r="K13" s="1164"/>
      <c r="L13" s="1164"/>
      <c r="M13" s="1165"/>
      <c r="N13" s="139" t="s">
        <v>391</v>
      </c>
      <c r="Q13" s="139">
        <v>100</v>
      </c>
      <c r="R13" s="139" t="s">
        <v>392</v>
      </c>
    </row>
    <row r="14" spans="2:18" ht="15" customHeight="1" x14ac:dyDescent="0.25">
      <c r="B14" s="139"/>
      <c r="C14" s="1103"/>
      <c r="E14" s="1162"/>
      <c r="F14" s="1162"/>
      <c r="H14" s="1162"/>
      <c r="I14" s="1162"/>
      <c r="J14" s="1163"/>
      <c r="K14" s="1164"/>
      <c r="L14" s="1164"/>
      <c r="M14" s="1165"/>
      <c r="N14" s="139"/>
      <c r="Q14" s="138">
        <f>Q13*100</f>
        <v>10000</v>
      </c>
      <c r="R14" s="139" t="s">
        <v>423</v>
      </c>
    </row>
    <row r="15" spans="2:18" ht="15" customHeight="1" x14ac:dyDescent="0.25">
      <c r="B15" s="139"/>
      <c r="C15" s="1103"/>
      <c r="E15" s="1162"/>
      <c r="F15" s="1162"/>
      <c r="K15" s="1148"/>
      <c r="L15" s="1148"/>
      <c r="M15" s="1148"/>
      <c r="N15" s="1148"/>
      <c r="Q15" s="139">
        <f>Q13*1000</f>
        <v>100000</v>
      </c>
      <c r="R15" s="139" t="s">
        <v>381</v>
      </c>
    </row>
    <row r="16" spans="2:18" ht="15" customHeight="1" x14ac:dyDescent="0.25">
      <c r="B16" s="139"/>
      <c r="C16" s="1103"/>
      <c r="E16" s="1162"/>
      <c r="F16" s="1162"/>
      <c r="K16" s="1148"/>
      <c r="L16" s="1148"/>
      <c r="M16" s="1148"/>
      <c r="N16" s="1148"/>
    </row>
    <row r="17" spans="2:18" ht="15" customHeight="1" x14ac:dyDescent="0.25">
      <c r="B17" s="139"/>
      <c r="C17" s="1103"/>
      <c r="E17" s="1162"/>
      <c r="F17" s="1162"/>
      <c r="K17" s="1148"/>
      <c r="L17" s="1148"/>
      <c r="M17" s="1148"/>
      <c r="O17" s="1169">
        <f>0.0018*10^(-6)</f>
        <v>1.7999999999999998E-9</v>
      </c>
      <c r="P17" s="147" t="s">
        <v>424</v>
      </c>
      <c r="Q17" s="159"/>
      <c r="R17" s="1170">
        <f>R18*100</f>
        <v>30000</v>
      </c>
    </row>
    <row r="18" spans="2:18" ht="15" customHeight="1" x14ac:dyDescent="0.25">
      <c r="B18" s="139"/>
      <c r="C18" s="1103"/>
      <c r="E18" s="1162"/>
      <c r="F18" s="1162"/>
      <c r="K18" s="1148"/>
      <c r="L18" s="1148"/>
      <c r="M18" s="1148"/>
      <c r="N18" t="s">
        <v>425</v>
      </c>
      <c r="O18" s="1169">
        <f>O17*100</f>
        <v>1.7999999999999997E-7</v>
      </c>
      <c r="P18" s="147" t="s">
        <v>426</v>
      </c>
      <c r="Q18" s="159"/>
      <c r="R18" s="1168">
        <v>300</v>
      </c>
    </row>
    <row r="19" spans="2:18" ht="15" customHeight="1" x14ac:dyDescent="0.25">
      <c r="B19" s="139"/>
      <c r="C19" s="1103"/>
      <c r="E19" s="1162"/>
      <c r="F19" s="1162"/>
      <c r="K19" s="1148"/>
      <c r="L19" s="1148"/>
      <c r="M19" s="1148"/>
      <c r="N19" s="1148"/>
      <c r="O19" s="1148"/>
      <c r="P19" s="139"/>
      <c r="Q19" s="1171"/>
      <c r="R19" s="159"/>
    </row>
    <row r="20" spans="2:18" ht="15" customHeight="1" x14ac:dyDescent="0.25">
      <c r="B20" s="139"/>
      <c r="C20" s="1103"/>
      <c r="E20" s="1162"/>
      <c r="F20" s="1162"/>
      <c r="K20" s="1148"/>
      <c r="L20" s="1148"/>
      <c r="M20" s="1148"/>
      <c r="N20" s="1148" t="s">
        <v>427</v>
      </c>
      <c r="O20" s="161">
        <f>O17*Q13/Q9</f>
        <v>0.17999999999999997</v>
      </c>
      <c r="P20" s="1172" t="s">
        <v>428</v>
      </c>
      <c r="Q20" s="1148"/>
      <c r="R20" s="1103">
        <f>(Q13/Q9)/R17</f>
        <v>3333.3333333333335</v>
      </c>
    </row>
    <row r="21" spans="2:18" ht="15" customHeight="1" x14ac:dyDescent="0.25">
      <c r="E21" s="1162"/>
      <c r="F21" s="1162"/>
      <c r="K21" s="1148"/>
      <c r="L21" s="1148"/>
      <c r="M21" s="1148"/>
      <c r="N21" s="1148"/>
      <c r="O21" s="161">
        <f>O18*Q14/Q10</f>
        <v>0.17999999999999994</v>
      </c>
      <c r="P21" s="139"/>
      <c r="Q21" s="1148"/>
      <c r="R21" s="1103">
        <f>(Q14/Q10)/R18</f>
        <v>3333.3333333333326</v>
      </c>
    </row>
    <row r="22" spans="2:18" ht="15" customHeight="1" x14ac:dyDescent="0.25">
      <c r="F22" s="1162"/>
      <c r="K22" s="1148"/>
      <c r="L22" s="1148"/>
      <c r="M22" s="1148"/>
      <c r="N22" s="1148"/>
      <c r="O22" s="1148"/>
      <c r="P22" s="139"/>
      <c r="Q22" s="1148"/>
      <c r="R22" s="1107"/>
    </row>
    <row r="23" spans="2:18" ht="15" customHeight="1" x14ac:dyDescent="0.25">
      <c r="F23" s="1162"/>
      <c r="K23" s="1148"/>
      <c r="L23" s="1148"/>
      <c r="M23" s="1148"/>
      <c r="N23" s="1148"/>
      <c r="O23" s="1148"/>
      <c r="P23" s="139"/>
      <c r="Q23" s="1171"/>
      <c r="R23" s="159"/>
    </row>
    <row r="24" spans="2:18" ht="15" customHeight="1" x14ac:dyDescent="0.25">
      <c r="E24" s="1162"/>
      <c r="F24" s="1162"/>
      <c r="K24" s="1148"/>
      <c r="L24" s="1148"/>
      <c r="M24" s="1148"/>
      <c r="N24" s="1148"/>
      <c r="O24" s="1148"/>
      <c r="P24" s="1148"/>
      <c r="Q24" s="1148"/>
    </row>
    <row r="25" spans="2:18" ht="15" customHeight="1" x14ac:dyDescent="0.25">
      <c r="E25" s="1162"/>
      <c r="F25" s="1162"/>
      <c r="K25" s="1148"/>
      <c r="L25" s="1148"/>
      <c r="M25" s="1148"/>
      <c r="N25" s="1148"/>
      <c r="O25" s="1148"/>
      <c r="P25" s="1148"/>
      <c r="Q25" s="1148"/>
    </row>
    <row r="26" spans="2:18" ht="15" customHeight="1" x14ac:dyDescent="0.25">
      <c r="B26" s="1103"/>
      <c r="E26" s="1165"/>
      <c r="F26" s="159"/>
    </row>
    <row r="27" spans="2:18" ht="15" customHeight="1" x14ac:dyDescent="0.25">
      <c r="B27" s="1103"/>
      <c r="E27" s="1165"/>
      <c r="F27" s="159"/>
    </row>
    <row r="28" spans="2:18" ht="15" customHeight="1" x14ac:dyDescent="0.25">
      <c r="B28" s="1103"/>
      <c r="E28" s="1165"/>
      <c r="F28" s="159"/>
    </row>
    <row r="29" spans="2:18" ht="15" customHeight="1" x14ac:dyDescent="0.25">
      <c r="B29" s="1103"/>
      <c r="E29" s="1165"/>
      <c r="F29" s="159"/>
    </row>
    <row r="30" spans="2:18" ht="15" customHeight="1" x14ac:dyDescent="0.25">
      <c r="B30" s="1103"/>
      <c r="E30" s="1165"/>
      <c r="F30" s="159"/>
    </row>
    <row r="31" spans="2:18" ht="15" customHeight="1" x14ac:dyDescent="0.25">
      <c r="B31" s="1103"/>
      <c r="E31" s="1165"/>
      <c r="F31" s="159"/>
    </row>
    <row r="32" spans="2:18" ht="15" customHeight="1" x14ac:dyDescent="0.25">
      <c r="B32" s="1103"/>
      <c r="E32" s="1165"/>
      <c r="F32" s="159"/>
      <c r="G32" s="1173"/>
      <c r="H32" s="1174"/>
      <c r="I32" s="1165"/>
      <c r="J32" s="1103"/>
      <c r="M32" s="1175"/>
    </row>
    <row r="33" spans="2:13" ht="15" customHeight="1" x14ac:dyDescent="0.25">
      <c r="B33" s="1103"/>
      <c r="E33" s="1165"/>
      <c r="F33" s="159"/>
      <c r="G33" s="1173"/>
      <c r="H33" s="1174"/>
      <c r="I33" s="1165"/>
      <c r="J33" s="1103"/>
      <c r="M33" s="1175"/>
    </row>
    <row r="34" spans="2:13" ht="15" customHeight="1" x14ac:dyDescent="0.25">
      <c r="B34" s="1103"/>
      <c r="E34" s="1165"/>
      <c r="F34" s="159"/>
      <c r="G34" s="1173"/>
      <c r="H34" s="1174"/>
      <c r="I34" s="1165"/>
      <c r="J34" s="1103"/>
      <c r="M34" s="1175"/>
    </row>
    <row r="35" spans="2:13" ht="15" customHeight="1" x14ac:dyDescent="0.25">
      <c r="B35" s="1103"/>
      <c r="E35" s="1165"/>
      <c r="F35" s="159"/>
      <c r="G35" s="1173"/>
      <c r="H35" s="1174"/>
      <c r="I35" s="1165"/>
      <c r="J35" s="1103"/>
      <c r="M35" s="1175"/>
    </row>
    <row r="36" spans="2:13" ht="15" customHeight="1" x14ac:dyDescent="0.25">
      <c r="B36" s="1103"/>
      <c r="E36" s="1165"/>
      <c r="F36" s="159"/>
      <c r="G36" s="1173"/>
      <c r="H36" s="1174"/>
      <c r="I36" s="1165"/>
      <c r="J36" s="1163"/>
      <c r="K36" s="1164"/>
      <c r="L36" s="1163"/>
      <c r="M36" s="1175"/>
    </row>
    <row r="37" spans="2:13" ht="15" customHeight="1" x14ac:dyDescent="0.25">
      <c r="B37" s="1103"/>
      <c r="E37" s="1165"/>
      <c r="F37" s="159"/>
      <c r="G37" s="1173"/>
      <c r="H37" s="1174"/>
      <c r="J37" s="1163"/>
      <c r="K37" s="1164"/>
      <c r="L37" s="1163"/>
      <c r="M37" s="1175"/>
    </row>
    <row r="38" spans="2:13" ht="15" customHeight="1" x14ac:dyDescent="0.25">
      <c r="B38" s="1103"/>
      <c r="E38" s="1165"/>
      <c r="F38" s="159"/>
      <c r="G38" s="1173"/>
      <c r="H38" s="1174"/>
      <c r="J38" s="1163"/>
      <c r="K38" s="1164"/>
      <c r="L38" s="1163"/>
      <c r="M38" s="1175"/>
    </row>
    <row r="39" spans="2:13" ht="15" customHeight="1" x14ac:dyDescent="0.25">
      <c r="B39" s="1103"/>
      <c r="E39" s="1165"/>
      <c r="F39" s="159"/>
      <c r="G39" s="1173"/>
      <c r="H39" s="1174"/>
      <c r="J39" s="1163"/>
      <c r="K39" s="1164"/>
      <c r="L39" s="1163"/>
      <c r="M39" s="1175"/>
    </row>
    <row r="40" spans="2:13" ht="15" customHeight="1" x14ac:dyDescent="0.25">
      <c r="B40" s="1103"/>
      <c r="E40" s="1165"/>
      <c r="F40" s="159"/>
      <c r="G40" s="1173"/>
      <c r="H40" s="1174"/>
      <c r="J40" s="1163"/>
      <c r="K40" s="1164"/>
      <c r="L40" s="1163"/>
      <c r="M40" s="1175"/>
    </row>
    <row r="41" spans="2:13" ht="15" customHeight="1" x14ac:dyDescent="0.25">
      <c r="B41" s="1103"/>
      <c r="E41" s="1165"/>
      <c r="F41" s="159"/>
      <c r="G41" s="1173"/>
      <c r="H41" s="1174"/>
      <c r="J41" s="1163"/>
      <c r="K41" s="1164"/>
      <c r="L41" s="1163"/>
      <c r="M41" s="1175"/>
    </row>
    <row r="42" spans="2:13" ht="15" customHeight="1" x14ac:dyDescent="0.25">
      <c r="B42" s="1103"/>
      <c r="E42" s="1165"/>
      <c r="F42" s="159"/>
      <c r="G42" s="1173"/>
      <c r="H42" s="1174"/>
      <c r="J42" s="1163"/>
      <c r="K42" s="1164"/>
      <c r="L42" s="1163"/>
      <c r="M42" s="1175"/>
    </row>
    <row r="43" spans="2:13" ht="15" customHeight="1" x14ac:dyDescent="0.25">
      <c r="B43" s="1103"/>
      <c r="E43" s="1165"/>
      <c r="F43" s="159"/>
      <c r="G43" s="1173"/>
      <c r="H43" s="1174"/>
      <c r="J43" s="1163"/>
      <c r="K43" s="1164"/>
      <c r="L43" s="1163"/>
      <c r="M43" s="1175"/>
    </row>
    <row r="44" spans="2:13" ht="15" customHeight="1" x14ac:dyDescent="0.25">
      <c r="B44" s="1103"/>
      <c r="E44" s="1165"/>
      <c r="F44" s="159"/>
      <c r="G44" s="1173"/>
      <c r="H44" s="1174"/>
      <c r="J44" s="1176"/>
      <c r="K44" s="1177"/>
      <c r="L44" s="1176"/>
      <c r="M44" s="1178"/>
    </row>
    <row r="45" spans="2:13" ht="15" customHeight="1" x14ac:dyDescent="0.25">
      <c r="B45" s="1103"/>
      <c r="E45" s="1165"/>
      <c r="F45" s="159"/>
      <c r="G45" s="1173"/>
      <c r="H45" s="1174"/>
      <c r="J45" s="1103"/>
      <c r="K45" s="139"/>
    </row>
    <row r="46" spans="2:13" ht="15" customHeight="1" x14ac:dyDescent="0.25">
      <c r="B46" s="1103"/>
      <c r="C46" s="159"/>
      <c r="E46" s="1165"/>
      <c r="F46" s="159"/>
      <c r="G46" s="1173"/>
      <c r="H46" s="1174"/>
      <c r="J46" s="1103"/>
      <c r="K46" s="139"/>
    </row>
    <row r="47" spans="2:13" ht="15" customHeight="1" x14ac:dyDescent="0.25">
      <c r="B47" s="1103"/>
      <c r="C47" s="159"/>
      <c r="E47" s="1165"/>
      <c r="F47" s="159"/>
      <c r="G47" s="1173"/>
      <c r="H47" s="1174"/>
      <c r="J47" s="1103"/>
      <c r="K47" s="139"/>
    </row>
    <row r="48" spans="2:13" ht="15" customHeight="1" x14ac:dyDescent="0.25">
      <c r="B48" s="1103"/>
      <c r="C48" s="159"/>
      <c r="E48" s="1165"/>
      <c r="F48" s="159"/>
      <c r="G48" s="1173"/>
      <c r="H48" s="1174"/>
      <c r="J48" s="1103"/>
      <c r="K48" s="139"/>
    </row>
    <row r="49" spans="2:11" ht="15" customHeight="1" x14ac:dyDescent="0.25">
      <c r="B49" s="1103"/>
      <c r="C49" s="159"/>
      <c r="E49" s="1165"/>
      <c r="F49" s="159"/>
      <c r="G49" s="1173"/>
      <c r="H49" s="1174"/>
      <c r="J49" s="1103"/>
      <c r="K49" s="139"/>
    </row>
    <row r="50" spans="2:11" ht="15" customHeight="1" x14ac:dyDescent="0.25">
      <c r="B50" s="1103"/>
      <c r="C50" s="159"/>
      <c r="E50" s="1165"/>
      <c r="F50" s="159"/>
      <c r="G50" s="1173"/>
      <c r="H50" s="1174"/>
      <c r="J50" s="1103"/>
      <c r="K50" s="139"/>
    </row>
    <row r="51" spans="2:11" ht="15" customHeight="1" x14ac:dyDescent="0.25">
      <c r="B51" s="1103"/>
      <c r="C51" s="159"/>
      <c r="E51" s="1165"/>
      <c r="F51" s="159"/>
      <c r="G51" s="1173"/>
      <c r="H51" s="1174"/>
      <c r="J51" s="1103"/>
      <c r="K51" s="139"/>
    </row>
    <row r="52" spans="2:11" ht="15" customHeight="1" x14ac:dyDescent="0.25">
      <c r="B52" s="1103"/>
      <c r="C52" s="159"/>
      <c r="E52" s="1165"/>
      <c r="F52" s="159"/>
      <c r="G52" s="1173"/>
      <c r="H52" s="1174"/>
      <c r="J52" s="1103"/>
      <c r="K52" s="139"/>
    </row>
    <row r="53" spans="2:11" ht="15" customHeight="1" x14ac:dyDescent="0.25">
      <c r="B53" s="1103"/>
      <c r="C53" s="159"/>
      <c r="E53" s="1165"/>
      <c r="F53" s="159"/>
      <c r="G53" s="1173"/>
      <c r="H53" s="1174"/>
      <c r="J53" s="1103"/>
      <c r="K53" s="139"/>
    </row>
    <row r="54" spans="2:11" ht="15" customHeight="1" x14ac:dyDescent="0.25">
      <c r="B54" s="1103"/>
      <c r="C54" s="159"/>
      <c r="E54" s="1165"/>
      <c r="F54" s="159"/>
      <c r="G54" s="1173"/>
      <c r="J54" s="1103"/>
    </row>
    <row r="55" spans="2:11" ht="15" customHeight="1" x14ac:dyDescent="0.25">
      <c r="E55" s="1165"/>
      <c r="F55" s="159"/>
      <c r="G55" s="1173"/>
      <c r="J55" s="1103"/>
    </row>
    <row r="56" spans="2:11" ht="15" customHeight="1" x14ac:dyDescent="0.25">
      <c r="E56" s="1165"/>
      <c r="F56" s="159"/>
      <c r="G56" s="1173"/>
      <c r="J56" s="1103"/>
    </row>
    <row r="57" spans="2:11" ht="15" customHeight="1" x14ac:dyDescent="0.25">
      <c r="E57" s="1165"/>
      <c r="F57" s="159"/>
      <c r="G57" s="1173"/>
      <c r="J57" s="1103"/>
    </row>
    <row r="58" spans="2:11" ht="15" customHeight="1" x14ac:dyDescent="0.25">
      <c r="E58" s="1165"/>
      <c r="F58" s="159"/>
      <c r="G58" s="1173"/>
      <c r="J58" s="1103"/>
    </row>
    <row r="59" spans="2:11" ht="15" customHeight="1" x14ac:dyDescent="0.25">
      <c r="E59" s="1165"/>
      <c r="F59" s="159"/>
      <c r="G59" s="1173"/>
      <c r="J59" s="1103"/>
    </row>
    <row r="60" spans="2:11" ht="15" customHeight="1" x14ac:dyDescent="0.25">
      <c r="E60" s="1165"/>
      <c r="F60" s="159"/>
      <c r="G60" s="1173"/>
      <c r="J60" s="1103"/>
    </row>
    <row r="61" spans="2:11" ht="15" customHeight="1" x14ac:dyDescent="0.25">
      <c r="E61" s="1165"/>
      <c r="F61" s="159"/>
      <c r="G61" s="1173"/>
      <c r="J61" s="1103"/>
    </row>
    <row r="62" spans="2:11" ht="15" customHeight="1" x14ac:dyDescent="0.25">
      <c r="E62" s="1165"/>
      <c r="F62" s="159"/>
      <c r="G62" s="1173"/>
      <c r="J62" s="1103"/>
    </row>
    <row r="63" spans="2:11" ht="15" customHeight="1" x14ac:dyDescent="0.25">
      <c r="E63" s="1165"/>
      <c r="F63" s="159"/>
      <c r="G63" s="1173"/>
    </row>
    <row r="64" spans="2:11" ht="15" customHeight="1" x14ac:dyDescent="0.25">
      <c r="E64" s="1165"/>
      <c r="F64" s="159"/>
      <c r="G64" s="1173"/>
    </row>
    <row r="65" spans="5:7" ht="15" customHeight="1" x14ac:dyDescent="0.25">
      <c r="E65" s="1165"/>
      <c r="F65" s="159"/>
      <c r="G65" s="1173"/>
    </row>
    <row r="66" spans="5:7" ht="15" customHeight="1" x14ac:dyDescent="0.25">
      <c r="E66" s="1165"/>
      <c r="F66" s="159"/>
      <c r="G66" s="1173"/>
    </row>
    <row r="67" spans="5:7" ht="15" customHeight="1" x14ac:dyDescent="0.25">
      <c r="E67" s="1165"/>
      <c r="F67" s="159"/>
      <c r="G67" s="1173"/>
    </row>
    <row r="68" spans="5:7" ht="15" customHeight="1" x14ac:dyDescent="0.25">
      <c r="E68" s="1165"/>
      <c r="F68" s="159"/>
      <c r="G68" s="1173"/>
    </row>
    <row r="69" spans="5:7" ht="15" customHeight="1" x14ac:dyDescent="0.25">
      <c r="E69" s="1165"/>
      <c r="F69" s="159"/>
      <c r="G69" s="1173"/>
    </row>
    <row r="70" spans="5:7" ht="15" customHeight="1" x14ac:dyDescent="0.25">
      <c r="E70" s="1165"/>
      <c r="F70" s="159"/>
      <c r="G70" s="1173"/>
    </row>
    <row r="71" spans="5:7" ht="15" customHeight="1" x14ac:dyDescent="0.25">
      <c r="E71" s="1165"/>
      <c r="F71" s="159"/>
      <c r="G71" s="1173"/>
    </row>
  </sheetData>
  <sheetProtection sheet="1" objects="1" scenarios="1"/>
  <pageMargins left="0.7" right="0.7" top="0.75" bottom="0.75" header="0.3" footer="0.3"/>
  <pageSetup paperSize="9" orientation="portrait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14337" r:id="rId4">
          <objectPr defaultSize="0" autoPict="0" r:id="rId5">
            <anchor moveWithCells="1">
              <from>
                <xdr:col>8</xdr:col>
                <xdr:colOff>600075</xdr:colOff>
                <xdr:row>4</xdr:row>
                <xdr:rowOff>161925</xdr:rowOff>
              </from>
              <to>
                <xdr:col>11</xdr:col>
                <xdr:colOff>285750</xdr:colOff>
                <xdr:row>7</xdr:row>
                <xdr:rowOff>57150</xdr:rowOff>
              </to>
            </anchor>
          </objectPr>
        </oleObject>
      </mc:Choice>
      <mc:Fallback>
        <oleObject progId="Equation.3" shapeId="14337" r:id="rId4"/>
      </mc:Fallback>
    </mc:AlternateContent>
    <mc:AlternateContent xmlns:mc="http://schemas.openxmlformats.org/markup-compatibility/2006">
      <mc:Choice Requires="x14">
        <oleObject progId="Equation.3" shapeId="14338" r:id="rId6">
          <objectPr defaultSize="0" autoPict="0" r:id="rId7">
            <anchor moveWithCells="1">
              <from>
                <xdr:col>8</xdr:col>
                <xdr:colOff>600075</xdr:colOff>
                <xdr:row>1</xdr:row>
                <xdr:rowOff>142875</xdr:rowOff>
              </from>
              <to>
                <xdr:col>12</xdr:col>
                <xdr:colOff>209550</xdr:colOff>
                <xdr:row>3</xdr:row>
                <xdr:rowOff>0</xdr:rowOff>
              </to>
            </anchor>
          </objectPr>
        </oleObject>
      </mc:Choice>
      <mc:Fallback>
        <oleObject progId="Equation.3" shapeId="14338" r:id="rId6"/>
      </mc:Fallback>
    </mc:AlternateContent>
    <mc:AlternateContent xmlns:mc="http://schemas.openxmlformats.org/markup-compatibility/2006">
      <mc:Choice Requires="x14">
        <oleObject progId="Equation.3" shapeId="14339" r:id="rId8">
          <objectPr defaultSize="0" autoPict="0" r:id="rId9">
            <anchor moveWithCells="1">
              <from>
                <xdr:col>12</xdr:col>
                <xdr:colOff>619125</xdr:colOff>
                <xdr:row>3</xdr:row>
                <xdr:rowOff>161925</xdr:rowOff>
              </from>
              <to>
                <xdr:col>15</xdr:col>
                <xdr:colOff>0</xdr:colOff>
                <xdr:row>5</xdr:row>
                <xdr:rowOff>9525</xdr:rowOff>
              </to>
            </anchor>
          </objectPr>
        </oleObject>
      </mc:Choice>
      <mc:Fallback>
        <oleObject progId="Equation.3" shapeId="14339" r:id="rId8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G556"/>
  <sheetViews>
    <sheetView tabSelected="1" zoomScaleNormal="100" workbookViewId="0">
      <selection activeCell="F8" sqref="F8"/>
    </sheetView>
  </sheetViews>
  <sheetFormatPr baseColWidth="10" defaultRowHeight="15" x14ac:dyDescent="0.25"/>
  <cols>
    <col min="4" max="4" width="12" bestFit="1" customWidth="1"/>
    <col min="5" max="5" width="22.140625" bestFit="1" customWidth="1"/>
    <col min="6" max="6" width="33.140625" bestFit="1" customWidth="1"/>
  </cols>
  <sheetData>
    <row r="1" spans="2:6" x14ac:dyDescent="0.25">
      <c r="B1" s="138" t="s">
        <v>437</v>
      </c>
      <c r="D1" t="s">
        <v>438</v>
      </c>
      <c r="E1" t="s">
        <v>439</v>
      </c>
      <c r="F1" t="s">
        <v>440</v>
      </c>
    </row>
    <row r="2" spans="2:6" x14ac:dyDescent="0.25">
      <c r="B2">
        <v>-5</v>
      </c>
      <c r="C2">
        <f>((273+B2)/(273+25))^13.69</f>
        <v>0.23396164973777989</v>
      </c>
      <c r="D2">
        <f>C2/(1+0.8164*(C2-1))</f>
        <v>0.6245534457241908</v>
      </c>
    </row>
    <row r="3" spans="2:6" x14ac:dyDescent="0.25">
      <c r="B3">
        <f>B2+0.1</f>
        <v>-4.9000000000000004</v>
      </c>
      <c r="C3">
        <f t="shared" ref="C3:C66" si="0">((273+B3)/(273+25))^13.69</f>
        <v>0.23515960835331451</v>
      </c>
      <c r="D3">
        <f t="shared" ref="D3:D66" si="1">C3/(1+0.8164*(C3-1))</f>
        <v>0.62611670851598167</v>
      </c>
    </row>
    <row r="4" spans="2:6" x14ac:dyDescent="0.25">
      <c r="B4">
        <f t="shared" ref="B4:B67" si="2">B3+0.1</f>
        <v>-4.8000000000000007</v>
      </c>
      <c r="C4">
        <f t="shared" si="0"/>
        <v>0.23636325071665604</v>
      </c>
      <c r="D4">
        <f t="shared" si="1"/>
        <v>0.62767921021044615</v>
      </c>
    </row>
    <row r="5" spans="2:6" x14ac:dyDescent="0.25">
      <c r="B5">
        <f t="shared" si="2"/>
        <v>-4.7000000000000011</v>
      </c>
      <c r="C5">
        <f t="shared" si="0"/>
        <v>0.23757260166018992</v>
      </c>
      <c r="D5">
        <f t="shared" si="1"/>
        <v>0.6292409311239302</v>
      </c>
    </row>
    <row r="6" spans="2:6" x14ac:dyDescent="0.25">
      <c r="B6">
        <f t="shared" si="2"/>
        <v>-4.6000000000000014</v>
      </c>
      <c r="C6">
        <f t="shared" si="0"/>
        <v>0.23878768611547221</v>
      </c>
      <c r="D6">
        <f t="shared" si="1"/>
        <v>0.63080185162775237</v>
      </c>
    </row>
    <row r="7" spans="2:6" x14ac:dyDescent="0.25">
      <c r="B7">
        <f t="shared" si="2"/>
        <v>-4.5000000000000018</v>
      </c>
      <c r="C7">
        <f t="shared" si="0"/>
        <v>0.2400085291135976</v>
      </c>
      <c r="D7">
        <f t="shared" si="1"/>
        <v>0.63236195214913038</v>
      </c>
    </row>
    <row r="8" spans="2:6" x14ac:dyDescent="0.25">
      <c r="B8">
        <f t="shared" si="2"/>
        <v>-4.4000000000000021</v>
      </c>
      <c r="C8">
        <f t="shared" si="0"/>
        <v>0.24123515578555232</v>
      </c>
      <c r="D8">
        <f t="shared" si="1"/>
        <v>0.6339212131720815</v>
      </c>
    </row>
    <row r="9" spans="2:6" x14ac:dyDescent="0.25">
      <c r="B9">
        <f t="shared" si="2"/>
        <v>-4.3000000000000025</v>
      </c>
      <c r="C9">
        <f t="shared" si="0"/>
        <v>0.24246759136257695</v>
      </c>
      <c r="D9">
        <f t="shared" si="1"/>
        <v>0.63547961523832786</v>
      </c>
    </row>
    <row r="10" spans="2:6" x14ac:dyDescent="0.25">
      <c r="B10">
        <f t="shared" si="2"/>
        <v>-4.2000000000000028</v>
      </c>
      <c r="C10">
        <f t="shared" si="0"/>
        <v>0.24370586117653342</v>
      </c>
      <c r="D10">
        <f t="shared" si="1"/>
        <v>0.63703713894819636</v>
      </c>
    </row>
    <row r="11" spans="2:6" x14ac:dyDescent="0.25">
      <c r="B11">
        <f t="shared" si="2"/>
        <v>-4.1000000000000032</v>
      </c>
      <c r="C11">
        <f t="shared" si="0"/>
        <v>0.24494999066026174</v>
      </c>
      <c r="D11">
        <f t="shared" si="1"/>
        <v>0.63859376496150044</v>
      </c>
    </row>
    <row r="12" spans="2:6" x14ac:dyDescent="0.25">
      <c r="B12">
        <f t="shared" si="2"/>
        <v>-4.0000000000000036</v>
      </c>
      <c r="C12">
        <f t="shared" si="0"/>
        <v>0.24620000534795006</v>
      </c>
      <c r="D12">
        <f t="shared" si="1"/>
        <v>0.64014947399842592</v>
      </c>
    </row>
    <row r="13" spans="2:6" x14ac:dyDescent="0.25">
      <c r="B13">
        <f t="shared" si="2"/>
        <v>-3.9000000000000035</v>
      </c>
      <c r="C13">
        <f t="shared" si="0"/>
        <v>0.24745593087549739</v>
      </c>
      <c r="D13">
        <f t="shared" si="1"/>
        <v>0.64170424684040306</v>
      </c>
      <c r="E13">
        <v>0.65789473684210531</v>
      </c>
      <c r="F13">
        <v>1.52</v>
      </c>
    </row>
    <row r="14" spans="2:6" x14ac:dyDescent="0.25">
      <c r="B14">
        <f t="shared" si="2"/>
        <v>-3.8000000000000034</v>
      </c>
      <c r="C14">
        <f t="shared" si="0"/>
        <v>0.24871779298088181</v>
      </c>
      <c r="D14">
        <f t="shared" si="1"/>
        <v>0.64325806433097388</v>
      </c>
    </row>
    <row r="15" spans="2:6" x14ac:dyDescent="0.25">
      <c r="B15">
        <f t="shared" si="2"/>
        <v>-3.7000000000000033</v>
      </c>
      <c r="C15">
        <f t="shared" si="0"/>
        <v>0.24998561750453013</v>
      </c>
      <c r="D15">
        <f t="shared" si="1"/>
        <v>0.64481090737665425</v>
      </c>
    </row>
    <row r="16" spans="2:6" x14ac:dyDescent="0.25">
      <c r="B16">
        <f t="shared" si="2"/>
        <v>-3.6000000000000032</v>
      </c>
      <c r="C16">
        <f t="shared" si="0"/>
        <v>0.25125943038968451</v>
      </c>
      <c r="D16">
        <f t="shared" si="1"/>
        <v>0.64636275694778189</v>
      </c>
    </row>
    <row r="17" spans="2:4" x14ac:dyDescent="0.25">
      <c r="B17">
        <f t="shared" si="2"/>
        <v>-3.5000000000000031</v>
      </c>
      <c r="C17">
        <f t="shared" si="0"/>
        <v>0.25253925768277635</v>
      </c>
      <c r="D17">
        <f t="shared" si="1"/>
        <v>0.64791359407936577</v>
      </c>
    </row>
    <row r="18" spans="2:4" x14ac:dyDescent="0.25">
      <c r="B18">
        <f t="shared" si="2"/>
        <v>-3.400000000000003</v>
      </c>
      <c r="C18">
        <f t="shared" si="0"/>
        <v>0.25382512553379555</v>
      </c>
      <c r="D18">
        <f t="shared" si="1"/>
        <v>0.64946339987192026</v>
      </c>
    </row>
    <row r="19" spans="2:4" x14ac:dyDescent="0.25">
      <c r="B19">
        <f t="shared" si="2"/>
        <v>-3.3000000000000029</v>
      </c>
      <c r="C19">
        <f t="shared" si="0"/>
        <v>0.25511706019666425</v>
      </c>
      <c r="D19">
        <f t="shared" si="1"/>
        <v>0.65101215549229541</v>
      </c>
    </row>
    <row r="20" spans="2:4" x14ac:dyDescent="0.25">
      <c r="B20">
        <f t="shared" si="2"/>
        <v>-3.2000000000000028</v>
      </c>
      <c r="C20">
        <f t="shared" si="0"/>
        <v>0.25641508802961316</v>
      </c>
      <c r="D20">
        <f t="shared" si="1"/>
        <v>0.65255984217450125</v>
      </c>
    </row>
    <row r="21" spans="2:4" x14ac:dyDescent="0.25">
      <c r="B21">
        <f t="shared" si="2"/>
        <v>-3.1000000000000028</v>
      </c>
      <c r="C21">
        <f t="shared" si="0"/>
        <v>0.25771923549555359</v>
      </c>
      <c r="D21">
        <f t="shared" si="1"/>
        <v>0.6541064412205192</v>
      </c>
    </row>
    <row r="22" spans="2:4" x14ac:dyDescent="0.25">
      <c r="B22">
        <f t="shared" si="2"/>
        <v>-3.0000000000000027</v>
      </c>
      <c r="C22">
        <f t="shared" si="0"/>
        <v>0.25902952916245764</v>
      </c>
      <c r="D22">
        <f t="shared" si="1"/>
        <v>0.65565193400111088</v>
      </c>
    </row>
    <row r="23" spans="2:4" x14ac:dyDescent="0.25">
      <c r="B23">
        <f t="shared" si="2"/>
        <v>-2.9000000000000026</v>
      </c>
      <c r="C23">
        <f t="shared" si="0"/>
        <v>0.2603459957037334</v>
      </c>
      <c r="D23">
        <f t="shared" si="1"/>
        <v>0.65719630195661549</v>
      </c>
    </row>
    <row r="24" spans="2:4" x14ac:dyDescent="0.25">
      <c r="B24">
        <f t="shared" si="2"/>
        <v>-2.8000000000000025</v>
      </c>
      <c r="C24">
        <f t="shared" si="0"/>
        <v>0.2616686618986051</v>
      </c>
      <c r="D24">
        <f t="shared" si="1"/>
        <v>0.65873952659774127</v>
      </c>
    </row>
    <row r="25" spans="2:4" x14ac:dyDescent="0.25">
      <c r="B25">
        <f t="shared" si="2"/>
        <v>-2.7000000000000024</v>
      </c>
      <c r="C25">
        <f t="shared" si="0"/>
        <v>0.26299755463249486</v>
      </c>
      <c r="D25">
        <f t="shared" si="1"/>
        <v>0.66028158950634874</v>
      </c>
    </row>
    <row r="26" spans="2:4" x14ac:dyDescent="0.25">
      <c r="B26">
        <f t="shared" si="2"/>
        <v>-2.6000000000000023</v>
      </c>
      <c r="C26">
        <f t="shared" si="0"/>
        <v>0.26433270089740085</v>
      </c>
      <c r="D26">
        <f t="shared" si="1"/>
        <v>0.66182247233622415</v>
      </c>
    </row>
    <row r="27" spans="2:4" x14ac:dyDescent="0.25">
      <c r="B27">
        <f t="shared" si="2"/>
        <v>-2.5000000000000022</v>
      </c>
      <c r="C27">
        <f t="shared" si="0"/>
        <v>0.26567412779228583</v>
      </c>
      <c r="D27">
        <f t="shared" si="1"/>
        <v>0.66336215681385013</v>
      </c>
    </row>
    <row r="28" spans="2:4" x14ac:dyDescent="0.25">
      <c r="B28">
        <f t="shared" si="2"/>
        <v>-2.4000000000000021</v>
      </c>
      <c r="C28">
        <f t="shared" si="0"/>
        <v>0.26702186252345361</v>
      </c>
      <c r="D28">
        <f t="shared" si="1"/>
        <v>0.66490062473915756</v>
      </c>
    </row>
    <row r="29" spans="2:4" x14ac:dyDescent="0.25">
      <c r="B29">
        <f t="shared" si="2"/>
        <v>-2.300000000000002</v>
      </c>
      <c r="C29">
        <f t="shared" si="0"/>
        <v>0.26837593240494001</v>
      </c>
      <c r="D29">
        <f t="shared" si="1"/>
        <v>0.66643785798628197</v>
      </c>
    </row>
    <row r="30" spans="2:4" x14ac:dyDescent="0.25">
      <c r="B30">
        <f t="shared" si="2"/>
        <v>-2.200000000000002</v>
      </c>
      <c r="C30">
        <f t="shared" si="0"/>
        <v>0.26973636485890007</v>
      </c>
      <c r="D30">
        <f t="shared" si="1"/>
        <v>0.66797383850430581</v>
      </c>
    </row>
    <row r="31" spans="2:4" x14ac:dyDescent="0.25">
      <c r="B31">
        <f t="shared" si="2"/>
        <v>-2.1000000000000019</v>
      </c>
      <c r="C31">
        <f t="shared" si="0"/>
        <v>0.27110318741598899</v>
      </c>
      <c r="D31">
        <f t="shared" si="1"/>
        <v>0.6695085483179859</v>
      </c>
    </row>
    <row r="32" spans="2:4" x14ac:dyDescent="0.25">
      <c r="B32">
        <f t="shared" si="2"/>
        <v>-2.0000000000000018</v>
      </c>
      <c r="C32">
        <f t="shared" si="0"/>
        <v>0.27247642771576042</v>
      </c>
      <c r="D32">
        <f t="shared" si="1"/>
        <v>0.6710419695284886</v>
      </c>
    </row>
    <row r="33" spans="2:6" x14ac:dyDescent="0.25">
      <c r="B33">
        <f t="shared" si="2"/>
        <v>-1.9000000000000017</v>
      </c>
      <c r="C33">
        <f t="shared" si="0"/>
        <v>0.27385611350704947</v>
      </c>
      <c r="D33">
        <f t="shared" si="1"/>
        <v>0.67257408431409915</v>
      </c>
    </row>
    <row r="34" spans="2:6" x14ac:dyDescent="0.25">
      <c r="B34">
        <f t="shared" si="2"/>
        <v>-1.8000000000000016</v>
      </c>
      <c r="C34">
        <f t="shared" si="0"/>
        <v>0.27524227264836543</v>
      </c>
      <c r="D34">
        <f t="shared" si="1"/>
        <v>0.67410487493093152</v>
      </c>
    </row>
    <row r="35" spans="2:6" x14ac:dyDescent="0.25">
      <c r="B35">
        <f t="shared" si="2"/>
        <v>-1.7000000000000015</v>
      </c>
      <c r="C35">
        <f t="shared" si="0"/>
        <v>0.27663493310829002</v>
      </c>
      <c r="D35">
        <f t="shared" si="1"/>
        <v>0.67563432371363552</v>
      </c>
    </row>
    <row r="36" spans="2:6" x14ac:dyDescent="0.25">
      <c r="B36">
        <f t="shared" si="2"/>
        <v>-1.6000000000000014</v>
      </c>
      <c r="C36">
        <f t="shared" si="0"/>
        <v>0.27803412296586372</v>
      </c>
      <c r="D36">
        <f t="shared" si="1"/>
        <v>0.67716241307607961</v>
      </c>
    </row>
    <row r="37" spans="2:6" x14ac:dyDescent="0.25">
      <c r="B37">
        <f t="shared" si="2"/>
        <v>-1.5000000000000013</v>
      </c>
      <c r="C37">
        <f t="shared" si="0"/>
        <v>0.27943987041098706</v>
      </c>
      <c r="D37">
        <f t="shared" si="1"/>
        <v>0.67868912551204053</v>
      </c>
    </row>
    <row r="38" spans="2:6" x14ac:dyDescent="0.25">
      <c r="B38">
        <f t="shared" si="2"/>
        <v>-1.4000000000000012</v>
      </c>
      <c r="C38">
        <f t="shared" si="0"/>
        <v>0.28085220374481351</v>
      </c>
      <c r="D38">
        <f t="shared" si="1"/>
        <v>0.6802144435958738</v>
      </c>
    </row>
    <row r="39" spans="2:6" x14ac:dyDescent="0.25">
      <c r="B39">
        <f t="shared" si="2"/>
        <v>-1.3000000000000012</v>
      </c>
      <c r="C39">
        <f t="shared" si="0"/>
        <v>0.28227115138014863</v>
      </c>
      <c r="D39">
        <f t="shared" si="1"/>
        <v>0.68173834998318206</v>
      </c>
    </row>
    <row r="40" spans="2:6" x14ac:dyDescent="0.25">
      <c r="B40">
        <f t="shared" si="2"/>
        <v>-1.2000000000000011</v>
      </c>
      <c r="C40">
        <f t="shared" si="0"/>
        <v>0.28369674184185073</v>
      </c>
      <c r="D40">
        <f t="shared" si="1"/>
        <v>0.68326082741147276</v>
      </c>
    </row>
    <row r="41" spans="2:6" x14ac:dyDescent="0.25">
      <c r="B41">
        <f t="shared" si="2"/>
        <v>-1.100000000000001</v>
      </c>
      <c r="C41">
        <f t="shared" si="0"/>
        <v>0.28512900376722783</v>
      </c>
      <c r="D41">
        <f t="shared" si="1"/>
        <v>0.68478185870080444</v>
      </c>
      <c r="E41">
        <v>0.69930069930069938</v>
      </c>
      <c r="F41">
        <v>1.43</v>
      </c>
    </row>
    <row r="42" spans="2:6" x14ac:dyDescent="0.25">
      <c r="B42">
        <f t="shared" si="2"/>
        <v>-1.0000000000000009</v>
      </c>
      <c r="C42">
        <f t="shared" si="0"/>
        <v>0.28656796590644362</v>
      </c>
      <c r="D42">
        <f t="shared" si="1"/>
        <v>0.68630142675442962</v>
      </c>
    </row>
    <row r="43" spans="2:6" x14ac:dyDescent="0.25">
      <c r="B43">
        <f t="shared" si="2"/>
        <v>-0.90000000000000091</v>
      </c>
      <c r="C43">
        <f t="shared" si="0"/>
        <v>0.28801365712291616</v>
      </c>
      <c r="D43">
        <f t="shared" si="1"/>
        <v>0.68781951455942214</v>
      </c>
    </row>
    <row r="44" spans="2:6" x14ac:dyDescent="0.25">
      <c r="B44">
        <f t="shared" si="2"/>
        <v>-0.80000000000000093</v>
      </c>
      <c r="C44">
        <f t="shared" si="0"/>
        <v>0.28946610639372461</v>
      </c>
      <c r="D44">
        <f t="shared" si="1"/>
        <v>0.68933610518730271</v>
      </c>
    </row>
    <row r="45" spans="2:6" x14ac:dyDescent="0.25">
      <c r="B45">
        <f t="shared" si="2"/>
        <v>-0.70000000000000095</v>
      </c>
      <c r="C45">
        <f t="shared" si="0"/>
        <v>0.2909253428100157</v>
      </c>
      <c r="D45">
        <f t="shared" si="1"/>
        <v>0.69085118179465188</v>
      </c>
    </row>
    <row r="46" spans="2:6" x14ac:dyDescent="0.25">
      <c r="B46">
        <f t="shared" si="2"/>
        <v>-0.60000000000000098</v>
      </c>
      <c r="C46">
        <f t="shared" si="0"/>
        <v>0.29239139557740662</v>
      </c>
      <c r="D46">
        <f t="shared" si="1"/>
        <v>0.69236472762371115</v>
      </c>
    </row>
    <row r="47" spans="2:6" x14ac:dyDescent="0.25">
      <c r="B47">
        <f t="shared" si="2"/>
        <v>-0.500000000000001</v>
      </c>
      <c r="C47">
        <f t="shared" si="0"/>
        <v>0.29386429401639991</v>
      </c>
      <c r="D47">
        <f t="shared" si="1"/>
        <v>0.69387672600298589</v>
      </c>
    </row>
    <row r="48" spans="2:6" x14ac:dyDescent="0.25">
      <c r="B48">
        <f t="shared" si="2"/>
        <v>-0.40000000000000102</v>
      </c>
      <c r="C48">
        <f t="shared" si="0"/>
        <v>0.29534406756278436</v>
      </c>
      <c r="D48">
        <f t="shared" si="1"/>
        <v>0.69538716034782233</v>
      </c>
    </row>
    <row r="49" spans="2:4" x14ac:dyDescent="0.25">
      <c r="B49">
        <f t="shared" si="2"/>
        <v>-0.30000000000000104</v>
      </c>
      <c r="C49">
        <f t="shared" si="0"/>
        <v>0.29683074576805168</v>
      </c>
      <c r="D49">
        <f t="shared" si="1"/>
        <v>0.69689601416099223</v>
      </c>
    </row>
    <row r="50" spans="2:4" x14ac:dyDescent="0.25">
      <c r="B50">
        <f t="shared" si="2"/>
        <v>-0.20000000000000104</v>
      </c>
      <c r="C50">
        <f t="shared" si="0"/>
        <v>0.29832435829981008</v>
      </c>
      <c r="D50">
        <f t="shared" si="1"/>
        <v>0.6984032710332625</v>
      </c>
    </row>
    <row r="51" spans="2:4" x14ac:dyDescent="0.25">
      <c r="B51">
        <f t="shared" si="2"/>
        <v>-0.10000000000000103</v>
      </c>
      <c r="C51">
        <f t="shared" si="0"/>
        <v>0.29982493494218926</v>
      </c>
      <c r="D51">
        <f t="shared" si="1"/>
        <v>0.69990891464394722</v>
      </c>
    </row>
    <row r="52" spans="2:4" x14ac:dyDescent="0.25">
      <c r="B52">
        <v>0</v>
      </c>
      <c r="C52">
        <f t="shared" si="0"/>
        <v>0.30133250559626618</v>
      </c>
      <c r="D52">
        <f t="shared" si="1"/>
        <v>0.7014129287614691</v>
      </c>
    </row>
    <row r="53" spans="2:4" x14ac:dyDescent="0.25">
      <c r="B53">
        <f t="shared" si="2"/>
        <v>0.1</v>
      </c>
      <c r="C53">
        <f t="shared" si="0"/>
        <v>0.30284710028047246</v>
      </c>
      <c r="D53">
        <f t="shared" si="1"/>
        <v>0.70291529724389157</v>
      </c>
    </row>
    <row r="54" spans="2:4" x14ac:dyDescent="0.25">
      <c r="B54">
        <f t="shared" si="2"/>
        <v>0.2</v>
      </c>
      <c r="C54">
        <f t="shared" si="0"/>
        <v>0.30436874913101347</v>
      </c>
      <c r="D54">
        <f t="shared" si="1"/>
        <v>0.7044160040394557</v>
      </c>
    </row>
    <row r="55" spans="2:4" x14ac:dyDescent="0.25">
      <c r="B55">
        <f t="shared" si="2"/>
        <v>0.30000000000000004</v>
      </c>
      <c r="C55">
        <f t="shared" si="0"/>
        <v>0.30589748240229259</v>
      </c>
      <c r="D55">
        <f t="shared" si="1"/>
        <v>0.70591503318710624</v>
      </c>
    </row>
    <row r="56" spans="2:4" x14ac:dyDescent="0.25">
      <c r="B56">
        <f t="shared" si="2"/>
        <v>0.4</v>
      </c>
      <c r="C56">
        <f t="shared" si="0"/>
        <v>0.3074333304673233</v>
      </c>
      <c r="D56">
        <f t="shared" si="1"/>
        <v>0.70741236881700087</v>
      </c>
    </row>
    <row r="57" spans="2:4" x14ac:dyDescent="0.25">
      <c r="B57">
        <f t="shared" si="2"/>
        <v>0.5</v>
      </c>
      <c r="C57">
        <f t="shared" si="0"/>
        <v>0.30897632381815676</v>
      </c>
      <c r="D57">
        <f t="shared" si="1"/>
        <v>0.70890799515102043</v>
      </c>
    </row>
    <row r="58" spans="2:4" x14ac:dyDescent="0.25">
      <c r="B58">
        <f t="shared" si="2"/>
        <v>0.6</v>
      </c>
      <c r="C58">
        <f t="shared" si="0"/>
        <v>0.31052649306630048</v>
      </c>
      <c r="D58">
        <f t="shared" si="1"/>
        <v>0.71040189650326113</v>
      </c>
    </row>
    <row r="59" spans="2:4" x14ac:dyDescent="0.25">
      <c r="B59">
        <f t="shared" si="2"/>
        <v>0.7</v>
      </c>
      <c r="C59">
        <f t="shared" si="0"/>
        <v>0.3120838689431441</v>
      </c>
      <c r="D59">
        <f t="shared" si="1"/>
        <v>0.71189405728052413</v>
      </c>
    </row>
    <row r="60" spans="2:4" x14ac:dyDescent="0.25">
      <c r="B60">
        <f t="shared" si="2"/>
        <v>0.79999999999999993</v>
      </c>
      <c r="C60">
        <f t="shared" si="0"/>
        <v>0.31364848230038606</v>
      </c>
      <c r="D60">
        <f t="shared" si="1"/>
        <v>0.71338446198279426</v>
      </c>
    </row>
    <row r="61" spans="2:4" x14ac:dyDescent="0.25">
      <c r="B61">
        <f t="shared" si="2"/>
        <v>0.89999999999999991</v>
      </c>
      <c r="C61">
        <f t="shared" si="0"/>
        <v>0.3152203641104569</v>
      </c>
      <c r="D61">
        <f t="shared" si="1"/>
        <v>0.7148730952037059</v>
      </c>
    </row>
    <row r="62" spans="2:4" x14ac:dyDescent="0.25">
      <c r="B62">
        <f t="shared" si="2"/>
        <v>0.99999999999999989</v>
      </c>
      <c r="C62">
        <f t="shared" si="0"/>
        <v>0.31679954546695177</v>
      </c>
      <c r="D62">
        <f t="shared" si="1"/>
        <v>0.71635994163100714</v>
      </c>
    </row>
    <row r="63" spans="2:4" x14ac:dyDescent="0.25">
      <c r="B63">
        <f t="shared" si="2"/>
        <v>1.0999999999999999</v>
      </c>
      <c r="C63">
        <f t="shared" si="0"/>
        <v>0.31838605758505578</v>
      </c>
      <c r="D63">
        <f t="shared" si="1"/>
        <v>0.71784498604700564</v>
      </c>
    </row>
    <row r="64" spans="2:4" x14ac:dyDescent="0.25">
      <c r="B64">
        <f t="shared" si="2"/>
        <v>1.2</v>
      </c>
      <c r="C64">
        <f t="shared" si="0"/>
        <v>0.31997993180197681</v>
      </c>
      <c r="D64">
        <f t="shared" si="1"/>
        <v>0.71932821332901287</v>
      </c>
    </row>
    <row r="65" spans="2:6" x14ac:dyDescent="0.25">
      <c r="B65">
        <f t="shared" si="2"/>
        <v>1.3</v>
      </c>
      <c r="C65">
        <f t="shared" si="0"/>
        <v>0.32158119957737913</v>
      </c>
      <c r="D65">
        <f t="shared" si="1"/>
        <v>0.72080960844977726</v>
      </c>
    </row>
    <row r="66" spans="2:6" x14ac:dyDescent="0.25">
      <c r="B66">
        <f t="shared" si="2"/>
        <v>1.4000000000000001</v>
      </c>
      <c r="C66">
        <f t="shared" si="0"/>
        <v>0.32318989249381291</v>
      </c>
      <c r="D66">
        <f t="shared" si="1"/>
        <v>0.72228915647790404</v>
      </c>
    </row>
    <row r="67" spans="2:6" x14ac:dyDescent="0.25">
      <c r="B67">
        <f t="shared" si="2"/>
        <v>1.5000000000000002</v>
      </c>
      <c r="C67">
        <f t="shared" ref="C67:C130" si="3">((273+B67)/(273+25))^13.69</f>
        <v>0.32480604225715576</v>
      </c>
      <c r="D67">
        <f t="shared" ref="D67:D130" si="4">C67/(1+0.8164*(C67-1))</f>
        <v>0.72376684257827451</v>
      </c>
    </row>
    <row r="68" spans="2:6" x14ac:dyDescent="0.25">
      <c r="B68">
        <f t="shared" ref="B68:B131" si="5">B67+0.1</f>
        <v>1.6000000000000003</v>
      </c>
      <c r="C68">
        <f t="shared" si="3"/>
        <v>0.32642968069704048</v>
      </c>
      <c r="D68">
        <f t="shared" si="4"/>
        <v>0.72524265201244342</v>
      </c>
    </row>
    <row r="69" spans="2:6" x14ac:dyDescent="0.25">
      <c r="B69">
        <f t="shared" si="5"/>
        <v>1.7000000000000004</v>
      </c>
      <c r="C69">
        <f t="shared" si="3"/>
        <v>0.32806083976729877</v>
      </c>
      <c r="D69">
        <f t="shared" si="4"/>
        <v>0.72671657013904067</v>
      </c>
      <c r="E69">
        <v>0.7407407407407407</v>
      </c>
      <c r="F69">
        <v>1.35</v>
      </c>
    </row>
    <row r="70" spans="2:6" x14ac:dyDescent="0.25">
      <c r="B70">
        <f t="shared" si="5"/>
        <v>1.8000000000000005</v>
      </c>
      <c r="C70">
        <f t="shared" si="3"/>
        <v>0.32969955154640235</v>
      </c>
      <c r="D70">
        <f t="shared" si="4"/>
        <v>0.72818858241415918</v>
      </c>
    </row>
    <row r="71" spans="2:6" x14ac:dyDescent="0.25">
      <c r="B71">
        <f t="shared" si="5"/>
        <v>1.9000000000000006</v>
      </c>
      <c r="C71">
        <f t="shared" si="3"/>
        <v>0.33134584823789381</v>
      </c>
      <c r="D71">
        <f t="shared" si="4"/>
        <v>0.72965867439172261</v>
      </c>
    </row>
    <row r="72" spans="2:6" x14ac:dyDescent="0.25">
      <c r="B72">
        <f t="shared" si="5"/>
        <v>2.0000000000000004</v>
      </c>
      <c r="C72">
        <f t="shared" si="3"/>
        <v>0.3329997621708411</v>
      </c>
      <c r="D72">
        <f t="shared" si="4"/>
        <v>0.73112683172386672</v>
      </c>
    </row>
    <row r="73" spans="2:6" x14ac:dyDescent="0.25">
      <c r="B73">
        <f t="shared" si="5"/>
        <v>2.1000000000000005</v>
      </c>
      <c r="C73">
        <f t="shared" si="3"/>
        <v>0.33466132580027097</v>
      </c>
      <c r="D73">
        <f t="shared" si="4"/>
        <v>0.73259304016128901</v>
      </c>
    </row>
    <row r="74" spans="2:6" x14ac:dyDescent="0.25">
      <c r="B74">
        <f t="shared" si="5"/>
        <v>2.2000000000000006</v>
      </c>
      <c r="C74">
        <f t="shared" si="3"/>
        <v>0.3363305717076156</v>
      </c>
      <c r="D74">
        <f t="shared" si="4"/>
        <v>0.73405728555359961</v>
      </c>
    </row>
    <row r="75" spans="2:6" x14ac:dyDescent="0.25">
      <c r="B75">
        <f t="shared" si="5"/>
        <v>2.3000000000000007</v>
      </c>
      <c r="C75">
        <f t="shared" si="3"/>
        <v>0.33800753260116601</v>
      </c>
      <c r="D75">
        <f t="shared" si="4"/>
        <v>0.73551955384966961</v>
      </c>
    </row>
    <row r="76" spans="2:6" x14ac:dyDescent="0.25">
      <c r="B76">
        <f t="shared" si="5"/>
        <v>2.4000000000000008</v>
      </c>
      <c r="C76">
        <f t="shared" si="3"/>
        <v>0.33969224131650694</v>
      </c>
      <c r="D76">
        <f t="shared" si="4"/>
        <v>0.73697983109795173</v>
      </c>
    </row>
    <row r="77" spans="2:6" x14ac:dyDescent="0.25">
      <c r="B77">
        <f t="shared" si="5"/>
        <v>2.5000000000000009</v>
      </c>
      <c r="C77">
        <f t="shared" si="3"/>
        <v>0.34138473081697918</v>
      </c>
      <c r="D77">
        <f t="shared" si="4"/>
        <v>0.73843810344681415</v>
      </c>
    </row>
    <row r="78" spans="2:6" x14ac:dyDescent="0.25">
      <c r="B78">
        <f t="shared" si="5"/>
        <v>2.600000000000001</v>
      </c>
      <c r="C78">
        <f t="shared" si="3"/>
        <v>0.34308503419411984</v>
      </c>
      <c r="D78">
        <f t="shared" si="4"/>
        <v>0.73989435714484564</v>
      </c>
    </row>
    <row r="79" spans="2:6" x14ac:dyDescent="0.25">
      <c r="B79">
        <f t="shared" si="5"/>
        <v>2.7000000000000011</v>
      </c>
      <c r="C79">
        <f t="shared" si="3"/>
        <v>0.34479318466811648</v>
      </c>
      <c r="D79">
        <f t="shared" si="4"/>
        <v>0.74134857854116265</v>
      </c>
    </row>
    <row r="80" spans="2:6" x14ac:dyDescent="0.25">
      <c r="B80">
        <f t="shared" si="5"/>
        <v>2.8000000000000012</v>
      </c>
      <c r="C80">
        <f t="shared" si="3"/>
        <v>0.34650921558826636</v>
      </c>
      <c r="D80">
        <f t="shared" si="4"/>
        <v>0.74280075408570978</v>
      </c>
    </row>
    <row r="81" spans="2:6" x14ac:dyDescent="0.25">
      <c r="B81">
        <f t="shared" si="5"/>
        <v>2.9000000000000012</v>
      </c>
      <c r="C81">
        <f t="shared" si="3"/>
        <v>0.34823316043342223</v>
      </c>
      <c r="D81">
        <f t="shared" si="4"/>
        <v>0.74425087032953796</v>
      </c>
    </row>
    <row r="82" spans="2:6" x14ac:dyDescent="0.25">
      <c r="B82">
        <f t="shared" si="5"/>
        <v>3.0000000000000013</v>
      </c>
      <c r="C82">
        <f t="shared" si="3"/>
        <v>0.34996505281245494</v>
      </c>
      <c r="D82">
        <f t="shared" si="4"/>
        <v>0.74569891392508902</v>
      </c>
    </row>
    <row r="83" spans="2:6" x14ac:dyDescent="0.25">
      <c r="B83">
        <f t="shared" si="5"/>
        <v>3.1000000000000014</v>
      </c>
      <c r="C83">
        <f t="shared" si="3"/>
        <v>0.35170492646470702</v>
      </c>
      <c r="D83">
        <f t="shared" si="4"/>
        <v>0.74714487162645982</v>
      </c>
    </row>
    <row r="84" spans="2:6" x14ac:dyDescent="0.25">
      <c r="B84">
        <f t="shared" si="5"/>
        <v>3.2000000000000015</v>
      </c>
      <c r="C84">
        <f t="shared" si="3"/>
        <v>0.35345281526045358</v>
      </c>
      <c r="D84">
        <f t="shared" si="4"/>
        <v>0.74858873028966377</v>
      </c>
    </row>
    <row r="85" spans="2:6" x14ac:dyDescent="0.25">
      <c r="B85">
        <f t="shared" si="5"/>
        <v>3.3000000000000016</v>
      </c>
      <c r="C85">
        <f t="shared" si="3"/>
        <v>0.35520875320136358</v>
      </c>
      <c r="D85">
        <f t="shared" si="4"/>
        <v>0.75003047687288227</v>
      </c>
    </row>
    <row r="86" spans="2:6" x14ac:dyDescent="0.25">
      <c r="B86">
        <f t="shared" si="5"/>
        <v>3.4000000000000017</v>
      </c>
      <c r="C86">
        <f t="shared" si="3"/>
        <v>0.35697277442095815</v>
      </c>
      <c r="D86">
        <f t="shared" si="4"/>
        <v>0.75147009843670387</v>
      </c>
    </row>
    <row r="87" spans="2:6" x14ac:dyDescent="0.25">
      <c r="B87">
        <f t="shared" si="5"/>
        <v>3.5000000000000018</v>
      </c>
      <c r="C87">
        <f t="shared" si="3"/>
        <v>0.3587449131850789</v>
      </c>
      <c r="D87">
        <f t="shared" si="4"/>
        <v>0.75290758214436038</v>
      </c>
    </row>
    <row r="88" spans="2:6" x14ac:dyDescent="0.25">
      <c r="B88">
        <f t="shared" si="5"/>
        <v>3.6000000000000019</v>
      </c>
      <c r="C88">
        <f t="shared" si="3"/>
        <v>0.36052520389234782</v>
      </c>
      <c r="D88">
        <f t="shared" si="4"/>
        <v>0.75434291526194763</v>
      </c>
    </row>
    <row r="89" spans="2:6" x14ac:dyDescent="0.25">
      <c r="B89">
        <f t="shared" si="5"/>
        <v>3.700000000000002</v>
      </c>
      <c r="C89">
        <f t="shared" si="3"/>
        <v>0.36231368107463596</v>
      </c>
      <c r="D89">
        <f t="shared" si="4"/>
        <v>0.7557760851586427</v>
      </c>
    </row>
    <row r="90" spans="2:6" x14ac:dyDescent="0.25">
      <c r="B90">
        <f t="shared" si="5"/>
        <v>3.800000000000002</v>
      </c>
      <c r="C90">
        <f t="shared" si="3"/>
        <v>0.36411037939753249</v>
      </c>
      <c r="D90">
        <f t="shared" si="4"/>
        <v>0.75720707930691022</v>
      </c>
    </row>
    <row r="91" spans="2:6" x14ac:dyDescent="0.25">
      <c r="B91">
        <f t="shared" si="5"/>
        <v>3.9000000000000021</v>
      </c>
      <c r="C91">
        <f t="shared" si="3"/>
        <v>0.36591533366080953</v>
      </c>
      <c r="D91">
        <f t="shared" si="4"/>
        <v>0.75863588528269787</v>
      </c>
    </row>
    <row r="92" spans="2:6" x14ac:dyDescent="0.25">
      <c r="B92">
        <f t="shared" si="5"/>
        <v>4.0000000000000018</v>
      </c>
      <c r="C92">
        <f t="shared" si="3"/>
        <v>0.36772857879889986</v>
      </c>
      <c r="D92">
        <f t="shared" si="4"/>
        <v>0.76006249076562993</v>
      </c>
    </row>
    <row r="93" spans="2:6" x14ac:dyDescent="0.25">
      <c r="B93">
        <f t="shared" si="5"/>
        <v>4.1000000000000014</v>
      </c>
      <c r="C93">
        <f t="shared" si="3"/>
        <v>0.36955014988135987</v>
      </c>
      <c r="D93">
        <f t="shared" si="4"/>
        <v>0.76148688353918048</v>
      </c>
    </row>
    <row r="94" spans="2:6" x14ac:dyDescent="0.25">
      <c r="B94">
        <f t="shared" si="5"/>
        <v>4.2000000000000011</v>
      </c>
      <c r="C94">
        <f t="shared" si="3"/>
        <v>0.37138008211334961</v>
      </c>
      <c r="D94">
        <f t="shared" si="4"/>
        <v>0.76290905149084964</v>
      </c>
    </row>
    <row r="95" spans="2:6" x14ac:dyDescent="0.25">
      <c r="B95">
        <f t="shared" si="5"/>
        <v>4.3000000000000007</v>
      </c>
      <c r="C95">
        <f t="shared" si="3"/>
        <v>0.37321841083610985</v>
      </c>
      <c r="D95">
        <f t="shared" si="4"/>
        <v>0.76432898261232807</v>
      </c>
    </row>
    <row r="96" spans="2:6" x14ac:dyDescent="0.25">
      <c r="B96">
        <f t="shared" si="5"/>
        <v>4.4000000000000004</v>
      </c>
      <c r="C96">
        <f t="shared" si="3"/>
        <v>0.37506517152742858</v>
      </c>
      <c r="D96">
        <f t="shared" si="4"/>
        <v>0.76574666499964272</v>
      </c>
      <c r="E96">
        <v>0.76923076923076916</v>
      </c>
      <c r="F96">
        <v>1.3</v>
      </c>
    </row>
    <row r="97" spans="2:4" x14ac:dyDescent="0.25">
      <c r="B97">
        <f t="shared" si="5"/>
        <v>4.5</v>
      </c>
      <c r="C97">
        <f t="shared" si="3"/>
        <v>0.37692039980213243</v>
      </c>
      <c r="D97">
        <f t="shared" si="4"/>
        <v>0.76716208685331388</v>
      </c>
    </row>
    <row r="98" spans="2:4" x14ac:dyDescent="0.25">
      <c r="B98">
        <f t="shared" si="5"/>
        <v>4.5999999999999996</v>
      </c>
      <c r="C98">
        <f t="shared" si="3"/>
        <v>0.37878413141255574</v>
      </c>
      <c r="D98">
        <f t="shared" si="4"/>
        <v>0.76857523647848236</v>
      </c>
    </row>
    <row r="99" spans="2:4" x14ac:dyDescent="0.25">
      <c r="B99">
        <f t="shared" si="5"/>
        <v>4.6999999999999993</v>
      </c>
      <c r="C99">
        <f t="shared" si="3"/>
        <v>0.38065640224902375</v>
      </c>
      <c r="D99">
        <f t="shared" si="4"/>
        <v>0.76998610228504105</v>
      </c>
    </row>
    <row r="100" spans="2:4" x14ac:dyDescent="0.25">
      <c r="B100">
        <f t="shared" si="5"/>
        <v>4.7999999999999989</v>
      </c>
      <c r="C100">
        <f t="shared" si="3"/>
        <v>0.38253724834034242</v>
      </c>
      <c r="D100">
        <f t="shared" si="4"/>
        <v>0.77139467278775953</v>
      </c>
    </row>
    <row r="101" spans="2:4" x14ac:dyDescent="0.25">
      <c r="B101">
        <f t="shared" si="5"/>
        <v>4.8999999999999986</v>
      </c>
      <c r="C101">
        <f t="shared" si="3"/>
        <v>0.3844267058542718</v>
      </c>
      <c r="D101">
        <f t="shared" si="4"/>
        <v>0.77280093660638782</v>
      </c>
    </row>
    <row r="102" spans="2:4" x14ac:dyDescent="0.25">
      <c r="B102">
        <f t="shared" si="5"/>
        <v>4.9999999999999982</v>
      </c>
      <c r="C102">
        <f t="shared" si="3"/>
        <v>0.38632481109802053</v>
      </c>
      <c r="D102">
        <f t="shared" si="4"/>
        <v>0.77420488246576635</v>
      </c>
    </row>
    <row r="103" spans="2:4" x14ac:dyDescent="0.25">
      <c r="B103">
        <f t="shared" si="5"/>
        <v>5.0999999999999979</v>
      </c>
      <c r="C103">
        <f t="shared" si="3"/>
        <v>0.38823160051872702</v>
      </c>
      <c r="D103">
        <f t="shared" si="4"/>
        <v>0.77560649919591607</v>
      </c>
    </row>
    <row r="104" spans="2:4" x14ac:dyDescent="0.25">
      <c r="B104">
        <f t="shared" si="5"/>
        <v>5.1999999999999975</v>
      </c>
      <c r="C104">
        <f t="shared" si="3"/>
        <v>0.39014711070395075</v>
      </c>
      <c r="D104">
        <f t="shared" si="4"/>
        <v>0.77700577573212615</v>
      </c>
    </row>
    <row r="105" spans="2:4" x14ac:dyDescent="0.25">
      <c r="B105">
        <f t="shared" si="5"/>
        <v>5.2999999999999972</v>
      </c>
      <c r="C105">
        <f t="shared" si="3"/>
        <v>0.39207137838216405</v>
      </c>
      <c r="D105">
        <f t="shared" si="4"/>
        <v>0.77840270111503551</v>
      </c>
    </row>
    <row r="106" spans="2:4" x14ac:dyDescent="0.25">
      <c r="B106">
        <f t="shared" si="5"/>
        <v>5.3999999999999968</v>
      </c>
      <c r="C106">
        <f t="shared" si="3"/>
        <v>0.39400444042323957</v>
      </c>
      <c r="D106">
        <f t="shared" si="4"/>
        <v>0.77979726449069731</v>
      </c>
    </row>
    <row r="107" spans="2:4" x14ac:dyDescent="0.25">
      <c r="B107">
        <f t="shared" si="5"/>
        <v>5.4999999999999964</v>
      </c>
      <c r="C107">
        <f t="shared" si="3"/>
        <v>0.39594633383894856</v>
      </c>
      <c r="D107">
        <f t="shared" si="4"/>
        <v>0.78118945511064564</v>
      </c>
    </row>
    <row r="108" spans="2:4" x14ac:dyDescent="0.25">
      <c r="B108">
        <f t="shared" si="5"/>
        <v>5.5999999999999961</v>
      </c>
      <c r="C108">
        <f t="shared" si="3"/>
        <v>0.39789709578345117</v>
      </c>
      <c r="D108">
        <f t="shared" si="4"/>
        <v>0.78257926233194541</v>
      </c>
    </row>
    <row r="109" spans="2:4" x14ac:dyDescent="0.25">
      <c r="B109">
        <f t="shared" si="5"/>
        <v>5.6999999999999957</v>
      </c>
      <c r="C109">
        <f t="shared" si="3"/>
        <v>0.39985676355379496</v>
      </c>
      <c r="D109">
        <f t="shared" si="4"/>
        <v>0.78396667561723965</v>
      </c>
    </row>
    <row r="110" spans="2:4" x14ac:dyDescent="0.25">
      <c r="B110">
        <f t="shared" si="5"/>
        <v>5.7999999999999954</v>
      </c>
      <c r="C110">
        <f t="shared" si="3"/>
        <v>0.40182537459041445</v>
      </c>
      <c r="D110">
        <f t="shared" si="4"/>
        <v>0.78535168453478843</v>
      </c>
    </row>
    <row r="111" spans="2:4" x14ac:dyDescent="0.25">
      <c r="B111">
        <f t="shared" si="5"/>
        <v>5.899999999999995</v>
      </c>
      <c r="C111">
        <f t="shared" si="3"/>
        <v>0.40380296647762598</v>
      </c>
      <c r="D111">
        <f t="shared" si="4"/>
        <v>0.78673427875849455</v>
      </c>
    </row>
    <row r="112" spans="2:4" x14ac:dyDescent="0.25">
      <c r="B112">
        <f t="shared" si="5"/>
        <v>5.9999999999999947</v>
      </c>
      <c r="C112">
        <f t="shared" si="3"/>
        <v>0.40578957694413653</v>
      </c>
      <c r="D112">
        <f t="shared" si="4"/>
        <v>0.78811444806793063</v>
      </c>
    </row>
    <row r="113" spans="2:6" x14ac:dyDescent="0.25">
      <c r="B113">
        <f t="shared" si="5"/>
        <v>6.0999999999999943</v>
      </c>
      <c r="C113">
        <f t="shared" si="3"/>
        <v>0.40778524386353582</v>
      </c>
      <c r="D113">
        <f t="shared" si="4"/>
        <v>0.78949218234834573</v>
      </c>
    </row>
    <row r="114" spans="2:6" x14ac:dyDescent="0.25">
      <c r="B114">
        <f t="shared" si="5"/>
        <v>6.199999999999994</v>
      </c>
      <c r="C114">
        <f t="shared" si="3"/>
        <v>0.40979000525480774</v>
      </c>
      <c r="D114">
        <f t="shared" si="4"/>
        <v>0.7908674715906765</v>
      </c>
    </row>
    <row r="115" spans="2:6" x14ac:dyDescent="0.25">
      <c r="B115">
        <f t="shared" si="5"/>
        <v>6.2999999999999936</v>
      </c>
      <c r="C115">
        <f t="shared" si="3"/>
        <v>0.41180389928283873</v>
      </c>
      <c r="D115">
        <f t="shared" si="4"/>
        <v>0.79224030589154615</v>
      </c>
    </row>
    <row r="116" spans="2:6" x14ac:dyDescent="0.25">
      <c r="B116">
        <f t="shared" si="5"/>
        <v>6.3999999999999932</v>
      </c>
      <c r="C116">
        <f t="shared" si="3"/>
        <v>0.41382696425891347</v>
      </c>
      <c r="D116">
        <f t="shared" si="4"/>
        <v>0.79361067545324671</v>
      </c>
    </row>
    <row r="117" spans="2:6" x14ac:dyDescent="0.25">
      <c r="B117">
        <f t="shared" si="5"/>
        <v>6.4999999999999929</v>
      </c>
      <c r="C117">
        <f t="shared" si="3"/>
        <v>0.41585923864123858</v>
      </c>
      <c r="D117">
        <f t="shared" si="4"/>
        <v>0.79497857058373245</v>
      </c>
    </row>
    <row r="118" spans="2:6" x14ac:dyDescent="0.25">
      <c r="B118">
        <f t="shared" si="5"/>
        <v>6.5999999999999925</v>
      </c>
      <c r="C118">
        <f t="shared" si="3"/>
        <v>0.41790076103544027</v>
      </c>
      <c r="D118">
        <f t="shared" si="4"/>
        <v>0.79634398169658516</v>
      </c>
    </row>
    <row r="119" spans="2:6" x14ac:dyDescent="0.25">
      <c r="B119">
        <f t="shared" si="5"/>
        <v>6.6999999999999922</v>
      </c>
      <c r="C119">
        <f t="shared" si="3"/>
        <v>0.41995157019508528</v>
      </c>
      <c r="D119">
        <f t="shared" si="4"/>
        <v>0.79770689931098804</v>
      </c>
    </row>
    <row r="120" spans="2:6" x14ac:dyDescent="0.25">
      <c r="B120">
        <f t="shared" si="5"/>
        <v>6.7999999999999918</v>
      </c>
      <c r="C120">
        <f t="shared" si="3"/>
        <v>0.42201170502218899</v>
      </c>
      <c r="D120">
        <f t="shared" si="4"/>
        <v>0.79906731405168141</v>
      </c>
    </row>
    <row r="121" spans="2:6" x14ac:dyDescent="0.25">
      <c r="B121">
        <f t="shared" si="5"/>
        <v>6.8999999999999915</v>
      </c>
      <c r="C121">
        <f t="shared" si="3"/>
        <v>0.42408120456773329</v>
      </c>
      <c r="D121">
        <f t="shared" si="4"/>
        <v>0.80042521664891664</v>
      </c>
    </row>
    <row r="122" spans="2:6" x14ac:dyDescent="0.25">
      <c r="B122">
        <f t="shared" si="5"/>
        <v>6.9999999999999911</v>
      </c>
      <c r="C122">
        <f t="shared" si="3"/>
        <v>0.42616010803218451</v>
      </c>
      <c r="D122">
        <f t="shared" si="4"/>
        <v>0.80178059793840195</v>
      </c>
    </row>
    <row r="123" spans="2:6" x14ac:dyDescent="0.25">
      <c r="B123">
        <f t="shared" si="5"/>
        <v>7.0999999999999908</v>
      </c>
      <c r="C123">
        <f t="shared" si="3"/>
        <v>0.42824845476600804</v>
      </c>
      <c r="D123">
        <f t="shared" si="4"/>
        <v>0.80313344886123617</v>
      </c>
    </row>
    <row r="124" spans="2:6" x14ac:dyDescent="0.25">
      <c r="B124">
        <f t="shared" si="5"/>
        <v>7.1999999999999904</v>
      </c>
      <c r="C124">
        <f t="shared" si="3"/>
        <v>0.43034628427019367</v>
      </c>
      <c r="D124">
        <f t="shared" si="4"/>
        <v>0.80448376046384362</v>
      </c>
      <c r="E124">
        <v>0.8</v>
      </c>
      <c r="F124">
        <v>1.25</v>
      </c>
    </row>
    <row r="125" spans="2:6" x14ac:dyDescent="0.25">
      <c r="B125">
        <f t="shared" si="5"/>
        <v>7.2999999999999901</v>
      </c>
      <c r="C125">
        <f t="shared" si="3"/>
        <v>0.43245363619677207</v>
      </c>
      <c r="D125">
        <f t="shared" si="4"/>
        <v>0.80583152389789359</v>
      </c>
    </row>
    <row r="126" spans="2:6" x14ac:dyDescent="0.25">
      <c r="B126">
        <f t="shared" si="5"/>
        <v>7.3999999999999897</v>
      </c>
      <c r="C126">
        <f t="shared" si="3"/>
        <v>0.43457055034934094</v>
      </c>
      <c r="D126">
        <f t="shared" si="4"/>
        <v>0.80717673042021587</v>
      </c>
    </row>
    <row r="127" spans="2:6" x14ac:dyDescent="0.25">
      <c r="B127">
        <f t="shared" si="5"/>
        <v>7.4999999999999893</v>
      </c>
      <c r="C127">
        <f t="shared" si="3"/>
        <v>0.43669706668359132</v>
      </c>
      <c r="D127">
        <f t="shared" si="4"/>
        <v>0.80851937139271213</v>
      </c>
    </row>
    <row r="128" spans="2:6" x14ac:dyDescent="0.25">
      <c r="B128">
        <f t="shared" si="5"/>
        <v>7.599999999999989</v>
      </c>
      <c r="C128">
        <f t="shared" si="3"/>
        <v>0.43883322530782987</v>
      </c>
      <c r="D128">
        <f t="shared" si="4"/>
        <v>0.8098594382822536</v>
      </c>
    </row>
    <row r="129" spans="2:4" x14ac:dyDescent="0.25">
      <c r="B129">
        <f t="shared" si="5"/>
        <v>7.6999999999999886</v>
      </c>
      <c r="C129">
        <f t="shared" si="3"/>
        <v>0.44097906648351237</v>
      </c>
      <c r="D129">
        <f t="shared" si="4"/>
        <v>0.81119692266057863</v>
      </c>
    </row>
    <row r="130" spans="2:4" x14ac:dyDescent="0.25">
      <c r="B130">
        <f t="shared" si="5"/>
        <v>7.7999999999999883</v>
      </c>
      <c r="C130">
        <f t="shared" si="3"/>
        <v>0.44313463062576891</v>
      </c>
      <c r="D130">
        <f t="shared" si="4"/>
        <v>0.81253181620417758</v>
      </c>
    </row>
    <row r="131" spans="2:4" x14ac:dyDescent="0.25">
      <c r="B131">
        <f t="shared" si="5"/>
        <v>7.8999999999999879</v>
      </c>
      <c r="C131">
        <f t="shared" ref="C131:C194" si="6">((273+B131)/(273+25))^13.69</f>
        <v>0.4452999583039372</v>
      </c>
      <c r="D131">
        <f t="shared" ref="D131:D194" si="7">C131/(1+0.8164*(C131-1))</f>
        <v>0.81386411069417341</v>
      </c>
    </row>
    <row r="132" spans="2:4" x14ac:dyDescent="0.25">
      <c r="B132">
        <f t="shared" ref="B132:B195" si="8">B131+0.1</f>
        <v>7.9999999999999876</v>
      </c>
      <c r="C132">
        <f t="shared" si="6"/>
        <v>0.44747509024209831</v>
      </c>
      <c r="D132">
        <f t="shared" si="7"/>
        <v>0.81519379801619862</v>
      </c>
    </row>
    <row r="133" spans="2:4" x14ac:dyDescent="0.25">
      <c r="B133">
        <f t="shared" si="8"/>
        <v>8.0999999999999872</v>
      </c>
      <c r="C133">
        <f t="shared" si="6"/>
        <v>0.44966006731960534</v>
      </c>
      <c r="D133">
        <f t="shared" si="7"/>
        <v>0.81652087016025576</v>
      </c>
    </row>
    <row r="134" spans="2:4" x14ac:dyDescent="0.25">
      <c r="B134">
        <f t="shared" si="8"/>
        <v>8.1999999999999869</v>
      </c>
      <c r="C134">
        <f t="shared" si="6"/>
        <v>0.4518549305716294</v>
      </c>
      <c r="D134">
        <f t="shared" si="7"/>
        <v>0.8178453192205859</v>
      </c>
    </row>
    <row r="135" spans="2:4" x14ac:dyDescent="0.25">
      <c r="B135">
        <f t="shared" si="8"/>
        <v>8.2999999999999865</v>
      </c>
      <c r="C135">
        <f t="shared" si="6"/>
        <v>0.45405972118968563</v>
      </c>
      <c r="D135">
        <f t="shared" si="7"/>
        <v>0.81916713739551206</v>
      </c>
    </row>
    <row r="136" spans="2:4" x14ac:dyDescent="0.25">
      <c r="B136">
        <f t="shared" si="8"/>
        <v>8.3999999999999861</v>
      </c>
      <c r="C136">
        <f t="shared" si="6"/>
        <v>0.45627448052218145</v>
      </c>
      <c r="D136">
        <f t="shared" si="7"/>
        <v>0.82048631698729291</v>
      </c>
    </row>
    <row r="137" spans="2:4" x14ac:dyDescent="0.25">
      <c r="B137">
        <f t="shared" si="8"/>
        <v>8.4999999999999858</v>
      </c>
      <c r="C137">
        <f t="shared" si="6"/>
        <v>0.45849925007496029</v>
      </c>
      <c r="D137">
        <f t="shared" si="7"/>
        <v>0.82180285040196355</v>
      </c>
    </row>
    <row r="138" spans="2:4" x14ac:dyDescent="0.25">
      <c r="B138">
        <f t="shared" si="8"/>
        <v>8.5999999999999854</v>
      </c>
      <c r="C138">
        <f t="shared" si="6"/>
        <v>0.4607340715118326</v>
      </c>
      <c r="D138">
        <f t="shared" si="7"/>
        <v>0.82311673014916209</v>
      </c>
    </row>
    <row r="139" spans="2:4" x14ac:dyDescent="0.25">
      <c r="B139">
        <f t="shared" si="8"/>
        <v>8.6999999999999851</v>
      </c>
      <c r="C139">
        <f t="shared" si="6"/>
        <v>0.46297898665513615</v>
      </c>
      <c r="D139">
        <f t="shared" si="7"/>
        <v>0.82442794884196624</v>
      </c>
    </row>
    <row r="140" spans="2:4" x14ac:dyDescent="0.25">
      <c r="B140">
        <f t="shared" si="8"/>
        <v>8.7999999999999847</v>
      </c>
      <c r="C140">
        <f t="shared" si="6"/>
        <v>0.46523403748627079</v>
      </c>
      <c r="D140">
        <f t="shared" si="7"/>
        <v>0.82573649919670655</v>
      </c>
    </row>
    <row r="141" spans="2:4" x14ac:dyDescent="0.25">
      <c r="B141">
        <f t="shared" si="8"/>
        <v>8.8999999999999844</v>
      </c>
      <c r="C141">
        <f t="shared" si="6"/>
        <v>0.46749926614624832</v>
      </c>
      <c r="D141">
        <f t="shared" si="7"/>
        <v>0.82704237403278302</v>
      </c>
    </row>
    <row r="142" spans="2:4" x14ac:dyDescent="0.25">
      <c r="B142">
        <f t="shared" si="8"/>
        <v>8.999999999999984</v>
      </c>
      <c r="C142">
        <f t="shared" si="6"/>
        <v>0.46977471493625156</v>
      </c>
      <c r="D142">
        <f t="shared" si="7"/>
        <v>0.82834556627247824</v>
      </c>
    </row>
    <row r="143" spans="2:4" x14ac:dyDescent="0.25">
      <c r="B143">
        <f t="shared" si="8"/>
        <v>9.0999999999999837</v>
      </c>
      <c r="C143">
        <f t="shared" si="6"/>
        <v>0.47206042631817313</v>
      </c>
      <c r="D143">
        <f t="shared" si="7"/>
        <v>0.82964606894075188</v>
      </c>
    </row>
    <row r="144" spans="2:4" x14ac:dyDescent="0.25">
      <c r="B144">
        <f t="shared" si="8"/>
        <v>9.1999999999999833</v>
      </c>
      <c r="C144">
        <f t="shared" si="6"/>
        <v>0.47435644291517853</v>
      </c>
      <c r="D144">
        <f t="shared" si="7"/>
        <v>0.83094387516504331</v>
      </c>
    </row>
    <row r="145" spans="2:6" x14ac:dyDescent="0.25">
      <c r="B145">
        <f t="shared" si="8"/>
        <v>9.2999999999999829</v>
      </c>
      <c r="C145">
        <f t="shared" si="6"/>
        <v>0.47666280751225454</v>
      </c>
      <c r="D145">
        <f t="shared" si="7"/>
        <v>0.83223897817505676</v>
      </c>
    </row>
    <row r="146" spans="2:6" x14ac:dyDescent="0.25">
      <c r="B146">
        <f t="shared" si="8"/>
        <v>9.3999999999999826</v>
      </c>
      <c r="C146">
        <f t="shared" si="6"/>
        <v>0.47897956305677158</v>
      </c>
      <c r="D146">
        <f t="shared" si="7"/>
        <v>0.83353137130254962</v>
      </c>
    </row>
    <row r="147" spans="2:6" x14ac:dyDescent="0.25">
      <c r="B147">
        <f t="shared" si="8"/>
        <v>9.4999999999999822</v>
      </c>
      <c r="C147">
        <f t="shared" si="6"/>
        <v>0.48130675265903727</v>
      </c>
      <c r="D147">
        <f t="shared" si="7"/>
        <v>0.8348210479811069</v>
      </c>
    </row>
    <row r="148" spans="2:6" x14ac:dyDescent="0.25">
      <c r="B148">
        <f t="shared" si="8"/>
        <v>9.5999999999999819</v>
      </c>
      <c r="C148">
        <f t="shared" si="6"/>
        <v>0.4836444195928587</v>
      </c>
      <c r="D148">
        <f t="shared" si="7"/>
        <v>0.8361080017459156</v>
      </c>
    </row>
    <row r="149" spans="2:6" x14ac:dyDescent="0.25">
      <c r="B149">
        <f t="shared" si="8"/>
        <v>9.6999999999999815</v>
      </c>
      <c r="C149">
        <f t="shared" si="6"/>
        <v>0.48599260729610627</v>
      </c>
      <c r="D149">
        <f t="shared" si="7"/>
        <v>0.83739222623353105</v>
      </c>
    </row>
    <row r="150" spans="2:6" x14ac:dyDescent="0.25">
      <c r="B150">
        <f t="shared" si="8"/>
        <v>9.7999999999999812</v>
      </c>
      <c r="C150">
        <f t="shared" si="6"/>
        <v>0.48835135937127178</v>
      </c>
      <c r="D150">
        <f t="shared" si="7"/>
        <v>0.83867371518163658</v>
      </c>
    </row>
    <row r="151" spans="2:6" x14ac:dyDescent="0.25">
      <c r="B151">
        <f t="shared" si="8"/>
        <v>9.8999999999999808</v>
      </c>
      <c r="C151">
        <f t="shared" si="6"/>
        <v>0.49072071958604341</v>
      </c>
      <c r="D151">
        <f t="shared" si="7"/>
        <v>0.83995246242880217</v>
      </c>
    </row>
    <row r="152" spans="2:6" x14ac:dyDescent="0.25">
      <c r="B152">
        <f t="shared" si="8"/>
        <v>9.9999999999999805</v>
      </c>
      <c r="C152">
        <f t="shared" si="6"/>
        <v>0.49310073187385961</v>
      </c>
      <c r="D152">
        <f t="shared" si="7"/>
        <v>0.84122846191422807</v>
      </c>
      <c r="E152">
        <v>0.84033613445378152</v>
      </c>
      <c r="F152">
        <v>1.19</v>
      </c>
    </row>
    <row r="153" spans="2:6" x14ac:dyDescent="0.25">
      <c r="B153">
        <f t="shared" si="8"/>
        <v>10.09999999999998</v>
      </c>
      <c r="C153">
        <f t="shared" si="6"/>
        <v>0.49549144033448744</v>
      </c>
      <c r="D153">
        <f t="shared" si="7"/>
        <v>0.84250170767749288</v>
      </c>
    </row>
    <row r="154" spans="2:6" x14ac:dyDescent="0.25">
      <c r="B154">
        <f t="shared" si="8"/>
        <v>10.19999999999998</v>
      </c>
      <c r="C154">
        <f t="shared" si="6"/>
        <v>0.49789288923459546</v>
      </c>
      <c r="D154">
        <f t="shared" si="7"/>
        <v>0.84377219385829427</v>
      </c>
    </row>
    <row r="155" spans="2:6" x14ac:dyDescent="0.25">
      <c r="B155">
        <f t="shared" si="8"/>
        <v>10.299999999999979</v>
      </c>
      <c r="C155">
        <f t="shared" si="6"/>
        <v>0.50030512300831265</v>
      </c>
      <c r="D155">
        <f t="shared" si="7"/>
        <v>0.84503991469617523</v>
      </c>
    </row>
    <row r="156" spans="2:6" x14ac:dyDescent="0.25">
      <c r="B156">
        <f t="shared" si="8"/>
        <v>10.399999999999979</v>
      </c>
      <c r="C156">
        <f t="shared" si="6"/>
        <v>0.5027281862578199</v>
      </c>
      <c r="D156">
        <f t="shared" si="7"/>
        <v>0.84630486453025999</v>
      </c>
    </row>
    <row r="157" spans="2:6" x14ac:dyDescent="0.25">
      <c r="B157">
        <f t="shared" si="8"/>
        <v>10.499999999999979</v>
      </c>
      <c r="C157">
        <f t="shared" si="6"/>
        <v>0.50516212375391256</v>
      </c>
      <c r="D157">
        <f t="shared" si="7"/>
        <v>0.84756703779897102</v>
      </c>
    </row>
    <row r="158" spans="2:6" x14ac:dyDescent="0.25">
      <c r="B158">
        <f t="shared" si="8"/>
        <v>10.599999999999978</v>
      </c>
      <c r="C158">
        <f t="shared" si="6"/>
        <v>0.50760698043657992</v>
      </c>
      <c r="D158">
        <f t="shared" si="7"/>
        <v>0.84882642903974648</v>
      </c>
    </row>
    <row r="159" spans="2:6" x14ac:dyDescent="0.25">
      <c r="B159">
        <f t="shared" si="8"/>
        <v>10.699999999999978</v>
      </c>
      <c r="C159">
        <f t="shared" si="6"/>
        <v>0.5100628014155949</v>
      </c>
      <c r="D159">
        <f t="shared" si="7"/>
        <v>0.85008303288875908</v>
      </c>
    </row>
    <row r="160" spans="2:6" x14ac:dyDescent="0.25">
      <c r="B160">
        <f t="shared" si="8"/>
        <v>10.799999999999978</v>
      </c>
      <c r="C160">
        <f t="shared" si="6"/>
        <v>0.51252963197108126</v>
      </c>
      <c r="D160">
        <f t="shared" si="7"/>
        <v>0.85133684408061483</v>
      </c>
    </row>
    <row r="161" spans="2:4" x14ac:dyDescent="0.25">
      <c r="B161">
        <f t="shared" si="8"/>
        <v>10.899999999999977</v>
      </c>
      <c r="C161">
        <f t="shared" si="6"/>
        <v>0.51500751755410701</v>
      </c>
      <c r="D161">
        <f t="shared" si="7"/>
        <v>0.85258785744806165</v>
      </c>
    </row>
    <row r="162" spans="2:4" x14ac:dyDescent="0.25">
      <c r="B162">
        <f t="shared" si="8"/>
        <v>10.999999999999977</v>
      </c>
      <c r="C162">
        <f t="shared" si="6"/>
        <v>0.51749650378726264</v>
      </c>
      <c r="D162">
        <f t="shared" si="7"/>
        <v>0.85383606792168321</v>
      </c>
    </row>
    <row r="163" spans="2:4" x14ac:dyDescent="0.25">
      <c r="B163">
        <f t="shared" si="8"/>
        <v>11.099999999999977</v>
      </c>
      <c r="C163">
        <f t="shared" si="6"/>
        <v>0.51999663646525029</v>
      </c>
      <c r="D163">
        <f t="shared" si="7"/>
        <v>0.85508147052959349</v>
      </c>
    </row>
    <row r="164" spans="2:4" x14ac:dyDescent="0.25">
      <c r="B164">
        <f t="shared" si="8"/>
        <v>11.199999999999976</v>
      </c>
      <c r="C164">
        <f t="shared" si="6"/>
        <v>0.52250796155547441</v>
      </c>
      <c r="D164">
        <f t="shared" si="7"/>
        <v>0.85632406039712428</v>
      </c>
    </row>
    <row r="165" spans="2:4" x14ac:dyDescent="0.25">
      <c r="B165">
        <f t="shared" si="8"/>
        <v>11.299999999999976</v>
      </c>
      <c r="C165">
        <f t="shared" si="6"/>
        <v>0.52503052519862636</v>
      </c>
      <c r="D165">
        <f t="shared" si="7"/>
        <v>0.85756383274650705</v>
      </c>
    </row>
    <row r="166" spans="2:4" x14ac:dyDescent="0.25">
      <c r="B166">
        <f t="shared" si="8"/>
        <v>11.399999999999975</v>
      </c>
      <c r="C166">
        <f t="shared" si="6"/>
        <v>0.52756437370928255</v>
      </c>
      <c r="D166">
        <f t="shared" si="7"/>
        <v>0.8588007828965537</v>
      </c>
    </row>
    <row r="167" spans="2:4" x14ac:dyDescent="0.25">
      <c r="B167">
        <f t="shared" si="8"/>
        <v>11.499999999999975</v>
      </c>
      <c r="C167">
        <f t="shared" si="6"/>
        <v>0.53010955357649303</v>
      </c>
      <c r="D167">
        <f t="shared" si="7"/>
        <v>0.86003490626232848</v>
      </c>
    </row>
    <row r="168" spans="2:4" x14ac:dyDescent="0.25">
      <c r="B168">
        <f t="shared" si="8"/>
        <v>11.599999999999975</v>
      </c>
      <c r="C168">
        <f t="shared" si="6"/>
        <v>0.53266611146437903</v>
      </c>
      <c r="D168">
        <f t="shared" si="7"/>
        <v>0.86126619835481744</v>
      </c>
    </row>
    <row r="169" spans="2:4" x14ac:dyDescent="0.25">
      <c r="B169">
        <f t="shared" si="8"/>
        <v>11.699999999999974</v>
      </c>
      <c r="C169">
        <f t="shared" si="6"/>
        <v>0.53523409421273294</v>
      </c>
      <c r="D169">
        <f t="shared" si="7"/>
        <v>0.86249465478059539</v>
      </c>
    </row>
    <row r="170" spans="2:4" x14ac:dyDescent="0.25">
      <c r="B170">
        <f t="shared" si="8"/>
        <v>11.799999999999974</v>
      </c>
      <c r="C170">
        <f t="shared" si="6"/>
        <v>0.53781354883761123</v>
      </c>
      <c r="D170">
        <f t="shared" si="7"/>
        <v>0.86372027124148365</v>
      </c>
    </row>
    <row r="171" spans="2:4" x14ac:dyDescent="0.25">
      <c r="B171">
        <f t="shared" si="8"/>
        <v>11.899999999999974</v>
      </c>
      <c r="C171">
        <f t="shared" si="6"/>
        <v>0.54040452253194593</v>
      </c>
      <c r="D171">
        <f t="shared" si="7"/>
        <v>0.86494304353421059</v>
      </c>
    </row>
    <row r="172" spans="2:4" x14ac:dyDescent="0.25">
      <c r="B172">
        <f t="shared" si="8"/>
        <v>11.999999999999973</v>
      </c>
      <c r="C172">
        <f t="shared" si="6"/>
        <v>0.54300706266613374</v>
      </c>
      <c r="D172">
        <f t="shared" si="7"/>
        <v>0.86616296755005751</v>
      </c>
    </row>
    <row r="173" spans="2:4" x14ac:dyDescent="0.25">
      <c r="B173">
        <f t="shared" si="8"/>
        <v>12.099999999999973</v>
      </c>
      <c r="C173">
        <f t="shared" si="6"/>
        <v>0.5456212167886505</v>
      </c>
      <c r="D173">
        <f t="shared" si="7"/>
        <v>0.86738003927451135</v>
      </c>
    </row>
    <row r="174" spans="2:4" x14ac:dyDescent="0.25">
      <c r="B174">
        <f t="shared" si="8"/>
        <v>12.199999999999973</v>
      </c>
      <c r="C174">
        <f t="shared" si="6"/>
        <v>0.54824703262666052</v>
      </c>
      <c r="D174">
        <f t="shared" si="7"/>
        <v>0.86859425478690921</v>
      </c>
    </row>
    <row r="175" spans="2:4" x14ac:dyDescent="0.25">
      <c r="B175">
        <f t="shared" si="8"/>
        <v>12.299999999999972</v>
      </c>
      <c r="C175">
        <f t="shared" si="6"/>
        <v>0.55088455808661041</v>
      </c>
      <c r="D175">
        <f t="shared" si="7"/>
        <v>0.86980561026007197</v>
      </c>
    </row>
    <row r="176" spans="2:4" x14ac:dyDescent="0.25">
      <c r="B176">
        <f t="shared" si="8"/>
        <v>12.399999999999972</v>
      </c>
      <c r="C176">
        <f t="shared" si="6"/>
        <v>0.55353384125485861</v>
      </c>
      <c r="D176">
        <f t="shared" si="7"/>
        <v>0.87101410195994888</v>
      </c>
    </row>
    <row r="177" spans="2:6" x14ac:dyDescent="0.25">
      <c r="B177">
        <f t="shared" si="8"/>
        <v>12.499999999999972</v>
      </c>
      <c r="C177">
        <f t="shared" si="6"/>
        <v>0.55619493039827239</v>
      </c>
      <c r="D177">
        <f t="shared" si="7"/>
        <v>0.87221972624524191</v>
      </c>
    </row>
    <row r="178" spans="2:6" x14ac:dyDescent="0.25">
      <c r="B178">
        <f t="shared" si="8"/>
        <v>12.599999999999971</v>
      </c>
      <c r="C178">
        <f t="shared" si="6"/>
        <v>0.55886787396484472</v>
      </c>
      <c r="D178">
        <f t="shared" si="7"/>
        <v>0.87342247956703556</v>
      </c>
    </row>
    <row r="179" spans="2:6" x14ac:dyDescent="0.25">
      <c r="B179">
        <f t="shared" si="8"/>
        <v>12.699999999999971</v>
      </c>
      <c r="C179">
        <f t="shared" si="6"/>
        <v>0.56155272058432082</v>
      </c>
      <c r="D179">
        <f t="shared" si="7"/>
        <v>0.87462235846842629</v>
      </c>
    </row>
    <row r="180" spans="2:6" x14ac:dyDescent="0.25">
      <c r="B180">
        <f t="shared" si="8"/>
        <v>12.799999999999971</v>
      </c>
      <c r="C180">
        <f t="shared" si="6"/>
        <v>0.56424951906880083</v>
      </c>
      <c r="D180">
        <f t="shared" si="7"/>
        <v>0.87581935958413581</v>
      </c>
      <c r="E180">
        <v>0.86956521739130443</v>
      </c>
      <c r="F180">
        <v>1.1499999999999999</v>
      </c>
    </row>
    <row r="181" spans="2:6" x14ac:dyDescent="0.25">
      <c r="B181">
        <f t="shared" si="8"/>
        <v>12.89999999999997</v>
      </c>
      <c r="C181">
        <f t="shared" si="6"/>
        <v>0.56695831841337085</v>
      </c>
      <c r="D181">
        <f t="shared" si="7"/>
        <v>0.87701347964013332</v>
      </c>
    </row>
    <row r="182" spans="2:6" x14ac:dyDescent="0.25">
      <c r="B182">
        <f t="shared" si="8"/>
        <v>12.99999999999997</v>
      </c>
      <c r="C182">
        <f t="shared" si="6"/>
        <v>0.56967916779671701</v>
      </c>
      <c r="D182">
        <f t="shared" si="7"/>
        <v>0.87820471545324597</v>
      </c>
    </row>
    <row r="183" spans="2:6" x14ac:dyDescent="0.25">
      <c r="B183">
        <f t="shared" si="8"/>
        <v>13.099999999999969</v>
      </c>
      <c r="C183">
        <f t="shared" si="6"/>
        <v>0.57241211658175517</v>
      </c>
      <c r="D183">
        <f t="shared" si="7"/>
        <v>0.8793930639307711</v>
      </c>
    </row>
    <row r="184" spans="2:6" x14ac:dyDescent="0.25">
      <c r="B184">
        <f t="shared" si="8"/>
        <v>13.199999999999969</v>
      </c>
      <c r="C184">
        <f t="shared" si="6"/>
        <v>0.57515721431625089</v>
      </c>
      <c r="D184">
        <f t="shared" si="7"/>
        <v>0.88057852207008069</v>
      </c>
    </row>
    <row r="185" spans="2:6" x14ac:dyDescent="0.25">
      <c r="B185">
        <f t="shared" si="8"/>
        <v>13.299999999999969</v>
      </c>
      <c r="C185">
        <f t="shared" si="6"/>
        <v>0.57791451073344924</v>
      </c>
      <c r="D185">
        <f t="shared" si="7"/>
        <v>0.88176108695822508</v>
      </c>
    </row>
    <row r="186" spans="2:6" x14ac:dyDescent="0.25">
      <c r="B186">
        <f t="shared" si="8"/>
        <v>13.399999999999968</v>
      </c>
      <c r="C186">
        <f t="shared" si="6"/>
        <v>0.58068405575270587</v>
      </c>
      <c r="D186">
        <f t="shared" si="7"/>
        <v>0.88294075577153486</v>
      </c>
    </row>
    <row r="187" spans="2:6" x14ac:dyDescent="0.25">
      <c r="B187">
        <f t="shared" si="8"/>
        <v>13.499999999999968</v>
      </c>
      <c r="C187">
        <f t="shared" si="6"/>
        <v>0.58346589948011274</v>
      </c>
      <c r="D187">
        <f t="shared" si="7"/>
        <v>0.88411752577521363</v>
      </c>
    </row>
    <row r="188" spans="2:6" x14ac:dyDescent="0.25">
      <c r="B188">
        <f t="shared" si="8"/>
        <v>13.599999999999968</v>
      </c>
      <c r="C188">
        <f t="shared" si="6"/>
        <v>0.58626009220913777</v>
      </c>
      <c r="D188">
        <f t="shared" si="7"/>
        <v>0.88529139432293535</v>
      </c>
    </row>
    <row r="189" spans="2:6" x14ac:dyDescent="0.25">
      <c r="B189">
        <f t="shared" si="8"/>
        <v>13.699999999999967</v>
      </c>
      <c r="C189">
        <f t="shared" si="6"/>
        <v>0.58906668442125376</v>
      </c>
      <c r="D189">
        <f t="shared" si="7"/>
        <v>0.8864623588564321</v>
      </c>
    </row>
    <row r="190" spans="2:6" x14ac:dyDescent="0.25">
      <c r="B190">
        <f t="shared" si="8"/>
        <v>13.799999999999967</v>
      </c>
      <c r="C190">
        <f t="shared" si="6"/>
        <v>0.59188572678657747</v>
      </c>
      <c r="D190">
        <f t="shared" si="7"/>
        <v>0.88763041690508171</v>
      </c>
    </row>
    <row r="191" spans="2:6" x14ac:dyDescent="0.25">
      <c r="B191">
        <f t="shared" si="8"/>
        <v>13.899999999999967</v>
      </c>
      <c r="C191">
        <f t="shared" si="6"/>
        <v>0.59471727016451192</v>
      </c>
      <c r="D191">
        <f t="shared" si="7"/>
        <v>0.88879556608549393</v>
      </c>
    </row>
    <row r="192" spans="2:6" x14ac:dyDescent="0.25">
      <c r="B192">
        <f t="shared" si="8"/>
        <v>13.999999999999966</v>
      </c>
      <c r="C192">
        <f t="shared" si="6"/>
        <v>0.59756136560437867</v>
      </c>
      <c r="D192">
        <f t="shared" si="7"/>
        <v>0.8899578041010886</v>
      </c>
    </row>
    <row r="193" spans="2:6" x14ac:dyDescent="0.25">
      <c r="B193">
        <f t="shared" si="8"/>
        <v>14.099999999999966</v>
      </c>
      <c r="C193">
        <f t="shared" si="6"/>
        <v>0.60041806434607381</v>
      </c>
      <c r="D193">
        <f t="shared" si="7"/>
        <v>0.89111712874167959</v>
      </c>
    </row>
    <row r="194" spans="2:6" x14ac:dyDescent="0.25">
      <c r="B194">
        <f t="shared" si="8"/>
        <v>14.199999999999966</v>
      </c>
      <c r="C194">
        <f t="shared" si="6"/>
        <v>0.6032874178206955</v>
      </c>
      <c r="D194">
        <f t="shared" si="7"/>
        <v>0.89227353788304287</v>
      </c>
    </row>
    <row r="195" spans="2:6" x14ac:dyDescent="0.25">
      <c r="B195">
        <f t="shared" si="8"/>
        <v>14.299999999999965</v>
      </c>
      <c r="C195">
        <f t="shared" ref="C195:C258" si="9">((273+B195)/(273+25))^13.69</f>
        <v>0.60616947765120244</v>
      </c>
      <c r="D195">
        <f t="shared" ref="D195:D258" si="10">C195/(1+0.8164*(C195-1))</f>
        <v>0.8934270294864961</v>
      </c>
    </row>
    <row r="196" spans="2:6" x14ac:dyDescent="0.25">
      <c r="B196">
        <f t="shared" ref="B196:B259" si="11">B195+0.1</f>
        <v>14.399999999999965</v>
      </c>
      <c r="C196">
        <f t="shared" si="9"/>
        <v>0.60906429565306552</v>
      </c>
      <c r="D196">
        <f t="shared" si="10"/>
        <v>0.894577601598468</v>
      </c>
    </row>
    <row r="197" spans="2:6" x14ac:dyDescent="0.25">
      <c r="B197">
        <f t="shared" si="11"/>
        <v>14.499999999999964</v>
      </c>
      <c r="C197">
        <f t="shared" si="9"/>
        <v>0.61197192383490118</v>
      </c>
      <c r="D197">
        <f t="shared" si="10"/>
        <v>0.89572525235006195</v>
      </c>
    </row>
    <row r="198" spans="2:6" x14ac:dyDescent="0.25">
      <c r="B198">
        <f t="shared" si="11"/>
        <v>14.599999999999964</v>
      </c>
      <c r="C198">
        <f t="shared" si="9"/>
        <v>0.6148924143991461</v>
      </c>
      <c r="D198">
        <f t="shared" si="10"/>
        <v>0.89686997995662798</v>
      </c>
    </row>
    <row r="199" spans="2:6" x14ac:dyDescent="0.25">
      <c r="B199">
        <f t="shared" si="11"/>
        <v>14.699999999999964</v>
      </c>
      <c r="C199">
        <f t="shared" si="9"/>
        <v>0.61782581974269402</v>
      </c>
      <c r="D199">
        <f t="shared" si="10"/>
        <v>0.89801178271731974</v>
      </c>
    </row>
    <row r="200" spans="2:6" x14ac:dyDescent="0.25">
      <c r="B200">
        <f t="shared" si="11"/>
        <v>14.799999999999963</v>
      </c>
      <c r="C200">
        <f t="shared" si="9"/>
        <v>0.62077219245755633</v>
      </c>
      <c r="D200">
        <f t="shared" si="10"/>
        <v>0.89915065901465641</v>
      </c>
    </row>
    <row r="201" spans="2:6" x14ac:dyDescent="0.25">
      <c r="B201">
        <f t="shared" si="11"/>
        <v>14.899999999999963</v>
      </c>
      <c r="C201">
        <f t="shared" si="9"/>
        <v>0.62373158533153095</v>
      </c>
      <c r="D201">
        <f t="shared" si="10"/>
        <v>0.90028660731408494</v>
      </c>
    </row>
    <row r="202" spans="2:6" x14ac:dyDescent="0.25">
      <c r="B202">
        <f t="shared" si="11"/>
        <v>14.999999999999963</v>
      </c>
      <c r="C202">
        <f t="shared" si="9"/>
        <v>0.62670405134884721</v>
      </c>
      <c r="D202">
        <f t="shared" si="10"/>
        <v>0.90141962616352933</v>
      </c>
    </row>
    <row r="203" spans="2:6" x14ac:dyDescent="0.25">
      <c r="B203">
        <f t="shared" si="11"/>
        <v>15.099999999999962</v>
      </c>
      <c r="C203">
        <f t="shared" si="9"/>
        <v>0.62968964369084024</v>
      </c>
      <c r="D203">
        <f t="shared" si="10"/>
        <v>0.9025497141929496</v>
      </c>
    </row>
    <row r="204" spans="2:6" x14ac:dyDescent="0.25">
      <c r="B204">
        <f t="shared" si="11"/>
        <v>15.199999999999962</v>
      </c>
      <c r="C204">
        <f t="shared" si="9"/>
        <v>0.63268841573660761</v>
      </c>
      <c r="D204">
        <f t="shared" si="10"/>
        <v>0.90367687011388997</v>
      </c>
    </row>
    <row r="205" spans="2:6" x14ac:dyDescent="0.25">
      <c r="B205">
        <f t="shared" si="11"/>
        <v>15.299999999999962</v>
      </c>
      <c r="C205">
        <f t="shared" si="9"/>
        <v>0.63570042106367908</v>
      </c>
      <c r="D205">
        <f t="shared" si="10"/>
        <v>0.90480109271902964</v>
      </c>
    </row>
    <row r="206" spans="2:6" x14ac:dyDescent="0.25">
      <c r="B206">
        <f t="shared" si="11"/>
        <v>15.399999999999961</v>
      </c>
      <c r="C206">
        <f t="shared" si="9"/>
        <v>0.63872571344868756</v>
      </c>
      <c r="D206">
        <f t="shared" si="10"/>
        <v>0.9059223808817306</v>
      </c>
    </row>
    <row r="207" spans="2:6" x14ac:dyDescent="0.25">
      <c r="B207">
        <f t="shared" si="11"/>
        <v>15.499999999999961</v>
      </c>
      <c r="C207">
        <f t="shared" si="9"/>
        <v>0.64176434686803274</v>
      </c>
      <c r="D207">
        <f t="shared" si="10"/>
        <v>0.9070407335555809</v>
      </c>
    </row>
    <row r="208" spans="2:6" x14ac:dyDescent="0.25">
      <c r="B208">
        <f t="shared" si="11"/>
        <v>15.599999999999961</v>
      </c>
      <c r="C208">
        <f t="shared" si="9"/>
        <v>0.64481637549856163</v>
      </c>
      <c r="D208">
        <f t="shared" si="10"/>
        <v>0.90815614977394077</v>
      </c>
      <c r="E208">
        <v>0.9009009009009008</v>
      </c>
      <c r="F208">
        <v>1.1100000000000001</v>
      </c>
    </row>
    <row r="209" spans="2:4" x14ac:dyDescent="0.25">
      <c r="B209">
        <f t="shared" si="11"/>
        <v>15.69999999999996</v>
      </c>
      <c r="C209">
        <f t="shared" si="9"/>
        <v>0.64788185371823381</v>
      </c>
      <c r="D209">
        <f t="shared" si="10"/>
        <v>0.90926862864948155</v>
      </c>
    </row>
    <row r="210" spans="2:4" x14ac:dyDescent="0.25">
      <c r="B210">
        <f t="shared" si="11"/>
        <v>15.79999999999996</v>
      </c>
      <c r="C210">
        <f t="shared" si="9"/>
        <v>0.65096083610681121</v>
      </c>
      <c r="D210">
        <f t="shared" si="10"/>
        <v>0.91037816937372884</v>
      </c>
    </row>
    <row r="211" spans="2:4" x14ac:dyDescent="0.25">
      <c r="B211">
        <f t="shared" si="11"/>
        <v>15.899999999999959</v>
      </c>
      <c r="C211">
        <f t="shared" si="9"/>
        <v>0.6540533774465197</v>
      </c>
      <c r="D211">
        <f t="shared" si="10"/>
        <v>0.91148477121659555</v>
      </c>
    </row>
    <row r="212" spans="2:4" x14ac:dyDescent="0.25">
      <c r="B212">
        <f t="shared" si="11"/>
        <v>15.999999999999959</v>
      </c>
      <c r="C212">
        <f t="shared" si="9"/>
        <v>0.65715953272274119</v>
      </c>
      <c r="D212">
        <f t="shared" si="10"/>
        <v>0.91258843352592278</v>
      </c>
    </row>
    <row r="213" spans="2:4" x14ac:dyDescent="0.25">
      <c r="B213">
        <f t="shared" si="11"/>
        <v>16.099999999999959</v>
      </c>
      <c r="C213">
        <f t="shared" si="9"/>
        <v>0.66027935712470021</v>
      </c>
      <c r="D213">
        <f t="shared" si="10"/>
        <v>0.91368915572701415</v>
      </c>
    </row>
    <row r="214" spans="2:4" x14ac:dyDescent="0.25">
      <c r="B214">
        <f t="shared" si="11"/>
        <v>16.19999999999996</v>
      </c>
      <c r="C214">
        <f t="shared" si="9"/>
        <v>0.66341290604613035</v>
      </c>
      <c r="D214">
        <f t="shared" si="10"/>
        <v>0.91478693732216454</v>
      </c>
    </row>
    <row r="215" spans="2:4" x14ac:dyDescent="0.25">
      <c r="B215">
        <f t="shared" si="11"/>
        <v>16.299999999999962</v>
      </c>
      <c r="C215">
        <f t="shared" si="9"/>
        <v>0.6665602350859845</v>
      </c>
      <c r="D215">
        <f t="shared" si="10"/>
        <v>0.91588177789019853</v>
      </c>
    </row>
    <row r="216" spans="2:4" x14ac:dyDescent="0.25">
      <c r="B216">
        <f t="shared" si="11"/>
        <v>16.399999999999963</v>
      </c>
      <c r="C216">
        <f t="shared" si="9"/>
        <v>0.66972140004910552</v>
      </c>
      <c r="D216">
        <f t="shared" si="10"/>
        <v>0.91697367708599486</v>
      </c>
    </row>
    <row r="217" spans="2:4" x14ac:dyDescent="0.25">
      <c r="B217">
        <f t="shared" si="11"/>
        <v>16.499999999999964</v>
      </c>
      <c r="C217">
        <f t="shared" si="9"/>
        <v>0.67289645694692057</v>
      </c>
      <c r="D217">
        <f t="shared" si="10"/>
        <v>0.91806263464001636</v>
      </c>
    </row>
    <row r="218" spans="2:4" x14ac:dyDescent="0.25">
      <c r="B218">
        <f t="shared" si="11"/>
        <v>16.599999999999966</v>
      </c>
      <c r="C218">
        <f t="shared" si="9"/>
        <v>0.67608546199814668</v>
      </c>
      <c r="D218">
        <f t="shared" si="10"/>
        <v>0.91914865035784188</v>
      </c>
    </row>
    <row r="219" spans="2:4" x14ac:dyDescent="0.25">
      <c r="B219">
        <f t="shared" si="11"/>
        <v>16.699999999999967</v>
      </c>
      <c r="C219">
        <f t="shared" si="9"/>
        <v>0.67928847162946948</v>
      </c>
      <c r="D219">
        <f t="shared" si="10"/>
        <v>0.92023172411968646</v>
      </c>
    </row>
    <row r="220" spans="2:4" x14ac:dyDescent="0.25">
      <c r="B220">
        <f t="shared" si="11"/>
        <v>16.799999999999969</v>
      </c>
      <c r="C220">
        <f t="shared" si="9"/>
        <v>0.68250554247624462</v>
      </c>
      <c r="D220">
        <f t="shared" si="10"/>
        <v>0.92131185587992825</v>
      </c>
    </row>
    <row r="221" spans="2:4" x14ac:dyDescent="0.25">
      <c r="B221">
        <f t="shared" si="11"/>
        <v>16.89999999999997</v>
      </c>
      <c r="C221">
        <f t="shared" si="9"/>
        <v>0.68573673138320879</v>
      </c>
      <c r="D221">
        <f t="shared" si="10"/>
        <v>0.92238904566663582</v>
      </c>
    </row>
    <row r="222" spans="2:4" x14ac:dyDescent="0.25">
      <c r="B222">
        <f t="shared" si="11"/>
        <v>16.999999999999972</v>
      </c>
      <c r="C222">
        <f t="shared" si="9"/>
        <v>0.68898209540516553</v>
      </c>
      <c r="D222">
        <f t="shared" si="10"/>
        <v>0.9234632935810857</v>
      </c>
    </row>
    <row r="223" spans="2:4" x14ac:dyDescent="0.25">
      <c r="B223">
        <f t="shared" si="11"/>
        <v>17.099999999999973</v>
      </c>
      <c r="C223">
        <f t="shared" si="9"/>
        <v>0.69224169180769202</v>
      </c>
      <c r="D223">
        <f t="shared" si="10"/>
        <v>0.92453459979728558</v>
      </c>
    </row>
    <row r="224" spans="2:4" x14ac:dyDescent="0.25">
      <c r="B224">
        <f t="shared" si="11"/>
        <v>17.199999999999974</v>
      </c>
      <c r="C224">
        <f t="shared" si="9"/>
        <v>0.69551557806785724</v>
      </c>
      <c r="D224">
        <f t="shared" si="10"/>
        <v>0.9256029645614976</v>
      </c>
    </row>
    <row r="225" spans="2:6" x14ac:dyDescent="0.25">
      <c r="B225">
        <f t="shared" si="11"/>
        <v>17.299999999999976</v>
      </c>
      <c r="C225">
        <f t="shared" si="9"/>
        <v>0.69880381187491136</v>
      </c>
      <c r="D225">
        <f t="shared" si="10"/>
        <v>0.92666838819175412</v>
      </c>
    </row>
    <row r="226" spans="2:6" x14ac:dyDescent="0.25">
      <c r="B226">
        <f t="shared" si="11"/>
        <v>17.399999999999977</v>
      </c>
      <c r="C226">
        <f t="shared" si="9"/>
        <v>0.70210645113101011</v>
      </c>
      <c r="D226">
        <f t="shared" si="10"/>
        <v>0.92773087107737917</v>
      </c>
    </row>
    <row r="227" spans="2:6" x14ac:dyDescent="0.25">
      <c r="B227">
        <f t="shared" si="11"/>
        <v>17.499999999999979</v>
      </c>
      <c r="C227">
        <f t="shared" si="9"/>
        <v>0.70542355395191747</v>
      </c>
      <c r="D227">
        <f t="shared" si="10"/>
        <v>0.92879041367850423</v>
      </c>
    </row>
    <row r="228" spans="2:6" x14ac:dyDescent="0.25">
      <c r="B228">
        <f t="shared" si="11"/>
        <v>17.59999999999998</v>
      </c>
      <c r="C228">
        <f t="shared" si="9"/>
        <v>0.70875517866772331</v>
      </c>
      <c r="D228">
        <f t="shared" si="10"/>
        <v>0.92984701652558666</v>
      </c>
    </row>
    <row r="229" spans="2:6" x14ac:dyDescent="0.25">
      <c r="B229">
        <f t="shared" si="11"/>
        <v>17.699999999999982</v>
      </c>
      <c r="C229">
        <f t="shared" si="9"/>
        <v>0.71210138382356281</v>
      </c>
      <c r="D229">
        <f t="shared" si="10"/>
        <v>0.9309006802189258</v>
      </c>
    </row>
    <row r="230" spans="2:6" x14ac:dyDescent="0.25">
      <c r="B230">
        <f t="shared" si="11"/>
        <v>17.799999999999983</v>
      </c>
      <c r="C230">
        <f t="shared" si="9"/>
        <v>0.71546222818032734</v>
      </c>
      <c r="D230">
        <f t="shared" si="10"/>
        <v>0.93195140542817823</v>
      </c>
    </row>
    <row r="231" spans="2:6" x14ac:dyDescent="0.25">
      <c r="B231">
        <f t="shared" si="11"/>
        <v>17.899999999999984</v>
      </c>
      <c r="C231">
        <f t="shared" si="9"/>
        <v>0.71883777071539334</v>
      </c>
      <c r="D231">
        <f t="shared" si="10"/>
        <v>0.93299919289187272</v>
      </c>
    </row>
    <row r="232" spans="2:6" x14ac:dyDescent="0.25">
      <c r="B232">
        <f t="shared" si="11"/>
        <v>17.999999999999986</v>
      </c>
      <c r="C232">
        <f t="shared" si="9"/>
        <v>0.72222807062333783</v>
      </c>
      <c r="D232">
        <f t="shared" si="10"/>
        <v>0.93404404341692437</v>
      </c>
    </row>
    <row r="233" spans="2:6" x14ac:dyDescent="0.25">
      <c r="B233">
        <f t="shared" si="11"/>
        <v>18.099999999999987</v>
      </c>
      <c r="C233">
        <f t="shared" si="9"/>
        <v>0.72563318731666637</v>
      </c>
      <c r="D233">
        <f t="shared" si="10"/>
        <v>0.93508595787814885</v>
      </c>
    </row>
    <row r="234" spans="2:6" x14ac:dyDescent="0.25">
      <c r="B234">
        <f t="shared" si="11"/>
        <v>18.199999999999989</v>
      </c>
      <c r="C234">
        <f t="shared" si="9"/>
        <v>0.72905318042654321</v>
      </c>
      <c r="D234">
        <f t="shared" si="10"/>
        <v>0.93612493721777579</v>
      </c>
    </row>
    <row r="235" spans="2:6" x14ac:dyDescent="0.25">
      <c r="B235">
        <f t="shared" si="11"/>
        <v>18.29999999999999</v>
      </c>
      <c r="C235">
        <f t="shared" si="9"/>
        <v>0.73248810980351386</v>
      </c>
      <c r="D235">
        <f t="shared" si="10"/>
        <v>0.9371609824449606</v>
      </c>
      <c r="E235">
        <v>0.92592592592592582</v>
      </c>
      <c r="F235">
        <v>1.08</v>
      </c>
    </row>
    <row r="236" spans="2:6" x14ac:dyDescent="0.25">
      <c r="B236">
        <f t="shared" si="11"/>
        <v>18.399999999999991</v>
      </c>
      <c r="C236">
        <f t="shared" si="9"/>
        <v>0.73593803551824011</v>
      </c>
      <c r="D236">
        <f t="shared" si="10"/>
        <v>0.93819409463529746</v>
      </c>
    </row>
    <row r="237" spans="2:6" x14ac:dyDescent="0.25">
      <c r="B237">
        <f t="shared" si="11"/>
        <v>18.499999999999993</v>
      </c>
      <c r="C237">
        <f t="shared" si="9"/>
        <v>0.73940301786223672</v>
      </c>
      <c r="D237">
        <f t="shared" si="10"/>
        <v>0.93922427493033245</v>
      </c>
    </row>
    <row r="238" spans="2:6" x14ac:dyDescent="0.25">
      <c r="B238">
        <f t="shared" si="11"/>
        <v>18.599999999999994</v>
      </c>
      <c r="C238">
        <f t="shared" si="9"/>
        <v>0.74288311734860013</v>
      </c>
      <c r="D238">
        <f t="shared" si="10"/>
        <v>0.94025152453707295</v>
      </c>
    </row>
    <row r="239" spans="2:6" x14ac:dyDescent="0.25">
      <c r="B239">
        <f t="shared" si="11"/>
        <v>18.699999999999996</v>
      </c>
      <c r="C239">
        <f t="shared" si="9"/>
        <v>0.74637839471275058</v>
      </c>
      <c r="D239">
        <f t="shared" si="10"/>
        <v>0.94127584472750048</v>
      </c>
    </row>
    <row r="240" spans="2:6" x14ac:dyDescent="0.25">
      <c r="B240">
        <f t="shared" si="11"/>
        <v>18.799999999999997</v>
      </c>
      <c r="C240">
        <f t="shared" si="9"/>
        <v>0.74988891091317456</v>
      </c>
      <c r="D240">
        <f t="shared" si="10"/>
        <v>0.94229723683808286</v>
      </c>
    </row>
    <row r="241" spans="2:6" x14ac:dyDescent="0.25">
      <c r="B241">
        <f t="shared" si="11"/>
        <v>18.899999999999999</v>
      </c>
      <c r="C241">
        <f t="shared" si="9"/>
        <v>0.75341472713215929</v>
      </c>
      <c r="D241">
        <f t="shared" si="10"/>
        <v>0.9433157022692823</v>
      </c>
      <c r="E241">
        <v>0.93283582089552231</v>
      </c>
      <c r="F241">
        <v>1.0720000000000001</v>
      </c>
    </row>
    <row r="242" spans="2:6" x14ac:dyDescent="0.25">
      <c r="B242">
        <f t="shared" si="11"/>
        <v>19</v>
      </c>
      <c r="C242">
        <f t="shared" si="9"/>
        <v>0.75695590477655106</v>
      </c>
      <c r="D242">
        <f t="shared" si="10"/>
        <v>0.94433124248507139</v>
      </c>
    </row>
    <row r="243" spans="2:6" x14ac:dyDescent="0.25">
      <c r="B243">
        <f t="shared" si="11"/>
        <v>19.100000000000001</v>
      </c>
      <c r="C243">
        <f t="shared" si="9"/>
        <v>0.76051250547848315</v>
      </c>
      <c r="D243">
        <f t="shared" si="10"/>
        <v>0.94534385901243723</v>
      </c>
    </row>
    <row r="244" spans="2:6" x14ac:dyDescent="0.25">
      <c r="B244">
        <f t="shared" si="11"/>
        <v>19.200000000000003</v>
      </c>
      <c r="C244">
        <f t="shared" si="9"/>
        <v>0.76408459109613969</v>
      </c>
      <c r="D244">
        <f t="shared" si="10"/>
        <v>0.94635355344089722</v>
      </c>
    </row>
    <row r="245" spans="2:6" x14ac:dyDescent="0.25">
      <c r="B245">
        <f t="shared" si="11"/>
        <v>19.300000000000004</v>
      </c>
      <c r="C245">
        <f t="shared" si="9"/>
        <v>0.76767222371450439</v>
      </c>
      <c r="D245">
        <f t="shared" si="10"/>
        <v>0.94736032742200926</v>
      </c>
    </row>
    <row r="246" spans="2:6" x14ac:dyDescent="0.25">
      <c r="B246">
        <f t="shared" si="11"/>
        <v>19.400000000000006</v>
      </c>
      <c r="C246">
        <f t="shared" si="9"/>
        <v>0.77127546564610627</v>
      </c>
      <c r="D246">
        <f t="shared" si="10"/>
        <v>0.9483641826688799</v>
      </c>
      <c r="E246">
        <v>0.93984962406015038</v>
      </c>
      <c r="F246">
        <v>1.0640000000000001</v>
      </c>
    </row>
    <row r="247" spans="2:6" x14ac:dyDescent="0.25">
      <c r="B247">
        <f t="shared" si="11"/>
        <v>19.500000000000007</v>
      </c>
      <c r="C247">
        <f t="shared" si="9"/>
        <v>0.7748943794317904</v>
      </c>
      <c r="D247">
        <f t="shared" si="10"/>
        <v>0.94936512095567971</v>
      </c>
    </row>
    <row r="248" spans="2:6" x14ac:dyDescent="0.25">
      <c r="B248">
        <f t="shared" si="11"/>
        <v>19.600000000000009</v>
      </c>
      <c r="C248">
        <f t="shared" si="9"/>
        <v>0.7785290278414555</v>
      </c>
      <c r="D248">
        <f t="shared" si="10"/>
        <v>0.95036314411714917</v>
      </c>
    </row>
    <row r="249" spans="2:6" x14ac:dyDescent="0.25">
      <c r="B249">
        <f t="shared" si="11"/>
        <v>19.70000000000001</v>
      </c>
      <c r="C249">
        <f t="shared" si="9"/>
        <v>0.78217947387482911</v>
      </c>
      <c r="D249">
        <f t="shared" si="10"/>
        <v>0.95135825404811292</v>
      </c>
    </row>
    <row r="250" spans="2:6" x14ac:dyDescent="0.25">
      <c r="B250">
        <f t="shared" si="11"/>
        <v>19.800000000000011</v>
      </c>
      <c r="C250">
        <f t="shared" si="9"/>
        <v>0.78584578076223299</v>
      </c>
      <c r="D250">
        <f t="shared" si="10"/>
        <v>0.9523504527029929</v>
      </c>
    </row>
    <row r="251" spans="2:6" x14ac:dyDescent="0.25">
      <c r="B251">
        <f t="shared" si="11"/>
        <v>19.900000000000013</v>
      </c>
      <c r="C251">
        <f t="shared" si="9"/>
        <v>0.78952801196533073</v>
      </c>
      <c r="D251">
        <f t="shared" si="10"/>
        <v>0.95333974209531536</v>
      </c>
    </row>
    <row r="252" spans="2:6" x14ac:dyDescent="0.25">
      <c r="B252">
        <f t="shared" si="11"/>
        <v>20.000000000000014</v>
      </c>
      <c r="C252">
        <f t="shared" si="9"/>
        <v>0.79322623117790814</v>
      </c>
      <c r="D252">
        <f t="shared" si="10"/>
        <v>0.95432612429722574</v>
      </c>
      <c r="E252">
        <v>0.94696969696969691</v>
      </c>
      <c r="F252">
        <v>1.056</v>
      </c>
    </row>
    <row r="253" spans="2:6" x14ac:dyDescent="0.25">
      <c r="B253">
        <f t="shared" si="11"/>
        <v>20.100000000000016</v>
      </c>
      <c r="C253">
        <f t="shared" si="9"/>
        <v>0.79694050232664715</v>
      </c>
      <c r="D253">
        <f t="shared" si="10"/>
        <v>0.95530960143900312</v>
      </c>
    </row>
    <row r="254" spans="2:6" x14ac:dyDescent="0.25">
      <c r="B254">
        <f t="shared" si="11"/>
        <v>20.200000000000017</v>
      </c>
      <c r="C254">
        <f t="shared" si="9"/>
        <v>0.80067088957187882</v>
      </c>
      <c r="D254">
        <f t="shared" si="10"/>
        <v>0.95629017570856756</v>
      </c>
    </row>
    <row r="255" spans="2:6" x14ac:dyDescent="0.25">
      <c r="B255">
        <f t="shared" si="11"/>
        <v>20.300000000000018</v>
      </c>
      <c r="C255">
        <f t="shared" si="9"/>
        <v>0.80441745730837177</v>
      </c>
      <c r="D255">
        <f t="shared" si="10"/>
        <v>0.95726784935099685</v>
      </c>
    </row>
    <row r="256" spans="2:6" x14ac:dyDescent="0.25">
      <c r="B256">
        <f t="shared" si="11"/>
        <v>20.40000000000002</v>
      </c>
      <c r="C256">
        <f t="shared" si="9"/>
        <v>0.80818027016611227</v>
      </c>
      <c r="D256">
        <f t="shared" si="10"/>
        <v>0.95824262466804155</v>
      </c>
    </row>
    <row r="257" spans="2:6" x14ac:dyDescent="0.25">
      <c r="B257">
        <f t="shared" si="11"/>
        <v>20.500000000000021</v>
      </c>
      <c r="C257">
        <f t="shared" si="9"/>
        <v>0.81195939301106179</v>
      </c>
      <c r="D257">
        <f t="shared" si="10"/>
        <v>0.95921450401763342</v>
      </c>
    </row>
    <row r="258" spans="2:6" x14ac:dyDescent="0.25">
      <c r="B258">
        <f t="shared" si="11"/>
        <v>20.600000000000023</v>
      </c>
      <c r="C258">
        <f t="shared" si="9"/>
        <v>0.81575489094596487</v>
      </c>
      <c r="D258">
        <f t="shared" si="10"/>
        <v>0.96018348981340695</v>
      </c>
      <c r="E258">
        <v>0.95419847328244267</v>
      </c>
      <c r="F258">
        <v>1.048</v>
      </c>
    </row>
    <row r="259" spans="2:6" x14ac:dyDescent="0.25">
      <c r="B259">
        <f t="shared" si="11"/>
        <v>20.700000000000024</v>
      </c>
      <c r="C259">
        <f t="shared" ref="C259:C322" si="12">((273+B259)/(273+25))^13.69</f>
        <v>0.81956682931111124</v>
      </c>
      <c r="D259">
        <f t="shared" ref="D259:D322" si="13">C259/(1+0.8164*(C259-1))</f>
        <v>0.96114958452420907</v>
      </c>
    </row>
    <row r="260" spans="2:6" x14ac:dyDescent="0.25">
      <c r="B260">
        <f t="shared" ref="B260:B323" si="14">B259+0.1</f>
        <v>20.800000000000026</v>
      </c>
      <c r="C260">
        <f t="shared" si="12"/>
        <v>0.823395273685125</v>
      </c>
      <c r="D260">
        <f t="shared" si="13"/>
        <v>0.96211279067361632</v>
      </c>
    </row>
    <row r="261" spans="2:6" x14ac:dyDescent="0.25">
      <c r="B261">
        <f t="shared" si="14"/>
        <v>20.900000000000027</v>
      </c>
      <c r="C261">
        <f t="shared" si="12"/>
        <v>0.82724028988576748</v>
      </c>
      <c r="D261">
        <f t="shared" si="13"/>
        <v>0.96307311083945446</v>
      </c>
    </row>
    <row r="262" spans="2:6" x14ac:dyDescent="0.25">
      <c r="B262">
        <f t="shared" si="14"/>
        <v>21.000000000000028</v>
      </c>
      <c r="C262">
        <f t="shared" si="12"/>
        <v>0.83110194397070569</v>
      </c>
      <c r="D262">
        <f t="shared" si="13"/>
        <v>0.96403054765331042</v>
      </c>
    </row>
    <row r="263" spans="2:6" x14ac:dyDescent="0.25">
      <c r="B263">
        <f t="shared" si="14"/>
        <v>21.10000000000003</v>
      </c>
      <c r="C263">
        <f t="shared" si="12"/>
        <v>0.83498030223832187</v>
      </c>
      <c r="D263">
        <f t="shared" si="13"/>
        <v>0.9649851038000542</v>
      </c>
      <c r="E263">
        <v>0.96153846153846145</v>
      </c>
      <c r="F263">
        <v>1.04</v>
      </c>
    </row>
    <row r="264" spans="2:6" x14ac:dyDescent="0.25">
      <c r="B264">
        <f t="shared" si="14"/>
        <v>21.200000000000031</v>
      </c>
      <c r="C264">
        <f t="shared" si="12"/>
        <v>0.83887543122849717</v>
      </c>
      <c r="D264">
        <f t="shared" si="13"/>
        <v>0.96593678201735522</v>
      </c>
    </row>
    <row r="265" spans="2:6" x14ac:dyDescent="0.25">
      <c r="B265">
        <f t="shared" si="14"/>
        <v>21.300000000000033</v>
      </c>
      <c r="C265">
        <f t="shared" si="12"/>
        <v>0.84278739772341349</v>
      </c>
      <c r="D265">
        <f t="shared" si="13"/>
        <v>0.96688558509520195</v>
      </c>
    </row>
    <row r="266" spans="2:6" x14ac:dyDescent="0.25">
      <c r="B266">
        <f t="shared" si="14"/>
        <v>21.400000000000034</v>
      </c>
      <c r="C266">
        <f t="shared" si="12"/>
        <v>0.84671626874835637</v>
      </c>
      <c r="D266">
        <f t="shared" si="13"/>
        <v>0.96783151587542349</v>
      </c>
    </row>
    <row r="267" spans="2:6" x14ac:dyDescent="0.25">
      <c r="B267">
        <f t="shared" si="14"/>
        <v>21.500000000000036</v>
      </c>
      <c r="C267">
        <f t="shared" si="12"/>
        <v>0.85066211157250915</v>
      </c>
      <c r="D267">
        <f t="shared" si="13"/>
        <v>0.96877457725120808</v>
      </c>
    </row>
    <row r="268" spans="2:6" x14ac:dyDescent="0.25">
      <c r="B268">
        <f t="shared" si="14"/>
        <v>21.600000000000037</v>
      </c>
      <c r="C268">
        <f t="shared" si="12"/>
        <v>0.85462499370976153</v>
      </c>
      <c r="D268">
        <f t="shared" si="13"/>
        <v>0.96971477216662672</v>
      </c>
    </row>
    <row r="269" spans="2:6" x14ac:dyDescent="0.25">
      <c r="B269">
        <f t="shared" si="14"/>
        <v>21.700000000000038</v>
      </c>
      <c r="C269">
        <f t="shared" si="12"/>
        <v>0.85860498291951937</v>
      </c>
      <c r="D269">
        <f t="shared" si="13"/>
        <v>0.97065210361615628</v>
      </c>
      <c r="E269">
        <v>0.96711798839458407</v>
      </c>
      <c r="F269">
        <v>1.034</v>
      </c>
    </row>
    <row r="270" spans="2:6" x14ac:dyDescent="0.25">
      <c r="B270">
        <f t="shared" si="14"/>
        <v>21.80000000000004</v>
      </c>
      <c r="C270">
        <f t="shared" si="12"/>
        <v>0.8626021472075065</v>
      </c>
      <c r="D270">
        <f t="shared" si="13"/>
        <v>0.9715865746442014</v>
      </c>
    </row>
    <row r="271" spans="2:6" x14ac:dyDescent="0.25">
      <c r="B271">
        <f t="shared" si="14"/>
        <v>21.900000000000041</v>
      </c>
      <c r="C271">
        <f t="shared" si="12"/>
        <v>0.86661655482657973</v>
      </c>
      <c r="D271">
        <f t="shared" si="13"/>
        <v>0.97251818834462023</v>
      </c>
    </row>
    <row r="272" spans="2:6" x14ac:dyDescent="0.25">
      <c r="B272">
        <f t="shared" si="14"/>
        <v>22.000000000000043</v>
      </c>
      <c r="C272">
        <f t="shared" si="12"/>
        <v>0.87064827427754676</v>
      </c>
      <c r="D272">
        <f t="shared" si="13"/>
        <v>0.9734469478602511</v>
      </c>
    </row>
    <row r="273" spans="2:6" x14ac:dyDescent="0.25">
      <c r="B273">
        <f t="shared" si="14"/>
        <v>22.100000000000044</v>
      </c>
      <c r="C273">
        <f t="shared" si="12"/>
        <v>0.87469737430997307</v>
      </c>
      <c r="D273">
        <f t="shared" si="13"/>
        <v>0.97437285638243709</v>
      </c>
    </row>
    <row r="274" spans="2:6" x14ac:dyDescent="0.25">
      <c r="B274">
        <f t="shared" si="14"/>
        <v>22.200000000000045</v>
      </c>
      <c r="C274">
        <f t="shared" si="12"/>
        <v>0.87876392392301106</v>
      </c>
      <c r="D274">
        <f t="shared" si="13"/>
        <v>0.97529591715055586</v>
      </c>
      <c r="E274">
        <v>0.97181729834791064</v>
      </c>
      <c r="F274">
        <v>1.0289999999999999</v>
      </c>
    </row>
    <row r="275" spans="2:6" x14ac:dyDescent="0.25">
      <c r="B275">
        <f t="shared" si="14"/>
        <v>22.300000000000047</v>
      </c>
      <c r="C275">
        <f t="shared" si="12"/>
        <v>0.88284799236621159</v>
      </c>
      <c r="D275">
        <f t="shared" si="13"/>
        <v>0.9762161334515469</v>
      </c>
    </row>
    <row r="276" spans="2:6" x14ac:dyDescent="0.25">
      <c r="B276">
        <f t="shared" si="14"/>
        <v>22.400000000000048</v>
      </c>
      <c r="C276">
        <f t="shared" si="12"/>
        <v>0.88694964914035213</v>
      </c>
      <c r="D276">
        <f t="shared" si="13"/>
        <v>0.97713350861944226</v>
      </c>
    </row>
    <row r="277" spans="2:6" x14ac:dyDescent="0.25">
      <c r="B277">
        <f t="shared" si="14"/>
        <v>22.50000000000005</v>
      </c>
      <c r="C277">
        <f t="shared" si="12"/>
        <v>0.89106896399826563</v>
      </c>
      <c r="D277">
        <f t="shared" si="13"/>
        <v>0.97804804603489892</v>
      </c>
    </row>
    <row r="278" spans="2:6" x14ac:dyDescent="0.25">
      <c r="B278">
        <f t="shared" si="14"/>
        <v>22.600000000000051</v>
      </c>
      <c r="C278">
        <f t="shared" si="12"/>
        <v>0.89520600694565899</v>
      </c>
      <c r="D278">
        <f t="shared" si="13"/>
        <v>0.97895974912472816</v>
      </c>
    </row>
    <row r="279" spans="2:6" x14ac:dyDescent="0.25">
      <c r="B279">
        <f t="shared" si="14"/>
        <v>22.700000000000053</v>
      </c>
      <c r="C279">
        <f t="shared" si="12"/>
        <v>0.89936084824196083</v>
      </c>
      <c r="D279">
        <f t="shared" si="13"/>
        <v>0.97986862136143327</v>
      </c>
    </row>
    <row r="280" spans="2:6" x14ac:dyDescent="0.25">
      <c r="B280">
        <f t="shared" si="14"/>
        <v>22.800000000000054</v>
      </c>
      <c r="C280">
        <f t="shared" si="12"/>
        <v>0.90353355840113181</v>
      </c>
      <c r="D280">
        <f t="shared" si="13"/>
        <v>0.9807746662627399</v>
      </c>
      <c r="E280">
        <v>0.97751710654936474</v>
      </c>
      <c r="F280">
        <v>1.0229999999999999</v>
      </c>
    </row>
    <row r="281" spans="2:6" x14ac:dyDescent="0.25">
      <c r="B281">
        <f t="shared" si="14"/>
        <v>22.900000000000055</v>
      </c>
      <c r="C281">
        <f t="shared" si="12"/>
        <v>0.90772420819251642</v>
      </c>
      <c r="D281">
        <f t="shared" si="13"/>
        <v>0.98167788739113426</v>
      </c>
    </row>
    <row r="282" spans="2:6" x14ac:dyDescent="0.25">
      <c r="B282">
        <f t="shared" si="14"/>
        <v>23.000000000000057</v>
      </c>
      <c r="C282">
        <f t="shared" si="12"/>
        <v>0.91193286864168555</v>
      </c>
      <c r="D282">
        <f t="shared" si="13"/>
        <v>0.98257828835340311</v>
      </c>
    </row>
    <row r="283" spans="2:6" x14ac:dyDescent="0.25">
      <c r="B283">
        <f t="shared" si="14"/>
        <v>23.100000000000058</v>
      </c>
      <c r="C283">
        <f t="shared" si="12"/>
        <v>0.9161596110312562</v>
      </c>
      <c r="D283">
        <f t="shared" si="13"/>
        <v>0.98347587280016657</v>
      </c>
    </row>
    <row r="284" spans="2:6" x14ac:dyDescent="0.25">
      <c r="B284">
        <f t="shared" si="14"/>
        <v>23.20000000000006</v>
      </c>
      <c r="C284">
        <f t="shared" si="12"/>
        <v>0.9204045069017508</v>
      </c>
      <c r="D284">
        <f t="shared" si="13"/>
        <v>0.98437064442542255</v>
      </c>
    </row>
    <row r="285" spans="2:6" x14ac:dyDescent="0.25">
      <c r="B285">
        <f t="shared" si="14"/>
        <v>23.300000000000061</v>
      </c>
      <c r="C285">
        <f t="shared" si="12"/>
        <v>0.92466762805244762</v>
      </c>
      <c r="D285">
        <f t="shared" si="13"/>
        <v>0.98526260696608847</v>
      </c>
    </row>
    <row r="286" spans="2:6" x14ac:dyDescent="0.25">
      <c r="B286">
        <f t="shared" si="14"/>
        <v>23.400000000000063</v>
      </c>
      <c r="C286">
        <f t="shared" si="12"/>
        <v>0.92894904654220722</v>
      </c>
      <c r="D286">
        <f t="shared" si="13"/>
        <v>0.98615176420154027</v>
      </c>
      <c r="E286">
        <v>0.98328416912487715</v>
      </c>
      <c r="F286">
        <v>1.0169999999999999</v>
      </c>
    </row>
    <row r="287" spans="2:6" x14ac:dyDescent="0.25">
      <c r="B287">
        <f t="shared" si="14"/>
        <v>23.500000000000064</v>
      </c>
      <c r="C287">
        <f t="shared" si="12"/>
        <v>0.93324883469034026</v>
      </c>
      <c r="D287">
        <f t="shared" si="13"/>
        <v>0.98703811995315915</v>
      </c>
    </row>
    <row r="288" spans="2:6" x14ac:dyDescent="0.25">
      <c r="B288">
        <f t="shared" si="14"/>
        <v>23.600000000000065</v>
      </c>
      <c r="C288">
        <f t="shared" si="12"/>
        <v>0.93756706507746401</v>
      </c>
      <c r="D288">
        <f t="shared" si="13"/>
        <v>0.98792167808387921</v>
      </c>
    </row>
    <row r="289" spans="2:6" x14ac:dyDescent="0.25">
      <c r="B289">
        <f t="shared" si="14"/>
        <v>23.700000000000067</v>
      </c>
      <c r="C289">
        <f t="shared" si="12"/>
        <v>0.94190381054633465</v>
      </c>
      <c r="D289">
        <f t="shared" si="13"/>
        <v>0.98880244249772886</v>
      </c>
    </row>
    <row r="290" spans="2:6" x14ac:dyDescent="0.25">
      <c r="B290">
        <f t="shared" si="14"/>
        <v>23.800000000000068</v>
      </c>
      <c r="C290">
        <f t="shared" si="12"/>
        <v>0.94625914420273582</v>
      </c>
      <c r="D290">
        <f t="shared" si="13"/>
        <v>0.98968041713938604</v>
      </c>
    </row>
    <row r="291" spans="2:6" x14ac:dyDescent="0.25">
      <c r="B291">
        <f t="shared" si="14"/>
        <v>23.90000000000007</v>
      </c>
      <c r="C291">
        <f t="shared" si="12"/>
        <v>0.95063313941631555</v>
      </c>
      <c r="D291">
        <f t="shared" si="13"/>
        <v>0.99055560599372316</v>
      </c>
      <c r="E291">
        <v>0.98911968348170143</v>
      </c>
      <c r="F291">
        <v>1.0109999999999999</v>
      </c>
    </row>
    <row r="292" spans="2:6" x14ac:dyDescent="0.25">
      <c r="B292">
        <f t="shared" si="14"/>
        <v>24.000000000000071</v>
      </c>
      <c r="C292">
        <f t="shared" si="12"/>
        <v>0.95502586982145299</v>
      </c>
      <c r="D292">
        <f t="shared" si="13"/>
        <v>0.9914280130853601</v>
      </c>
    </row>
    <row r="293" spans="2:6" x14ac:dyDescent="0.25">
      <c r="B293">
        <f t="shared" si="14"/>
        <v>24.100000000000072</v>
      </c>
      <c r="C293">
        <f t="shared" si="12"/>
        <v>0.95943740931814159</v>
      </c>
      <c r="D293">
        <f t="shared" si="13"/>
        <v>0.9922976424782205</v>
      </c>
    </row>
    <row r="294" spans="2:6" x14ac:dyDescent="0.25">
      <c r="B294">
        <f t="shared" si="14"/>
        <v>24.200000000000074</v>
      </c>
      <c r="C294">
        <f t="shared" si="12"/>
        <v>0.96386783207283255</v>
      </c>
      <c r="D294">
        <f t="shared" si="13"/>
        <v>0.99316449827508158</v>
      </c>
    </row>
    <row r="295" spans="2:6" x14ac:dyDescent="0.25">
      <c r="B295">
        <f t="shared" si="14"/>
        <v>24.300000000000075</v>
      </c>
      <c r="C295">
        <f t="shared" si="12"/>
        <v>0.96831721251932457</v>
      </c>
      <c r="D295">
        <f t="shared" si="13"/>
        <v>0.99402858461713428</v>
      </c>
    </row>
    <row r="296" spans="2:6" x14ac:dyDescent="0.25">
      <c r="B296">
        <f t="shared" si="14"/>
        <v>24.400000000000077</v>
      </c>
      <c r="C296">
        <f t="shared" si="12"/>
        <v>0.97278562535962487</v>
      </c>
      <c r="D296">
        <f t="shared" si="13"/>
        <v>0.99488990568353919</v>
      </c>
    </row>
    <row r="297" spans="2:6" x14ac:dyDescent="0.25">
      <c r="B297">
        <f t="shared" si="14"/>
        <v>24.500000000000078</v>
      </c>
      <c r="C297">
        <f t="shared" si="12"/>
        <v>0.97727314556483014</v>
      </c>
      <c r="D297">
        <f t="shared" si="13"/>
        <v>0.99574846569098674</v>
      </c>
      <c r="E297">
        <v>0.99403578528827041</v>
      </c>
      <c r="F297">
        <v>1.006</v>
      </c>
    </row>
    <row r="298" spans="2:6" x14ac:dyDescent="0.25">
      <c r="B298">
        <f t="shared" si="14"/>
        <v>24.60000000000008</v>
      </c>
      <c r="C298">
        <f t="shared" si="12"/>
        <v>0.98177984837600862</v>
      </c>
      <c r="D298">
        <f t="shared" si="13"/>
        <v>0.99660426889325937</v>
      </c>
    </row>
    <row r="299" spans="2:6" x14ac:dyDescent="0.25">
      <c r="B299">
        <f t="shared" si="14"/>
        <v>24.700000000000081</v>
      </c>
      <c r="C299">
        <f t="shared" si="12"/>
        <v>0.98630580930507239</v>
      </c>
      <c r="D299">
        <f t="shared" si="13"/>
        <v>0.99745731958079298</v>
      </c>
    </row>
    <row r="300" spans="2:6" x14ac:dyDescent="0.25">
      <c r="B300">
        <f t="shared" si="14"/>
        <v>24.800000000000082</v>
      </c>
      <c r="C300">
        <f t="shared" si="12"/>
        <v>0.99085110413566513</v>
      </c>
      <c r="D300">
        <f t="shared" si="13"/>
        <v>0.99830762208024193</v>
      </c>
    </row>
    <row r="301" spans="2:6" x14ac:dyDescent="0.25">
      <c r="B301">
        <f t="shared" si="14"/>
        <v>24.900000000000084</v>
      </c>
      <c r="C301">
        <f t="shared" si="12"/>
        <v>0.99541580892405324</v>
      </c>
      <c r="D301">
        <f t="shared" si="13"/>
        <v>0.99915518075404697</v>
      </c>
    </row>
    <row r="302" spans="2:6" x14ac:dyDescent="0.25">
      <c r="B302">
        <f t="shared" si="14"/>
        <v>25.000000000000085</v>
      </c>
      <c r="C302">
        <f t="shared" si="12"/>
        <v>1.000000000000006</v>
      </c>
      <c r="D302">
        <f t="shared" si="13"/>
        <v>1.0000000000000011</v>
      </c>
      <c r="E302">
        <v>1</v>
      </c>
      <c r="F302">
        <v>1</v>
      </c>
    </row>
    <row r="303" spans="2:6" x14ac:dyDescent="0.25">
      <c r="B303">
        <f t="shared" si="14"/>
        <v>25.100000000000087</v>
      </c>
      <c r="C303">
        <f t="shared" si="12"/>
        <v>1.0046037539676851</v>
      </c>
      <c r="D303">
        <f t="shared" si="13"/>
        <v>1.0008420842508194</v>
      </c>
    </row>
    <row r="304" spans="2:6" x14ac:dyDescent="0.25">
      <c r="B304">
        <f t="shared" si="14"/>
        <v>25.200000000000088</v>
      </c>
      <c r="C304">
        <f t="shared" si="12"/>
        <v>1.0092271477065564</v>
      </c>
      <c r="D304">
        <f t="shared" si="13"/>
        <v>1.0016814379737142</v>
      </c>
    </row>
    <row r="305" spans="2:6" x14ac:dyDescent="0.25">
      <c r="B305">
        <f t="shared" si="14"/>
        <v>25.30000000000009</v>
      </c>
      <c r="C305">
        <f t="shared" si="12"/>
        <v>1.0138702583722614</v>
      </c>
      <c r="D305">
        <f t="shared" si="13"/>
        <v>1.0025180656699628</v>
      </c>
    </row>
    <row r="306" spans="2:6" x14ac:dyDescent="0.25">
      <c r="B306">
        <f t="shared" si="14"/>
        <v>25.400000000000091</v>
      </c>
      <c r="C306">
        <f t="shared" si="12"/>
        <v>1.0185331633975399</v>
      </c>
      <c r="D306">
        <f t="shared" si="13"/>
        <v>1.003351971874489</v>
      </c>
    </row>
    <row r="307" spans="2:6" x14ac:dyDescent="0.25">
      <c r="B307">
        <f t="shared" si="14"/>
        <v>25.500000000000092</v>
      </c>
      <c r="C307">
        <f t="shared" si="12"/>
        <v>1.0232159404931147</v>
      </c>
      <c r="D307">
        <f t="shared" si="13"/>
        <v>1.0041831611554342</v>
      </c>
    </row>
    <row r="308" spans="2:6" x14ac:dyDescent="0.25">
      <c r="B308">
        <f t="shared" si="14"/>
        <v>25.600000000000094</v>
      </c>
      <c r="C308">
        <f t="shared" si="12"/>
        <v>1.027918667648593</v>
      </c>
      <c r="D308">
        <f t="shared" si="13"/>
        <v>1.0050116381137382</v>
      </c>
    </row>
    <row r="309" spans="2:6" x14ac:dyDescent="0.25">
      <c r="B309">
        <f t="shared" si="14"/>
        <v>25.700000000000095</v>
      </c>
      <c r="C309">
        <f t="shared" si="12"/>
        <v>1.0326414231333996</v>
      </c>
      <c r="D309">
        <f t="shared" si="13"/>
        <v>1.005837407382723</v>
      </c>
    </row>
    <row r="310" spans="2:6" x14ac:dyDescent="0.25">
      <c r="B310">
        <f t="shared" si="14"/>
        <v>25.800000000000097</v>
      </c>
      <c r="C310">
        <f t="shared" si="12"/>
        <v>1.0373842854976549</v>
      </c>
      <c r="D310">
        <f t="shared" si="13"/>
        <v>1.0066604736276707</v>
      </c>
    </row>
    <row r="311" spans="2:6" x14ac:dyDescent="0.25">
      <c r="B311">
        <f t="shared" si="14"/>
        <v>25.900000000000098</v>
      </c>
      <c r="C311">
        <f t="shared" si="12"/>
        <v>1.0421473335731126</v>
      </c>
      <c r="D311">
        <f t="shared" si="13"/>
        <v>1.007480841545412</v>
      </c>
    </row>
    <row r="312" spans="2:6" x14ac:dyDescent="0.25">
      <c r="B312">
        <f t="shared" si="14"/>
        <v>26.000000000000099</v>
      </c>
      <c r="C312">
        <f t="shared" si="12"/>
        <v>1.0469306464740549</v>
      </c>
      <c r="D312">
        <f t="shared" si="13"/>
        <v>1.0082985158639077</v>
      </c>
    </row>
    <row r="313" spans="2:6" x14ac:dyDescent="0.25">
      <c r="B313">
        <f t="shared" si="14"/>
        <v>26.100000000000101</v>
      </c>
      <c r="C313">
        <f t="shared" si="12"/>
        <v>1.051734303598221</v>
      </c>
      <c r="D313">
        <f t="shared" si="13"/>
        <v>1.0091135013418417</v>
      </c>
    </row>
    <row r="314" spans="2:6" x14ac:dyDescent="0.25">
      <c r="B314">
        <f t="shared" si="14"/>
        <v>26.200000000000102</v>
      </c>
      <c r="C314">
        <f t="shared" si="12"/>
        <v>1.0565583846277253</v>
      </c>
      <c r="D314">
        <f t="shared" si="13"/>
        <v>1.0099258027682083</v>
      </c>
    </row>
    <row r="315" spans="2:6" x14ac:dyDescent="0.25">
      <c r="B315">
        <f t="shared" si="14"/>
        <v>26.300000000000104</v>
      </c>
      <c r="C315">
        <f t="shared" si="12"/>
        <v>1.0614029695299798</v>
      </c>
      <c r="D315">
        <f t="shared" si="13"/>
        <v>1.0107354249619045</v>
      </c>
    </row>
    <row r="316" spans="2:6" x14ac:dyDescent="0.25">
      <c r="B316">
        <f t="shared" si="14"/>
        <v>26.400000000000105</v>
      </c>
      <c r="C316">
        <f t="shared" si="12"/>
        <v>1.0662681385586166</v>
      </c>
      <c r="D316">
        <f t="shared" si="13"/>
        <v>1.0115423727713249</v>
      </c>
    </row>
    <row r="317" spans="2:6" x14ac:dyDescent="0.25">
      <c r="B317">
        <f t="shared" si="14"/>
        <v>26.500000000000107</v>
      </c>
      <c r="C317">
        <f t="shared" si="12"/>
        <v>1.0711539722544294</v>
      </c>
      <c r="D317">
        <f t="shared" si="13"/>
        <v>1.0123466510739576</v>
      </c>
    </row>
    <row r="318" spans="2:6" x14ac:dyDescent="0.25">
      <c r="B318">
        <f t="shared" si="14"/>
        <v>26.600000000000108</v>
      </c>
      <c r="C318">
        <f t="shared" si="12"/>
        <v>1.0760605514462849</v>
      </c>
      <c r="D318">
        <f t="shared" si="13"/>
        <v>1.0131482647759811</v>
      </c>
    </row>
    <row r="319" spans="2:6" x14ac:dyDescent="0.25">
      <c r="B319">
        <f t="shared" si="14"/>
        <v>26.700000000000109</v>
      </c>
      <c r="C319">
        <f t="shared" si="12"/>
        <v>1.0809879572520691</v>
      </c>
      <c r="D319">
        <f t="shared" si="13"/>
        <v>1.0139472188118643</v>
      </c>
      <c r="E319">
        <v>1.0204081632653061</v>
      </c>
      <c r="F319">
        <v>0.98</v>
      </c>
    </row>
    <row r="320" spans="2:6" x14ac:dyDescent="0.25">
      <c r="B320">
        <f t="shared" si="14"/>
        <v>26.800000000000111</v>
      </c>
      <c r="C320">
        <f t="shared" si="12"/>
        <v>1.0859362710796214</v>
      </c>
      <c r="D320">
        <f t="shared" si="13"/>
        <v>1.0147435181439695</v>
      </c>
    </row>
    <row r="321" spans="2:6" x14ac:dyDescent="0.25">
      <c r="B321">
        <f t="shared" si="14"/>
        <v>26.900000000000112</v>
      </c>
      <c r="C321">
        <f t="shared" si="12"/>
        <v>1.0909055746276699</v>
      </c>
      <c r="D321">
        <f t="shared" si="13"/>
        <v>1.0155371677621545</v>
      </c>
    </row>
    <row r="322" spans="2:6" x14ac:dyDescent="0.25">
      <c r="B322">
        <f t="shared" si="14"/>
        <v>27.000000000000114</v>
      </c>
      <c r="C322">
        <f t="shared" si="12"/>
        <v>1.095895949886786</v>
      </c>
      <c r="D322">
        <f t="shared" si="13"/>
        <v>1.0163281726833813</v>
      </c>
    </row>
    <row r="323" spans="2:6" x14ac:dyDescent="0.25">
      <c r="B323">
        <f t="shared" si="14"/>
        <v>27.100000000000115</v>
      </c>
      <c r="C323">
        <f t="shared" ref="C323:C386" si="15">((273+B323)/(273+25))^13.69</f>
        <v>1.1009074791403104</v>
      </c>
      <c r="D323">
        <f t="shared" ref="D323:D386" si="16">C323/(1+0.8164*(C323-1))</f>
        <v>1.0171165379513203</v>
      </c>
    </row>
    <row r="324" spans="2:6" x14ac:dyDescent="0.25">
      <c r="B324">
        <f t="shared" ref="B324:B387" si="17">B323+0.1</f>
        <v>27.200000000000117</v>
      </c>
      <c r="C324">
        <f t="shared" si="15"/>
        <v>1.1059402449653126</v>
      </c>
      <c r="D324">
        <f t="shared" si="16"/>
        <v>1.0179022686359629</v>
      </c>
      <c r="E324">
        <v>1.0245901639344261</v>
      </c>
      <c r="F324">
        <v>0.97599999999999998</v>
      </c>
    </row>
    <row r="325" spans="2:6" x14ac:dyDescent="0.25">
      <c r="B325">
        <f t="shared" si="17"/>
        <v>27.300000000000118</v>
      </c>
      <c r="C325">
        <f t="shared" si="15"/>
        <v>1.1109943302335383</v>
      </c>
      <c r="D325">
        <f t="shared" si="16"/>
        <v>1.0186853698332323</v>
      </c>
    </row>
    <row r="326" spans="2:6" x14ac:dyDescent="0.25">
      <c r="B326">
        <f t="shared" si="17"/>
        <v>27.400000000000119</v>
      </c>
      <c r="C326">
        <f t="shared" si="15"/>
        <v>1.1160698181123587</v>
      </c>
      <c r="D326">
        <f t="shared" si="16"/>
        <v>1.0194658466645978</v>
      </c>
    </row>
    <row r="327" spans="2:6" x14ac:dyDescent="0.25">
      <c r="B327">
        <f t="shared" si="17"/>
        <v>27.500000000000121</v>
      </c>
      <c r="C327">
        <f t="shared" si="15"/>
        <v>1.1211667920657398</v>
      </c>
      <c r="D327">
        <f t="shared" si="16"/>
        <v>1.0202437042766921</v>
      </c>
    </row>
    <row r="328" spans="2:6" x14ac:dyDescent="0.25">
      <c r="B328">
        <f t="shared" si="17"/>
        <v>27.600000000000122</v>
      </c>
      <c r="C328">
        <f t="shared" si="15"/>
        <v>1.1262853358551796</v>
      </c>
      <c r="D328">
        <f t="shared" si="16"/>
        <v>1.0210189478409262</v>
      </c>
    </row>
    <row r="329" spans="2:6" x14ac:dyDescent="0.25">
      <c r="B329">
        <f t="shared" si="17"/>
        <v>27.700000000000124</v>
      </c>
      <c r="C329">
        <f t="shared" si="15"/>
        <v>1.1314255335406849</v>
      </c>
      <c r="D329">
        <f t="shared" si="16"/>
        <v>1.0217915825531134</v>
      </c>
    </row>
    <row r="330" spans="2:6" x14ac:dyDescent="0.25">
      <c r="B330">
        <f t="shared" si="17"/>
        <v>27.800000000000125</v>
      </c>
      <c r="C330">
        <f t="shared" si="15"/>
        <v>1.1365874694817295</v>
      </c>
      <c r="D330">
        <f t="shared" si="16"/>
        <v>1.0225616136330886</v>
      </c>
      <c r="E330">
        <v>1.0288065843621399</v>
      </c>
      <c r="F330">
        <v>0.97199999999999998</v>
      </c>
    </row>
    <row r="331" spans="2:6" x14ac:dyDescent="0.25">
      <c r="B331">
        <f t="shared" si="17"/>
        <v>27.900000000000126</v>
      </c>
      <c r="C331">
        <f t="shared" si="15"/>
        <v>1.1417712283382222</v>
      </c>
      <c r="D331">
        <f t="shared" si="16"/>
        <v>1.0233290463243345</v>
      </c>
    </row>
    <row r="332" spans="2:6" x14ac:dyDescent="0.25">
      <c r="B332">
        <f t="shared" si="17"/>
        <v>28.000000000000128</v>
      </c>
      <c r="C332">
        <f t="shared" si="15"/>
        <v>1.1469768950714732</v>
      </c>
      <c r="D332">
        <f t="shared" si="16"/>
        <v>1.0240938858936064</v>
      </c>
    </row>
    <row r="333" spans="2:6" x14ac:dyDescent="0.25">
      <c r="B333">
        <f t="shared" si="17"/>
        <v>28.100000000000129</v>
      </c>
      <c r="C333">
        <f t="shared" si="15"/>
        <v>1.1522045549451787</v>
      </c>
      <c r="D333">
        <f t="shared" si="16"/>
        <v>1.0248561376305643</v>
      </c>
    </row>
    <row r="334" spans="2:6" x14ac:dyDescent="0.25">
      <c r="B334">
        <f t="shared" si="17"/>
        <v>28.200000000000131</v>
      </c>
      <c r="C334">
        <f t="shared" si="15"/>
        <v>1.1574542935263776</v>
      </c>
      <c r="D334">
        <f t="shared" si="16"/>
        <v>1.0256158068473984</v>
      </c>
    </row>
    <row r="335" spans="2:6" x14ac:dyDescent="0.25">
      <c r="B335">
        <f t="shared" si="17"/>
        <v>28.300000000000132</v>
      </c>
      <c r="C335">
        <f t="shared" si="15"/>
        <v>1.1627261966864413</v>
      </c>
      <c r="D335">
        <f t="shared" si="16"/>
        <v>1.0263728988784659</v>
      </c>
      <c r="E335">
        <v>1.0330578512396695</v>
      </c>
      <c r="F335">
        <v>0.96799999999999997</v>
      </c>
    </row>
    <row r="336" spans="2:6" x14ac:dyDescent="0.25">
      <c r="B336">
        <f t="shared" si="17"/>
        <v>28.400000000000134</v>
      </c>
      <c r="C336">
        <f t="shared" si="15"/>
        <v>1.1680203506020519</v>
      </c>
      <c r="D336">
        <f t="shared" si="16"/>
        <v>1.0271274190799247</v>
      </c>
    </row>
    <row r="337" spans="2:6" x14ac:dyDescent="0.25">
      <c r="B337">
        <f t="shared" si="17"/>
        <v>28.500000000000135</v>
      </c>
      <c r="C337">
        <f t="shared" si="15"/>
        <v>1.1733368417561827</v>
      </c>
      <c r="D337">
        <f t="shared" si="16"/>
        <v>1.0278793728293696</v>
      </c>
    </row>
    <row r="338" spans="2:6" x14ac:dyDescent="0.25">
      <c r="B338">
        <f t="shared" si="17"/>
        <v>28.600000000000136</v>
      </c>
      <c r="C338">
        <f t="shared" si="15"/>
        <v>1.178675756939098</v>
      </c>
      <c r="D338">
        <f t="shared" si="16"/>
        <v>1.0286287655254736</v>
      </c>
    </row>
    <row r="339" spans="2:6" x14ac:dyDescent="0.25">
      <c r="B339">
        <f t="shared" si="17"/>
        <v>28.700000000000138</v>
      </c>
      <c r="C339">
        <f t="shared" si="15"/>
        <v>1.1840371832493215</v>
      </c>
      <c r="D339">
        <f t="shared" si="16"/>
        <v>1.0293756025876266</v>
      </c>
    </row>
    <row r="340" spans="2:6" x14ac:dyDescent="0.25">
      <c r="B340">
        <f t="shared" si="17"/>
        <v>28.800000000000139</v>
      </c>
      <c r="C340">
        <f t="shared" si="15"/>
        <v>1.1894212080946394</v>
      </c>
      <c r="D340">
        <f t="shared" si="16"/>
        <v>1.0301198894555803</v>
      </c>
    </row>
    <row r="341" spans="2:6" x14ac:dyDescent="0.25">
      <c r="B341">
        <f t="shared" si="17"/>
        <v>28.900000000000141</v>
      </c>
      <c r="C341">
        <f t="shared" si="15"/>
        <v>1.1948279191931093</v>
      </c>
      <c r="D341">
        <f t="shared" si="16"/>
        <v>1.0308616315890959</v>
      </c>
      <c r="E341">
        <v>1.0373443983402491</v>
      </c>
      <c r="F341">
        <v>0.96399999999999997</v>
      </c>
    </row>
    <row r="342" spans="2:6" x14ac:dyDescent="0.25">
      <c r="B342">
        <f t="shared" si="17"/>
        <v>29.000000000000142</v>
      </c>
      <c r="C342">
        <f t="shared" si="15"/>
        <v>1.2002574045740193</v>
      </c>
      <c r="D342">
        <f t="shared" si="16"/>
        <v>1.0316008344675855</v>
      </c>
    </row>
    <row r="343" spans="2:6" x14ac:dyDescent="0.25">
      <c r="B343">
        <f t="shared" si="17"/>
        <v>29.100000000000144</v>
      </c>
      <c r="C343">
        <f t="shared" si="15"/>
        <v>1.2057097525789384</v>
      </c>
      <c r="D343">
        <f t="shared" si="16"/>
        <v>1.0323375035897708</v>
      </c>
    </row>
    <row r="344" spans="2:6" x14ac:dyDescent="0.25">
      <c r="B344">
        <f t="shared" si="17"/>
        <v>29.200000000000145</v>
      </c>
      <c r="C344">
        <f t="shared" si="15"/>
        <v>1.2111850518626814</v>
      </c>
      <c r="D344">
        <f t="shared" si="16"/>
        <v>1.0330716444733274</v>
      </c>
    </row>
    <row r="345" spans="2:6" x14ac:dyDescent="0.25">
      <c r="B345">
        <f t="shared" si="17"/>
        <v>29.300000000000146</v>
      </c>
      <c r="C345">
        <f t="shared" si="15"/>
        <v>1.2166833913943285</v>
      </c>
      <c r="D345">
        <f t="shared" si="16"/>
        <v>1.0338032626545433</v>
      </c>
    </row>
    <row r="346" spans="2:6" x14ac:dyDescent="0.25">
      <c r="B346">
        <f t="shared" si="17"/>
        <v>29.400000000000148</v>
      </c>
      <c r="C346">
        <f t="shared" si="15"/>
        <v>1.2222048604582474</v>
      </c>
      <c r="D346">
        <f t="shared" si="16"/>
        <v>1.0345323636879751</v>
      </c>
      <c r="E346">
        <v>1.0416666666666667</v>
      </c>
      <c r="F346">
        <v>0.96</v>
      </c>
    </row>
    <row r="347" spans="2:6" x14ac:dyDescent="0.25">
      <c r="B347">
        <f t="shared" si="17"/>
        <v>29.500000000000149</v>
      </c>
      <c r="C347">
        <f t="shared" si="15"/>
        <v>1.2277495486550867</v>
      </c>
      <c r="D347">
        <f t="shared" si="16"/>
        <v>1.0352589531461056</v>
      </c>
    </row>
    <row r="348" spans="2:6" x14ac:dyDescent="0.25">
      <c r="B348">
        <f t="shared" si="17"/>
        <v>29.600000000000151</v>
      </c>
      <c r="C348">
        <f t="shared" si="15"/>
        <v>1.2333175459027865</v>
      </c>
      <c r="D348">
        <f t="shared" si="16"/>
        <v>1.0359830366190026</v>
      </c>
    </row>
    <row r="349" spans="2:6" x14ac:dyDescent="0.25">
      <c r="B349">
        <f t="shared" si="17"/>
        <v>29.700000000000152</v>
      </c>
      <c r="C349">
        <f t="shared" si="15"/>
        <v>1.2389089424376321</v>
      </c>
      <c r="D349">
        <f t="shared" si="16"/>
        <v>1.0367046197139873</v>
      </c>
    </row>
    <row r="350" spans="2:6" x14ac:dyDescent="0.25">
      <c r="B350">
        <f t="shared" si="17"/>
        <v>29.800000000000153</v>
      </c>
      <c r="C350">
        <f t="shared" si="15"/>
        <v>1.2445238288152354</v>
      </c>
      <c r="D350">
        <f t="shared" si="16"/>
        <v>1.0374237080552946</v>
      </c>
    </row>
    <row r="351" spans="2:6" x14ac:dyDescent="0.25">
      <c r="B351">
        <f t="shared" si="17"/>
        <v>29.900000000000155</v>
      </c>
      <c r="C351">
        <f t="shared" si="15"/>
        <v>1.2501622959115761</v>
      </c>
      <c r="D351">
        <f t="shared" si="16"/>
        <v>1.0381403072837416</v>
      </c>
    </row>
    <row r="352" spans="2:6" x14ac:dyDescent="0.25">
      <c r="B352">
        <f t="shared" si="17"/>
        <v>30.000000000000156</v>
      </c>
      <c r="C352">
        <f t="shared" si="15"/>
        <v>1.2558244349240391</v>
      </c>
      <c r="D352">
        <f t="shared" si="16"/>
        <v>1.038854423056399</v>
      </c>
      <c r="E352">
        <v>1.0460251046025104</v>
      </c>
      <c r="F352">
        <v>0.95599999999999996</v>
      </c>
    </row>
    <row r="353" spans="2:6" x14ac:dyDescent="0.25">
      <c r="B353">
        <f t="shared" si="17"/>
        <v>30.100000000000158</v>
      </c>
      <c r="C353">
        <f t="shared" si="15"/>
        <v>1.2615103373724215</v>
      </c>
      <c r="D353">
        <f t="shared" si="16"/>
        <v>1.03956606104626</v>
      </c>
    </row>
    <row r="354" spans="2:6" x14ac:dyDescent="0.25">
      <c r="B354">
        <f t="shared" si="17"/>
        <v>30.200000000000159</v>
      </c>
      <c r="C354">
        <f t="shared" si="15"/>
        <v>1.267220095099981</v>
      </c>
      <c r="D354">
        <f t="shared" si="16"/>
        <v>1.0402752269419158</v>
      </c>
    </row>
    <row r="355" spans="2:6" x14ac:dyDescent="0.25">
      <c r="B355">
        <f t="shared" si="17"/>
        <v>30.300000000000161</v>
      </c>
      <c r="C355">
        <f t="shared" si="15"/>
        <v>1.2729538002744687</v>
      </c>
      <c r="D355">
        <f t="shared" si="16"/>
        <v>1.040981926447232</v>
      </c>
    </row>
    <row r="356" spans="2:6" x14ac:dyDescent="0.25">
      <c r="B356">
        <f t="shared" si="17"/>
        <v>30.400000000000162</v>
      </c>
      <c r="C356">
        <f t="shared" si="15"/>
        <v>1.2787115453891629</v>
      </c>
      <c r="D356">
        <f t="shared" si="16"/>
        <v>1.0416861652810245</v>
      </c>
    </row>
    <row r="357" spans="2:6" x14ac:dyDescent="0.25">
      <c r="B357">
        <f t="shared" si="17"/>
        <v>30.500000000000163</v>
      </c>
      <c r="C357">
        <f t="shared" si="15"/>
        <v>1.2844934232639273</v>
      </c>
      <c r="D357">
        <f t="shared" si="16"/>
        <v>1.042387949176744</v>
      </c>
    </row>
    <row r="358" spans="2:6" x14ac:dyDescent="0.25">
      <c r="B358">
        <f t="shared" si="17"/>
        <v>30.600000000000165</v>
      </c>
      <c r="C358">
        <f t="shared" si="15"/>
        <v>1.2902995270462321</v>
      </c>
      <c r="D358">
        <f t="shared" si="16"/>
        <v>1.043087283882155</v>
      </c>
      <c r="E358">
        <v>1.0504201680672269</v>
      </c>
      <c r="F358">
        <v>0.95199999999999996</v>
      </c>
    </row>
    <row r="359" spans="2:6" x14ac:dyDescent="0.25">
      <c r="B359">
        <f t="shared" si="17"/>
        <v>30.700000000000166</v>
      </c>
      <c r="C359">
        <f t="shared" si="15"/>
        <v>1.2961299502122174</v>
      </c>
      <c r="D359">
        <f t="shared" si="16"/>
        <v>1.0437841751590213</v>
      </c>
    </row>
    <row r="360" spans="2:6" x14ac:dyDescent="0.25">
      <c r="B360">
        <f t="shared" si="17"/>
        <v>30.800000000000168</v>
      </c>
      <c r="C360">
        <f t="shared" si="15"/>
        <v>1.3019847865677412</v>
      </c>
      <c r="D360">
        <f t="shared" si="16"/>
        <v>1.0444786287827943</v>
      </c>
    </row>
    <row r="361" spans="2:6" x14ac:dyDescent="0.25">
      <c r="B361">
        <f t="shared" si="17"/>
        <v>30.900000000000169</v>
      </c>
      <c r="C361">
        <f t="shared" si="15"/>
        <v>1.3078641302494278</v>
      </c>
      <c r="D361">
        <f t="shared" si="16"/>
        <v>1.0451706505423008</v>
      </c>
    </row>
    <row r="362" spans="2:6" x14ac:dyDescent="0.25">
      <c r="B362">
        <f t="shared" si="17"/>
        <v>31.000000000000171</v>
      </c>
      <c r="C362">
        <f t="shared" si="15"/>
        <v>1.3137680757257411</v>
      </c>
      <c r="D362">
        <f t="shared" si="16"/>
        <v>1.0458602462394371</v>
      </c>
    </row>
    <row r="363" spans="2:6" x14ac:dyDescent="0.25">
      <c r="B363">
        <f t="shared" si="17"/>
        <v>31.100000000000172</v>
      </c>
      <c r="C363">
        <f t="shared" si="15"/>
        <v>1.3196967177980212</v>
      </c>
      <c r="D363">
        <f t="shared" si="16"/>
        <v>1.0465474216888575</v>
      </c>
      <c r="E363">
        <v>1.0548523206751055</v>
      </c>
      <c r="F363">
        <v>0.94799999999999995</v>
      </c>
    </row>
    <row r="364" spans="2:6" x14ac:dyDescent="0.25">
      <c r="B364">
        <f t="shared" si="17"/>
        <v>31.200000000000173</v>
      </c>
      <c r="C364">
        <f t="shared" si="15"/>
        <v>1.3256501516015626</v>
      </c>
      <c r="D364">
        <f t="shared" si="16"/>
        <v>1.0472321827176752</v>
      </c>
    </row>
    <row r="365" spans="2:6" x14ac:dyDescent="0.25">
      <c r="B365">
        <f t="shared" si="17"/>
        <v>31.300000000000175</v>
      </c>
      <c r="C365">
        <f t="shared" si="15"/>
        <v>1.3316284726066767</v>
      </c>
      <c r="D365">
        <f t="shared" si="16"/>
        <v>1.0479145351651571</v>
      </c>
    </row>
    <row r="366" spans="2:6" x14ac:dyDescent="0.25">
      <c r="B366">
        <f t="shared" si="17"/>
        <v>31.400000000000176</v>
      </c>
      <c r="C366">
        <f t="shared" si="15"/>
        <v>1.3376317766197603</v>
      </c>
      <c r="D366">
        <f t="shared" si="16"/>
        <v>1.0485944848824253</v>
      </c>
    </row>
    <row r="367" spans="2:6" x14ac:dyDescent="0.25">
      <c r="B367">
        <f t="shared" si="17"/>
        <v>31.500000000000178</v>
      </c>
      <c r="C367">
        <f t="shared" si="15"/>
        <v>1.3436601597843643</v>
      </c>
      <c r="D367">
        <f t="shared" si="16"/>
        <v>1.0492720377321585</v>
      </c>
    </row>
    <row r="368" spans="2:6" x14ac:dyDescent="0.25">
      <c r="B368">
        <f t="shared" si="17"/>
        <v>31.600000000000179</v>
      </c>
      <c r="C368">
        <f t="shared" si="15"/>
        <v>1.3497137185822841</v>
      </c>
      <c r="D368">
        <f t="shared" si="16"/>
        <v>1.0499471995882981</v>
      </c>
      <c r="E368">
        <v>1.0593220338983051</v>
      </c>
      <c r="F368">
        <v>0.94399999999999995</v>
      </c>
    </row>
    <row r="369" spans="2:6" x14ac:dyDescent="0.25">
      <c r="B369">
        <f t="shared" si="17"/>
        <v>31.70000000000018</v>
      </c>
      <c r="C369">
        <f t="shared" si="15"/>
        <v>1.3557925498346108</v>
      </c>
      <c r="D369">
        <f t="shared" si="16"/>
        <v>1.0506199763357522</v>
      </c>
    </row>
    <row r="370" spans="2:6" x14ac:dyDescent="0.25">
      <c r="B370">
        <f t="shared" si="17"/>
        <v>31.800000000000182</v>
      </c>
      <c r="C370">
        <f t="shared" si="15"/>
        <v>1.3618967507028479</v>
      </c>
      <c r="D370">
        <f t="shared" si="16"/>
        <v>1.0512903738701085</v>
      </c>
    </row>
    <row r="371" spans="2:6" x14ac:dyDescent="0.25">
      <c r="B371">
        <f t="shared" si="17"/>
        <v>31.900000000000183</v>
      </c>
      <c r="C371">
        <f t="shared" si="15"/>
        <v>1.3680264186899516</v>
      </c>
      <c r="D371">
        <f t="shared" si="16"/>
        <v>1.0519583980973395</v>
      </c>
    </row>
    <row r="372" spans="2:6" x14ac:dyDescent="0.25">
      <c r="B372">
        <f t="shared" si="17"/>
        <v>32.000000000000185</v>
      </c>
      <c r="C372">
        <f t="shared" si="15"/>
        <v>1.3741816516414549</v>
      </c>
      <c r="D372">
        <f t="shared" si="16"/>
        <v>1.0526240549335208</v>
      </c>
    </row>
    <row r="373" spans="2:6" x14ac:dyDescent="0.25">
      <c r="B373">
        <f t="shared" si="17"/>
        <v>32.100000000000186</v>
      </c>
      <c r="C373">
        <f t="shared" si="15"/>
        <v>1.3803625477465533</v>
      </c>
      <c r="D373">
        <f t="shared" si="16"/>
        <v>1.0532873503045455</v>
      </c>
    </row>
    <row r="374" spans="2:6" x14ac:dyDescent="0.25">
      <c r="B374">
        <f t="shared" si="17"/>
        <v>32.200000000000188</v>
      </c>
      <c r="C374">
        <f t="shared" si="15"/>
        <v>1.3865692055391756</v>
      </c>
      <c r="D374">
        <f t="shared" si="16"/>
        <v>1.0539482901458388</v>
      </c>
      <c r="E374">
        <v>1.0638297872340425</v>
      </c>
      <c r="F374">
        <v>0.94</v>
      </c>
    </row>
    <row r="375" spans="2:6" x14ac:dyDescent="0.25">
      <c r="B375">
        <f t="shared" si="17"/>
        <v>32.300000000000189</v>
      </c>
      <c r="C375">
        <f t="shared" si="15"/>
        <v>1.3928017238991122</v>
      </c>
      <c r="D375">
        <f t="shared" si="16"/>
        <v>1.0546068804020821</v>
      </c>
    </row>
    <row r="376" spans="2:6" x14ac:dyDescent="0.25">
      <c r="B376">
        <f t="shared" si="17"/>
        <v>32.40000000000019</v>
      </c>
      <c r="C376">
        <f t="shared" si="15"/>
        <v>1.3990602020530909</v>
      </c>
      <c r="D376">
        <f t="shared" si="16"/>
        <v>1.055263127026931</v>
      </c>
    </row>
    <row r="377" spans="2:6" x14ac:dyDescent="0.25">
      <c r="B377">
        <f t="shared" si="17"/>
        <v>32.500000000000192</v>
      </c>
      <c r="C377">
        <f t="shared" si="15"/>
        <v>1.4053447395758758</v>
      </c>
      <c r="D377">
        <f t="shared" si="16"/>
        <v>1.0559170359827401</v>
      </c>
    </row>
    <row r="378" spans="2:6" x14ac:dyDescent="0.25">
      <c r="B378">
        <f t="shared" si="17"/>
        <v>32.600000000000193</v>
      </c>
      <c r="C378">
        <f t="shared" si="15"/>
        <v>1.4116554363914109</v>
      </c>
      <c r="D378">
        <f t="shared" si="16"/>
        <v>1.0565686132402918</v>
      </c>
    </row>
    <row r="379" spans="2:6" x14ac:dyDescent="0.25">
      <c r="B379">
        <f t="shared" si="17"/>
        <v>32.700000000000195</v>
      </c>
      <c r="C379">
        <f t="shared" si="15"/>
        <v>1.4179923927738876</v>
      </c>
      <c r="D379">
        <f t="shared" si="16"/>
        <v>1.057217864778522</v>
      </c>
    </row>
    <row r="380" spans="2:6" x14ac:dyDescent="0.25">
      <c r="B380">
        <f t="shared" si="17"/>
        <v>32.800000000000196</v>
      </c>
      <c r="C380">
        <f t="shared" si="15"/>
        <v>1.424355709348875</v>
      </c>
      <c r="D380">
        <f t="shared" si="16"/>
        <v>1.0578647965842496</v>
      </c>
    </row>
    <row r="381" spans="2:6" x14ac:dyDescent="0.25">
      <c r="B381">
        <f t="shared" si="17"/>
        <v>32.900000000000198</v>
      </c>
      <c r="C381">
        <f t="shared" si="15"/>
        <v>1.4307454870944465</v>
      </c>
      <c r="D381">
        <f t="shared" si="16"/>
        <v>1.0585094146519136</v>
      </c>
    </row>
    <row r="382" spans="2:6" x14ac:dyDescent="0.25">
      <c r="B382">
        <f t="shared" si="17"/>
        <v>33.000000000000199</v>
      </c>
      <c r="C382">
        <f t="shared" si="15"/>
        <v>1.4371618273422793</v>
      </c>
      <c r="D382">
        <f t="shared" si="16"/>
        <v>1.0591517249833033</v>
      </c>
    </row>
    <row r="383" spans="2:6" x14ac:dyDescent="0.25">
      <c r="B383">
        <f t="shared" si="17"/>
        <v>33.1000000000002</v>
      </c>
      <c r="C383">
        <f t="shared" si="15"/>
        <v>1.4436048317787713</v>
      </c>
      <c r="D383">
        <f t="shared" si="16"/>
        <v>1.0597917335872957</v>
      </c>
    </row>
    <row r="384" spans="2:6" x14ac:dyDescent="0.25">
      <c r="B384">
        <f t="shared" si="17"/>
        <v>33.200000000000202</v>
      </c>
      <c r="C384">
        <f t="shared" si="15"/>
        <v>1.450074602446205</v>
      </c>
      <c r="D384">
        <f t="shared" si="16"/>
        <v>1.060429446479598</v>
      </c>
    </row>
    <row r="385" spans="2:4" x14ac:dyDescent="0.25">
      <c r="B385">
        <f t="shared" si="17"/>
        <v>33.300000000000203</v>
      </c>
      <c r="C385">
        <f t="shared" si="15"/>
        <v>1.4565712417438292</v>
      </c>
      <c r="D385">
        <f t="shared" si="16"/>
        <v>1.0610648696824845</v>
      </c>
    </row>
    <row r="386" spans="2:4" x14ac:dyDescent="0.25">
      <c r="B386">
        <f t="shared" si="17"/>
        <v>33.400000000000205</v>
      </c>
      <c r="C386">
        <f t="shared" si="15"/>
        <v>1.4630948524290284</v>
      </c>
      <c r="D386">
        <f t="shared" si="16"/>
        <v>1.0616980092245432</v>
      </c>
    </row>
    <row r="387" spans="2:4" x14ac:dyDescent="0.25">
      <c r="B387">
        <f t="shared" si="17"/>
        <v>33.500000000000206</v>
      </c>
      <c r="C387">
        <f t="shared" ref="C387:C450" si="18">((273+B387)/(273+25))^13.69</f>
        <v>1.4696455376184283</v>
      </c>
      <c r="D387">
        <f t="shared" ref="D387:D450" si="19">C387/(1+0.8164*(C387-1))</f>
        <v>1.0623288711404177</v>
      </c>
    </row>
    <row r="388" spans="2:4" x14ac:dyDescent="0.25">
      <c r="B388">
        <f t="shared" ref="B388:B451" si="20">B387+0.1</f>
        <v>33.600000000000207</v>
      </c>
      <c r="C388">
        <f t="shared" si="18"/>
        <v>1.476223400789052</v>
      </c>
      <c r="D388">
        <f t="shared" si="19"/>
        <v>1.0629574614705586</v>
      </c>
    </row>
    <row r="389" spans="2:4" x14ac:dyDescent="0.25">
      <c r="B389">
        <f t="shared" si="20"/>
        <v>33.700000000000209</v>
      </c>
      <c r="C389">
        <f t="shared" si="18"/>
        <v>1.4828285457794554</v>
      </c>
      <c r="D389">
        <f t="shared" si="19"/>
        <v>1.0635837862609689</v>
      </c>
    </row>
    <row r="390" spans="2:4" x14ac:dyDescent="0.25">
      <c r="B390">
        <f t="shared" si="20"/>
        <v>33.80000000000021</v>
      </c>
      <c r="C390">
        <f t="shared" si="18"/>
        <v>1.489461076790868</v>
      </c>
      <c r="D390">
        <f t="shared" si="19"/>
        <v>1.0642078515629594</v>
      </c>
    </row>
    <row r="391" spans="2:4" x14ac:dyDescent="0.25">
      <c r="B391">
        <f t="shared" si="20"/>
        <v>33.900000000000212</v>
      </c>
      <c r="C391">
        <f t="shared" si="18"/>
        <v>1.4961210983883593</v>
      </c>
      <c r="D391">
        <f t="shared" si="19"/>
        <v>1.0648296634329004</v>
      </c>
    </row>
    <row r="392" spans="2:4" x14ac:dyDescent="0.25">
      <c r="B392">
        <f t="shared" si="20"/>
        <v>34.000000000000213</v>
      </c>
      <c r="C392">
        <f t="shared" si="18"/>
        <v>1.502808715501962</v>
      </c>
      <c r="D392">
        <f t="shared" si="19"/>
        <v>1.0654492279319778</v>
      </c>
    </row>
    <row r="393" spans="2:4" x14ac:dyDescent="0.25">
      <c r="B393">
        <f t="shared" si="20"/>
        <v>34.100000000000215</v>
      </c>
      <c r="C393">
        <f t="shared" si="18"/>
        <v>1.5095240334278452</v>
      </c>
      <c r="D393">
        <f t="shared" si="19"/>
        <v>1.0660665511259515</v>
      </c>
    </row>
    <row r="394" spans="2:4" x14ac:dyDescent="0.25">
      <c r="B394">
        <f t="shared" si="20"/>
        <v>34.200000000000216</v>
      </c>
      <c r="C394">
        <f t="shared" si="18"/>
        <v>1.5162671578294669</v>
      </c>
      <c r="D394">
        <f t="shared" si="19"/>
        <v>1.0666816390849145</v>
      </c>
    </row>
    <row r="395" spans="2:4" x14ac:dyDescent="0.25">
      <c r="B395">
        <f t="shared" si="20"/>
        <v>34.300000000000217</v>
      </c>
      <c r="C395">
        <f t="shared" si="18"/>
        <v>1.5230381947387355</v>
      </c>
      <c r="D395">
        <f t="shared" si="19"/>
        <v>1.0672944978830561</v>
      </c>
    </row>
    <row r="396" spans="2:4" x14ac:dyDescent="0.25">
      <c r="B396">
        <f t="shared" si="20"/>
        <v>34.400000000000219</v>
      </c>
      <c r="C396">
        <f t="shared" si="18"/>
        <v>1.5298372505571687</v>
      </c>
      <c r="D396">
        <f t="shared" si="19"/>
        <v>1.0679051335984249</v>
      </c>
    </row>
    <row r="397" spans="2:4" x14ac:dyDescent="0.25">
      <c r="B397">
        <f t="shared" si="20"/>
        <v>34.50000000000022</v>
      </c>
      <c r="C397">
        <f t="shared" si="18"/>
        <v>1.5366644320570804</v>
      </c>
      <c r="D397">
        <f t="shared" si="19"/>
        <v>1.068513552312697</v>
      </c>
    </row>
    <row r="398" spans="2:4" x14ac:dyDescent="0.25">
      <c r="B398">
        <f t="shared" si="20"/>
        <v>34.600000000000222</v>
      </c>
      <c r="C398">
        <f t="shared" si="18"/>
        <v>1.5435198463827229</v>
      </c>
      <c r="D398">
        <f t="shared" si="19"/>
        <v>1.0691197601109412</v>
      </c>
    </row>
    <row r="399" spans="2:4" x14ac:dyDescent="0.25">
      <c r="B399">
        <f t="shared" si="20"/>
        <v>34.700000000000223</v>
      </c>
      <c r="C399">
        <f t="shared" si="18"/>
        <v>1.5504036010514803</v>
      </c>
      <c r="D399">
        <f t="shared" si="19"/>
        <v>1.0697237630813918</v>
      </c>
    </row>
    <row r="400" spans="2:4" x14ac:dyDescent="0.25">
      <c r="B400">
        <f t="shared" si="20"/>
        <v>34.800000000000225</v>
      </c>
      <c r="C400">
        <f t="shared" si="18"/>
        <v>1.557315803955041</v>
      </c>
      <c r="D400">
        <f t="shared" si="19"/>
        <v>1.0703255673152199</v>
      </c>
    </row>
    <row r="401" spans="2:6" x14ac:dyDescent="0.25">
      <c r="B401">
        <f t="shared" si="20"/>
        <v>34.900000000000226</v>
      </c>
      <c r="C401">
        <f t="shared" si="18"/>
        <v>1.5642565633605736</v>
      </c>
      <c r="D401">
        <f t="shared" si="19"/>
        <v>1.0709251789063072</v>
      </c>
    </row>
    <row r="402" spans="2:6" x14ac:dyDescent="0.25">
      <c r="B402">
        <f t="shared" si="20"/>
        <v>35.000000000000227</v>
      </c>
      <c r="C402">
        <f t="shared" si="18"/>
        <v>1.5712259879119299</v>
      </c>
      <c r="D402">
        <f t="shared" si="19"/>
        <v>1.0715226039510248</v>
      </c>
      <c r="E402">
        <v>1.075268817204301</v>
      </c>
      <c r="F402">
        <v>0.93</v>
      </c>
    </row>
    <row r="403" spans="2:6" x14ac:dyDescent="0.25">
      <c r="B403">
        <f t="shared" si="20"/>
        <v>35.100000000000229</v>
      </c>
      <c r="C403">
        <f t="shared" si="18"/>
        <v>1.5782241866308049</v>
      </c>
      <c r="D403">
        <f t="shared" si="19"/>
        <v>1.0721178485480083</v>
      </c>
    </row>
    <row r="404" spans="2:6" x14ac:dyDescent="0.25">
      <c r="B404">
        <f t="shared" si="20"/>
        <v>35.20000000000023</v>
      </c>
      <c r="C404">
        <f t="shared" si="18"/>
        <v>1.5852512689179454</v>
      </c>
      <c r="D404">
        <f t="shared" si="19"/>
        <v>1.0727109187979402</v>
      </c>
    </row>
    <row r="405" spans="2:6" x14ac:dyDescent="0.25">
      <c r="B405">
        <f t="shared" si="20"/>
        <v>35.300000000000232</v>
      </c>
      <c r="C405">
        <f t="shared" si="18"/>
        <v>1.5923073445543401</v>
      </c>
      <c r="D405">
        <f t="shared" si="19"/>
        <v>1.0733018208033323</v>
      </c>
    </row>
    <row r="406" spans="2:6" x14ac:dyDescent="0.25">
      <c r="B406">
        <f t="shared" si="20"/>
        <v>35.400000000000233</v>
      </c>
      <c r="C406">
        <f t="shared" si="18"/>
        <v>1.5993925237024122</v>
      </c>
      <c r="D406">
        <f t="shared" si="19"/>
        <v>1.0738905606683087</v>
      </c>
    </row>
    <row r="407" spans="2:6" x14ac:dyDescent="0.25">
      <c r="B407">
        <f t="shared" si="20"/>
        <v>35.500000000000234</v>
      </c>
      <c r="C407">
        <f t="shared" si="18"/>
        <v>1.6065069169072395</v>
      </c>
      <c r="D407">
        <f t="shared" si="19"/>
        <v>1.0744771444983954</v>
      </c>
    </row>
    <row r="408" spans="2:6" x14ac:dyDescent="0.25">
      <c r="B408">
        <f t="shared" si="20"/>
        <v>35.600000000000236</v>
      </c>
      <c r="C408">
        <f t="shared" si="18"/>
        <v>1.6136506350977309</v>
      </c>
      <c r="D408">
        <f t="shared" si="19"/>
        <v>1.0750615784003041</v>
      </c>
    </row>
    <row r="409" spans="2:6" x14ac:dyDescent="0.25">
      <c r="B409">
        <f t="shared" si="20"/>
        <v>35.700000000000237</v>
      </c>
      <c r="C409">
        <f t="shared" si="18"/>
        <v>1.6208237895878463</v>
      </c>
      <c r="D409">
        <f t="shared" si="19"/>
        <v>1.0756438684817262</v>
      </c>
    </row>
    <row r="410" spans="2:6" x14ac:dyDescent="0.25">
      <c r="B410">
        <f t="shared" si="20"/>
        <v>35.800000000000239</v>
      </c>
      <c r="C410">
        <f t="shared" si="18"/>
        <v>1.6280264920778293</v>
      </c>
      <c r="D410">
        <f t="shared" si="19"/>
        <v>1.0762240208511242</v>
      </c>
    </row>
    <row r="411" spans="2:6" x14ac:dyDescent="0.25">
      <c r="B411">
        <f t="shared" si="20"/>
        <v>35.90000000000024</v>
      </c>
      <c r="C411">
        <f t="shared" si="18"/>
        <v>1.6352588546553732</v>
      </c>
      <c r="D411">
        <f t="shared" si="19"/>
        <v>1.0768020416175246</v>
      </c>
    </row>
    <row r="412" spans="2:6" x14ac:dyDescent="0.25">
      <c r="B412">
        <f t="shared" si="20"/>
        <v>36.000000000000242</v>
      </c>
      <c r="C412">
        <f t="shared" si="18"/>
        <v>1.6425209897968809</v>
      </c>
      <c r="D412">
        <f t="shared" si="19"/>
        <v>1.0773779368903156</v>
      </c>
    </row>
    <row r="413" spans="2:6" x14ac:dyDescent="0.25">
      <c r="B413">
        <f t="shared" si="20"/>
        <v>36.100000000000243</v>
      </c>
      <c r="C413">
        <f t="shared" si="18"/>
        <v>1.6498130103686826</v>
      </c>
      <c r="D413">
        <f t="shared" si="19"/>
        <v>1.0779517127790457</v>
      </c>
    </row>
    <row r="414" spans="2:6" x14ac:dyDescent="0.25">
      <c r="B414">
        <f t="shared" si="20"/>
        <v>36.200000000000244</v>
      </c>
      <c r="C414">
        <f t="shared" si="18"/>
        <v>1.6571350296282377</v>
      </c>
      <c r="D414">
        <f t="shared" si="19"/>
        <v>1.0785233753932222</v>
      </c>
    </row>
    <row r="415" spans="2:6" x14ac:dyDescent="0.25">
      <c r="B415">
        <f t="shared" si="20"/>
        <v>36.300000000000246</v>
      </c>
      <c r="C415">
        <f t="shared" si="18"/>
        <v>1.6644871612253744</v>
      </c>
      <c r="D415">
        <f t="shared" si="19"/>
        <v>1.079092930842114</v>
      </c>
    </row>
    <row r="416" spans="2:6" x14ac:dyDescent="0.25">
      <c r="B416">
        <f t="shared" si="20"/>
        <v>36.400000000000247</v>
      </c>
      <c r="C416">
        <f t="shared" si="18"/>
        <v>1.6718695192035447</v>
      </c>
      <c r="D416">
        <f t="shared" si="19"/>
        <v>1.0796603852345572</v>
      </c>
    </row>
    <row r="417" spans="2:6" x14ac:dyDescent="0.25">
      <c r="B417">
        <f t="shared" si="20"/>
        <v>36.500000000000249</v>
      </c>
      <c r="C417">
        <f t="shared" si="18"/>
        <v>1.6792822180010027</v>
      </c>
      <c r="D417">
        <f t="shared" si="19"/>
        <v>1.0802257446787566</v>
      </c>
    </row>
    <row r="418" spans="2:6" x14ac:dyDescent="0.25">
      <c r="B418">
        <f t="shared" si="20"/>
        <v>36.60000000000025</v>
      </c>
      <c r="C418">
        <f t="shared" si="18"/>
        <v>1.6867253724521147</v>
      </c>
      <c r="D418">
        <f t="shared" si="19"/>
        <v>1.0807890152820989</v>
      </c>
    </row>
    <row r="419" spans="2:6" x14ac:dyDescent="0.25">
      <c r="B419">
        <f t="shared" si="20"/>
        <v>36.700000000000252</v>
      </c>
      <c r="C419">
        <f t="shared" si="18"/>
        <v>1.694199097788545</v>
      </c>
      <c r="D419">
        <f t="shared" si="19"/>
        <v>1.0813502031509588</v>
      </c>
    </row>
    <row r="420" spans="2:6" x14ac:dyDescent="0.25">
      <c r="B420">
        <f t="shared" si="20"/>
        <v>36.800000000000253</v>
      </c>
      <c r="C420">
        <f t="shared" si="18"/>
        <v>1.7017035096405226</v>
      </c>
      <c r="D420">
        <f t="shared" si="19"/>
        <v>1.0819093143905107</v>
      </c>
    </row>
    <row r="421" spans="2:6" x14ac:dyDescent="0.25">
      <c r="B421">
        <f t="shared" si="20"/>
        <v>36.900000000000254</v>
      </c>
      <c r="C421">
        <f t="shared" si="18"/>
        <v>1.7092387240381048</v>
      </c>
      <c r="D421">
        <f t="shared" si="19"/>
        <v>1.0824663551045446</v>
      </c>
    </row>
    <row r="422" spans="2:6" x14ac:dyDescent="0.25">
      <c r="B422">
        <f t="shared" si="20"/>
        <v>37.000000000000256</v>
      </c>
      <c r="C422">
        <f t="shared" si="18"/>
        <v>1.7168048574124006</v>
      </c>
      <c r="D422">
        <f t="shared" si="19"/>
        <v>1.0830213313952792</v>
      </c>
    </row>
    <row r="423" spans="2:6" x14ac:dyDescent="0.25">
      <c r="B423">
        <f t="shared" si="20"/>
        <v>37.100000000000257</v>
      </c>
      <c r="C423">
        <f t="shared" si="18"/>
        <v>1.7244020265968465</v>
      </c>
      <c r="D423">
        <f t="shared" si="19"/>
        <v>1.0835742493631793</v>
      </c>
    </row>
    <row r="424" spans="2:6" x14ac:dyDescent="0.25">
      <c r="B424">
        <f t="shared" si="20"/>
        <v>37.200000000000259</v>
      </c>
      <c r="C424">
        <f t="shared" si="18"/>
        <v>1.732030348828461</v>
      </c>
      <c r="D424">
        <f t="shared" si="19"/>
        <v>1.0841251151067754</v>
      </c>
    </row>
    <row r="425" spans="2:6" x14ac:dyDescent="0.25">
      <c r="B425">
        <f t="shared" si="20"/>
        <v>37.30000000000026</v>
      </c>
      <c r="C425">
        <f t="shared" si="18"/>
        <v>1.7396899417491032</v>
      </c>
      <c r="D425">
        <f t="shared" si="19"/>
        <v>1.0846739347224843</v>
      </c>
    </row>
    <row r="426" spans="2:6" x14ac:dyDescent="0.25">
      <c r="B426">
        <f t="shared" si="20"/>
        <v>37.400000000000261</v>
      </c>
      <c r="C426">
        <f t="shared" si="18"/>
        <v>1.7473809234067594</v>
      </c>
      <c r="D426">
        <f t="shared" si="19"/>
        <v>1.0852207143044328</v>
      </c>
    </row>
    <row r="427" spans="2:6" x14ac:dyDescent="0.25">
      <c r="B427">
        <f t="shared" si="20"/>
        <v>37.500000000000263</v>
      </c>
      <c r="C427">
        <f t="shared" si="18"/>
        <v>1.7551034122567846</v>
      </c>
      <c r="D427">
        <f t="shared" si="19"/>
        <v>1.0857654599442803</v>
      </c>
    </row>
    <row r="428" spans="2:6" x14ac:dyDescent="0.25">
      <c r="B428">
        <f t="shared" si="20"/>
        <v>37.600000000000264</v>
      </c>
      <c r="C428">
        <f t="shared" si="18"/>
        <v>1.7628575271631945</v>
      </c>
      <c r="D428">
        <f t="shared" si="19"/>
        <v>1.086308177731047</v>
      </c>
    </row>
    <row r="429" spans="2:6" x14ac:dyDescent="0.25">
      <c r="B429">
        <f t="shared" si="20"/>
        <v>37.700000000000266</v>
      </c>
      <c r="C429">
        <f t="shared" si="18"/>
        <v>1.7706433873999392</v>
      </c>
      <c r="D429">
        <f t="shared" si="19"/>
        <v>1.0868488737509407</v>
      </c>
    </row>
    <row r="430" spans="2:6" x14ac:dyDescent="0.25">
      <c r="B430">
        <f t="shared" si="20"/>
        <v>37.800000000000267</v>
      </c>
      <c r="C430">
        <f t="shared" si="18"/>
        <v>1.778461112652185</v>
      </c>
      <c r="D430">
        <f t="shared" si="19"/>
        <v>1.0873875540871876</v>
      </c>
      <c r="E430">
        <v>1.0989010989010988</v>
      </c>
      <c r="F430">
        <v>0.91</v>
      </c>
    </row>
    <row r="431" spans="2:6" x14ac:dyDescent="0.25">
      <c r="B431">
        <f t="shared" si="20"/>
        <v>37.900000000000269</v>
      </c>
      <c r="C431">
        <f t="shared" si="18"/>
        <v>1.7863108230175921</v>
      </c>
      <c r="D431">
        <f t="shared" si="19"/>
        <v>1.0879242248198637</v>
      </c>
    </row>
    <row r="432" spans="2:6" x14ac:dyDescent="0.25">
      <c r="B432">
        <f t="shared" si="20"/>
        <v>38.00000000000027</v>
      </c>
      <c r="C432">
        <f t="shared" si="18"/>
        <v>1.7941926390076248</v>
      </c>
      <c r="D432">
        <f t="shared" si="19"/>
        <v>1.0884588920257297</v>
      </c>
    </row>
    <row r="433" spans="2:4" x14ac:dyDescent="0.25">
      <c r="B433">
        <f t="shared" si="20"/>
        <v>38.100000000000271</v>
      </c>
      <c r="C433">
        <f t="shared" si="18"/>
        <v>1.8021066815488127</v>
      </c>
      <c r="D433">
        <f t="shared" si="19"/>
        <v>1.0889915617780634</v>
      </c>
    </row>
    <row r="434" spans="2:4" x14ac:dyDescent="0.25">
      <c r="B434">
        <f t="shared" si="20"/>
        <v>38.200000000000273</v>
      </c>
      <c r="C434">
        <f t="shared" si="18"/>
        <v>1.8100530719840653</v>
      </c>
      <c r="D434">
        <f t="shared" si="19"/>
        <v>1.0895222401464992</v>
      </c>
    </row>
    <row r="435" spans="2:4" x14ac:dyDescent="0.25">
      <c r="B435">
        <f t="shared" si="20"/>
        <v>38.300000000000274</v>
      </c>
      <c r="C435">
        <f t="shared" si="18"/>
        <v>1.818031932073968</v>
      </c>
      <c r="D435">
        <f t="shared" si="19"/>
        <v>1.0900509331968664</v>
      </c>
    </row>
    <row r="436" spans="2:4" x14ac:dyDescent="0.25">
      <c r="B436">
        <f t="shared" si="20"/>
        <v>38.400000000000276</v>
      </c>
      <c r="C436">
        <f t="shared" si="18"/>
        <v>1.8260433839980779</v>
      </c>
      <c r="D436">
        <f t="shared" si="19"/>
        <v>1.0905776469910295</v>
      </c>
    </row>
    <row r="437" spans="2:4" x14ac:dyDescent="0.25">
      <c r="B437">
        <f t="shared" si="20"/>
        <v>38.500000000000277</v>
      </c>
      <c r="C437">
        <f t="shared" si="18"/>
        <v>1.8340875503562524</v>
      </c>
      <c r="D437">
        <f t="shared" si="19"/>
        <v>1.0911023875867314</v>
      </c>
    </row>
    <row r="438" spans="2:4" x14ac:dyDescent="0.25">
      <c r="B438">
        <f t="shared" si="20"/>
        <v>38.600000000000279</v>
      </c>
      <c r="C438">
        <f t="shared" si="18"/>
        <v>1.8421645541699219</v>
      </c>
      <c r="D438">
        <f t="shared" si="19"/>
        <v>1.091625161037435</v>
      </c>
    </row>
    <row r="439" spans="2:4" x14ac:dyDescent="0.25">
      <c r="B439">
        <f t="shared" si="20"/>
        <v>38.70000000000028</v>
      </c>
      <c r="C439">
        <f t="shared" si="18"/>
        <v>1.8502745188834511</v>
      </c>
      <c r="D439">
        <f t="shared" si="19"/>
        <v>1.0921459733921732</v>
      </c>
    </row>
    <row r="440" spans="2:4" x14ac:dyDescent="0.25">
      <c r="B440">
        <f t="shared" si="20"/>
        <v>38.800000000000281</v>
      </c>
      <c r="C440">
        <f t="shared" si="18"/>
        <v>1.8584175683653976</v>
      </c>
      <c r="D440">
        <f t="shared" si="19"/>
        <v>1.0926648306953917</v>
      </c>
    </row>
    <row r="441" spans="2:4" x14ac:dyDescent="0.25">
      <c r="B441">
        <f t="shared" si="20"/>
        <v>38.900000000000283</v>
      </c>
      <c r="C441">
        <f t="shared" si="18"/>
        <v>1.8665938269098823</v>
      </c>
      <c r="D441">
        <f t="shared" si="19"/>
        <v>1.093181738986801</v>
      </c>
    </row>
    <row r="442" spans="2:4" x14ac:dyDescent="0.25">
      <c r="B442">
        <f t="shared" si="20"/>
        <v>39.000000000000284</v>
      </c>
      <c r="C442">
        <f t="shared" si="18"/>
        <v>1.8748034192379071</v>
      </c>
      <c r="D442">
        <f t="shared" si="19"/>
        <v>1.0936967043012278</v>
      </c>
    </row>
    <row r="443" spans="2:4" x14ac:dyDescent="0.25">
      <c r="B443">
        <f t="shared" si="20"/>
        <v>39.100000000000286</v>
      </c>
      <c r="C443">
        <f t="shared" si="18"/>
        <v>1.8830464704986576</v>
      </c>
      <c r="D443">
        <f t="shared" si="19"/>
        <v>1.0942097326684652</v>
      </c>
    </row>
    <row r="444" spans="2:4" x14ac:dyDescent="0.25">
      <c r="B444">
        <f t="shared" si="20"/>
        <v>39.200000000000287</v>
      </c>
      <c r="C444">
        <f t="shared" si="18"/>
        <v>1.8913231062708513</v>
      </c>
      <c r="D444">
        <f t="shared" si="19"/>
        <v>1.0947208301131286</v>
      </c>
    </row>
    <row r="445" spans="2:4" x14ac:dyDescent="0.25">
      <c r="B445">
        <f t="shared" si="20"/>
        <v>39.300000000000288</v>
      </c>
      <c r="C445">
        <f t="shared" si="18"/>
        <v>1.8996334525640952</v>
      </c>
      <c r="D445">
        <f t="shared" si="19"/>
        <v>1.0952300026545121</v>
      </c>
    </row>
    <row r="446" spans="2:4" x14ac:dyDescent="0.25">
      <c r="B446">
        <f t="shared" si="20"/>
        <v>39.40000000000029</v>
      </c>
      <c r="C446">
        <f t="shared" si="18"/>
        <v>1.9079776358201705</v>
      </c>
      <c r="D446">
        <f t="shared" si="19"/>
        <v>1.0957372563064431</v>
      </c>
    </row>
    <row r="447" spans="2:4" x14ac:dyDescent="0.25">
      <c r="B447">
        <f t="shared" si="20"/>
        <v>39.500000000000291</v>
      </c>
      <c r="C447">
        <f t="shared" si="18"/>
        <v>1.9163557829144255</v>
      </c>
      <c r="D447">
        <f t="shared" si="19"/>
        <v>1.0962425970771452</v>
      </c>
    </row>
    <row r="448" spans="2:4" x14ac:dyDescent="0.25">
      <c r="B448">
        <f t="shared" si="20"/>
        <v>39.600000000000293</v>
      </c>
      <c r="C448">
        <f t="shared" si="18"/>
        <v>1.9247680211571172</v>
      </c>
      <c r="D448">
        <f t="shared" si="19"/>
        <v>1.0967460309690975</v>
      </c>
    </row>
    <row r="449" spans="2:6" x14ac:dyDescent="0.25">
      <c r="B449">
        <f t="shared" si="20"/>
        <v>39.700000000000294</v>
      </c>
      <c r="C449">
        <f t="shared" si="18"/>
        <v>1.9332144782947289</v>
      </c>
      <c r="D449">
        <f t="shared" si="19"/>
        <v>1.0972475639788959</v>
      </c>
    </row>
    <row r="450" spans="2:6" x14ac:dyDescent="0.25">
      <c r="B450">
        <f t="shared" si="20"/>
        <v>39.800000000000296</v>
      </c>
      <c r="C450">
        <f t="shared" si="18"/>
        <v>1.9416952825113694</v>
      </c>
      <c r="D450">
        <f t="shared" si="19"/>
        <v>1.0977472020971191</v>
      </c>
    </row>
    <row r="451" spans="2:6" x14ac:dyDescent="0.25">
      <c r="B451">
        <f t="shared" si="20"/>
        <v>39.900000000000297</v>
      </c>
      <c r="C451">
        <f t="shared" ref="C451:C514" si="21">((273+B451)/(273+25))^13.69</f>
        <v>1.9502105624300978</v>
      </c>
      <c r="D451">
        <f t="shared" ref="D451:D514" si="22">C451/(1+0.8164*(C451-1))</f>
        <v>1.0982449513081938</v>
      </c>
    </row>
    <row r="452" spans="2:6" x14ac:dyDescent="0.25">
      <c r="B452">
        <f t="shared" ref="B452:B461" si="23">B451+0.1</f>
        <v>40.000000000000298</v>
      </c>
      <c r="C452">
        <f t="shared" si="21"/>
        <v>1.9587604471142799</v>
      </c>
      <c r="D452">
        <f t="shared" si="22"/>
        <v>1.0987408175902595</v>
      </c>
    </row>
    <row r="453" spans="2:6" x14ac:dyDescent="0.25">
      <c r="B453">
        <f t="shared" si="23"/>
        <v>40.1000000000003</v>
      </c>
      <c r="C453">
        <f t="shared" si="21"/>
        <v>1.9673450660690053</v>
      </c>
      <c r="D453">
        <f t="shared" si="22"/>
        <v>1.0992348069150422</v>
      </c>
    </row>
    <row r="454" spans="2:6" x14ac:dyDescent="0.25">
      <c r="B454">
        <f t="shared" si="23"/>
        <v>40.200000000000301</v>
      </c>
      <c r="C454">
        <f t="shared" si="21"/>
        <v>1.9759645492423943</v>
      </c>
      <c r="D454">
        <f t="shared" si="22"/>
        <v>1.0997269252477204</v>
      </c>
    </row>
    <row r="455" spans="2:6" x14ac:dyDescent="0.25">
      <c r="B455">
        <f t="shared" si="23"/>
        <v>40.300000000000303</v>
      </c>
      <c r="C455">
        <f t="shared" si="21"/>
        <v>1.9846190270270225</v>
      </c>
      <c r="D455">
        <f t="shared" si="22"/>
        <v>1.1002171785467996</v>
      </c>
    </row>
    <row r="456" spans="2:6" x14ac:dyDescent="0.25">
      <c r="B456">
        <f t="shared" si="23"/>
        <v>40.400000000000304</v>
      </c>
      <c r="C456">
        <f t="shared" si="21"/>
        <v>1.993308630261259</v>
      </c>
      <c r="D456">
        <f t="shared" si="22"/>
        <v>1.100705572763985</v>
      </c>
    </row>
    <row r="457" spans="2:6" x14ac:dyDescent="0.25">
      <c r="B457">
        <f t="shared" si="23"/>
        <v>40.500000000000306</v>
      </c>
      <c r="C457">
        <f t="shared" si="21"/>
        <v>2.0020334902306702</v>
      </c>
      <c r="D457">
        <f t="shared" si="22"/>
        <v>1.1011921138440564</v>
      </c>
    </row>
    <row r="458" spans="2:6" x14ac:dyDescent="0.25">
      <c r="B458">
        <f t="shared" si="23"/>
        <v>40.600000000000307</v>
      </c>
      <c r="C458">
        <f t="shared" si="21"/>
        <v>2.010793738669399</v>
      </c>
      <c r="D458">
        <f t="shared" si="22"/>
        <v>1.1016768077247459</v>
      </c>
      <c r="E458">
        <v>1.1235955056179776</v>
      </c>
      <c r="F458">
        <v>0.89</v>
      </c>
    </row>
    <row r="459" spans="2:6" x14ac:dyDescent="0.25">
      <c r="B459">
        <f t="shared" si="23"/>
        <v>40.700000000000308</v>
      </c>
      <c r="C459">
        <f t="shared" si="21"/>
        <v>2.0195895077615531</v>
      </c>
      <c r="D459">
        <f t="shared" si="22"/>
        <v>1.1021596603366146</v>
      </c>
    </row>
    <row r="460" spans="2:6" x14ac:dyDescent="0.25">
      <c r="B460">
        <f t="shared" si="23"/>
        <v>40.80000000000031</v>
      </c>
      <c r="C460">
        <f t="shared" si="21"/>
        <v>2.0284209301425933</v>
      </c>
      <c r="D460">
        <f t="shared" si="22"/>
        <v>1.1026406776029336</v>
      </c>
    </row>
    <row r="461" spans="2:6" x14ac:dyDescent="0.25">
      <c r="B461">
        <f t="shared" si="23"/>
        <v>40.900000000000311</v>
      </c>
      <c r="C461">
        <f t="shared" si="21"/>
        <v>2.0372881389007511</v>
      </c>
      <c r="D461">
        <f t="shared" si="22"/>
        <v>1.1031198654395655</v>
      </c>
    </row>
    <row r="462" spans="2:6" x14ac:dyDescent="0.25">
      <c r="B462">
        <f>B461+0.1</f>
        <v>41.000000000000313</v>
      </c>
      <c r="C462">
        <f t="shared" si="21"/>
        <v>2.0461912675784033</v>
      </c>
      <c r="D462">
        <f t="shared" si="22"/>
        <v>1.1035972297548453</v>
      </c>
    </row>
    <row r="463" spans="2:6" x14ac:dyDescent="0.25">
      <c r="B463">
        <f t="shared" ref="B463:B472" si="24">B462+0.1</f>
        <v>41.100000000000314</v>
      </c>
      <c r="C463">
        <f t="shared" si="21"/>
        <v>2.0551304501734671</v>
      </c>
      <c r="D463">
        <f t="shared" si="22"/>
        <v>1.1040727764494656</v>
      </c>
    </row>
    <row r="464" spans="2:6" x14ac:dyDescent="0.25">
      <c r="B464">
        <f t="shared" si="24"/>
        <v>41.200000000000315</v>
      </c>
      <c r="C464">
        <f t="shared" si="21"/>
        <v>2.0641058211408638</v>
      </c>
      <c r="D464">
        <f t="shared" si="22"/>
        <v>1.1045465114163635</v>
      </c>
    </row>
    <row r="465" spans="2:4" x14ac:dyDescent="0.25">
      <c r="B465">
        <f t="shared" si="24"/>
        <v>41.300000000000317</v>
      </c>
      <c r="C465">
        <f t="shared" si="21"/>
        <v>2.0731175153938644</v>
      </c>
      <c r="D465">
        <f t="shared" si="22"/>
        <v>1.1050184405406058</v>
      </c>
    </row>
    <row r="466" spans="2:4" x14ac:dyDescent="0.25">
      <c r="B466">
        <f t="shared" si="24"/>
        <v>41.400000000000318</v>
      </c>
      <c r="C466">
        <f t="shared" si="21"/>
        <v>2.0821656683055596</v>
      </c>
      <c r="D466">
        <f t="shared" si="22"/>
        <v>1.1054885696992796</v>
      </c>
    </row>
    <row r="467" spans="2:4" x14ac:dyDescent="0.25">
      <c r="B467">
        <f t="shared" si="24"/>
        <v>41.50000000000032</v>
      </c>
      <c r="C467">
        <f t="shared" si="21"/>
        <v>2.0912504157102383</v>
      </c>
      <c r="D467">
        <f t="shared" si="22"/>
        <v>1.10595690476138</v>
      </c>
    </row>
    <row r="468" spans="2:4" x14ac:dyDescent="0.25">
      <c r="B468">
        <f t="shared" si="24"/>
        <v>41.600000000000321</v>
      </c>
      <c r="C468">
        <f t="shared" si="21"/>
        <v>2.1003718939048355</v>
      </c>
      <c r="D468">
        <f t="shared" si="22"/>
        <v>1.1064234515877038</v>
      </c>
    </row>
    <row r="469" spans="2:4" x14ac:dyDescent="0.25">
      <c r="B469">
        <f t="shared" si="24"/>
        <v>41.700000000000323</v>
      </c>
      <c r="C469">
        <f t="shared" si="21"/>
        <v>2.1095302396503537</v>
      </c>
      <c r="D469">
        <f t="shared" si="22"/>
        <v>1.1068882160307416</v>
      </c>
    </row>
    <row r="470" spans="2:4" x14ac:dyDescent="0.25">
      <c r="B470">
        <f t="shared" si="24"/>
        <v>41.800000000000324</v>
      </c>
      <c r="C470">
        <f t="shared" si="21"/>
        <v>2.1187255901732889</v>
      </c>
      <c r="D470">
        <f t="shared" si="22"/>
        <v>1.1073512039345714</v>
      </c>
    </row>
    <row r="471" spans="2:4" x14ac:dyDescent="0.25">
      <c r="B471">
        <f t="shared" si="24"/>
        <v>41.900000000000325</v>
      </c>
      <c r="C471">
        <f t="shared" si="21"/>
        <v>2.1279580831670901</v>
      </c>
      <c r="D471">
        <f t="shared" si="22"/>
        <v>1.1078124211347569</v>
      </c>
    </row>
    <row r="472" spans="2:4" x14ac:dyDescent="0.25">
      <c r="B472">
        <f t="shared" si="24"/>
        <v>42.000000000000327</v>
      </c>
      <c r="C472">
        <f t="shared" si="21"/>
        <v>2.1372278567935634</v>
      </c>
      <c r="D472">
        <f t="shared" si="22"/>
        <v>1.1082718734582415</v>
      </c>
    </row>
    <row r="473" spans="2:4" x14ac:dyDescent="0.25">
      <c r="B473">
        <f>B472+0.1</f>
        <v>42.100000000000328</v>
      </c>
      <c r="C473">
        <f t="shared" si="21"/>
        <v>2.1465350496843407</v>
      </c>
      <c r="D473">
        <f t="shared" si="22"/>
        <v>1.1087295667232495</v>
      </c>
    </row>
    <row r="474" spans="2:4" x14ac:dyDescent="0.25">
      <c r="B474">
        <f t="shared" ref="B474:B493" si="25">B473+0.1</f>
        <v>42.20000000000033</v>
      </c>
      <c r="C474">
        <f t="shared" si="21"/>
        <v>2.1558798009423183</v>
      </c>
      <c r="D474">
        <f t="shared" si="22"/>
        <v>1.1091855067391843</v>
      </c>
    </row>
    <row r="475" spans="2:4" x14ac:dyDescent="0.25">
      <c r="B475">
        <f t="shared" si="25"/>
        <v>42.300000000000331</v>
      </c>
      <c r="C475">
        <f t="shared" si="21"/>
        <v>2.1652622501431127</v>
      </c>
      <c r="D475">
        <f t="shared" si="22"/>
        <v>1.1096396993065309</v>
      </c>
    </row>
    <row r="476" spans="2:4" x14ac:dyDescent="0.25">
      <c r="B476">
        <f t="shared" si="25"/>
        <v>42.400000000000333</v>
      </c>
      <c r="C476">
        <f t="shared" si="21"/>
        <v>2.1746825373365062</v>
      </c>
      <c r="D476">
        <f t="shared" si="22"/>
        <v>1.110092150216758</v>
      </c>
    </row>
    <row r="477" spans="2:4" x14ac:dyDescent="0.25">
      <c r="B477">
        <f t="shared" si="25"/>
        <v>42.500000000000334</v>
      </c>
      <c r="C477">
        <f t="shared" si="21"/>
        <v>2.184140803047935</v>
      </c>
      <c r="D477">
        <f t="shared" si="22"/>
        <v>1.1105428652522231</v>
      </c>
    </row>
    <row r="478" spans="2:4" x14ac:dyDescent="0.25">
      <c r="B478">
        <f t="shared" si="25"/>
        <v>42.600000000000335</v>
      </c>
      <c r="C478">
        <f t="shared" si="21"/>
        <v>2.1936371882799128</v>
      </c>
      <c r="D478">
        <f t="shared" si="22"/>
        <v>1.1109918501860765</v>
      </c>
    </row>
    <row r="479" spans="2:4" x14ac:dyDescent="0.25">
      <c r="B479">
        <f t="shared" si="25"/>
        <v>42.700000000000337</v>
      </c>
      <c r="C479">
        <f t="shared" si="21"/>
        <v>2.2031718345135256</v>
      </c>
      <c r="D479">
        <f t="shared" si="22"/>
        <v>1.1114391107821688</v>
      </c>
    </row>
    <row r="480" spans="2:4" x14ac:dyDescent="0.25">
      <c r="B480">
        <f t="shared" si="25"/>
        <v>42.800000000000338</v>
      </c>
      <c r="C480">
        <f t="shared" si="21"/>
        <v>2.2127448837098957</v>
      </c>
      <c r="D480">
        <f t="shared" si="22"/>
        <v>1.1118846527949595</v>
      </c>
    </row>
    <row r="481" spans="2:6" x14ac:dyDescent="0.25">
      <c r="B481">
        <f t="shared" si="25"/>
        <v>42.90000000000034</v>
      </c>
      <c r="C481">
        <f t="shared" si="21"/>
        <v>2.2223564783116521</v>
      </c>
      <c r="D481">
        <f t="shared" si="22"/>
        <v>1.1123284819694252</v>
      </c>
    </row>
    <row r="482" spans="2:6" x14ac:dyDescent="0.25">
      <c r="B482">
        <f t="shared" si="25"/>
        <v>43.000000000000341</v>
      </c>
      <c r="C482">
        <f t="shared" si="21"/>
        <v>2.2320067612444361</v>
      </c>
      <c r="D482">
        <f t="shared" si="22"/>
        <v>1.1127706040409722</v>
      </c>
    </row>
    <row r="483" spans="2:6" x14ac:dyDescent="0.25">
      <c r="B483">
        <f t="shared" si="25"/>
        <v>43.100000000000342</v>
      </c>
      <c r="C483">
        <f t="shared" si="21"/>
        <v>2.2416958759183463</v>
      </c>
      <c r="D483">
        <f t="shared" si="22"/>
        <v>1.1132110247353462</v>
      </c>
    </row>
    <row r="484" spans="2:6" x14ac:dyDescent="0.25">
      <c r="B484">
        <f t="shared" si="25"/>
        <v>43.200000000000344</v>
      </c>
      <c r="C484">
        <f t="shared" si="21"/>
        <v>2.2514239662294471</v>
      </c>
      <c r="D484">
        <f t="shared" si="22"/>
        <v>1.1136497497685471</v>
      </c>
    </row>
    <row r="485" spans="2:6" x14ac:dyDescent="0.25">
      <c r="B485">
        <f t="shared" si="25"/>
        <v>43.300000000000345</v>
      </c>
      <c r="C485">
        <f t="shared" si="21"/>
        <v>2.2611911765612849</v>
      </c>
      <c r="D485">
        <f t="shared" si="22"/>
        <v>1.1140867848467444</v>
      </c>
      <c r="E485">
        <v>1.1363636363636365</v>
      </c>
      <c r="F485">
        <v>0.88</v>
      </c>
    </row>
    <row r="486" spans="2:6" x14ac:dyDescent="0.25">
      <c r="B486">
        <f t="shared" si="25"/>
        <v>43.400000000000347</v>
      </c>
      <c r="C486">
        <f t="shared" si="21"/>
        <v>2.270997651786316</v>
      </c>
      <c r="D486">
        <f t="shared" si="22"/>
        <v>1.1145221356661901</v>
      </c>
    </row>
    <row r="487" spans="2:6" x14ac:dyDescent="0.25">
      <c r="B487">
        <f t="shared" si="25"/>
        <v>43.500000000000348</v>
      </c>
      <c r="C487">
        <f t="shared" si="21"/>
        <v>2.2808435372674953</v>
      </c>
      <c r="D487">
        <f t="shared" si="22"/>
        <v>1.1149558079131399</v>
      </c>
    </row>
    <row r="488" spans="2:6" x14ac:dyDescent="0.25">
      <c r="B488">
        <f t="shared" si="25"/>
        <v>43.60000000000035</v>
      </c>
      <c r="C488">
        <f t="shared" si="21"/>
        <v>2.2907289788597103</v>
      </c>
      <c r="D488">
        <f t="shared" si="22"/>
        <v>1.1153878072637677</v>
      </c>
    </row>
    <row r="489" spans="2:6" x14ac:dyDescent="0.25">
      <c r="B489">
        <f t="shared" si="25"/>
        <v>43.700000000000351</v>
      </c>
      <c r="C489">
        <f t="shared" si="21"/>
        <v>2.300654122911316</v>
      </c>
      <c r="D489">
        <f t="shared" si="22"/>
        <v>1.1158181393840878</v>
      </c>
    </row>
    <row r="490" spans="2:6" x14ac:dyDescent="0.25">
      <c r="B490">
        <f t="shared" si="25"/>
        <v>43.800000000000352</v>
      </c>
      <c r="C490">
        <f t="shared" si="21"/>
        <v>2.3106191162656682</v>
      </c>
      <c r="D490">
        <f t="shared" si="22"/>
        <v>1.1162468099298757</v>
      </c>
    </row>
    <row r="491" spans="2:6" x14ac:dyDescent="0.25">
      <c r="B491">
        <f t="shared" si="25"/>
        <v>43.900000000000354</v>
      </c>
      <c r="C491">
        <f t="shared" si="21"/>
        <v>2.3206241062626063</v>
      </c>
      <c r="D491">
        <f t="shared" si="22"/>
        <v>1.1166738245465881</v>
      </c>
    </row>
    <row r="492" spans="2:6" x14ac:dyDescent="0.25">
      <c r="B492">
        <f t="shared" si="25"/>
        <v>44.000000000000355</v>
      </c>
      <c r="C492">
        <f t="shared" si="21"/>
        <v>2.3306692407399678</v>
      </c>
      <c r="D492">
        <f t="shared" si="22"/>
        <v>1.1170991888692881</v>
      </c>
    </row>
    <row r="493" spans="2:6" x14ac:dyDescent="0.25">
      <c r="B493">
        <f t="shared" si="25"/>
        <v>44.100000000000357</v>
      </c>
      <c r="C493">
        <f t="shared" si="21"/>
        <v>2.3407546680351761</v>
      </c>
      <c r="D493">
        <f t="shared" si="22"/>
        <v>1.1175229085225693</v>
      </c>
    </row>
    <row r="494" spans="2:6" x14ac:dyDescent="0.25">
      <c r="B494">
        <f>B493+0.1</f>
        <v>44.200000000000358</v>
      </c>
      <c r="C494">
        <f t="shared" si="21"/>
        <v>2.3508805369866992</v>
      </c>
      <c r="D494">
        <f t="shared" si="22"/>
        <v>1.1179449891204818</v>
      </c>
    </row>
    <row r="495" spans="2:6" x14ac:dyDescent="0.25">
      <c r="B495">
        <f t="shared" ref="B495:B503" si="26">B494+0.1</f>
        <v>44.30000000000036</v>
      </c>
      <c r="C495">
        <f t="shared" si="21"/>
        <v>2.3610469969356136</v>
      </c>
      <c r="D495">
        <f t="shared" si="22"/>
        <v>1.1183654362664579</v>
      </c>
    </row>
    <row r="496" spans="2:6" x14ac:dyDescent="0.25">
      <c r="B496">
        <f t="shared" si="26"/>
        <v>44.400000000000361</v>
      </c>
      <c r="C496">
        <f t="shared" si="21"/>
        <v>2.3712541977271613</v>
      </c>
      <c r="D496">
        <f t="shared" si="22"/>
        <v>1.1187842555532423</v>
      </c>
    </row>
    <row r="497" spans="2:4" x14ac:dyDescent="0.25">
      <c r="B497">
        <f t="shared" si="26"/>
        <v>44.500000000000362</v>
      </c>
      <c r="C497">
        <f t="shared" si="21"/>
        <v>2.3815022897122513</v>
      </c>
      <c r="D497">
        <f t="shared" si="22"/>
        <v>1.1192014525628187</v>
      </c>
    </row>
    <row r="498" spans="2:4" x14ac:dyDescent="0.25">
      <c r="B498">
        <f t="shared" si="26"/>
        <v>44.600000000000364</v>
      </c>
      <c r="C498">
        <f t="shared" si="21"/>
        <v>2.3917914237490328</v>
      </c>
      <c r="D498">
        <f t="shared" si="22"/>
        <v>1.1196170328663428</v>
      </c>
    </row>
    <row r="499" spans="2:4" x14ac:dyDescent="0.25">
      <c r="B499">
        <f t="shared" si="26"/>
        <v>44.700000000000365</v>
      </c>
      <c r="C499">
        <f t="shared" si="21"/>
        <v>2.4021217512044415</v>
      </c>
      <c r="D499">
        <f t="shared" si="22"/>
        <v>1.1200310020240716</v>
      </c>
    </row>
    <row r="500" spans="2:4" x14ac:dyDescent="0.25">
      <c r="B500">
        <f t="shared" si="26"/>
        <v>44.800000000000367</v>
      </c>
      <c r="C500">
        <f t="shared" si="21"/>
        <v>2.412493423955743</v>
      </c>
      <c r="D500">
        <f t="shared" si="22"/>
        <v>1.1204433655852977</v>
      </c>
    </row>
    <row r="501" spans="2:4" x14ac:dyDescent="0.25">
      <c r="B501">
        <f t="shared" si="26"/>
        <v>44.900000000000368</v>
      </c>
      <c r="C501">
        <f t="shared" si="21"/>
        <v>2.4229065943921251</v>
      </c>
      <c r="D501">
        <f t="shared" si="22"/>
        <v>1.120854129088283</v>
      </c>
    </row>
    <row r="502" spans="2:4" x14ac:dyDescent="0.25">
      <c r="B502">
        <f t="shared" si="26"/>
        <v>45.000000000000369</v>
      </c>
      <c r="C502">
        <f t="shared" si="21"/>
        <v>2.4333614154162144</v>
      </c>
      <c r="D502">
        <f t="shared" si="22"/>
        <v>1.1212632980601924</v>
      </c>
    </row>
    <row r="503" spans="2:4" x14ac:dyDescent="0.25">
      <c r="B503">
        <f t="shared" si="26"/>
        <v>45.100000000000371</v>
      </c>
      <c r="C503">
        <f t="shared" si="21"/>
        <v>2.4438580404456771</v>
      </c>
      <c r="D503">
        <f t="shared" si="22"/>
        <v>1.1216708780170321</v>
      </c>
    </row>
    <row r="504" spans="2:4" x14ac:dyDescent="0.25">
      <c r="B504">
        <f>B503+0.1</f>
        <v>45.200000000000372</v>
      </c>
      <c r="C504">
        <f t="shared" si="21"/>
        <v>2.4543966234147789</v>
      </c>
      <c r="D504">
        <f t="shared" si="22"/>
        <v>1.1220768744635838</v>
      </c>
    </row>
    <row r="505" spans="2:4" x14ac:dyDescent="0.25">
      <c r="B505">
        <f t="shared" ref="B505:B515" si="27">B504+0.1</f>
        <v>45.300000000000374</v>
      </c>
      <c r="C505">
        <f t="shared" si="21"/>
        <v>2.4649773187759583</v>
      </c>
      <c r="D505">
        <f t="shared" si="22"/>
        <v>1.1224812928933456</v>
      </c>
    </row>
    <row r="506" spans="2:4" x14ac:dyDescent="0.25">
      <c r="B506">
        <f t="shared" si="27"/>
        <v>45.400000000000375</v>
      </c>
      <c r="C506">
        <f t="shared" si="21"/>
        <v>2.4756002815014324</v>
      </c>
      <c r="D506">
        <f t="shared" si="22"/>
        <v>1.1228841387884712</v>
      </c>
    </row>
    <row r="507" spans="2:4" x14ac:dyDescent="0.25">
      <c r="B507">
        <f t="shared" si="27"/>
        <v>45.500000000000377</v>
      </c>
      <c r="C507">
        <f t="shared" si="21"/>
        <v>2.4862656670847425</v>
      </c>
      <c r="D507">
        <f t="shared" si="22"/>
        <v>1.1232854176197078</v>
      </c>
    </row>
    <row r="508" spans="2:4" x14ac:dyDescent="0.25">
      <c r="B508">
        <f t="shared" si="27"/>
        <v>45.600000000000378</v>
      </c>
      <c r="C508">
        <f t="shared" si="21"/>
        <v>2.4969736315423696</v>
      </c>
      <c r="D508">
        <f t="shared" si="22"/>
        <v>1.1236851348463406</v>
      </c>
    </row>
    <row r="509" spans="2:4" x14ac:dyDescent="0.25">
      <c r="B509">
        <f t="shared" si="27"/>
        <v>45.700000000000379</v>
      </c>
      <c r="C509">
        <f t="shared" si="21"/>
        <v>2.507724331415321</v>
      </c>
      <c r="D509">
        <f t="shared" si="22"/>
        <v>1.1240832959161338</v>
      </c>
    </row>
    <row r="510" spans="2:4" x14ac:dyDescent="0.25">
      <c r="B510">
        <f t="shared" si="27"/>
        <v>45.800000000000381</v>
      </c>
      <c r="C510">
        <f t="shared" si="21"/>
        <v>2.5185179237707289</v>
      </c>
      <c r="D510">
        <f t="shared" si="22"/>
        <v>1.1244799062652746</v>
      </c>
    </row>
    <row r="511" spans="2:4" x14ac:dyDescent="0.25">
      <c r="B511">
        <f t="shared" si="27"/>
        <v>45.900000000000382</v>
      </c>
      <c r="C511">
        <f t="shared" si="21"/>
        <v>2.5293545662034465</v>
      </c>
      <c r="D511">
        <f t="shared" si="22"/>
        <v>1.1248749713183182</v>
      </c>
    </row>
    <row r="512" spans="2:4" x14ac:dyDescent="0.25">
      <c r="B512">
        <f t="shared" si="27"/>
        <v>46.000000000000384</v>
      </c>
      <c r="C512">
        <f t="shared" si="21"/>
        <v>2.5402344168376807</v>
      </c>
      <c r="D512">
        <f t="shared" si="22"/>
        <v>1.1252684964881332</v>
      </c>
    </row>
    <row r="513" spans="2:6" x14ac:dyDescent="0.25">
      <c r="B513">
        <f t="shared" si="27"/>
        <v>46.100000000000385</v>
      </c>
      <c r="C513">
        <f t="shared" si="21"/>
        <v>2.5511576343285567</v>
      </c>
      <c r="D513">
        <f t="shared" si="22"/>
        <v>1.1256604871758473</v>
      </c>
      <c r="E513">
        <v>1.1494252873563218</v>
      </c>
      <c r="F513">
        <v>0.87</v>
      </c>
    </row>
    <row r="514" spans="2:6" x14ac:dyDescent="0.25">
      <c r="B514">
        <f t="shared" si="27"/>
        <v>46.200000000000387</v>
      </c>
      <c r="C514">
        <f t="shared" si="21"/>
        <v>2.5621243778637934</v>
      </c>
      <c r="D514">
        <f t="shared" si="22"/>
        <v>1.1260509487707984</v>
      </c>
    </row>
    <row r="515" spans="2:6" x14ac:dyDescent="0.25">
      <c r="B515">
        <f t="shared" si="27"/>
        <v>46.300000000000388</v>
      </c>
      <c r="C515">
        <f t="shared" ref="C515:C552" si="28">((273+B515)/(273+25))^13.69</f>
        <v>2.5731348071652498</v>
      </c>
      <c r="D515">
        <f t="shared" ref="D515:D552" si="29">C515/(1+0.8164*(C515-1))</f>
        <v>1.1264398866504786</v>
      </c>
    </row>
    <row r="516" spans="2:6" x14ac:dyDescent="0.25">
      <c r="B516">
        <f>B515+0.1</f>
        <v>46.400000000000389</v>
      </c>
      <c r="C516">
        <f t="shared" si="28"/>
        <v>2.5841890824906093</v>
      </c>
      <c r="D516">
        <f t="shared" si="29"/>
        <v>1.1268273061804877</v>
      </c>
    </row>
    <row r="517" spans="2:6" x14ac:dyDescent="0.25">
      <c r="B517">
        <f t="shared" ref="B517:B552" si="30">B516+0.1</f>
        <v>46.500000000000391</v>
      </c>
      <c r="C517">
        <f t="shared" si="28"/>
        <v>2.5952873646350048</v>
      </c>
      <c r="D517">
        <f t="shared" si="29"/>
        <v>1.1272132127144829</v>
      </c>
    </row>
    <row r="518" spans="2:6" x14ac:dyDescent="0.25">
      <c r="B518">
        <f t="shared" si="30"/>
        <v>46.600000000000392</v>
      </c>
      <c r="C518">
        <f t="shared" si="28"/>
        <v>2.6064298149326048</v>
      </c>
      <c r="D518">
        <f t="shared" si="29"/>
        <v>1.12759761159413</v>
      </c>
    </row>
    <row r="519" spans="2:6" x14ac:dyDescent="0.25">
      <c r="B519">
        <f t="shared" si="30"/>
        <v>46.700000000000394</v>
      </c>
      <c r="C519">
        <f t="shared" si="28"/>
        <v>2.6176165952583137</v>
      </c>
      <c r="D519">
        <f t="shared" si="29"/>
        <v>1.1279805081490568</v>
      </c>
    </row>
    <row r="520" spans="2:6" x14ac:dyDescent="0.25">
      <c r="B520">
        <f t="shared" si="30"/>
        <v>46.800000000000395</v>
      </c>
      <c r="C520">
        <f t="shared" si="28"/>
        <v>2.6288478680293665</v>
      </c>
      <c r="D520">
        <f t="shared" si="29"/>
        <v>1.1283619076968063</v>
      </c>
    </row>
    <row r="521" spans="2:6" x14ac:dyDescent="0.25">
      <c r="B521">
        <f t="shared" si="30"/>
        <v>46.900000000000396</v>
      </c>
      <c r="C521">
        <f t="shared" si="28"/>
        <v>2.6401237962069688</v>
      </c>
      <c r="D521">
        <f t="shared" si="29"/>
        <v>1.1287418155427908</v>
      </c>
    </row>
    <row r="522" spans="2:6" x14ac:dyDescent="0.25">
      <c r="B522">
        <f t="shared" si="30"/>
        <v>47.000000000000398</v>
      </c>
      <c r="C522">
        <f t="shared" si="28"/>
        <v>2.651444543298016</v>
      </c>
      <c r="D522">
        <f t="shared" si="29"/>
        <v>1.1291202369802495</v>
      </c>
    </row>
    <row r="523" spans="2:6" x14ac:dyDescent="0.25">
      <c r="B523">
        <f t="shared" si="30"/>
        <v>47.100000000000399</v>
      </c>
      <c r="C523">
        <f t="shared" si="28"/>
        <v>2.6628102733566723</v>
      </c>
      <c r="D523">
        <f t="shared" si="29"/>
        <v>1.1294971772902034</v>
      </c>
    </row>
    <row r="524" spans="2:6" x14ac:dyDescent="0.25">
      <c r="B524">
        <f t="shared" si="30"/>
        <v>47.200000000000401</v>
      </c>
      <c r="C524">
        <f t="shared" si="28"/>
        <v>2.6742211509860621</v>
      </c>
      <c r="D524">
        <f t="shared" si="29"/>
        <v>1.1298726417414127</v>
      </c>
    </row>
    <row r="525" spans="2:6" x14ac:dyDescent="0.25">
      <c r="B525">
        <f t="shared" si="30"/>
        <v>47.300000000000402</v>
      </c>
      <c r="C525">
        <f t="shared" si="28"/>
        <v>2.6856773413399573</v>
      </c>
      <c r="D525">
        <f t="shared" si="29"/>
        <v>1.130246635590336</v>
      </c>
    </row>
    <row r="526" spans="2:6" x14ac:dyDescent="0.25">
      <c r="B526">
        <f t="shared" si="30"/>
        <v>47.400000000000404</v>
      </c>
      <c r="C526">
        <f t="shared" si="28"/>
        <v>2.6971790101244069</v>
      </c>
      <c r="D526">
        <f t="shared" si="29"/>
        <v>1.1306191640810899</v>
      </c>
    </row>
    <row r="527" spans="2:6" x14ac:dyDescent="0.25">
      <c r="B527">
        <f t="shared" si="30"/>
        <v>47.500000000000405</v>
      </c>
      <c r="C527">
        <f t="shared" si="28"/>
        <v>2.7087263235994046</v>
      </c>
      <c r="D527">
        <f t="shared" si="29"/>
        <v>1.1309902324454064</v>
      </c>
    </row>
    <row r="528" spans="2:6" x14ac:dyDescent="0.25">
      <c r="B528">
        <f t="shared" si="30"/>
        <v>47.600000000000406</v>
      </c>
      <c r="C528">
        <f t="shared" si="28"/>
        <v>2.7203194485806361</v>
      </c>
      <c r="D528">
        <f t="shared" si="29"/>
        <v>1.1313598459025991</v>
      </c>
    </row>
    <row r="529" spans="2:6" x14ac:dyDescent="0.25">
      <c r="B529">
        <f t="shared" si="30"/>
        <v>47.700000000000408</v>
      </c>
      <c r="C529">
        <f t="shared" si="28"/>
        <v>2.7319585524410765</v>
      </c>
      <c r="D529">
        <f t="shared" si="29"/>
        <v>1.1317280096595201</v>
      </c>
    </row>
    <row r="530" spans="2:6" x14ac:dyDescent="0.25">
      <c r="B530">
        <f t="shared" si="30"/>
        <v>47.800000000000409</v>
      </c>
      <c r="C530">
        <f t="shared" si="28"/>
        <v>2.7436438031127452</v>
      </c>
      <c r="D530">
        <f t="shared" si="29"/>
        <v>1.132094728910527</v>
      </c>
    </row>
    <row r="531" spans="2:6" x14ac:dyDescent="0.25">
      <c r="B531">
        <f t="shared" si="30"/>
        <v>47.900000000000411</v>
      </c>
      <c r="C531">
        <f t="shared" si="28"/>
        <v>2.7553753690883558</v>
      </c>
      <c r="D531">
        <f t="shared" si="29"/>
        <v>1.132460008837443</v>
      </c>
    </row>
    <row r="532" spans="2:6" x14ac:dyDescent="0.25">
      <c r="B532">
        <f t="shared" si="30"/>
        <v>48.000000000000412</v>
      </c>
      <c r="C532">
        <f t="shared" si="28"/>
        <v>2.7671534194230012</v>
      </c>
      <c r="D532">
        <f t="shared" si="29"/>
        <v>1.1328238546095237</v>
      </c>
    </row>
    <row r="533" spans="2:6" x14ac:dyDescent="0.25">
      <c r="B533">
        <f t="shared" si="30"/>
        <v>48.100000000000414</v>
      </c>
      <c r="C533">
        <f t="shared" si="28"/>
        <v>2.778978123735925</v>
      </c>
      <c r="D533">
        <f t="shared" si="29"/>
        <v>1.1331862713834238</v>
      </c>
    </row>
    <row r="534" spans="2:6" x14ac:dyDescent="0.25">
      <c r="B534">
        <f t="shared" si="30"/>
        <v>48.200000000000415</v>
      </c>
      <c r="C534">
        <f t="shared" si="28"/>
        <v>2.7908496522121435</v>
      </c>
      <c r="D534">
        <f t="shared" si="29"/>
        <v>1.1335472643031601</v>
      </c>
    </row>
    <row r="535" spans="2:6" x14ac:dyDescent="0.25">
      <c r="B535">
        <f t="shared" si="30"/>
        <v>48.300000000000416</v>
      </c>
      <c r="C535">
        <f t="shared" si="28"/>
        <v>2.8027681756042262</v>
      </c>
      <c r="D535">
        <f t="shared" si="29"/>
        <v>1.1339068385000814</v>
      </c>
    </row>
    <row r="536" spans="2:6" x14ac:dyDescent="0.25">
      <c r="B536">
        <f t="shared" si="30"/>
        <v>48.400000000000418</v>
      </c>
      <c r="C536">
        <f t="shared" si="28"/>
        <v>2.814733865233952</v>
      </c>
      <c r="D536">
        <f t="shared" si="29"/>
        <v>1.1342649990928357</v>
      </c>
    </row>
    <row r="537" spans="2:6" x14ac:dyDescent="0.25">
      <c r="B537">
        <f t="shared" si="30"/>
        <v>48.500000000000419</v>
      </c>
      <c r="C537">
        <f t="shared" si="28"/>
        <v>2.826746892994064</v>
      </c>
      <c r="D537">
        <f t="shared" si="29"/>
        <v>1.1346217511873387</v>
      </c>
    </row>
    <row r="538" spans="2:6" x14ac:dyDescent="0.25">
      <c r="B538">
        <f t="shared" si="30"/>
        <v>48.600000000000421</v>
      </c>
      <c r="C538">
        <f t="shared" si="28"/>
        <v>2.838807431349986</v>
      </c>
      <c r="D538">
        <f t="shared" si="29"/>
        <v>1.1349770998767439</v>
      </c>
    </row>
    <row r="539" spans="2:6" x14ac:dyDescent="0.25">
      <c r="B539">
        <f t="shared" si="30"/>
        <v>48.700000000000422</v>
      </c>
      <c r="C539">
        <f t="shared" si="28"/>
        <v>2.8509156533415498</v>
      </c>
      <c r="D539">
        <f t="shared" si="29"/>
        <v>1.1353310502414127</v>
      </c>
    </row>
    <row r="540" spans="2:6" x14ac:dyDescent="0.25">
      <c r="B540">
        <f t="shared" si="30"/>
        <v>48.800000000000423</v>
      </c>
      <c r="C540">
        <f t="shared" si="28"/>
        <v>2.8630717325847201</v>
      </c>
      <c r="D540">
        <f t="shared" si="29"/>
        <v>1.1356836073488865</v>
      </c>
    </row>
    <row r="541" spans="2:6" x14ac:dyDescent="0.25">
      <c r="B541">
        <f t="shared" si="30"/>
        <v>48.900000000000425</v>
      </c>
      <c r="C541">
        <f t="shared" si="28"/>
        <v>2.8752758432733687</v>
      </c>
      <c r="D541">
        <f t="shared" si="29"/>
        <v>1.1360347762538585</v>
      </c>
      <c r="E541">
        <v>1.1627906976744187</v>
      </c>
      <c r="F541">
        <v>0.86</v>
      </c>
    </row>
    <row r="542" spans="2:6" x14ac:dyDescent="0.25">
      <c r="B542">
        <f t="shared" si="30"/>
        <v>49.000000000000426</v>
      </c>
      <c r="C542">
        <f t="shared" si="28"/>
        <v>2.8875281601809637</v>
      </c>
      <c r="D542">
        <f t="shared" si="29"/>
        <v>1.1363845619981459</v>
      </c>
    </row>
    <row r="543" spans="2:6" x14ac:dyDescent="0.25">
      <c r="B543">
        <f t="shared" si="30"/>
        <v>49.100000000000428</v>
      </c>
      <c r="C543">
        <f t="shared" si="28"/>
        <v>2.8998288586623548</v>
      </c>
      <c r="D543">
        <f t="shared" si="29"/>
        <v>1.1367329696106643</v>
      </c>
    </row>
    <row r="544" spans="2:6" x14ac:dyDescent="0.25">
      <c r="B544">
        <f t="shared" si="30"/>
        <v>49.200000000000429</v>
      </c>
      <c r="C544">
        <f t="shared" si="28"/>
        <v>2.9121781146555148</v>
      </c>
      <c r="D544">
        <f t="shared" si="29"/>
        <v>1.1370800041074018</v>
      </c>
    </row>
    <row r="545" spans="2:7" x14ac:dyDescent="0.25">
      <c r="B545">
        <f t="shared" si="30"/>
        <v>49.300000000000431</v>
      </c>
      <c r="C545">
        <f t="shared" si="28"/>
        <v>2.9245761046832879</v>
      </c>
      <c r="D545">
        <f t="shared" si="29"/>
        <v>1.1374256704913943</v>
      </c>
    </row>
    <row r="546" spans="2:7" x14ac:dyDescent="0.25">
      <c r="B546">
        <f t="shared" si="30"/>
        <v>49.400000000000432</v>
      </c>
      <c r="C546">
        <f t="shared" si="28"/>
        <v>2.9370230058551869</v>
      </c>
      <c r="D546">
        <f t="shared" si="29"/>
        <v>1.1377699737527023</v>
      </c>
    </row>
    <row r="547" spans="2:7" x14ac:dyDescent="0.25">
      <c r="B547">
        <f t="shared" si="30"/>
        <v>49.500000000000433</v>
      </c>
      <c r="C547">
        <f t="shared" si="28"/>
        <v>2.9495189958691084</v>
      </c>
      <c r="D547">
        <f t="shared" si="29"/>
        <v>1.1381129188683856</v>
      </c>
    </row>
    <row r="548" spans="2:7" x14ac:dyDescent="0.25">
      <c r="B548">
        <f t="shared" si="30"/>
        <v>49.600000000000435</v>
      </c>
      <c r="C548">
        <f t="shared" si="28"/>
        <v>2.9620642530131382</v>
      </c>
      <c r="D548">
        <f t="shared" si="29"/>
        <v>1.1384545108024835</v>
      </c>
    </row>
    <row r="549" spans="2:7" x14ac:dyDescent="0.25">
      <c r="B549">
        <f t="shared" si="30"/>
        <v>49.700000000000436</v>
      </c>
      <c r="C549">
        <f t="shared" si="28"/>
        <v>2.9746589561673207</v>
      </c>
      <c r="D549">
        <f t="shared" si="29"/>
        <v>1.1387947545059907</v>
      </c>
    </row>
    <row r="550" spans="2:7" x14ac:dyDescent="0.25">
      <c r="B550">
        <f t="shared" si="30"/>
        <v>49.800000000000438</v>
      </c>
      <c r="C550">
        <f t="shared" si="28"/>
        <v>2.9873032848054279</v>
      </c>
      <c r="D550">
        <f t="shared" si="29"/>
        <v>1.1391336549168367</v>
      </c>
    </row>
    <row r="551" spans="2:7" x14ac:dyDescent="0.25">
      <c r="B551">
        <f t="shared" si="30"/>
        <v>49.900000000000439</v>
      </c>
      <c r="C551">
        <f t="shared" si="28"/>
        <v>2.9999974189967817</v>
      </c>
      <c r="D551">
        <f t="shared" si="29"/>
        <v>1.1394712169598671</v>
      </c>
    </row>
    <row r="552" spans="2:7" x14ac:dyDescent="0.25">
      <c r="B552">
        <f t="shared" si="30"/>
        <v>50.000000000000441</v>
      </c>
      <c r="C552">
        <f t="shared" si="28"/>
        <v>3.0127415394079931</v>
      </c>
      <c r="D552">
        <f t="shared" si="29"/>
        <v>1.1398074455468219</v>
      </c>
    </row>
    <row r="556" spans="2:7" x14ac:dyDescent="0.25">
      <c r="F556">
        <v>0.85</v>
      </c>
      <c r="G556">
        <v>51.7</v>
      </c>
    </row>
  </sheetData>
  <sheetProtection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70"/>
  <sheetViews>
    <sheetView topLeftCell="A7" zoomScale="40" zoomScaleNormal="40" workbookViewId="0">
      <selection activeCell="C55" sqref="C55"/>
    </sheetView>
  </sheetViews>
  <sheetFormatPr baseColWidth="10" defaultColWidth="11.42578125" defaultRowHeight="15" customHeight="1" x14ac:dyDescent="0.25"/>
  <cols>
    <col min="8" max="8" width="11.42578125" customWidth="1"/>
    <col min="17" max="17" width="11.42578125" customWidth="1"/>
    <col min="30" max="30" width="11.42578125" customWidth="1"/>
    <col min="32" max="38" width="11.42578125" customWidth="1"/>
  </cols>
  <sheetData>
    <row r="1" spans="1:48" ht="15" customHeight="1" x14ac:dyDescent="0.25">
      <c r="G1" s="135"/>
    </row>
    <row r="2" spans="1:48" ht="15" customHeight="1" x14ac:dyDescent="0.25">
      <c r="K2" s="138"/>
    </row>
    <row r="3" spans="1:48" ht="15" customHeight="1" x14ac:dyDescent="0.25">
      <c r="M3" s="404" t="s">
        <v>45</v>
      </c>
      <c r="N3" s="363">
        <f>MIN(N7:N34)</f>
        <v>0.35199812312606671</v>
      </c>
      <c r="O3" s="363">
        <f>MIN(O7:O34)</f>
        <v>0.38127891467780695</v>
      </c>
      <c r="P3" s="364">
        <f>MIN(P7:P34)</f>
        <v>0.40836557155579806</v>
      </c>
      <c r="Q3" s="324"/>
      <c r="R3" s="324"/>
      <c r="S3" s="324"/>
      <c r="T3" s="324"/>
      <c r="U3" s="324"/>
      <c r="V3" s="324"/>
      <c r="W3" s="321"/>
      <c r="AD3" s="354"/>
      <c r="AE3" s="354"/>
      <c r="AF3" s="354"/>
    </row>
    <row r="4" spans="1:48" ht="15" customHeight="1" x14ac:dyDescent="0.25">
      <c r="F4" s="308" t="s">
        <v>46</v>
      </c>
      <c r="M4" s="415" t="s">
        <v>47</v>
      </c>
      <c r="N4" s="226">
        <v>6</v>
      </c>
      <c r="O4" s="226">
        <v>8</v>
      </c>
      <c r="P4" s="227">
        <v>10</v>
      </c>
      <c r="Q4" s="228"/>
      <c r="R4" s="228"/>
      <c r="S4" s="228"/>
      <c r="T4" s="228"/>
      <c r="U4" s="228"/>
      <c r="V4" s="228"/>
      <c r="W4" s="309"/>
      <c r="X4" s="332"/>
      <c r="Y4" s="332"/>
      <c r="Z4" s="332"/>
      <c r="AA4" s="355"/>
      <c r="AB4" s="356"/>
      <c r="AC4" s="356"/>
      <c r="AD4" s="355"/>
      <c r="AE4" s="355"/>
      <c r="AF4" s="355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  <c r="AS4" s="332"/>
      <c r="AT4" s="332"/>
      <c r="AU4" s="332"/>
      <c r="AV4" s="332"/>
    </row>
    <row r="5" spans="1:48" ht="15" customHeight="1" x14ac:dyDescent="0.25">
      <c r="F5" s="1209" t="s">
        <v>48</v>
      </c>
      <c r="G5" s="1208"/>
      <c r="L5" s="309"/>
      <c r="M5" s="362"/>
      <c r="N5" s="322">
        <f>N4/100</f>
        <v>0.06</v>
      </c>
      <c r="O5" s="322">
        <f t="shared" ref="O5:P5" si="0">O4/100</f>
        <v>0.08</v>
      </c>
      <c r="P5" s="361">
        <f t="shared" si="0"/>
        <v>0.1</v>
      </c>
      <c r="Q5" s="384">
        <f>MAX(Z7:Z34)</f>
        <v>0.39999999999999997</v>
      </c>
      <c r="R5" s="385">
        <f>MAX(AA7:AA34)</f>
        <v>0.44999999999999996</v>
      </c>
      <c r="S5" s="386">
        <f>MAX(AB7:AB34)</f>
        <v>0.49999999999999994</v>
      </c>
      <c r="T5" s="324"/>
      <c r="U5" s="324"/>
      <c r="V5" s="324"/>
      <c r="Z5" s="335"/>
      <c r="AA5" s="357"/>
      <c r="AB5" s="357"/>
      <c r="AC5" s="384">
        <f>MAX(AC7:AC34)</f>
        <v>9.5311111111111124</v>
      </c>
      <c r="AD5" s="384">
        <f t="shared" ref="AD5:AE5" si="1">MAX(AD7:AD34)</f>
        <v>8.1581481481481504</v>
      </c>
      <c r="AE5" s="384">
        <f t="shared" si="1"/>
        <v>7.0597777777777786</v>
      </c>
      <c r="AF5" s="359"/>
      <c r="AG5" s="339"/>
      <c r="AH5" s="339"/>
      <c r="AI5" s="339"/>
      <c r="AJ5" s="340"/>
      <c r="AK5" s="340"/>
      <c r="AL5" s="340"/>
      <c r="AM5" s="339"/>
      <c r="AN5" s="339"/>
      <c r="AO5" s="339"/>
      <c r="AP5" s="340"/>
      <c r="AQ5" s="340"/>
      <c r="AR5" s="340"/>
      <c r="AS5" s="336"/>
      <c r="AT5" s="336"/>
      <c r="AU5" s="336"/>
      <c r="AV5" s="332"/>
    </row>
    <row r="6" spans="1:48" ht="15" customHeight="1" x14ac:dyDescent="0.25">
      <c r="C6" s="136" t="s">
        <v>49</v>
      </c>
      <c r="D6" s="147">
        <v>360</v>
      </c>
      <c r="E6" s="137" t="s">
        <v>50</v>
      </c>
      <c r="F6" s="417" t="s">
        <v>51</v>
      </c>
      <c r="G6" s="418" t="s">
        <v>52</v>
      </c>
      <c r="H6" s="418" t="s">
        <v>53</v>
      </c>
      <c r="J6" s="416" t="s">
        <v>53</v>
      </c>
      <c r="K6" s="416" t="s">
        <v>54</v>
      </c>
      <c r="L6" s="416" t="s">
        <v>55</v>
      </c>
      <c r="M6" s="416" t="s">
        <v>56</v>
      </c>
      <c r="N6" s="1208" t="s">
        <v>57</v>
      </c>
      <c r="O6" s="1208"/>
      <c r="P6" s="1208"/>
      <c r="Q6" s="1210" t="s">
        <v>58</v>
      </c>
      <c r="R6" s="1211"/>
      <c r="S6" s="1212"/>
      <c r="T6" s="331"/>
      <c r="U6" s="331"/>
      <c r="V6" s="331"/>
      <c r="X6" s="333"/>
      <c r="Y6" s="334"/>
      <c r="Z6" s="335"/>
      <c r="AA6" s="357"/>
      <c r="AB6" s="357"/>
      <c r="AC6" s="1210" t="s">
        <v>59</v>
      </c>
      <c r="AD6" s="1211"/>
      <c r="AE6" s="1212"/>
      <c r="AF6" s="359"/>
      <c r="AG6" s="339"/>
      <c r="AH6" s="339"/>
      <c r="AI6" s="339"/>
      <c r="AJ6" s="340"/>
      <c r="AK6" s="340"/>
      <c r="AL6" s="340"/>
      <c r="AM6" s="339"/>
      <c r="AN6" s="339"/>
      <c r="AO6" s="339"/>
      <c r="AP6" s="340"/>
      <c r="AQ6" s="340"/>
      <c r="AR6" s="340"/>
      <c r="AS6" s="336"/>
      <c r="AT6" s="336"/>
      <c r="AU6" s="336"/>
      <c r="AV6" s="332"/>
    </row>
    <row r="7" spans="1:48" ht="15" customHeight="1" x14ac:dyDescent="0.25">
      <c r="F7" s="204">
        <v>0.05</v>
      </c>
      <c r="G7" s="139">
        <f>(1+$D$15*(1/F7-1))*$D$12</f>
        <v>34569.999999999993</v>
      </c>
      <c r="H7" s="309"/>
      <c r="I7" s="139"/>
      <c r="J7" s="328">
        <f t="shared" ref="J7:J34" si="2">G7</f>
        <v>34569.999999999993</v>
      </c>
      <c r="K7" s="310">
        <f>J7/$D$6</f>
        <v>96.027777777777757</v>
      </c>
      <c r="L7" s="326">
        <f t="shared" ref="L7:L34" si="3">1/M7</f>
        <v>20</v>
      </c>
      <c r="M7" s="325">
        <f t="shared" ref="M7:M34" si="4">F7</f>
        <v>0.05</v>
      </c>
      <c r="N7" s="365">
        <f>(((1+N$5)^$K7)/((1+N$5)^$K7-1))*N$5*$L7</f>
        <v>1.2044743665100648</v>
      </c>
      <c r="O7" s="366">
        <f t="shared" ref="O7:P22" si="5">(((1+O$5)^$K7)/((1+O$5)^$K7-1))*O$5*$L7</f>
        <v>1.6009880504630338</v>
      </c>
      <c r="P7" s="366">
        <f t="shared" si="5"/>
        <v>2.0002119475716365</v>
      </c>
      <c r="Q7" s="371">
        <f>IF($M7&lt;Q$5,-1000000,IF($M7=Q$5,0,1000000))</f>
        <v>-1000000</v>
      </c>
      <c r="R7" s="369">
        <f t="shared" ref="R7:S22" si="6">IF($M7&lt;R$5,-1000000,IF($M7=R$5,0,1000000))</f>
        <v>-1000000</v>
      </c>
      <c r="S7" s="369">
        <f t="shared" si="6"/>
        <v>-1000000</v>
      </c>
      <c r="T7" s="377">
        <f>N$3</f>
        <v>0.35199812312606671</v>
      </c>
      <c r="U7" s="375">
        <f t="shared" ref="U7:V7" si="7">O$3</f>
        <v>0.38127891467780695</v>
      </c>
      <c r="V7" s="378">
        <f t="shared" si="7"/>
        <v>0.40836557155579806</v>
      </c>
      <c r="W7" s="226">
        <f>IF(N7=N$3,1,0)</f>
        <v>0</v>
      </c>
      <c r="X7" s="226">
        <f>IF(O7=O$3,1,0)</f>
        <v>0</v>
      </c>
      <c r="Y7" s="227">
        <f>IF(P7=P$3,1,0)</f>
        <v>0</v>
      </c>
      <c r="Z7" s="387">
        <f t="shared" ref="Z7:Z34" si="8">$M7*W7</f>
        <v>0</v>
      </c>
      <c r="AA7" s="388">
        <f t="shared" ref="AA7:AA34" si="9">$M7*X7</f>
        <v>0</v>
      </c>
      <c r="AB7" s="389">
        <f t="shared" ref="AB7:AB34" si="10">$M7*Y7</f>
        <v>0</v>
      </c>
      <c r="AC7" s="396">
        <f>W7*$K7</f>
        <v>0</v>
      </c>
      <c r="AD7" s="397">
        <f t="shared" ref="AD7:AE7" si="11">X7*$K7</f>
        <v>0</v>
      </c>
      <c r="AE7" s="398">
        <f t="shared" si="11"/>
        <v>0</v>
      </c>
      <c r="AF7" s="359"/>
      <c r="AG7" s="339"/>
      <c r="AH7" s="339"/>
      <c r="AI7" s="339"/>
      <c r="AJ7" s="340"/>
      <c r="AK7" s="340"/>
      <c r="AL7" s="340"/>
      <c r="AM7" s="339"/>
      <c r="AN7" s="339"/>
      <c r="AO7" s="339"/>
      <c r="AP7" s="340"/>
      <c r="AQ7" s="340"/>
      <c r="AR7" s="340"/>
      <c r="AS7" s="336"/>
      <c r="AT7" s="336"/>
      <c r="AU7" s="336"/>
      <c r="AV7" s="332"/>
    </row>
    <row r="8" spans="1:48" ht="15" customHeight="1" x14ac:dyDescent="0.25">
      <c r="A8" s="313"/>
      <c r="B8" s="313"/>
      <c r="C8" s="313"/>
      <c r="D8" s="139">
        <f>(H12-H22)/((1/F12)-(1/F22))</f>
        <v>1779.3599999999994</v>
      </c>
      <c r="E8" s="170" t="s">
        <v>60</v>
      </c>
      <c r="F8" s="204">
        <f>F7+0.05</f>
        <v>0.1</v>
      </c>
      <c r="G8" s="139">
        <f t="shared" ref="G8:G34" si="12">(1+$D$15*(1/F8-1))*$D$12</f>
        <v>16776.399999999994</v>
      </c>
      <c r="H8" s="309"/>
      <c r="I8" s="139"/>
      <c r="J8" s="328">
        <f t="shared" si="2"/>
        <v>16776.399999999994</v>
      </c>
      <c r="K8" s="310">
        <f t="shared" ref="K8:K34" si="13">J8/$D$6</f>
        <v>46.601111111111095</v>
      </c>
      <c r="L8" s="326">
        <f t="shared" si="3"/>
        <v>10</v>
      </c>
      <c r="M8" s="325">
        <f t="shared" si="4"/>
        <v>0.1</v>
      </c>
      <c r="N8" s="367">
        <f t="shared" ref="N8:P34" si="14">(((1+N$5)^$K8)/((1+N$5)^$K8-1))*N$5*$L8</f>
        <v>0.64252125352310285</v>
      </c>
      <c r="O8" s="324">
        <f t="shared" si="5"/>
        <v>0.82278787021727073</v>
      </c>
      <c r="P8" s="324">
        <f t="shared" si="5"/>
        <v>1.0119179116905817</v>
      </c>
      <c r="Q8" s="372">
        <f t="shared" ref="Q8:S34" si="15">IF($M8&lt;Q$5,-1000000,IF($M8=Q$5,0,1000000))</f>
        <v>-1000000</v>
      </c>
      <c r="R8" s="370">
        <f t="shared" si="6"/>
        <v>-1000000</v>
      </c>
      <c r="S8" s="370">
        <f t="shared" si="6"/>
        <v>-1000000</v>
      </c>
      <c r="T8" s="379">
        <f t="shared" ref="T8:T34" si="16">N$3</f>
        <v>0.35199812312606671</v>
      </c>
      <c r="U8" s="376">
        <f t="shared" ref="U8:U34" si="17">O$3</f>
        <v>0.38127891467780695</v>
      </c>
      <c r="V8" s="380">
        <f t="shared" ref="V8:V34" si="18">P$3</f>
        <v>0.40836557155579806</v>
      </c>
      <c r="W8" s="228">
        <f t="shared" ref="W8:W34" si="19">IF(N8=N$3,1,0)</f>
        <v>0</v>
      </c>
      <c r="X8" s="228">
        <f t="shared" ref="X8:X34" si="20">IF(O8=O$3,1,0)</f>
        <v>0</v>
      </c>
      <c r="Y8" s="229">
        <f t="shared" ref="Y8:Y34" si="21">IF(P8=P$3,1,0)</f>
        <v>0</v>
      </c>
      <c r="Z8" s="390">
        <f t="shared" si="8"/>
        <v>0</v>
      </c>
      <c r="AA8" s="337">
        <f t="shared" si="9"/>
        <v>0</v>
      </c>
      <c r="AB8" s="391">
        <f t="shared" si="10"/>
        <v>0</v>
      </c>
      <c r="AC8" s="399">
        <f t="shared" ref="AC8:AC34" si="22">W8*$K8</f>
        <v>0</v>
      </c>
      <c r="AD8" s="358">
        <f t="shared" ref="AD8:AD34" si="23">X8*$K8</f>
        <v>0</v>
      </c>
      <c r="AE8" s="400">
        <f t="shared" ref="AE8:AE34" si="24">Y8*$K8</f>
        <v>0</v>
      </c>
      <c r="AF8" s="359"/>
      <c r="AG8" s="339"/>
      <c r="AH8" s="339"/>
      <c r="AI8" s="339"/>
      <c r="AJ8" s="340"/>
      <c r="AK8" s="340"/>
      <c r="AL8" s="340"/>
      <c r="AM8" s="339"/>
      <c r="AN8" s="339"/>
      <c r="AO8" s="339"/>
      <c r="AP8" s="340"/>
      <c r="AQ8" s="340"/>
      <c r="AR8" s="340"/>
      <c r="AS8" s="336"/>
      <c r="AT8" s="336"/>
      <c r="AU8" s="336"/>
      <c r="AV8" s="332"/>
    </row>
    <row r="9" spans="1:48" ht="15" customHeight="1" x14ac:dyDescent="0.25">
      <c r="A9" s="309"/>
      <c r="B9" s="309"/>
      <c r="C9" s="309"/>
      <c r="D9" s="318">
        <f>D8/$D$6</f>
        <v>4.942666666666665</v>
      </c>
      <c r="E9" s="170" t="s">
        <v>61</v>
      </c>
      <c r="F9" s="204">
        <f t="shared" ref="F9:F34" si="25">F8+0.05</f>
        <v>0.15000000000000002</v>
      </c>
      <c r="G9" s="139">
        <f t="shared" si="12"/>
        <v>10845.199999999997</v>
      </c>
      <c r="H9" s="309"/>
      <c r="I9" s="139"/>
      <c r="J9" s="328">
        <f t="shared" si="2"/>
        <v>10845.199999999997</v>
      </c>
      <c r="K9" s="310">
        <f t="shared" si="13"/>
        <v>30.125555555555547</v>
      </c>
      <c r="L9" s="326">
        <f t="shared" si="3"/>
        <v>6.6666666666666661</v>
      </c>
      <c r="M9" s="325">
        <f t="shared" si="4"/>
        <v>0.15000000000000002</v>
      </c>
      <c r="N9" s="367">
        <f t="shared" si="14"/>
        <v>0.48358295817847197</v>
      </c>
      <c r="O9" s="324">
        <f t="shared" si="5"/>
        <v>0.59155519229400522</v>
      </c>
      <c r="P9" s="324">
        <f t="shared" si="5"/>
        <v>0.70668394895710784</v>
      </c>
      <c r="Q9" s="372">
        <f t="shared" si="15"/>
        <v>-1000000</v>
      </c>
      <c r="R9" s="370">
        <f t="shared" si="6"/>
        <v>-1000000</v>
      </c>
      <c r="S9" s="370">
        <f t="shared" si="6"/>
        <v>-1000000</v>
      </c>
      <c r="T9" s="379">
        <f t="shared" si="16"/>
        <v>0.35199812312606671</v>
      </c>
      <c r="U9" s="376">
        <f t="shared" si="17"/>
        <v>0.38127891467780695</v>
      </c>
      <c r="V9" s="380">
        <f t="shared" si="18"/>
        <v>0.40836557155579806</v>
      </c>
      <c r="W9" s="228">
        <f t="shared" si="19"/>
        <v>0</v>
      </c>
      <c r="X9" s="228">
        <f t="shared" si="20"/>
        <v>0</v>
      </c>
      <c r="Y9" s="229">
        <f t="shared" si="21"/>
        <v>0</v>
      </c>
      <c r="Z9" s="390">
        <f t="shared" si="8"/>
        <v>0</v>
      </c>
      <c r="AA9" s="337">
        <f t="shared" si="9"/>
        <v>0</v>
      </c>
      <c r="AB9" s="391">
        <f t="shared" si="10"/>
        <v>0</v>
      </c>
      <c r="AC9" s="399">
        <f t="shared" si="22"/>
        <v>0</v>
      </c>
      <c r="AD9" s="358">
        <f t="shared" si="23"/>
        <v>0</v>
      </c>
      <c r="AE9" s="400">
        <f t="shared" si="24"/>
        <v>0</v>
      </c>
      <c r="AF9" s="359"/>
      <c r="AG9" s="339"/>
      <c r="AH9" s="339"/>
      <c r="AI9" s="339"/>
      <c r="AJ9" s="340"/>
      <c r="AK9" s="340"/>
      <c r="AL9" s="340"/>
      <c r="AM9" s="339"/>
      <c r="AN9" s="339"/>
      <c r="AO9" s="339"/>
      <c r="AP9" s="340"/>
      <c r="AQ9" s="340"/>
      <c r="AR9" s="340"/>
      <c r="AS9" s="336"/>
      <c r="AT9" s="336"/>
      <c r="AU9" s="336"/>
      <c r="AV9" s="332"/>
    </row>
    <row r="10" spans="1:48" ht="15" customHeight="1" x14ac:dyDescent="0.25">
      <c r="A10" s="315"/>
      <c r="B10" s="313"/>
      <c r="D10" s="314"/>
      <c r="E10" s="314"/>
      <c r="F10" s="204">
        <f t="shared" si="25"/>
        <v>0.2</v>
      </c>
      <c r="G10" s="139">
        <f t="shared" si="12"/>
        <v>7879.5999999999995</v>
      </c>
      <c r="H10" s="309"/>
      <c r="I10" s="139"/>
      <c r="J10" s="328">
        <f t="shared" si="2"/>
        <v>7879.5999999999995</v>
      </c>
      <c r="K10" s="310">
        <f t="shared" si="13"/>
        <v>21.887777777777778</v>
      </c>
      <c r="L10" s="326">
        <f t="shared" si="3"/>
        <v>5</v>
      </c>
      <c r="M10" s="325">
        <f t="shared" si="4"/>
        <v>0.2</v>
      </c>
      <c r="N10" s="367">
        <f t="shared" si="14"/>
        <v>0.41627679285291919</v>
      </c>
      <c r="O10" s="324">
        <f t="shared" si="5"/>
        <v>0.49112056073543342</v>
      </c>
      <c r="P10" s="324">
        <f t="shared" si="5"/>
        <v>0.57088507342650074</v>
      </c>
      <c r="Q10" s="372">
        <f t="shared" si="15"/>
        <v>-1000000</v>
      </c>
      <c r="R10" s="370">
        <f t="shared" si="6"/>
        <v>-1000000</v>
      </c>
      <c r="S10" s="370">
        <f t="shared" si="6"/>
        <v>-1000000</v>
      </c>
      <c r="T10" s="379">
        <f t="shared" si="16"/>
        <v>0.35199812312606671</v>
      </c>
      <c r="U10" s="376">
        <f t="shared" si="17"/>
        <v>0.38127891467780695</v>
      </c>
      <c r="V10" s="380">
        <f t="shared" si="18"/>
        <v>0.40836557155579806</v>
      </c>
      <c r="W10" s="228">
        <f t="shared" si="19"/>
        <v>0</v>
      </c>
      <c r="X10" s="228">
        <f t="shared" si="20"/>
        <v>0</v>
      </c>
      <c r="Y10" s="229">
        <f t="shared" si="21"/>
        <v>0</v>
      </c>
      <c r="Z10" s="390">
        <f t="shared" si="8"/>
        <v>0</v>
      </c>
      <c r="AA10" s="337">
        <f t="shared" si="9"/>
        <v>0</v>
      </c>
      <c r="AB10" s="391">
        <f t="shared" si="10"/>
        <v>0</v>
      </c>
      <c r="AC10" s="399">
        <f t="shared" si="22"/>
        <v>0</v>
      </c>
      <c r="AD10" s="358">
        <f t="shared" si="23"/>
        <v>0</v>
      </c>
      <c r="AE10" s="400">
        <f t="shared" si="24"/>
        <v>0</v>
      </c>
      <c r="AF10" s="359"/>
      <c r="AG10" s="339"/>
      <c r="AH10" s="339"/>
      <c r="AI10" s="339"/>
      <c r="AJ10" s="340"/>
      <c r="AK10" s="340"/>
      <c r="AL10" s="340"/>
      <c r="AM10" s="339"/>
      <c r="AN10" s="339"/>
      <c r="AO10" s="339"/>
      <c r="AP10" s="340"/>
      <c r="AQ10" s="340"/>
      <c r="AR10" s="340"/>
      <c r="AS10" s="336"/>
      <c r="AT10" s="336"/>
      <c r="AU10" s="336"/>
      <c r="AV10" s="332"/>
    </row>
    <row r="11" spans="1:48" ht="15" customHeight="1" x14ac:dyDescent="0.25">
      <c r="A11" s="316"/>
      <c r="B11" s="316"/>
      <c r="F11" s="204">
        <f t="shared" si="25"/>
        <v>0.25</v>
      </c>
      <c r="G11" s="139">
        <f t="shared" si="12"/>
        <v>6100.24</v>
      </c>
      <c r="H11" s="309"/>
      <c r="I11" s="139"/>
      <c r="J11" s="328">
        <f t="shared" si="2"/>
        <v>6100.24</v>
      </c>
      <c r="K11" s="310">
        <f t="shared" si="13"/>
        <v>16.94511111111111</v>
      </c>
      <c r="L11" s="326">
        <f t="shared" si="3"/>
        <v>4</v>
      </c>
      <c r="M11" s="325">
        <f t="shared" si="4"/>
        <v>0.25</v>
      </c>
      <c r="N11" s="367">
        <f t="shared" si="14"/>
        <v>0.38250307307923731</v>
      </c>
      <c r="O11" s="324">
        <f t="shared" si="5"/>
        <v>0.43920633852966418</v>
      </c>
      <c r="P11" s="324">
        <f t="shared" si="5"/>
        <v>0.49930247406016293</v>
      </c>
      <c r="Q11" s="372">
        <f t="shared" si="15"/>
        <v>-1000000</v>
      </c>
      <c r="R11" s="370">
        <f t="shared" si="6"/>
        <v>-1000000</v>
      </c>
      <c r="S11" s="370">
        <f t="shared" si="6"/>
        <v>-1000000</v>
      </c>
      <c r="T11" s="379">
        <f t="shared" si="16"/>
        <v>0.35199812312606671</v>
      </c>
      <c r="U11" s="376">
        <f t="shared" si="17"/>
        <v>0.38127891467780695</v>
      </c>
      <c r="V11" s="380">
        <f t="shared" si="18"/>
        <v>0.40836557155579806</v>
      </c>
      <c r="W11" s="228">
        <f t="shared" si="19"/>
        <v>0</v>
      </c>
      <c r="X11" s="228">
        <f t="shared" si="20"/>
        <v>0</v>
      </c>
      <c r="Y11" s="229">
        <f t="shared" si="21"/>
        <v>0</v>
      </c>
      <c r="Z11" s="390">
        <f t="shared" si="8"/>
        <v>0</v>
      </c>
      <c r="AA11" s="337">
        <f t="shared" si="9"/>
        <v>0</v>
      </c>
      <c r="AB11" s="391">
        <f t="shared" si="10"/>
        <v>0</v>
      </c>
      <c r="AC11" s="399">
        <f t="shared" si="22"/>
        <v>0</v>
      </c>
      <c r="AD11" s="358">
        <f t="shared" si="23"/>
        <v>0</v>
      </c>
      <c r="AE11" s="400">
        <f t="shared" si="24"/>
        <v>0</v>
      </c>
      <c r="AF11" s="359"/>
      <c r="AG11" s="339"/>
      <c r="AH11" s="339"/>
      <c r="AI11" s="339"/>
      <c r="AJ11" s="340"/>
      <c r="AK11" s="340"/>
      <c r="AL11" s="340"/>
      <c r="AM11" s="339"/>
      <c r="AN11" s="339"/>
      <c r="AO11" s="339"/>
      <c r="AP11" s="340"/>
      <c r="AQ11" s="340"/>
      <c r="AR11" s="340"/>
      <c r="AS11" s="336"/>
      <c r="AT11" s="336"/>
      <c r="AU11" s="336"/>
      <c r="AV11" s="332"/>
    </row>
    <row r="12" spans="1:48" ht="15" customHeight="1" x14ac:dyDescent="0.25">
      <c r="A12" s="316"/>
      <c r="B12" s="316"/>
      <c r="C12" s="314"/>
      <c r="D12" s="410">
        <f>H12-D8*(1/F12-1)</f>
        <v>762.16000000000076</v>
      </c>
      <c r="E12" s="170" t="s">
        <v>60</v>
      </c>
      <c r="F12" s="204">
        <f t="shared" si="25"/>
        <v>0.3</v>
      </c>
      <c r="G12" s="139">
        <f t="shared" si="12"/>
        <v>4914</v>
      </c>
      <c r="H12" s="319">
        <v>4914</v>
      </c>
      <c r="I12" s="139"/>
      <c r="J12" s="328">
        <f t="shared" si="2"/>
        <v>4914</v>
      </c>
      <c r="K12" s="310">
        <f t="shared" si="13"/>
        <v>13.65</v>
      </c>
      <c r="L12" s="326">
        <f t="shared" si="3"/>
        <v>3.3333333333333335</v>
      </c>
      <c r="M12" s="325">
        <f t="shared" si="4"/>
        <v>0.3</v>
      </c>
      <c r="N12" s="367">
        <f t="shared" si="14"/>
        <v>0.36457359071641293</v>
      </c>
      <c r="O12" s="324">
        <f t="shared" si="5"/>
        <v>0.4101027506366261</v>
      </c>
      <c r="P12" s="324">
        <f t="shared" si="5"/>
        <v>0.45804141362918077</v>
      </c>
      <c r="Q12" s="372">
        <f t="shared" si="15"/>
        <v>-1000000</v>
      </c>
      <c r="R12" s="370">
        <f t="shared" si="6"/>
        <v>-1000000</v>
      </c>
      <c r="S12" s="370">
        <f t="shared" si="6"/>
        <v>-1000000</v>
      </c>
      <c r="T12" s="379">
        <f t="shared" si="16"/>
        <v>0.35199812312606671</v>
      </c>
      <c r="U12" s="376">
        <f t="shared" si="17"/>
        <v>0.38127891467780695</v>
      </c>
      <c r="V12" s="380">
        <f t="shared" si="18"/>
        <v>0.40836557155579806</v>
      </c>
      <c r="W12" s="228">
        <f t="shared" si="19"/>
        <v>0</v>
      </c>
      <c r="X12" s="228">
        <f t="shared" si="20"/>
        <v>0</v>
      </c>
      <c r="Y12" s="229">
        <f t="shared" si="21"/>
        <v>0</v>
      </c>
      <c r="Z12" s="390">
        <f t="shared" si="8"/>
        <v>0</v>
      </c>
      <c r="AA12" s="337">
        <f t="shared" si="9"/>
        <v>0</v>
      </c>
      <c r="AB12" s="391">
        <f t="shared" si="10"/>
        <v>0</v>
      </c>
      <c r="AC12" s="399">
        <f t="shared" si="22"/>
        <v>0</v>
      </c>
      <c r="AD12" s="358">
        <f t="shared" si="23"/>
        <v>0</v>
      </c>
      <c r="AE12" s="400">
        <f t="shared" si="24"/>
        <v>0</v>
      </c>
      <c r="AF12" s="359"/>
      <c r="AG12" s="339"/>
      <c r="AH12" s="339"/>
      <c r="AI12" s="339"/>
      <c r="AJ12" s="340"/>
      <c r="AK12" s="340"/>
      <c r="AL12" s="340"/>
      <c r="AM12" s="339"/>
      <c r="AN12" s="339"/>
      <c r="AO12" s="339"/>
      <c r="AP12" s="340"/>
      <c r="AQ12" s="340"/>
      <c r="AR12" s="340"/>
      <c r="AS12" s="336"/>
      <c r="AT12" s="336"/>
      <c r="AU12" s="336"/>
      <c r="AV12" s="332"/>
    </row>
    <row r="13" spans="1:48" ht="15" customHeight="1" x14ac:dyDescent="0.25">
      <c r="A13" s="316"/>
      <c r="B13" s="316"/>
      <c r="C13" s="317"/>
      <c r="D13" s="318">
        <f>D12/$D$6</f>
        <v>2.1171111111111132</v>
      </c>
      <c r="E13" s="170" t="s">
        <v>61</v>
      </c>
      <c r="F13" s="204">
        <f t="shared" si="25"/>
        <v>0.35</v>
      </c>
      <c r="G13" s="139">
        <f t="shared" si="12"/>
        <v>4066.6857142857143</v>
      </c>
      <c r="H13" s="309"/>
      <c r="I13" s="139"/>
      <c r="J13" s="328">
        <f t="shared" si="2"/>
        <v>4066.6857142857143</v>
      </c>
      <c r="K13" s="310">
        <f t="shared" si="13"/>
        <v>11.296349206349207</v>
      </c>
      <c r="L13" s="326">
        <f t="shared" si="3"/>
        <v>2.8571428571428572</v>
      </c>
      <c r="M13" s="325">
        <f t="shared" si="4"/>
        <v>0.35</v>
      </c>
      <c r="N13" s="367">
        <f t="shared" si="14"/>
        <v>0.35549062313806973</v>
      </c>
      <c r="O13" s="324">
        <f t="shared" si="5"/>
        <v>0.39355390110381322</v>
      </c>
      <c r="P13" s="324">
        <f t="shared" si="5"/>
        <v>0.43338153104674593</v>
      </c>
      <c r="Q13" s="372">
        <f t="shared" si="15"/>
        <v>-1000000</v>
      </c>
      <c r="R13" s="370">
        <f t="shared" si="6"/>
        <v>-1000000</v>
      </c>
      <c r="S13" s="370">
        <f t="shared" si="6"/>
        <v>-1000000</v>
      </c>
      <c r="T13" s="379">
        <f t="shared" si="16"/>
        <v>0.35199812312606671</v>
      </c>
      <c r="U13" s="376">
        <f t="shared" si="17"/>
        <v>0.38127891467780695</v>
      </c>
      <c r="V13" s="380">
        <f t="shared" si="18"/>
        <v>0.40836557155579806</v>
      </c>
      <c r="W13" s="228">
        <f t="shared" si="19"/>
        <v>0</v>
      </c>
      <c r="X13" s="228">
        <f t="shared" si="20"/>
        <v>0</v>
      </c>
      <c r="Y13" s="229">
        <f t="shared" si="21"/>
        <v>0</v>
      </c>
      <c r="Z13" s="390">
        <f t="shared" si="8"/>
        <v>0</v>
      </c>
      <c r="AA13" s="337">
        <f t="shared" si="9"/>
        <v>0</v>
      </c>
      <c r="AB13" s="391">
        <f t="shared" si="10"/>
        <v>0</v>
      </c>
      <c r="AC13" s="399">
        <f t="shared" si="22"/>
        <v>0</v>
      </c>
      <c r="AD13" s="358">
        <f t="shared" si="23"/>
        <v>0</v>
      </c>
      <c r="AE13" s="400">
        <f t="shared" si="24"/>
        <v>0</v>
      </c>
      <c r="AF13" s="359"/>
      <c r="AG13" s="339"/>
      <c r="AH13" s="339"/>
      <c r="AI13" s="339"/>
      <c r="AJ13" s="340"/>
      <c r="AK13" s="340"/>
      <c r="AL13" s="340"/>
      <c r="AM13" s="339"/>
      <c r="AN13" s="339"/>
      <c r="AO13" s="339"/>
      <c r="AP13" s="340"/>
      <c r="AQ13" s="340"/>
      <c r="AR13" s="340"/>
      <c r="AS13" s="336"/>
      <c r="AT13" s="336"/>
      <c r="AU13" s="336"/>
      <c r="AV13" s="332"/>
    </row>
    <row r="14" spans="1:48" ht="15" customHeight="1" x14ac:dyDescent="0.25">
      <c r="A14" s="309"/>
      <c r="B14" s="309"/>
      <c r="C14" s="309"/>
      <c r="F14" s="204">
        <f t="shared" si="25"/>
        <v>0.39999999999999997</v>
      </c>
      <c r="G14" s="139">
        <f t="shared" si="12"/>
        <v>3431.2000000000003</v>
      </c>
      <c r="H14" s="319">
        <v>3431</v>
      </c>
      <c r="I14" s="139"/>
      <c r="J14" s="328">
        <f t="shared" si="2"/>
        <v>3431.2000000000003</v>
      </c>
      <c r="K14" s="310">
        <f t="shared" si="13"/>
        <v>9.5311111111111124</v>
      </c>
      <c r="L14" s="326">
        <f t="shared" si="3"/>
        <v>2.5</v>
      </c>
      <c r="M14" s="325">
        <f t="shared" si="4"/>
        <v>0.39999999999999997</v>
      </c>
      <c r="N14" s="367">
        <f t="shared" si="14"/>
        <v>0.35199812312606671</v>
      </c>
      <c r="O14" s="324">
        <f t="shared" si="5"/>
        <v>0.38477345184115952</v>
      </c>
      <c r="P14" s="324">
        <f t="shared" si="5"/>
        <v>0.41887551950935165</v>
      </c>
      <c r="Q14" s="372">
        <f t="shared" si="15"/>
        <v>0</v>
      </c>
      <c r="R14" s="370">
        <f t="shared" si="6"/>
        <v>-1000000</v>
      </c>
      <c r="S14" s="370">
        <f t="shared" si="6"/>
        <v>-1000000</v>
      </c>
      <c r="T14" s="379">
        <f t="shared" si="16"/>
        <v>0.35199812312606671</v>
      </c>
      <c r="U14" s="376">
        <f t="shared" si="17"/>
        <v>0.38127891467780695</v>
      </c>
      <c r="V14" s="380">
        <f t="shared" si="18"/>
        <v>0.40836557155579806</v>
      </c>
      <c r="W14" s="228">
        <f t="shared" si="19"/>
        <v>1</v>
      </c>
      <c r="X14" s="228">
        <f t="shared" si="20"/>
        <v>0</v>
      </c>
      <c r="Y14" s="229">
        <f t="shared" si="21"/>
        <v>0</v>
      </c>
      <c r="Z14" s="390">
        <f t="shared" si="8"/>
        <v>0.39999999999999997</v>
      </c>
      <c r="AA14" s="337">
        <f t="shared" si="9"/>
        <v>0</v>
      </c>
      <c r="AB14" s="391">
        <f t="shared" si="10"/>
        <v>0</v>
      </c>
      <c r="AC14" s="399">
        <f t="shared" si="22"/>
        <v>9.5311111111111124</v>
      </c>
      <c r="AD14" s="358">
        <f t="shared" si="23"/>
        <v>0</v>
      </c>
      <c r="AE14" s="400">
        <f t="shared" si="24"/>
        <v>0</v>
      </c>
      <c r="AF14" s="359"/>
      <c r="AG14" s="339"/>
      <c r="AH14" s="339"/>
      <c r="AI14" s="339"/>
      <c r="AJ14" s="340"/>
      <c r="AK14" s="340"/>
      <c r="AL14" s="340"/>
      <c r="AM14" s="339"/>
      <c r="AN14" s="339"/>
      <c r="AO14" s="339"/>
      <c r="AP14" s="340"/>
      <c r="AQ14" s="340"/>
      <c r="AR14" s="340"/>
      <c r="AS14" s="336"/>
      <c r="AT14" s="336"/>
      <c r="AU14" s="336"/>
      <c r="AV14" s="332"/>
    </row>
    <row r="15" spans="1:48" ht="15" customHeight="1" x14ac:dyDescent="0.25">
      <c r="A15" s="309"/>
      <c r="D15" s="204">
        <f>D8/D12</f>
        <v>2.3346278996536132</v>
      </c>
      <c r="E15" s="170" t="s">
        <v>62</v>
      </c>
      <c r="F15" s="204">
        <f t="shared" si="25"/>
        <v>0.44999999999999996</v>
      </c>
      <c r="G15" s="139">
        <f t="shared" si="12"/>
        <v>2936.9333333333338</v>
      </c>
      <c r="H15" s="309"/>
      <c r="I15" s="139"/>
      <c r="J15" s="328">
        <f t="shared" si="2"/>
        <v>2936.9333333333338</v>
      </c>
      <c r="K15" s="310">
        <f t="shared" si="13"/>
        <v>8.1581481481481504</v>
      </c>
      <c r="L15" s="326">
        <f t="shared" si="3"/>
        <v>2.2222222222222223</v>
      </c>
      <c r="M15" s="325">
        <f t="shared" si="4"/>
        <v>0.44999999999999996</v>
      </c>
      <c r="N15" s="367">
        <f t="shared" si="14"/>
        <v>0.35241413492505635</v>
      </c>
      <c r="O15" s="324">
        <f t="shared" si="5"/>
        <v>0.38127891467780695</v>
      </c>
      <c r="P15" s="324">
        <f t="shared" si="5"/>
        <v>0.41116353899468389</v>
      </c>
      <c r="Q15" s="372">
        <f t="shared" si="15"/>
        <v>1000000</v>
      </c>
      <c r="R15" s="370">
        <f t="shared" si="6"/>
        <v>0</v>
      </c>
      <c r="S15" s="370">
        <f t="shared" si="6"/>
        <v>-1000000</v>
      </c>
      <c r="T15" s="379">
        <f t="shared" si="16"/>
        <v>0.35199812312606671</v>
      </c>
      <c r="U15" s="376">
        <f t="shared" si="17"/>
        <v>0.38127891467780695</v>
      </c>
      <c r="V15" s="380">
        <f t="shared" si="18"/>
        <v>0.40836557155579806</v>
      </c>
      <c r="W15" s="228">
        <f t="shared" si="19"/>
        <v>0</v>
      </c>
      <c r="X15" s="228">
        <f t="shared" si="20"/>
        <v>1</v>
      </c>
      <c r="Y15" s="229">
        <f t="shared" si="21"/>
        <v>0</v>
      </c>
      <c r="Z15" s="390">
        <f t="shared" si="8"/>
        <v>0</v>
      </c>
      <c r="AA15" s="337">
        <f t="shared" si="9"/>
        <v>0.44999999999999996</v>
      </c>
      <c r="AB15" s="391">
        <f t="shared" si="10"/>
        <v>0</v>
      </c>
      <c r="AC15" s="399">
        <f t="shared" si="22"/>
        <v>0</v>
      </c>
      <c r="AD15" s="358">
        <f t="shared" si="23"/>
        <v>8.1581481481481504</v>
      </c>
      <c r="AE15" s="400">
        <f t="shared" si="24"/>
        <v>0</v>
      </c>
      <c r="AF15" s="359"/>
      <c r="AG15" s="339"/>
      <c r="AH15" s="339"/>
      <c r="AI15" s="339"/>
      <c r="AJ15" s="340"/>
      <c r="AK15" s="340"/>
      <c r="AL15" s="340"/>
      <c r="AM15" s="339"/>
      <c r="AN15" s="339"/>
      <c r="AO15" s="339"/>
      <c r="AP15" s="340"/>
      <c r="AQ15" s="340"/>
      <c r="AR15" s="340"/>
      <c r="AS15" s="336"/>
      <c r="AT15" s="336"/>
      <c r="AU15" s="336"/>
      <c r="AV15" s="332"/>
    </row>
    <row r="16" spans="1:48" ht="15" customHeight="1" x14ac:dyDescent="0.25">
      <c r="A16" s="309"/>
      <c r="F16" s="204">
        <f t="shared" si="25"/>
        <v>0.49999999999999994</v>
      </c>
      <c r="G16" s="139">
        <f t="shared" si="12"/>
        <v>2541.5200000000004</v>
      </c>
      <c r="H16" s="319">
        <v>2586</v>
      </c>
      <c r="I16" s="139"/>
      <c r="J16" s="328">
        <f t="shared" si="2"/>
        <v>2541.5200000000004</v>
      </c>
      <c r="K16" s="310">
        <f t="shared" si="13"/>
        <v>7.0597777777777786</v>
      </c>
      <c r="L16" s="326">
        <f t="shared" si="3"/>
        <v>2</v>
      </c>
      <c r="M16" s="325">
        <f t="shared" si="4"/>
        <v>0.49999999999999994</v>
      </c>
      <c r="N16" s="367">
        <f t="shared" si="14"/>
        <v>0.35581345531640751</v>
      </c>
      <c r="O16" s="324">
        <f t="shared" si="5"/>
        <v>0.38169047768907916</v>
      </c>
      <c r="P16" s="324">
        <f t="shared" si="5"/>
        <v>0.40836557155579806</v>
      </c>
      <c r="Q16" s="372">
        <f t="shared" si="15"/>
        <v>1000000</v>
      </c>
      <c r="R16" s="370">
        <f t="shared" si="6"/>
        <v>1000000</v>
      </c>
      <c r="S16" s="370">
        <f t="shared" si="6"/>
        <v>0</v>
      </c>
      <c r="T16" s="379">
        <f t="shared" si="16"/>
        <v>0.35199812312606671</v>
      </c>
      <c r="U16" s="376">
        <f t="shared" si="17"/>
        <v>0.38127891467780695</v>
      </c>
      <c r="V16" s="380">
        <f t="shared" si="18"/>
        <v>0.40836557155579806</v>
      </c>
      <c r="W16" s="228">
        <f t="shared" si="19"/>
        <v>0</v>
      </c>
      <c r="X16" s="228">
        <f t="shared" si="20"/>
        <v>0</v>
      </c>
      <c r="Y16" s="229">
        <f t="shared" si="21"/>
        <v>1</v>
      </c>
      <c r="Z16" s="390">
        <f t="shared" si="8"/>
        <v>0</v>
      </c>
      <c r="AA16" s="337">
        <f t="shared" si="9"/>
        <v>0</v>
      </c>
      <c r="AB16" s="391">
        <f t="shared" si="10"/>
        <v>0.49999999999999994</v>
      </c>
      <c r="AC16" s="399">
        <f t="shared" si="22"/>
        <v>0</v>
      </c>
      <c r="AD16" s="358">
        <f t="shared" si="23"/>
        <v>0</v>
      </c>
      <c r="AE16" s="400">
        <f t="shared" si="24"/>
        <v>7.0597777777777786</v>
      </c>
      <c r="AF16" s="359"/>
      <c r="AG16" s="339"/>
      <c r="AH16" s="339"/>
      <c r="AI16" s="339"/>
      <c r="AJ16" s="340"/>
      <c r="AK16" s="340"/>
      <c r="AL16" s="340"/>
      <c r="AM16" s="339"/>
      <c r="AN16" s="339"/>
      <c r="AO16" s="339"/>
      <c r="AP16" s="340"/>
      <c r="AQ16" s="340"/>
      <c r="AR16" s="340"/>
      <c r="AS16" s="336"/>
      <c r="AT16" s="336"/>
      <c r="AU16" s="336"/>
      <c r="AV16" s="332"/>
    </row>
    <row r="17" spans="1:48" ht="15" customHeight="1" x14ac:dyDescent="0.25">
      <c r="A17" s="315"/>
      <c r="B17" s="313"/>
      <c r="F17" s="204">
        <f t="shared" si="25"/>
        <v>0.54999999999999993</v>
      </c>
      <c r="G17" s="139">
        <f t="shared" si="12"/>
        <v>2218.0000000000009</v>
      </c>
      <c r="H17" s="309"/>
      <c r="I17" s="139"/>
      <c r="J17" s="328">
        <f t="shared" si="2"/>
        <v>2218.0000000000009</v>
      </c>
      <c r="K17" s="310">
        <f t="shared" si="13"/>
        <v>6.1611111111111132</v>
      </c>
      <c r="L17" s="326">
        <f t="shared" si="3"/>
        <v>1.8181818181818183</v>
      </c>
      <c r="M17" s="325">
        <f t="shared" si="4"/>
        <v>0.54999999999999993</v>
      </c>
      <c r="N17" s="367">
        <f t="shared" si="14"/>
        <v>0.36167548122874515</v>
      </c>
      <c r="O17" s="324">
        <f t="shared" si="5"/>
        <v>0.38521231757143465</v>
      </c>
      <c r="P17" s="324">
        <f t="shared" si="5"/>
        <v>0.40938270665576554</v>
      </c>
      <c r="Q17" s="372">
        <f t="shared" si="15"/>
        <v>1000000</v>
      </c>
      <c r="R17" s="370">
        <f t="shared" si="6"/>
        <v>1000000</v>
      </c>
      <c r="S17" s="370">
        <f t="shared" si="6"/>
        <v>1000000</v>
      </c>
      <c r="T17" s="379">
        <f t="shared" si="16"/>
        <v>0.35199812312606671</v>
      </c>
      <c r="U17" s="376">
        <f t="shared" si="17"/>
        <v>0.38127891467780695</v>
      </c>
      <c r="V17" s="380">
        <f t="shared" si="18"/>
        <v>0.40836557155579806</v>
      </c>
      <c r="W17" s="228">
        <f t="shared" si="19"/>
        <v>0</v>
      </c>
      <c r="X17" s="228">
        <f t="shared" si="20"/>
        <v>0</v>
      </c>
      <c r="Y17" s="229">
        <f t="shared" si="21"/>
        <v>0</v>
      </c>
      <c r="Z17" s="390">
        <f t="shared" si="8"/>
        <v>0</v>
      </c>
      <c r="AA17" s="337">
        <f t="shared" si="9"/>
        <v>0</v>
      </c>
      <c r="AB17" s="391">
        <f t="shared" si="10"/>
        <v>0</v>
      </c>
      <c r="AC17" s="399">
        <f t="shared" si="22"/>
        <v>0</v>
      </c>
      <c r="AD17" s="358">
        <f t="shared" si="23"/>
        <v>0</v>
      </c>
      <c r="AE17" s="400">
        <f t="shared" si="24"/>
        <v>0</v>
      </c>
      <c r="AF17" s="359"/>
      <c r="AG17" s="339"/>
      <c r="AH17" s="339"/>
      <c r="AI17" s="339"/>
      <c r="AJ17" s="340"/>
      <c r="AK17" s="340"/>
      <c r="AL17" s="340"/>
      <c r="AM17" s="339"/>
      <c r="AN17" s="339"/>
      <c r="AO17" s="339"/>
      <c r="AP17" s="340"/>
      <c r="AQ17" s="340"/>
      <c r="AR17" s="340"/>
      <c r="AS17" s="336"/>
      <c r="AT17" s="336"/>
      <c r="AU17" s="336"/>
      <c r="AV17" s="332"/>
    </row>
    <row r="18" spans="1:48" ht="15" customHeight="1" x14ac:dyDescent="0.25">
      <c r="A18" s="316"/>
      <c r="B18" s="316"/>
      <c r="F18" s="204">
        <f t="shared" si="25"/>
        <v>0.6</v>
      </c>
      <c r="G18" s="139">
        <f t="shared" si="12"/>
        <v>1948.4000000000005</v>
      </c>
      <c r="H18" s="319">
        <v>1914</v>
      </c>
      <c r="I18" s="139"/>
      <c r="J18" s="328">
        <f t="shared" si="2"/>
        <v>1948.4000000000005</v>
      </c>
      <c r="K18" s="310">
        <f t="shared" si="13"/>
        <v>5.4122222222222236</v>
      </c>
      <c r="L18" s="326">
        <f t="shared" si="3"/>
        <v>1.6666666666666667</v>
      </c>
      <c r="M18" s="325">
        <f t="shared" si="4"/>
        <v>0.6</v>
      </c>
      <c r="N18" s="367">
        <f t="shared" si="14"/>
        <v>0.36971730667899411</v>
      </c>
      <c r="O18" s="324">
        <f t="shared" si="5"/>
        <v>0.39138624978118119</v>
      </c>
      <c r="P18" s="324">
        <f t="shared" si="5"/>
        <v>0.41356388356479246</v>
      </c>
      <c r="Q18" s="372">
        <f t="shared" si="15"/>
        <v>1000000</v>
      </c>
      <c r="R18" s="370">
        <f t="shared" si="6"/>
        <v>1000000</v>
      </c>
      <c r="S18" s="370">
        <f t="shared" si="6"/>
        <v>1000000</v>
      </c>
      <c r="T18" s="379">
        <f t="shared" si="16"/>
        <v>0.35199812312606671</v>
      </c>
      <c r="U18" s="376">
        <f t="shared" si="17"/>
        <v>0.38127891467780695</v>
      </c>
      <c r="V18" s="380">
        <f t="shared" si="18"/>
        <v>0.40836557155579806</v>
      </c>
      <c r="W18" s="228">
        <f t="shared" si="19"/>
        <v>0</v>
      </c>
      <c r="X18" s="228">
        <f t="shared" si="20"/>
        <v>0</v>
      </c>
      <c r="Y18" s="229">
        <f t="shared" si="21"/>
        <v>0</v>
      </c>
      <c r="Z18" s="390">
        <f t="shared" si="8"/>
        <v>0</v>
      </c>
      <c r="AA18" s="337">
        <f t="shared" si="9"/>
        <v>0</v>
      </c>
      <c r="AB18" s="391">
        <f t="shared" si="10"/>
        <v>0</v>
      </c>
      <c r="AC18" s="399">
        <f t="shared" si="22"/>
        <v>0</v>
      </c>
      <c r="AD18" s="358">
        <f t="shared" si="23"/>
        <v>0</v>
      </c>
      <c r="AE18" s="400">
        <f t="shared" si="24"/>
        <v>0</v>
      </c>
      <c r="AF18" s="359"/>
      <c r="AG18" s="339"/>
      <c r="AH18" s="339"/>
      <c r="AI18" s="339"/>
      <c r="AJ18" s="340"/>
      <c r="AK18" s="340"/>
      <c r="AL18" s="340"/>
      <c r="AM18" s="339"/>
      <c r="AN18" s="339"/>
      <c r="AO18" s="339"/>
      <c r="AP18" s="340"/>
      <c r="AQ18" s="340"/>
      <c r="AR18" s="340"/>
      <c r="AS18" s="336"/>
      <c r="AT18" s="336"/>
      <c r="AU18" s="336"/>
      <c r="AV18" s="332"/>
    </row>
    <row r="19" spans="1:48" ht="15" customHeight="1" x14ac:dyDescent="0.25">
      <c r="A19" s="316"/>
      <c r="B19" s="312" t="s">
        <v>56</v>
      </c>
      <c r="C19" s="312" t="s">
        <v>53</v>
      </c>
      <c r="F19" s="204">
        <f t="shared" si="25"/>
        <v>0.65</v>
      </c>
      <c r="G19" s="139">
        <f t="shared" si="12"/>
        <v>1720.2769230769234</v>
      </c>
      <c r="H19" s="309"/>
      <c r="I19" s="139"/>
      <c r="J19" s="328">
        <f t="shared" si="2"/>
        <v>1720.2769230769234</v>
      </c>
      <c r="K19" s="310">
        <f t="shared" si="13"/>
        <v>4.778547008547009</v>
      </c>
      <c r="L19" s="326">
        <f t="shared" si="3"/>
        <v>1.5384615384615383</v>
      </c>
      <c r="M19" s="325">
        <f t="shared" si="4"/>
        <v>0.65</v>
      </c>
      <c r="N19" s="367">
        <f t="shared" si="14"/>
        <v>0.37980943704311004</v>
      </c>
      <c r="O19" s="324">
        <f t="shared" si="5"/>
        <v>0.39996654792629299</v>
      </c>
      <c r="P19" s="324">
        <f t="shared" si="5"/>
        <v>0.42053567576455259</v>
      </c>
      <c r="Q19" s="372">
        <f t="shared" si="15"/>
        <v>1000000</v>
      </c>
      <c r="R19" s="370">
        <f t="shared" si="6"/>
        <v>1000000</v>
      </c>
      <c r="S19" s="370">
        <f t="shared" si="6"/>
        <v>1000000</v>
      </c>
      <c r="T19" s="379">
        <f t="shared" si="16"/>
        <v>0.35199812312606671</v>
      </c>
      <c r="U19" s="376">
        <f t="shared" si="17"/>
        <v>0.38127891467780695</v>
      </c>
      <c r="V19" s="380">
        <f t="shared" si="18"/>
        <v>0.40836557155579806</v>
      </c>
      <c r="W19" s="228">
        <f t="shared" si="19"/>
        <v>0</v>
      </c>
      <c r="X19" s="228">
        <f t="shared" si="20"/>
        <v>0</v>
      </c>
      <c r="Y19" s="229">
        <f t="shared" si="21"/>
        <v>0</v>
      </c>
      <c r="Z19" s="390">
        <f t="shared" si="8"/>
        <v>0</v>
      </c>
      <c r="AA19" s="337">
        <f t="shared" si="9"/>
        <v>0</v>
      </c>
      <c r="AB19" s="391">
        <f t="shared" si="10"/>
        <v>0</v>
      </c>
      <c r="AC19" s="399">
        <f t="shared" si="22"/>
        <v>0</v>
      </c>
      <c r="AD19" s="358">
        <f t="shared" si="23"/>
        <v>0</v>
      </c>
      <c r="AE19" s="400">
        <f t="shared" si="24"/>
        <v>0</v>
      </c>
      <c r="AF19" s="359"/>
      <c r="AG19" s="339"/>
      <c r="AH19" s="339"/>
      <c r="AI19" s="339"/>
      <c r="AJ19" s="340"/>
      <c r="AK19" s="340"/>
      <c r="AL19" s="340"/>
      <c r="AM19" s="339"/>
      <c r="AN19" s="339"/>
      <c r="AO19" s="339"/>
      <c r="AP19" s="340"/>
      <c r="AQ19" s="340"/>
      <c r="AR19" s="340"/>
      <c r="AS19" s="336"/>
      <c r="AT19" s="336"/>
      <c r="AU19" s="336"/>
      <c r="AV19" s="332"/>
    </row>
    <row r="20" spans="1:48" ht="15" customHeight="1" x14ac:dyDescent="0.25">
      <c r="A20" s="316"/>
      <c r="B20" s="138">
        <v>10</v>
      </c>
      <c r="C20" s="147">
        <v>45000</v>
      </c>
      <c r="E20" s="135"/>
      <c r="F20" s="204">
        <f t="shared" si="25"/>
        <v>0.70000000000000007</v>
      </c>
      <c r="G20" s="139">
        <f t="shared" si="12"/>
        <v>1524.7428571428577</v>
      </c>
      <c r="H20" s="319">
        <v>1500</v>
      </c>
      <c r="I20" s="139"/>
      <c r="J20" s="328">
        <f t="shared" si="2"/>
        <v>1524.7428571428577</v>
      </c>
      <c r="K20" s="310">
        <f t="shared" si="13"/>
        <v>4.235396825396827</v>
      </c>
      <c r="L20" s="326">
        <f t="shared" si="3"/>
        <v>1.4285714285714284</v>
      </c>
      <c r="M20" s="325">
        <f t="shared" si="4"/>
        <v>0.70000000000000007</v>
      </c>
      <c r="N20" s="367">
        <f t="shared" si="14"/>
        <v>0.39193210264323503</v>
      </c>
      <c r="O20" s="324">
        <f t="shared" si="5"/>
        <v>0.41085386466678486</v>
      </c>
      <c r="P20" s="324">
        <f t="shared" si="5"/>
        <v>0.4301114648396569</v>
      </c>
      <c r="Q20" s="372">
        <f t="shared" si="15"/>
        <v>1000000</v>
      </c>
      <c r="R20" s="370">
        <f t="shared" si="6"/>
        <v>1000000</v>
      </c>
      <c r="S20" s="370">
        <f t="shared" si="6"/>
        <v>1000000</v>
      </c>
      <c r="T20" s="379">
        <f t="shared" si="16"/>
        <v>0.35199812312606671</v>
      </c>
      <c r="U20" s="376">
        <f t="shared" si="17"/>
        <v>0.38127891467780695</v>
      </c>
      <c r="V20" s="380">
        <f t="shared" si="18"/>
        <v>0.40836557155579806</v>
      </c>
      <c r="W20" s="228">
        <f t="shared" si="19"/>
        <v>0</v>
      </c>
      <c r="X20" s="228">
        <f t="shared" si="20"/>
        <v>0</v>
      </c>
      <c r="Y20" s="229">
        <f t="shared" si="21"/>
        <v>0</v>
      </c>
      <c r="Z20" s="390">
        <f t="shared" si="8"/>
        <v>0</v>
      </c>
      <c r="AA20" s="337">
        <f t="shared" si="9"/>
        <v>0</v>
      </c>
      <c r="AB20" s="391">
        <f t="shared" si="10"/>
        <v>0</v>
      </c>
      <c r="AC20" s="399">
        <f t="shared" si="22"/>
        <v>0</v>
      </c>
      <c r="AD20" s="358">
        <f t="shared" si="23"/>
        <v>0</v>
      </c>
      <c r="AE20" s="400">
        <f t="shared" si="24"/>
        <v>0</v>
      </c>
      <c r="AF20" s="359"/>
      <c r="AG20" s="339"/>
      <c r="AH20" s="339"/>
      <c r="AI20" s="339"/>
      <c r="AJ20" s="340"/>
      <c r="AK20" s="340"/>
      <c r="AL20" s="340"/>
      <c r="AM20" s="339"/>
      <c r="AN20" s="339"/>
      <c r="AO20" s="339"/>
      <c r="AP20" s="340"/>
      <c r="AQ20" s="340"/>
      <c r="AR20" s="340"/>
      <c r="AS20" s="336"/>
      <c r="AT20" s="336"/>
      <c r="AU20" s="336"/>
      <c r="AV20" s="332"/>
    </row>
    <row r="21" spans="1:48" ht="15" customHeight="1" x14ac:dyDescent="0.25">
      <c r="A21" s="309"/>
      <c r="B21" s="138">
        <v>20</v>
      </c>
      <c r="C21" s="147">
        <v>30000</v>
      </c>
      <c r="F21" s="204">
        <f t="shared" si="25"/>
        <v>0.75000000000000011</v>
      </c>
      <c r="G21" s="139">
        <f t="shared" si="12"/>
        <v>1355.2800000000002</v>
      </c>
      <c r="H21" s="309"/>
      <c r="I21" s="139"/>
      <c r="J21" s="328">
        <f t="shared" si="2"/>
        <v>1355.2800000000002</v>
      </c>
      <c r="K21" s="310">
        <f t="shared" si="13"/>
        <v>3.7646666666666673</v>
      </c>
      <c r="L21" s="326">
        <f t="shared" si="3"/>
        <v>1.333333333333333</v>
      </c>
      <c r="M21" s="325">
        <f t="shared" si="4"/>
        <v>0.75000000000000011</v>
      </c>
      <c r="N21" s="367">
        <f t="shared" si="14"/>
        <v>0.40615353544380239</v>
      </c>
      <c r="O21" s="324">
        <f t="shared" si="5"/>
        <v>0.42406061144765461</v>
      </c>
      <c r="P21" s="324">
        <f t="shared" si="5"/>
        <v>0.44224254363059107</v>
      </c>
      <c r="Q21" s="372">
        <f t="shared" si="15"/>
        <v>1000000</v>
      </c>
      <c r="R21" s="370">
        <f t="shared" si="6"/>
        <v>1000000</v>
      </c>
      <c r="S21" s="370">
        <f t="shared" si="6"/>
        <v>1000000</v>
      </c>
      <c r="T21" s="379">
        <f t="shared" si="16"/>
        <v>0.35199812312606671</v>
      </c>
      <c r="U21" s="376">
        <f t="shared" si="17"/>
        <v>0.38127891467780695</v>
      </c>
      <c r="V21" s="380">
        <f t="shared" si="18"/>
        <v>0.40836557155579806</v>
      </c>
      <c r="W21" s="228">
        <f t="shared" si="19"/>
        <v>0</v>
      </c>
      <c r="X21" s="228">
        <f t="shared" si="20"/>
        <v>0</v>
      </c>
      <c r="Y21" s="229">
        <f t="shared" si="21"/>
        <v>0</v>
      </c>
      <c r="Z21" s="390">
        <f t="shared" si="8"/>
        <v>0</v>
      </c>
      <c r="AA21" s="337">
        <f t="shared" si="9"/>
        <v>0</v>
      </c>
      <c r="AB21" s="391">
        <f t="shared" si="10"/>
        <v>0</v>
      </c>
      <c r="AC21" s="399">
        <f t="shared" si="22"/>
        <v>0</v>
      </c>
      <c r="AD21" s="358">
        <f t="shared" si="23"/>
        <v>0</v>
      </c>
      <c r="AE21" s="400">
        <f t="shared" si="24"/>
        <v>0</v>
      </c>
      <c r="AF21" s="359"/>
      <c r="AG21" s="339"/>
      <c r="AH21" s="339"/>
      <c r="AI21" s="339"/>
      <c r="AJ21" s="340"/>
      <c r="AK21" s="340"/>
      <c r="AL21" s="340"/>
      <c r="AM21" s="339"/>
      <c r="AN21" s="339"/>
      <c r="AO21" s="339"/>
      <c r="AP21" s="340"/>
      <c r="AQ21" s="340"/>
      <c r="AR21" s="340"/>
      <c r="AS21" s="336"/>
      <c r="AT21" s="336"/>
      <c r="AU21" s="336"/>
      <c r="AV21" s="332"/>
    </row>
    <row r="22" spans="1:48" ht="15" customHeight="1" x14ac:dyDescent="0.25">
      <c r="A22" s="309"/>
      <c r="B22" s="138">
        <v>50</v>
      </c>
      <c r="C22" s="147">
        <v>15000</v>
      </c>
      <c r="D22" s="409"/>
      <c r="F22" s="204">
        <f t="shared" si="25"/>
        <v>0.80000000000000016</v>
      </c>
      <c r="G22" s="139">
        <f t="shared" si="12"/>
        <v>1207.0000000000002</v>
      </c>
      <c r="H22" s="319">
        <v>1207</v>
      </c>
      <c r="I22" s="139"/>
      <c r="J22" s="328">
        <f t="shared" si="2"/>
        <v>1207.0000000000002</v>
      </c>
      <c r="K22" s="310">
        <f t="shared" si="13"/>
        <v>3.3527777777777783</v>
      </c>
      <c r="L22" s="326">
        <f t="shared" si="3"/>
        <v>1.2499999999999998</v>
      </c>
      <c r="M22" s="325">
        <f t="shared" si="4"/>
        <v>0.80000000000000016</v>
      </c>
      <c r="N22" s="367">
        <f t="shared" si="14"/>
        <v>0.42262156844963977</v>
      </c>
      <c r="O22" s="324">
        <f t="shared" si="5"/>
        <v>0.439694820867092</v>
      </c>
      <c r="P22" s="324">
        <f t="shared" si="5"/>
        <v>0.45699340817100109</v>
      </c>
      <c r="Q22" s="372">
        <f t="shared" si="15"/>
        <v>1000000</v>
      </c>
      <c r="R22" s="370">
        <f t="shared" si="6"/>
        <v>1000000</v>
      </c>
      <c r="S22" s="370">
        <f t="shared" si="6"/>
        <v>1000000</v>
      </c>
      <c r="T22" s="379">
        <f t="shared" si="16"/>
        <v>0.35199812312606671</v>
      </c>
      <c r="U22" s="376">
        <f t="shared" si="17"/>
        <v>0.38127891467780695</v>
      </c>
      <c r="V22" s="380">
        <f t="shared" si="18"/>
        <v>0.40836557155579806</v>
      </c>
      <c r="W22" s="228">
        <f t="shared" si="19"/>
        <v>0</v>
      </c>
      <c r="X22" s="228">
        <f t="shared" si="20"/>
        <v>0</v>
      </c>
      <c r="Y22" s="229">
        <f t="shared" si="21"/>
        <v>0</v>
      </c>
      <c r="Z22" s="390">
        <f t="shared" si="8"/>
        <v>0</v>
      </c>
      <c r="AA22" s="337">
        <f t="shared" si="9"/>
        <v>0</v>
      </c>
      <c r="AB22" s="391">
        <f t="shared" si="10"/>
        <v>0</v>
      </c>
      <c r="AC22" s="399">
        <f t="shared" si="22"/>
        <v>0</v>
      </c>
      <c r="AD22" s="358">
        <f t="shared" si="23"/>
        <v>0</v>
      </c>
      <c r="AE22" s="400">
        <f t="shared" si="24"/>
        <v>0</v>
      </c>
      <c r="AF22" s="359"/>
      <c r="AG22" s="339"/>
      <c r="AH22" s="339"/>
      <c r="AI22" s="339"/>
      <c r="AJ22" s="340"/>
      <c r="AK22" s="340"/>
      <c r="AL22" s="340"/>
      <c r="AM22" s="339"/>
      <c r="AN22" s="339"/>
      <c r="AO22" s="339"/>
      <c r="AP22" s="340"/>
      <c r="AQ22" s="340"/>
      <c r="AR22" s="340"/>
      <c r="AS22" s="336"/>
      <c r="AT22" s="336"/>
      <c r="AU22" s="336"/>
      <c r="AV22" s="332"/>
    </row>
    <row r="23" spans="1:48" ht="15" customHeight="1" x14ac:dyDescent="0.25">
      <c r="A23" s="309"/>
      <c r="B23" s="138">
        <v>60</v>
      </c>
      <c r="C23" s="147">
        <v>10000</v>
      </c>
      <c r="F23" s="204">
        <f t="shared" si="25"/>
        <v>0.8500000000000002</v>
      </c>
      <c r="G23" s="139">
        <f t="shared" si="12"/>
        <v>1076.1647058823532</v>
      </c>
      <c r="I23" s="139"/>
      <c r="J23" s="328">
        <f t="shared" si="2"/>
        <v>1076.1647058823532</v>
      </c>
      <c r="K23" s="310">
        <f t="shared" si="13"/>
        <v>2.9893464052287588</v>
      </c>
      <c r="L23" s="326">
        <f t="shared" si="3"/>
        <v>1.1764705882352939</v>
      </c>
      <c r="M23" s="325">
        <f t="shared" si="4"/>
        <v>0.8500000000000002</v>
      </c>
      <c r="N23" s="367">
        <f t="shared" si="14"/>
        <v>0.44156465588881844</v>
      </c>
      <c r="O23" s="324">
        <f t="shared" si="14"/>
        <v>0.4579563793740174</v>
      </c>
      <c r="P23" s="324">
        <f t="shared" si="14"/>
        <v>0.47453268462549297</v>
      </c>
      <c r="Q23" s="372">
        <f t="shared" si="15"/>
        <v>1000000</v>
      </c>
      <c r="R23" s="370">
        <f t="shared" si="15"/>
        <v>1000000</v>
      </c>
      <c r="S23" s="370">
        <f t="shared" si="15"/>
        <v>1000000</v>
      </c>
      <c r="T23" s="379">
        <f t="shared" si="16"/>
        <v>0.35199812312606671</v>
      </c>
      <c r="U23" s="376">
        <f t="shared" si="17"/>
        <v>0.38127891467780695</v>
      </c>
      <c r="V23" s="380">
        <f t="shared" si="18"/>
        <v>0.40836557155579806</v>
      </c>
      <c r="W23" s="228">
        <f t="shared" si="19"/>
        <v>0</v>
      </c>
      <c r="X23" s="228">
        <f t="shared" si="20"/>
        <v>0</v>
      </c>
      <c r="Y23" s="229">
        <f t="shared" si="21"/>
        <v>0</v>
      </c>
      <c r="Z23" s="390">
        <f t="shared" si="8"/>
        <v>0</v>
      </c>
      <c r="AA23" s="337">
        <f t="shared" si="9"/>
        <v>0</v>
      </c>
      <c r="AB23" s="391">
        <f t="shared" si="10"/>
        <v>0</v>
      </c>
      <c r="AC23" s="399">
        <f t="shared" si="22"/>
        <v>0</v>
      </c>
      <c r="AD23" s="358">
        <f t="shared" si="23"/>
        <v>0</v>
      </c>
      <c r="AE23" s="400">
        <f t="shared" si="24"/>
        <v>0</v>
      </c>
      <c r="AF23" s="359"/>
      <c r="AG23" s="339"/>
      <c r="AH23" s="339"/>
      <c r="AI23" s="339"/>
      <c r="AJ23" s="340"/>
      <c r="AK23" s="340"/>
      <c r="AL23" s="340"/>
      <c r="AM23" s="339"/>
      <c r="AN23" s="339"/>
      <c r="AO23" s="339"/>
      <c r="AP23" s="340"/>
      <c r="AQ23" s="340"/>
      <c r="AR23" s="340"/>
      <c r="AS23" s="336"/>
      <c r="AT23" s="336"/>
      <c r="AU23" s="336"/>
      <c r="AV23" s="332"/>
    </row>
    <row r="24" spans="1:48" ht="15" customHeight="1" x14ac:dyDescent="0.25">
      <c r="B24" s="138"/>
      <c r="C24" s="147"/>
      <c r="F24" s="204">
        <f t="shared" si="25"/>
        <v>0.90000000000000024</v>
      </c>
      <c r="G24" s="139">
        <f t="shared" si="12"/>
        <v>959.86666666666679</v>
      </c>
      <c r="I24" s="139"/>
      <c r="J24" s="328">
        <f t="shared" si="2"/>
        <v>959.86666666666679</v>
      </c>
      <c r="K24" s="310">
        <f t="shared" si="13"/>
        <v>2.6662962962962968</v>
      </c>
      <c r="L24" s="326">
        <f t="shared" si="3"/>
        <v>1.1111111111111107</v>
      </c>
      <c r="M24" s="325">
        <f t="shared" si="4"/>
        <v>0.90000000000000024</v>
      </c>
      <c r="N24" s="367">
        <f t="shared" si="14"/>
        <v>0.4633009873719226</v>
      </c>
      <c r="O24" s="324">
        <f t="shared" si="14"/>
        <v>0.4791431233582682</v>
      </c>
      <c r="P24" s="324">
        <f t="shared" si="14"/>
        <v>0.49513587609073179</v>
      </c>
      <c r="Q24" s="372">
        <f t="shared" si="15"/>
        <v>1000000</v>
      </c>
      <c r="R24" s="370">
        <f t="shared" si="15"/>
        <v>1000000</v>
      </c>
      <c r="S24" s="370">
        <f t="shared" si="15"/>
        <v>1000000</v>
      </c>
      <c r="T24" s="379">
        <f t="shared" si="16"/>
        <v>0.35199812312606671</v>
      </c>
      <c r="U24" s="376">
        <f t="shared" si="17"/>
        <v>0.38127891467780695</v>
      </c>
      <c r="V24" s="380">
        <f t="shared" si="18"/>
        <v>0.40836557155579806</v>
      </c>
      <c r="W24" s="228">
        <f t="shared" si="19"/>
        <v>0</v>
      </c>
      <c r="X24" s="228">
        <f t="shared" si="20"/>
        <v>0</v>
      </c>
      <c r="Y24" s="229">
        <f t="shared" si="21"/>
        <v>0</v>
      </c>
      <c r="Z24" s="390">
        <f t="shared" si="8"/>
        <v>0</v>
      </c>
      <c r="AA24" s="337">
        <f t="shared" si="9"/>
        <v>0</v>
      </c>
      <c r="AB24" s="391">
        <f t="shared" si="10"/>
        <v>0</v>
      </c>
      <c r="AC24" s="399">
        <f t="shared" si="22"/>
        <v>0</v>
      </c>
      <c r="AD24" s="358">
        <f t="shared" si="23"/>
        <v>0</v>
      </c>
      <c r="AE24" s="400">
        <f t="shared" si="24"/>
        <v>0</v>
      </c>
      <c r="AF24" s="355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2"/>
      <c r="AV24" s="332"/>
    </row>
    <row r="25" spans="1:48" ht="15" customHeight="1" x14ac:dyDescent="0.25">
      <c r="B25" s="138"/>
      <c r="C25" s="147"/>
      <c r="F25" s="204">
        <f t="shared" si="25"/>
        <v>0.95000000000000029</v>
      </c>
      <c r="G25" s="139">
        <f t="shared" si="12"/>
        <v>855.81052631578973</v>
      </c>
      <c r="I25" s="139"/>
      <c r="J25" s="328">
        <f t="shared" si="2"/>
        <v>855.81052631578973</v>
      </c>
      <c r="K25" s="310">
        <f t="shared" si="13"/>
        <v>2.3772514619883047</v>
      </c>
      <c r="L25" s="326">
        <f t="shared" si="3"/>
        <v>1.0526315789473681</v>
      </c>
      <c r="M25" s="325">
        <f t="shared" si="4"/>
        <v>0.95000000000000029</v>
      </c>
      <c r="N25" s="367">
        <f t="shared" si="14"/>
        <v>0.48825610924487672</v>
      </c>
      <c r="O25" s="324">
        <f t="shared" si="14"/>
        <v>0.50366656081916783</v>
      </c>
      <c r="P25" s="324">
        <f t="shared" si="14"/>
        <v>0.51919896735310855</v>
      </c>
      <c r="Q25" s="372">
        <f t="shared" si="15"/>
        <v>1000000</v>
      </c>
      <c r="R25" s="370">
        <f t="shared" si="15"/>
        <v>1000000</v>
      </c>
      <c r="S25" s="370">
        <f t="shared" si="15"/>
        <v>1000000</v>
      </c>
      <c r="T25" s="379">
        <f t="shared" si="16"/>
        <v>0.35199812312606671</v>
      </c>
      <c r="U25" s="376">
        <f t="shared" si="17"/>
        <v>0.38127891467780695</v>
      </c>
      <c r="V25" s="380">
        <f t="shared" si="18"/>
        <v>0.40836557155579806</v>
      </c>
      <c r="W25" s="228">
        <f t="shared" si="19"/>
        <v>0</v>
      </c>
      <c r="X25" s="228">
        <f t="shared" si="20"/>
        <v>0</v>
      </c>
      <c r="Y25" s="229">
        <f t="shared" si="21"/>
        <v>0</v>
      </c>
      <c r="Z25" s="390">
        <f t="shared" si="8"/>
        <v>0</v>
      </c>
      <c r="AA25" s="337">
        <f t="shared" si="9"/>
        <v>0</v>
      </c>
      <c r="AB25" s="391">
        <f t="shared" si="10"/>
        <v>0</v>
      </c>
      <c r="AC25" s="399">
        <f t="shared" si="22"/>
        <v>0</v>
      </c>
      <c r="AD25" s="358">
        <f t="shared" si="23"/>
        <v>0</v>
      </c>
      <c r="AE25" s="400">
        <f t="shared" si="24"/>
        <v>0</v>
      </c>
      <c r="AF25" s="360"/>
      <c r="AG25" s="332"/>
      <c r="AH25" s="332"/>
      <c r="AI25" s="332"/>
      <c r="AJ25" s="332"/>
      <c r="AK25" s="332"/>
      <c r="AL25" s="332"/>
      <c r="AM25" s="332"/>
      <c r="AN25" s="332"/>
      <c r="AO25" s="332"/>
      <c r="AP25" s="341"/>
      <c r="AQ25" s="341"/>
      <c r="AR25" s="341"/>
      <c r="AS25" s="341"/>
      <c r="AT25" s="341"/>
      <c r="AU25" s="341"/>
      <c r="AV25" s="332"/>
    </row>
    <row r="26" spans="1:48" ht="15" customHeight="1" x14ac:dyDescent="0.25">
      <c r="F26" s="204">
        <f t="shared" si="25"/>
        <v>1.0000000000000002</v>
      </c>
      <c r="G26" s="139">
        <f t="shared" si="12"/>
        <v>762.16000000000031</v>
      </c>
      <c r="I26" s="139"/>
      <c r="J26" s="328">
        <f t="shared" si="2"/>
        <v>762.16000000000031</v>
      </c>
      <c r="K26" s="310">
        <f t="shared" si="13"/>
        <v>2.1171111111111118</v>
      </c>
      <c r="L26" s="326">
        <f t="shared" si="3"/>
        <v>0.99999999999999978</v>
      </c>
      <c r="M26" s="325">
        <f t="shared" si="4"/>
        <v>1.0000000000000002</v>
      </c>
      <c r="N26" s="367">
        <f t="shared" si="14"/>
        <v>0.51699106444202647</v>
      </c>
      <c r="O26" s="324">
        <f t="shared" si="14"/>
        <v>0.53207886747515309</v>
      </c>
      <c r="P26" s="324">
        <f t="shared" si="14"/>
        <v>0.54726413111251726</v>
      </c>
      <c r="Q26" s="372">
        <f t="shared" si="15"/>
        <v>1000000</v>
      </c>
      <c r="R26" s="370">
        <f t="shared" si="15"/>
        <v>1000000</v>
      </c>
      <c r="S26" s="370">
        <f t="shared" si="15"/>
        <v>1000000</v>
      </c>
      <c r="T26" s="379">
        <f t="shared" si="16"/>
        <v>0.35199812312606671</v>
      </c>
      <c r="U26" s="376">
        <f t="shared" si="17"/>
        <v>0.38127891467780695</v>
      </c>
      <c r="V26" s="380">
        <f t="shared" si="18"/>
        <v>0.40836557155579806</v>
      </c>
      <c r="W26" s="228">
        <f t="shared" si="19"/>
        <v>0</v>
      </c>
      <c r="X26" s="228">
        <f t="shared" si="20"/>
        <v>0</v>
      </c>
      <c r="Y26" s="229">
        <f t="shared" si="21"/>
        <v>0</v>
      </c>
      <c r="Z26" s="390">
        <f t="shared" si="8"/>
        <v>0</v>
      </c>
      <c r="AA26" s="337">
        <f t="shared" si="9"/>
        <v>0</v>
      </c>
      <c r="AB26" s="391">
        <f t="shared" si="10"/>
        <v>0</v>
      </c>
      <c r="AC26" s="399">
        <f t="shared" si="22"/>
        <v>0</v>
      </c>
      <c r="AD26" s="358">
        <f t="shared" si="23"/>
        <v>0</v>
      </c>
      <c r="AE26" s="400">
        <f t="shared" si="24"/>
        <v>0</v>
      </c>
      <c r="AF26" s="332"/>
      <c r="AG26" s="342"/>
      <c r="AH26" s="342"/>
      <c r="AI26" s="34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</row>
    <row r="27" spans="1:48" ht="15" customHeight="1" x14ac:dyDescent="0.25">
      <c r="F27" s="204">
        <f t="shared" si="25"/>
        <v>1.0500000000000003</v>
      </c>
      <c r="G27" s="139">
        <f t="shared" si="12"/>
        <v>677.42857142857167</v>
      </c>
      <c r="J27" s="328">
        <f t="shared" si="2"/>
        <v>677.42857142857167</v>
      </c>
      <c r="K27" s="310">
        <f t="shared" si="13"/>
        <v>1.8817460317460324</v>
      </c>
      <c r="L27" s="326">
        <f t="shared" si="3"/>
        <v>0.95238095238095211</v>
      </c>
      <c r="M27" s="325">
        <f t="shared" si="4"/>
        <v>1.0500000000000003</v>
      </c>
      <c r="N27" s="367">
        <f t="shared" si="14"/>
        <v>0.55024503819807613</v>
      </c>
      <c r="O27" s="324">
        <f t="shared" si="14"/>
        <v>0.56511495277269175</v>
      </c>
      <c r="P27" s="324">
        <f t="shared" si="14"/>
        <v>0.58006111326423049</v>
      </c>
      <c r="Q27" s="372">
        <f t="shared" si="15"/>
        <v>1000000</v>
      </c>
      <c r="R27" s="370">
        <f t="shared" si="15"/>
        <v>1000000</v>
      </c>
      <c r="S27" s="370">
        <f t="shared" si="15"/>
        <v>1000000</v>
      </c>
      <c r="T27" s="379">
        <f t="shared" si="16"/>
        <v>0.35199812312606671</v>
      </c>
      <c r="U27" s="376">
        <f t="shared" si="17"/>
        <v>0.38127891467780695</v>
      </c>
      <c r="V27" s="380">
        <f t="shared" si="18"/>
        <v>0.40836557155579806</v>
      </c>
      <c r="W27" s="228">
        <f t="shared" si="19"/>
        <v>0</v>
      </c>
      <c r="X27" s="228">
        <f t="shared" si="20"/>
        <v>0</v>
      </c>
      <c r="Y27" s="229">
        <f t="shared" si="21"/>
        <v>0</v>
      </c>
      <c r="Z27" s="390">
        <f t="shared" si="8"/>
        <v>0</v>
      </c>
      <c r="AA27" s="337">
        <f t="shared" si="9"/>
        <v>0</v>
      </c>
      <c r="AB27" s="391">
        <f t="shared" si="10"/>
        <v>0</v>
      </c>
      <c r="AC27" s="399">
        <f t="shared" si="22"/>
        <v>0</v>
      </c>
      <c r="AD27" s="358">
        <f t="shared" si="23"/>
        <v>0</v>
      </c>
      <c r="AE27" s="400">
        <f t="shared" si="24"/>
        <v>0</v>
      </c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</row>
    <row r="28" spans="1:48" ht="15" customHeight="1" x14ac:dyDescent="0.25">
      <c r="F28" s="204">
        <f t="shared" si="25"/>
        <v>1.1000000000000003</v>
      </c>
      <c r="G28" s="139">
        <f t="shared" si="12"/>
        <v>600.40000000000032</v>
      </c>
      <c r="J28" s="328">
        <f t="shared" si="2"/>
        <v>600.40000000000032</v>
      </c>
      <c r="K28" s="310">
        <f t="shared" si="13"/>
        <v>1.6677777777777787</v>
      </c>
      <c r="L28" s="326">
        <f t="shared" si="3"/>
        <v>0.90909090909090884</v>
      </c>
      <c r="M28" s="325">
        <f t="shared" si="4"/>
        <v>1.1000000000000003</v>
      </c>
      <c r="N28" s="367">
        <f t="shared" si="14"/>
        <v>0.58899946872038245</v>
      </c>
      <c r="O28" s="324">
        <f t="shared" si="14"/>
        <v>0.60375647849062475</v>
      </c>
      <c r="P28" s="324">
        <f t="shared" si="14"/>
        <v>0.61857108726962595</v>
      </c>
      <c r="Q28" s="372">
        <f t="shared" si="15"/>
        <v>1000000</v>
      </c>
      <c r="R28" s="370">
        <f t="shared" si="15"/>
        <v>1000000</v>
      </c>
      <c r="S28" s="370">
        <f t="shared" si="15"/>
        <v>1000000</v>
      </c>
      <c r="T28" s="379">
        <f t="shared" si="16"/>
        <v>0.35199812312606671</v>
      </c>
      <c r="U28" s="376">
        <f t="shared" si="17"/>
        <v>0.38127891467780695</v>
      </c>
      <c r="V28" s="380">
        <f t="shared" si="18"/>
        <v>0.40836557155579806</v>
      </c>
      <c r="W28" s="228">
        <f t="shared" si="19"/>
        <v>0</v>
      </c>
      <c r="X28" s="228">
        <f t="shared" si="20"/>
        <v>0</v>
      </c>
      <c r="Y28" s="229">
        <f t="shared" si="21"/>
        <v>0</v>
      </c>
      <c r="Z28" s="390">
        <f t="shared" si="8"/>
        <v>0</v>
      </c>
      <c r="AA28" s="337">
        <f t="shared" si="9"/>
        <v>0</v>
      </c>
      <c r="AB28" s="391">
        <f t="shared" si="10"/>
        <v>0</v>
      </c>
      <c r="AC28" s="399">
        <f t="shared" si="22"/>
        <v>0</v>
      </c>
      <c r="AD28" s="358">
        <f t="shared" si="23"/>
        <v>0</v>
      </c>
      <c r="AE28" s="400">
        <f t="shared" si="24"/>
        <v>0</v>
      </c>
      <c r="AF28" s="395"/>
      <c r="AG28" s="395"/>
      <c r="AH28" s="332"/>
      <c r="AI28" s="332"/>
      <c r="AJ28" s="332"/>
      <c r="AK28" s="332"/>
      <c r="AL28" s="332"/>
      <c r="AM28" s="332"/>
      <c r="AN28" s="332"/>
      <c r="AO28" s="332"/>
      <c r="AP28" s="332"/>
      <c r="AQ28" s="332"/>
      <c r="AR28" s="332"/>
      <c r="AS28" s="332"/>
      <c r="AT28" s="332"/>
      <c r="AU28" s="332"/>
      <c r="AV28" s="332"/>
    </row>
    <row r="29" spans="1:48" ht="15" customHeight="1" x14ac:dyDescent="0.25">
      <c r="F29" s="204">
        <f t="shared" si="25"/>
        <v>1.1500000000000004</v>
      </c>
      <c r="G29" s="139">
        <f t="shared" si="12"/>
        <v>530.06956521739176</v>
      </c>
      <c r="J29" s="328">
        <f t="shared" si="2"/>
        <v>530.06956521739176</v>
      </c>
      <c r="K29" s="310">
        <f t="shared" si="13"/>
        <v>1.4724154589371994</v>
      </c>
      <c r="L29" s="326">
        <f t="shared" si="3"/>
        <v>0.8695652173913041</v>
      </c>
      <c r="M29" s="325">
        <f t="shared" si="4"/>
        <v>1.1500000000000004</v>
      </c>
      <c r="N29" s="367">
        <f t="shared" si="14"/>
        <v>0.63457556073974442</v>
      </c>
      <c r="O29" s="324">
        <f t="shared" si="14"/>
        <v>0.64932979051009387</v>
      </c>
      <c r="P29" s="324">
        <f t="shared" si="14"/>
        <v>0.66412495015481876</v>
      </c>
      <c r="Q29" s="372">
        <f t="shared" si="15"/>
        <v>1000000</v>
      </c>
      <c r="R29" s="370">
        <f t="shared" si="15"/>
        <v>1000000</v>
      </c>
      <c r="S29" s="370">
        <f t="shared" si="15"/>
        <v>1000000</v>
      </c>
      <c r="T29" s="379">
        <f t="shared" si="16"/>
        <v>0.35199812312606671</v>
      </c>
      <c r="U29" s="376">
        <f t="shared" si="17"/>
        <v>0.38127891467780695</v>
      </c>
      <c r="V29" s="380">
        <f t="shared" si="18"/>
        <v>0.40836557155579806</v>
      </c>
      <c r="W29" s="228">
        <f t="shared" si="19"/>
        <v>0</v>
      </c>
      <c r="X29" s="228">
        <f t="shared" si="20"/>
        <v>0</v>
      </c>
      <c r="Y29" s="229">
        <f t="shared" si="21"/>
        <v>0</v>
      </c>
      <c r="Z29" s="390">
        <f t="shared" si="8"/>
        <v>0</v>
      </c>
      <c r="AA29" s="337">
        <f t="shared" si="9"/>
        <v>0</v>
      </c>
      <c r="AB29" s="391">
        <f t="shared" si="10"/>
        <v>0</v>
      </c>
      <c r="AC29" s="399">
        <f t="shared" si="22"/>
        <v>0</v>
      </c>
      <c r="AD29" s="358">
        <f t="shared" si="23"/>
        <v>0</v>
      </c>
      <c r="AE29" s="400">
        <f t="shared" si="24"/>
        <v>0</v>
      </c>
      <c r="AF29" s="395"/>
      <c r="AG29" s="395"/>
      <c r="AH29" s="332"/>
      <c r="AI29" s="332"/>
      <c r="AJ29" s="332"/>
      <c r="AK29" s="332"/>
      <c r="AL29" s="332"/>
      <c r="AM29" s="332"/>
      <c r="AN29" s="332"/>
      <c r="AO29" s="332"/>
      <c r="AP29" s="332"/>
      <c r="AQ29" s="332"/>
      <c r="AR29" s="332"/>
      <c r="AS29" s="332"/>
      <c r="AT29" s="332"/>
      <c r="AU29" s="332"/>
      <c r="AV29" s="332"/>
    </row>
    <row r="30" spans="1:48" ht="15" customHeight="1" x14ac:dyDescent="0.25">
      <c r="F30" s="204">
        <f t="shared" si="25"/>
        <v>1.2000000000000004</v>
      </c>
      <c r="G30" s="139">
        <f t="shared" si="12"/>
        <v>465.60000000000031</v>
      </c>
      <c r="J30" s="328">
        <f t="shared" si="2"/>
        <v>465.60000000000031</v>
      </c>
      <c r="K30" s="310">
        <f t="shared" si="13"/>
        <v>1.2933333333333341</v>
      </c>
      <c r="L30" s="326">
        <f t="shared" si="3"/>
        <v>0.83333333333333304</v>
      </c>
      <c r="M30" s="325">
        <f t="shared" si="4"/>
        <v>1.2000000000000004</v>
      </c>
      <c r="N30" s="367">
        <f t="shared" si="14"/>
        <v>0.68878605739198862</v>
      </c>
      <c r="O30" s="324">
        <f t="shared" si="14"/>
        <v>0.70365875812587919</v>
      </c>
      <c r="P30" s="324">
        <f t="shared" si="14"/>
        <v>0.71855718580230865</v>
      </c>
      <c r="Q30" s="372">
        <f t="shared" si="15"/>
        <v>1000000</v>
      </c>
      <c r="R30" s="370">
        <f t="shared" si="15"/>
        <v>1000000</v>
      </c>
      <c r="S30" s="370">
        <f t="shared" si="15"/>
        <v>1000000</v>
      </c>
      <c r="T30" s="379">
        <f t="shared" si="16"/>
        <v>0.35199812312606671</v>
      </c>
      <c r="U30" s="376">
        <f t="shared" si="17"/>
        <v>0.38127891467780695</v>
      </c>
      <c r="V30" s="380">
        <f t="shared" si="18"/>
        <v>0.40836557155579806</v>
      </c>
      <c r="W30" s="228">
        <f t="shared" si="19"/>
        <v>0</v>
      </c>
      <c r="X30" s="228">
        <f t="shared" si="20"/>
        <v>0</v>
      </c>
      <c r="Y30" s="229">
        <f t="shared" si="21"/>
        <v>0</v>
      </c>
      <c r="Z30" s="390">
        <f t="shared" si="8"/>
        <v>0</v>
      </c>
      <c r="AA30" s="337">
        <f t="shared" si="9"/>
        <v>0</v>
      </c>
      <c r="AB30" s="391">
        <f t="shared" si="10"/>
        <v>0</v>
      </c>
      <c r="AC30" s="399">
        <f t="shared" si="22"/>
        <v>0</v>
      </c>
      <c r="AD30" s="358">
        <f t="shared" si="23"/>
        <v>0</v>
      </c>
      <c r="AE30" s="400">
        <f t="shared" si="24"/>
        <v>0</v>
      </c>
      <c r="AF30" s="343"/>
      <c r="AG30" s="343"/>
      <c r="AH30" s="332"/>
      <c r="AI30" s="332"/>
      <c r="AJ30" s="332"/>
      <c r="AK30" s="332"/>
      <c r="AL30" s="332"/>
      <c r="AM30" s="332"/>
      <c r="AN30" s="332"/>
      <c r="AO30" s="332"/>
      <c r="AP30" s="332"/>
      <c r="AQ30" s="332"/>
      <c r="AR30" s="332"/>
      <c r="AS30" s="332"/>
      <c r="AT30" s="332"/>
      <c r="AU30" s="332"/>
      <c r="AV30" s="332"/>
    </row>
    <row r="31" spans="1:48" ht="15" customHeight="1" x14ac:dyDescent="0.25">
      <c r="F31" s="204">
        <f t="shared" si="25"/>
        <v>1.2500000000000004</v>
      </c>
      <c r="G31" s="139">
        <f t="shared" si="12"/>
        <v>406.28800000000035</v>
      </c>
      <c r="J31" s="328">
        <f t="shared" si="2"/>
        <v>406.28800000000035</v>
      </c>
      <c r="K31" s="310">
        <f t="shared" si="13"/>
        <v>1.1285777777777788</v>
      </c>
      <c r="L31" s="326">
        <f t="shared" si="3"/>
        <v>0.79999999999999971</v>
      </c>
      <c r="M31" s="325">
        <f t="shared" si="4"/>
        <v>1.2500000000000004</v>
      </c>
      <c r="N31" s="367">
        <f t="shared" si="14"/>
        <v>0.75417898985532172</v>
      </c>
      <c r="O31" s="324">
        <f t="shared" si="14"/>
        <v>0.76931055915348401</v>
      </c>
      <c r="P31" s="324">
        <f t="shared" si="14"/>
        <v>0.7844536462250612</v>
      </c>
      <c r="Q31" s="372">
        <f t="shared" si="15"/>
        <v>1000000</v>
      </c>
      <c r="R31" s="370">
        <f t="shared" si="15"/>
        <v>1000000</v>
      </c>
      <c r="S31" s="370">
        <f t="shared" si="15"/>
        <v>1000000</v>
      </c>
      <c r="T31" s="379">
        <f t="shared" si="16"/>
        <v>0.35199812312606671</v>
      </c>
      <c r="U31" s="376">
        <f t="shared" si="17"/>
        <v>0.38127891467780695</v>
      </c>
      <c r="V31" s="380">
        <f t="shared" si="18"/>
        <v>0.40836557155579806</v>
      </c>
      <c r="W31" s="228">
        <f t="shared" si="19"/>
        <v>0</v>
      </c>
      <c r="X31" s="228">
        <f t="shared" si="20"/>
        <v>0</v>
      </c>
      <c r="Y31" s="229">
        <f t="shared" si="21"/>
        <v>0</v>
      </c>
      <c r="Z31" s="390">
        <f t="shared" si="8"/>
        <v>0</v>
      </c>
      <c r="AA31" s="337">
        <f t="shared" si="9"/>
        <v>0</v>
      </c>
      <c r="AB31" s="391">
        <f t="shared" si="10"/>
        <v>0</v>
      </c>
      <c r="AC31" s="399">
        <f t="shared" si="22"/>
        <v>0</v>
      </c>
      <c r="AD31" s="358">
        <f t="shared" si="23"/>
        <v>0</v>
      </c>
      <c r="AE31" s="400">
        <f t="shared" si="24"/>
        <v>0</v>
      </c>
      <c r="AF31" s="344"/>
      <c r="AG31" s="344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  <c r="AS31" s="332"/>
      <c r="AT31" s="332"/>
      <c r="AU31" s="332"/>
      <c r="AV31" s="332"/>
    </row>
    <row r="32" spans="1:48" ht="15" customHeight="1" x14ac:dyDescent="0.25">
      <c r="F32" s="204">
        <f t="shared" si="25"/>
        <v>1.3000000000000005</v>
      </c>
      <c r="G32" s="139">
        <f t="shared" si="12"/>
        <v>351.53846153846189</v>
      </c>
      <c r="J32" s="328">
        <f t="shared" si="2"/>
        <v>351.53846153846189</v>
      </c>
      <c r="K32" s="310">
        <f t="shared" si="13"/>
        <v>0.97649572649572747</v>
      </c>
      <c r="L32" s="326">
        <f t="shared" si="3"/>
        <v>0.76923076923076894</v>
      </c>
      <c r="M32" s="325">
        <f t="shared" si="4"/>
        <v>1.3000000000000005</v>
      </c>
      <c r="N32" s="367">
        <f t="shared" si="14"/>
        <v>0.83444481812239091</v>
      </c>
      <c r="O32" s="324">
        <f t="shared" si="14"/>
        <v>0.8500064756523158</v>
      </c>
      <c r="P32" s="324">
        <f t="shared" si="14"/>
        <v>0.86556596014834664</v>
      </c>
      <c r="Q32" s="372">
        <f t="shared" si="15"/>
        <v>1000000</v>
      </c>
      <c r="R32" s="370">
        <f t="shared" si="15"/>
        <v>1000000</v>
      </c>
      <c r="S32" s="370">
        <f t="shared" si="15"/>
        <v>1000000</v>
      </c>
      <c r="T32" s="379">
        <f t="shared" si="16"/>
        <v>0.35199812312606671</v>
      </c>
      <c r="U32" s="376">
        <f t="shared" si="17"/>
        <v>0.38127891467780695</v>
      </c>
      <c r="V32" s="380">
        <f t="shared" si="18"/>
        <v>0.40836557155579806</v>
      </c>
      <c r="W32" s="228">
        <f t="shared" si="19"/>
        <v>0</v>
      </c>
      <c r="X32" s="228">
        <f t="shared" si="20"/>
        <v>0</v>
      </c>
      <c r="Y32" s="229">
        <f t="shared" si="21"/>
        <v>0</v>
      </c>
      <c r="Z32" s="390">
        <f t="shared" si="8"/>
        <v>0</v>
      </c>
      <c r="AA32" s="337">
        <f t="shared" si="9"/>
        <v>0</v>
      </c>
      <c r="AB32" s="391">
        <f t="shared" si="10"/>
        <v>0</v>
      </c>
      <c r="AC32" s="399">
        <f t="shared" si="22"/>
        <v>0</v>
      </c>
      <c r="AD32" s="358">
        <f t="shared" si="23"/>
        <v>0</v>
      </c>
      <c r="AE32" s="400">
        <f t="shared" si="24"/>
        <v>0</v>
      </c>
      <c r="AF32" s="345"/>
      <c r="AG32" s="345"/>
      <c r="AH32" s="332"/>
      <c r="AI32" s="332"/>
      <c r="AJ32" s="342"/>
      <c r="AK32" s="342"/>
      <c r="AL32" s="34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</row>
    <row r="33" spans="6:48" ht="15" customHeight="1" x14ac:dyDescent="0.25">
      <c r="F33" s="204">
        <f t="shared" si="25"/>
        <v>1.3500000000000005</v>
      </c>
      <c r="G33" s="139">
        <f t="shared" si="12"/>
        <v>300.84444444444483</v>
      </c>
      <c r="J33" s="328">
        <f t="shared" si="2"/>
        <v>300.84444444444483</v>
      </c>
      <c r="K33" s="310">
        <f t="shared" si="13"/>
        <v>0.83567901234568009</v>
      </c>
      <c r="L33" s="326">
        <f t="shared" si="3"/>
        <v>0.74074074074074048</v>
      </c>
      <c r="M33" s="325">
        <f t="shared" si="4"/>
        <v>1.3500000000000005</v>
      </c>
      <c r="N33" s="367">
        <f t="shared" si="14"/>
        <v>0.93513000219542575</v>
      </c>
      <c r="O33" s="324">
        <f t="shared" si="14"/>
        <v>0.95134207943101379</v>
      </c>
      <c r="P33" s="324">
        <f t="shared" si="14"/>
        <v>0.96753827777896206</v>
      </c>
      <c r="Q33" s="372">
        <f t="shared" si="15"/>
        <v>1000000</v>
      </c>
      <c r="R33" s="370">
        <f t="shared" si="15"/>
        <v>1000000</v>
      </c>
      <c r="S33" s="370">
        <f t="shared" si="15"/>
        <v>1000000</v>
      </c>
      <c r="T33" s="379">
        <f t="shared" si="16"/>
        <v>0.35199812312606671</v>
      </c>
      <c r="U33" s="376">
        <f t="shared" si="17"/>
        <v>0.38127891467780695</v>
      </c>
      <c r="V33" s="380">
        <f t="shared" si="18"/>
        <v>0.40836557155579806</v>
      </c>
      <c r="W33" s="228">
        <f t="shared" si="19"/>
        <v>0</v>
      </c>
      <c r="X33" s="228">
        <f t="shared" si="20"/>
        <v>0</v>
      </c>
      <c r="Y33" s="229">
        <f t="shared" si="21"/>
        <v>0</v>
      </c>
      <c r="Z33" s="390">
        <f t="shared" si="8"/>
        <v>0</v>
      </c>
      <c r="AA33" s="337">
        <f t="shared" si="9"/>
        <v>0</v>
      </c>
      <c r="AB33" s="391">
        <f t="shared" si="10"/>
        <v>0</v>
      </c>
      <c r="AC33" s="399">
        <f t="shared" si="22"/>
        <v>0</v>
      </c>
      <c r="AD33" s="358">
        <f t="shared" si="23"/>
        <v>0</v>
      </c>
      <c r="AE33" s="400">
        <f t="shared" si="24"/>
        <v>0</v>
      </c>
      <c r="AF33" s="346"/>
      <c r="AG33" s="346"/>
      <c r="AH33" s="332"/>
      <c r="AI33" s="332"/>
      <c r="AJ33" s="332"/>
      <c r="AK33" s="332"/>
      <c r="AL33" s="332"/>
      <c r="AM33" s="332"/>
      <c r="AN33" s="332"/>
      <c r="AO33" s="332"/>
      <c r="AP33" s="332"/>
      <c r="AQ33" s="332"/>
      <c r="AR33" s="332"/>
      <c r="AS33" s="332"/>
      <c r="AT33" s="332"/>
      <c r="AU33" s="332"/>
      <c r="AV33" s="332"/>
    </row>
    <row r="34" spans="6:48" ht="15" customHeight="1" x14ac:dyDescent="0.25">
      <c r="F34" s="204">
        <f t="shared" si="25"/>
        <v>1.4000000000000006</v>
      </c>
      <c r="G34" s="139">
        <f t="shared" si="12"/>
        <v>253.77142857142888</v>
      </c>
      <c r="J34" s="329">
        <f t="shared" si="2"/>
        <v>253.77142857142888</v>
      </c>
      <c r="K34" s="330">
        <f t="shared" si="13"/>
        <v>0.70492063492063584</v>
      </c>
      <c r="L34" s="323">
        <f t="shared" si="3"/>
        <v>0.71428571428571397</v>
      </c>
      <c r="M34" s="327">
        <f t="shared" si="4"/>
        <v>1.4000000000000006</v>
      </c>
      <c r="N34" s="368">
        <f t="shared" si="14"/>
        <v>1.0649639201268677</v>
      </c>
      <c r="O34" s="322">
        <f t="shared" si="14"/>
        <v>1.082126625344386</v>
      </c>
      <c r="P34" s="322">
        <f t="shared" si="14"/>
        <v>1.0992590523329482</v>
      </c>
      <c r="Q34" s="373">
        <f t="shared" si="15"/>
        <v>1000000</v>
      </c>
      <c r="R34" s="374">
        <f t="shared" si="15"/>
        <v>1000000</v>
      </c>
      <c r="S34" s="374">
        <f t="shared" si="15"/>
        <v>1000000</v>
      </c>
      <c r="T34" s="381">
        <f t="shared" si="16"/>
        <v>0.35199812312606671</v>
      </c>
      <c r="U34" s="382">
        <f t="shared" si="17"/>
        <v>0.38127891467780695</v>
      </c>
      <c r="V34" s="383">
        <f t="shared" si="18"/>
        <v>0.40836557155579806</v>
      </c>
      <c r="W34" s="230">
        <f t="shared" si="19"/>
        <v>0</v>
      </c>
      <c r="X34" s="230">
        <f t="shared" si="20"/>
        <v>0</v>
      </c>
      <c r="Y34" s="231">
        <f t="shared" si="21"/>
        <v>0</v>
      </c>
      <c r="Z34" s="392">
        <f t="shared" si="8"/>
        <v>0</v>
      </c>
      <c r="AA34" s="393">
        <f t="shared" si="9"/>
        <v>0</v>
      </c>
      <c r="AB34" s="394">
        <f t="shared" si="10"/>
        <v>0</v>
      </c>
      <c r="AC34" s="401">
        <f t="shared" si="22"/>
        <v>0</v>
      </c>
      <c r="AD34" s="402">
        <f t="shared" si="23"/>
        <v>0</v>
      </c>
      <c r="AE34" s="403">
        <f t="shared" si="24"/>
        <v>0</v>
      </c>
      <c r="AF34" s="346"/>
      <c r="AG34" s="346"/>
      <c r="AH34" s="332"/>
      <c r="AI34" s="332"/>
      <c r="AJ34" s="332"/>
      <c r="AK34" s="332"/>
      <c r="AL34" s="332"/>
      <c r="AM34" s="332"/>
      <c r="AN34" s="332"/>
      <c r="AO34" s="332"/>
      <c r="AP34" s="332"/>
      <c r="AQ34" s="332"/>
      <c r="AR34" s="332"/>
      <c r="AS34" s="332"/>
      <c r="AT34" s="332"/>
      <c r="AU34" s="332"/>
      <c r="AV34" s="332"/>
    </row>
    <row r="35" spans="6:48" ht="15" customHeight="1" x14ac:dyDescent="0.25">
      <c r="J35" s="139"/>
      <c r="M35" s="204"/>
      <c r="N35" s="320"/>
      <c r="O35" s="320"/>
      <c r="P35" s="320"/>
      <c r="Q35" s="320"/>
      <c r="R35" s="320"/>
      <c r="S35" s="320"/>
      <c r="T35" s="320"/>
      <c r="U35" s="320"/>
      <c r="V35" s="320"/>
      <c r="W35" s="138"/>
      <c r="X35" s="138"/>
      <c r="Y35" s="138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</row>
    <row r="36" spans="6:48" ht="15" customHeight="1" x14ac:dyDescent="0.25">
      <c r="J36" s="139"/>
      <c r="M36" s="204"/>
      <c r="W36" s="138"/>
      <c r="X36" s="138"/>
      <c r="Y36" s="138"/>
      <c r="Z36" s="332"/>
      <c r="AA36" s="332"/>
      <c r="AB36" s="332"/>
      <c r="AC36" s="332"/>
      <c r="AD36" s="332"/>
      <c r="AE36" s="332"/>
      <c r="AF36" s="332"/>
      <c r="AG36" s="332"/>
      <c r="AH36" s="332"/>
      <c r="AI36" s="344"/>
      <c r="AJ36" s="332"/>
      <c r="AK36" s="332"/>
      <c r="AL36" s="332"/>
      <c r="AM36" s="332"/>
      <c r="AN36" s="332"/>
      <c r="AO36" s="332"/>
      <c r="AP36" s="332"/>
      <c r="AQ36" s="332"/>
      <c r="AR36" s="332"/>
      <c r="AS36" s="332"/>
      <c r="AT36" s="332"/>
      <c r="AU36" s="332"/>
      <c r="AV36" s="332"/>
    </row>
    <row r="37" spans="6:48" ht="15" customHeight="1" x14ac:dyDescent="0.25">
      <c r="J37" s="139"/>
      <c r="M37" s="204"/>
      <c r="N37" s="320"/>
      <c r="O37" s="320"/>
      <c r="P37" s="320"/>
      <c r="Q37" s="320"/>
      <c r="S37" s="1213" t="s">
        <v>63</v>
      </c>
      <c r="T37" s="1214"/>
      <c r="U37" s="1214"/>
      <c r="V37" s="1214"/>
      <c r="W37" s="1215"/>
      <c r="X37" s="333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47"/>
      <c r="AL37" s="332"/>
      <c r="AM37" s="332"/>
      <c r="AN37" s="332"/>
      <c r="AO37" s="332"/>
      <c r="AP37" s="332"/>
      <c r="AQ37" s="332"/>
      <c r="AR37" s="332"/>
      <c r="AS37" s="332"/>
      <c r="AT37" s="332"/>
      <c r="AU37" s="332"/>
      <c r="AV37" s="332"/>
    </row>
    <row r="38" spans="6:48" ht="15" customHeight="1" x14ac:dyDescent="0.25">
      <c r="J38" s="139"/>
      <c r="M38" s="204"/>
      <c r="N38" s="320"/>
      <c r="O38" s="320"/>
      <c r="P38" s="320"/>
      <c r="Q38" s="320"/>
      <c r="R38" s="408"/>
      <c r="S38" s="1216"/>
      <c r="T38" s="1217"/>
      <c r="U38" s="1217"/>
      <c r="V38" s="1217"/>
      <c r="W38" s="1218"/>
      <c r="X38" s="333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6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</row>
    <row r="39" spans="6:48" ht="15" customHeight="1" x14ac:dyDescent="0.25">
      <c r="J39" s="139"/>
      <c r="M39" s="204"/>
      <c r="N39" s="320"/>
      <c r="O39" s="320"/>
      <c r="P39" s="320"/>
      <c r="Q39" s="320"/>
      <c r="R39" s="408"/>
      <c r="S39" s="1219" t="s">
        <v>64</v>
      </c>
      <c r="T39" s="1220"/>
      <c r="U39" s="405">
        <f>N4</f>
        <v>6</v>
      </c>
      <c r="V39" s="405">
        <f t="shared" ref="V39:W39" si="26">O4</f>
        <v>8</v>
      </c>
      <c r="W39" s="405">
        <f t="shared" si="26"/>
        <v>10</v>
      </c>
      <c r="X39" s="333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6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</row>
    <row r="40" spans="6:48" ht="15" customHeight="1" x14ac:dyDescent="0.25">
      <c r="J40" s="139"/>
      <c r="M40" s="204"/>
      <c r="N40" s="320"/>
      <c r="O40" s="320"/>
      <c r="P40" s="320"/>
      <c r="Q40" s="320"/>
      <c r="S40" s="1221" t="s">
        <v>65</v>
      </c>
      <c r="T40" s="1222"/>
      <c r="U40" s="311">
        <f>Q5</f>
        <v>0.39999999999999997</v>
      </c>
      <c r="V40" s="311">
        <f t="shared" ref="V40:W40" si="27">R5</f>
        <v>0.44999999999999996</v>
      </c>
      <c r="W40" s="311">
        <f t="shared" si="27"/>
        <v>0.49999999999999994</v>
      </c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8"/>
      <c r="AL40" s="332"/>
      <c r="AM40" s="332"/>
      <c r="AN40" s="332"/>
      <c r="AO40" s="332"/>
      <c r="AP40" s="332"/>
      <c r="AQ40" s="332"/>
      <c r="AR40" s="332"/>
      <c r="AS40" s="332"/>
      <c r="AT40" s="332"/>
      <c r="AU40" s="332"/>
      <c r="AV40" s="332"/>
    </row>
    <row r="41" spans="6:48" ht="15" customHeight="1" x14ac:dyDescent="0.25">
      <c r="J41" s="139"/>
      <c r="M41" s="204"/>
      <c r="N41" s="320"/>
      <c r="O41" s="320"/>
      <c r="P41" s="320"/>
      <c r="Q41" s="320"/>
      <c r="S41" s="1221" t="s">
        <v>66</v>
      </c>
      <c r="T41" s="1222"/>
      <c r="U41" s="311">
        <f>AC5</f>
        <v>9.5311111111111124</v>
      </c>
      <c r="V41" s="311">
        <f t="shared" ref="V41:W41" si="28">AD5</f>
        <v>8.1581481481481504</v>
      </c>
      <c r="W41" s="311">
        <f t="shared" si="28"/>
        <v>7.0597777777777786</v>
      </c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</row>
    <row r="42" spans="6:48" ht="15" customHeight="1" x14ac:dyDescent="0.25">
      <c r="J42" s="139"/>
      <c r="M42" s="204"/>
      <c r="N42" s="320"/>
      <c r="O42" s="320"/>
      <c r="P42" s="320"/>
      <c r="Q42" s="320"/>
      <c r="S42" s="1221" t="s">
        <v>67</v>
      </c>
      <c r="T42" s="1222"/>
      <c r="U42" s="406">
        <f>N3</f>
        <v>0.35199812312606671</v>
      </c>
      <c r="V42" s="406">
        <f t="shared" ref="V42:W42" si="29">O3</f>
        <v>0.38127891467780695</v>
      </c>
      <c r="W42" s="406">
        <f t="shared" si="29"/>
        <v>0.40836557155579806</v>
      </c>
      <c r="X42" s="332"/>
      <c r="Y42" s="332"/>
      <c r="Z42" s="332"/>
      <c r="AA42" s="332"/>
      <c r="AB42" s="332"/>
      <c r="AC42" s="332"/>
      <c r="AD42" s="332"/>
      <c r="AE42" s="348"/>
      <c r="AF42" s="349"/>
      <c r="AG42" s="350"/>
      <c r="AH42" s="332"/>
      <c r="AI42" s="332"/>
      <c r="AJ42" s="332"/>
      <c r="AK42" s="332"/>
      <c r="AL42" s="332"/>
      <c r="AM42" s="332"/>
      <c r="AN42" s="332"/>
      <c r="AO42" s="332"/>
      <c r="AP42" s="332"/>
      <c r="AQ42" s="332"/>
      <c r="AR42" s="332"/>
      <c r="AS42" s="332"/>
      <c r="AT42" s="332"/>
      <c r="AU42" s="332"/>
      <c r="AV42" s="332"/>
    </row>
    <row r="43" spans="6:48" ht="15" customHeight="1" x14ac:dyDescent="0.25">
      <c r="J43" s="139"/>
      <c r="M43" s="204"/>
      <c r="N43" s="320"/>
      <c r="O43" s="320"/>
      <c r="P43" s="320"/>
      <c r="Q43" s="320"/>
      <c r="S43" s="1206" t="s">
        <v>68</v>
      </c>
      <c r="T43" s="1207"/>
      <c r="U43" s="407">
        <f>N26</f>
        <v>0.51699106444202647</v>
      </c>
      <c r="V43" s="407">
        <f t="shared" ref="V43:W43" si="30">O26</f>
        <v>0.53207886747515309</v>
      </c>
      <c r="W43" s="407">
        <f t="shared" si="30"/>
        <v>0.54726413111251726</v>
      </c>
      <c r="X43" s="332"/>
      <c r="Y43" s="332"/>
      <c r="Z43" s="332"/>
      <c r="AA43" s="332"/>
      <c r="AB43" s="332"/>
      <c r="AC43" s="332"/>
      <c r="AD43" s="332"/>
      <c r="AE43" s="348"/>
      <c r="AF43" s="349"/>
      <c r="AG43" s="350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  <c r="AS43" s="332"/>
      <c r="AT43" s="332"/>
      <c r="AU43" s="332"/>
      <c r="AV43" s="332"/>
    </row>
    <row r="44" spans="6:48" ht="15" customHeight="1" x14ac:dyDescent="0.25">
      <c r="J44" s="139"/>
      <c r="M44" s="204"/>
      <c r="N44" s="320"/>
      <c r="O44" s="320"/>
      <c r="P44" s="320"/>
      <c r="Q44" s="320"/>
      <c r="R44" s="320"/>
      <c r="S44" s="320"/>
      <c r="T44" s="320"/>
      <c r="U44" s="320"/>
      <c r="V44" s="320"/>
      <c r="X44" s="332"/>
      <c r="Y44" s="332"/>
      <c r="Z44" s="332"/>
      <c r="AA44" s="332"/>
      <c r="AB44" s="332"/>
      <c r="AC44" s="332"/>
      <c r="AD44" s="332"/>
      <c r="AE44" s="348"/>
      <c r="AF44" s="349"/>
      <c r="AG44" s="350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</row>
    <row r="45" spans="6:48" ht="15" customHeight="1" x14ac:dyDescent="0.25">
      <c r="J45" s="139"/>
      <c r="M45" s="204"/>
      <c r="N45" s="320"/>
      <c r="O45" s="320"/>
      <c r="P45" s="320"/>
      <c r="Q45" s="320"/>
      <c r="R45" s="320"/>
      <c r="S45" s="320"/>
      <c r="T45" s="320"/>
      <c r="U45" s="320"/>
      <c r="V45" s="320"/>
      <c r="X45" s="332"/>
      <c r="Y45" s="332"/>
      <c r="Z45" s="332"/>
      <c r="AA45" s="332"/>
      <c r="AB45" s="332"/>
      <c r="AC45" s="332"/>
      <c r="AD45" s="332"/>
      <c r="AE45" s="351"/>
      <c r="AF45" s="352"/>
      <c r="AG45" s="350"/>
      <c r="AH45" s="332"/>
      <c r="AI45" s="332"/>
      <c r="AJ45" s="332"/>
      <c r="AK45" s="332"/>
      <c r="AL45" s="332"/>
      <c r="AM45" s="332"/>
      <c r="AN45" s="332"/>
      <c r="AO45" s="332"/>
      <c r="AP45" s="332"/>
      <c r="AQ45" s="332"/>
      <c r="AR45" s="332"/>
      <c r="AS45" s="332"/>
      <c r="AT45" s="332"/>
      <c r="AU45" s="332"/>
      <c r="AV45" s="332"/>
    </row>
    <row r="46" spans="6:48" ht="15" customHeight="1" x14ac:dyDescent="0.25">
      <c r="J46" s="139"/>
      <c r="M46" s="204"/>
      <c r="N46" s="320"/>
      <c r="O46" s="320"/>
      <c r="P46" s="320"/>
      <c r="Q46" s="320"/>
      <c r="R46" s="320"/>
      <c r="S46" s="320"/>
      <c r="T46" s="320"/>
      <c r="U46" s="320"/>
      <c r="V46" s="320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</row>
    <row r="47" spans="6:48" ht="15" customHeight="1" x14ac:dyDescent="0.25">
      <c r="J47" s="139"/>
      <c r="M47" s="204"/>
      <c r="N47" s="320"/>
      <c r="O47" s="320"/>
      <c r="P47" s="320"/>
      <c r="Q47" s="320"/>
      <c r="R47" s="320"/>
      <c r="S47" s="320"/>
      <c r="T47" s="320"/>
      <c r="U47" s="320"/>
      <c r="V47" s="320"/>
      <c r="X47" s="332"/>
      <c r="Y47" s="332"/>
      <c r="Z47" s="332"/>
      <c r="AA47" s="332"/>
      <c r="AB47" s="332"/>
      <c r="AC47" s="332"/>
      <c r="AD47" s="332"/>
      <c r="AE47" s="332"/>
      <c r="AF47" s="335"/>
      <c r="AG47" s="350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/>
      <c r="AR47" s="332"/>
      <c r="AS47" s="332"/>
      <c r="AT47" s="332"/>
      <c r="AU47" s="332"/>
      <c r="AV47" s="332"/>
    </row>
    <row r="48" spans="6:48" ht="15" customHeight="1" x14ac:dyDescent="0.25">
      <c r="J48" s="139"/>
      <c r="M48" s="204"/>
      <c r="N48" s="320"/>
      <c r="O48" s="320"/>
      <c r="P48" s="320"/>
      <c r="Q48" s="320"/>
      <c r="R48" s="320"/>
      <c r="S48" s="320"/>
      <c r="T48" s="320"/>
      <c r="U48" s="320"/>
      <c r="V48" s="320"/>
      <c r="X48" s="332"/>
      <c r="Y48" s="332"/>
      <c r="Z48" s="332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  <c r="AK48" s="332"/>
      <c r="AL48" s="332"/>
      <c r="AM48" s="332"/>
      <c r="AN48" s="332"/>
      <c r="AO48" s="332"/>
      <c r="AP48" s="332"/>
      <c r="AQ48" s="332"/>
      <c r="AR48" s="332"/>
      <c r="AS48" s="332"/>
      <c r="AT48" s="332"/>
      <c r="AU48" s="332"/>
      <c r="AV48" s="332"/>
    </row>
    <row r="49" spans="10:48" ht="15" customHeight="1" x14ac:dyDescent="0.25">
      <c r="J49" s="139"/>
      <c r="M49" s="204"/>
      <c r="N49" s="320"/>
      <c r="O49" s="320"/>
      <c r="P49" s="320"/>
      <c r="Q49" s="320"/>
      <c r="R49" s="320"/>
      <c r="S49" s="320"/>
      <c r="T49" s="320"/>
      <c r="U49" s="320"/>
      <c r="V49" s="320"/>
      <c r="X49" s="332"/>
      <c r="Y49" s="332"/>
      <c r="Z49" s="332"/>
      <c r="AA49" s="332"/>
      <c r="AB49" s="332"/>
      <c r="AC49" s="332"/>
      <c r="AD49" s="332"/>
      <c r="AE49" s="351"/>
      <c r="AF49" s="349"/>
      <c r="AG49" s="350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</row>
    <row r="50" spans="10:48" ht="15" customHeight="1" x14ac:dyDescent="0.25">
      <c r="J50" s="139"/>
      <c r="M50" s="204"/>
      <c r="N50" s="320"/>
      <c r="O50" s="320"/>
      <c r="P50" s="320"/>
      <c r="Q50" s="320"/>
      <c r="R50" s="320"/>
      <c r="S50" s="320"/>
      <c r="T50" s="320"/>
      <c r="U50" s="320"/>
      <c r="V50" s="320"/>
      <c r="X50" s="332"/>
      <c r="Y50" s="332"/>
      <c r="Z50" s="332"/>
      <c r="AA50" s="332"/>
      <c r="AB50" s="332"/>
      <c r="AC50" s="332"/>
      <c r="AD50" s="332"/>
      <c r="AE50" s="348"/>
      <c r="AF50" s="349"/>
      <c r="AG50" s="350"/>
      <c r="AH50" s="332"/>
      <c r="AI50" s="332"/>
      <c r="AJ50" s="332"/>
      <c r="AK50" s="332"/>
      <c r="AL50" s="332"/>
      <c r="AM50" s="332"/>
      <c r="AN50" s="332"/>
      <c r="AO50" s="332"/>
      <c r="AP50" s="332"/>
      <c r="AQ50" s="332"/>
      <c r="AR50" s="332"/>
      <c r="AS50" s="332"/>
      <c r="AT50" s="332"/>
      <c r="AU50" s="332"/>
      <c r="AV50" s="332"/>
    </row>
    <row r="51" spans="10:48" ht="15" customHeight="1" x14ac:dyDescent="0.25">
      <c r="J51" s="139"/>
      <c r="M51" s="204"/>
      <c r="N51" s="320"/>
      <c r="O51" s="320"/>
      <c r="P51" s="320"/>
      <c r="Q51" s="320"/>
      <c r="R51" s="320"/>
      <c r="S51" s="320"/>
      <c r="T51" s="320"/>
      <c r="U51" s="320"/>
      <c r="V51" s="320"/>
      <c r="X51" s="332"/>
      <c r="Y51" s="332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  <c r="AS51" s="332"/>
      <c r="AT51" s="332"/>
      <c r="AU51" s="332"/>
      <c r="AV51" s="332"/>
    </row>
    <row r="52" spans="10:48" ht="15" customHeight="1" x14ac:dyDescent="0.25">
      <c r="J52" s="139"/>
      <c r="M52" s="204"/>
      <c r="N52" s="320"/>
      <c r="O52" s="320"/>
      <c r="P52" s="320"/>
      <c r="Q52" s="320"/>
      <c r="R52" s="320"/>
      <c r="S52" s="320"/>
      <c r="T52" s="320"/>
      <c r="U52" s="320"/>
      <c r="V52" s="320"/>
      <c r="X52" s="332"/>
      <c r="Y52" s="332"/>
      <c r="Z52" s="332"/>
      <c r="AA52" s="332"/>
      <c r="AB52" s="332"/>
      <c r="AC52" s="332"/>
      <c r="AD52" s="332"/>
      <c r="AE52" s="332"/>
      <c r="AF52" s="353"/>
      <c r="AG52" s="350"/>
      <c r="AH52" s="332"/>
      <c r="AI52" s="332"/>
      <c r="AJ52" s="332"/>
      <c r="AK52" s="332"/>
      <c r="AL52" s="332"/>
      <c r="AM52" s="332"/>
      <c r="AN52" s="332"/>
      <c r="AO52" s="332"/>
      <c r="AP52" s="332"/>
      <c r="AQ52" s="332"/>
      <c r="AR52" s="332"/>
      <c r="AS52" s="332"/>
      <c r="AT52" s="332"/>
      <c r="AU52" s="332"/>
      <c r="AV52" s="332"/>
    </row>
    <row r="53" spans="10:48" ht="15" customHeight="1" x14ac:dyDescent="0.25">
      <c r="J53" s="139"/>
      <c r="M53" s="204"/>
      <c r="N53" s="320"/>
      <c r="O53" s="320"/>
      <c r="P53" s="320"/>
      <c r="Q53" s="320"/>
      <c r="R53" s="320"/>
      <c r="S53" s="320"/>
      <c r="T53" s="320"/>
      <c r="U53" s="320"/>
      <c r="V53" s="320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</row>
    <row r="54" spans="10:48" ht="15" customHeight="1" x14ac:dyDescent="0.25">
      <c r="J54" s="139"/>
      <c r="M54" s="204"/>
      <c r="N54" s="320"/>
      <c r="O54" s="320"/>
      <c r="P54" s="320"/>
      <c r="Q54" s="320"/>
      <c r="R54" s="320"/>
      <c r="S54" s="320"/>
      <c r="T54" s="320"/>
      <c r="U54" s="320"/>
      <c r="V54" s="320"/>
      <c r="X54" s="332"/>
      <c r="Y54" s="332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2"/>
      <c r="AP54" s="332"/>
      <c r="AQ54" s="332"/>
      <c r="AR54" s="332"/>
      <c r="AS54" s="332"/>
      <c r="AT54" s="332"/>
      <c r="AU54" s="332"/>
      <c r="AV54" s="332"/>
    </row>
    <row r="55" spans="10:48" ht="15" customHeight="1" x14ac:dyDescent="0.25">
      <c r="J55" s="139"/>
      <c r="M55" s="204"/>
      <c r="N55" s="320"/>
      <c r="O55" s="320"/>
      <c r="P55" s="320"/>
      <c r="Q55" s="320"/>
      <c r="R55" s="320"/>
      <c r="S55" s="320"/>
      <c r="T55" s="320"/>
      <c r="U55" s="320"/>
      <c r="V55" s="320"/>
      <c r="X55" s="332"/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  <c r="AT55" s="332"/>
      <c r="AU55" s="332"/>
      <c r="AV55" s="332"/>
    </row>
    <row r="56" spans="10:48" ht="15" customHeight="1" x14ac:dyDescent="0.25">
      <c r="J56" s="139"/>
      <c r="M56" s="204"/>
      <c r="N56" s="320"/>
      <c r="O56" s="320"/>
      <c r="P56" s="320"/>
      <c r="Q56" s="320"/>
      <c r="R56" s="320"/>
      <c r="S56" s="320"/>
      <c r="T56" s="320"/>
      <c r="U56" s="320"/>
      <c r="V56" s="320"/>
      <c r="X56" s="332"/>
      <c r="Y56" s="332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  <c r="AS56" s="332"/>
      <c r="AT56" s="332"/>
      <c r="AU56" s="332"/>
      <c r="AV56" s="332"/>
    </row>
    <row r="57" spans="10:48" ht="15" customHeight="1" x14ac:dyDescent="0.25">
      <c r="N57" s="320"/>
      <c r="O57" s="320"/>
      <c r="P57" s="320"/>
      <c r="Q57" s="320"/>
      <c r="R57" s="320"/>
      <c r="S57" s="320"/>
      <c r="T57" s="320"/>
      <c r="U57" s="320"/>
      <c r="V57" s="320"/>
      <c r="X57" s="332"/>
      <c r="Y57" s="332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  <c r="AS57" s="332"/>
      <c r="AT57" s="332"/>
      <c r="AU57" s="332"/>
      <c r="AV57" s="332"/>
    </row>
    <row r="58" spans="10:48" ht="15" customHeight="1" x14ac:dyDescent="0.25">
      <c r="N58" s="320"/>
      <c r="O58" s="320"/>
      <c r="P58" s="320"/>
      <c r="Q58" s="320"/>
      <c r="R58" s="320"/>
      <c r="S58" s="320"/>
      <c r="T58" s="320"/>
      <c r="U58" s="320"/>
      <c r="V58" s="320"/>
      <c r="X58" s="332"/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  <c r="AS58" s="332"/>
      <c r="AT58" s="332"/>
      <c r="AU58" s="332"/>
      <c r="AV58" s="332"/>
    </row>
    <row r="59" spans="10:48" ht="15" customHeight="1" x14ac:dyDescent="0.25">
      <c r="N59" s="320"/>
      <c r="O59" s="320"/>
      <c r="P59" s="320"/>
      <c r="Q59" s="320"/>
      <c r="R59" s="320"/>
      <c r="S59" s="320"/>
      <c r="T59" s="320"/>
      <c r="U59" s="320"/>
      <c r="V59" s="320"/>
      <c r="X59" s="332"/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  <c r="AT59" s="332"/>
      <c r="AU59" s="332"/>
      <c r="AV59" s="332"/>
    </row>
    <row r="60" spans="10:48" ht="15" customHeight="1" x14ac:dyDescent="0.25">
      <c r="N60" s="320"/>
      <c r="O60" s="320"/>
      <c r="P60" s="320"/>
      <c r="Q60" s="320"/>
      <c r="R60" s="320"/>
      <c r="S60" s="320"/>
      <c r="T60" s="320"/>
      <c r="U60" s="320"/>
      <c r="V60" s="320"/>
      <c r="X60" s="332"/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  <c r="AS60" s="332"/>
      <c r="AT60" s="332"/>
      <c r="AU60" s="332"/>
      <c r="AV60" s="332"/>
    </row>
    <row r="61" spans="10:48" ht="15" customHeight="1" x14ac:dyDescent="0.25">
      <c r="N61" s="320"/>
      <c r="O61" s="320"/>
      <c r="P61" s="320"/>
      <c r="Q61" s="320"/>
      <c r="R61" s="320"/>
      <c r="S61" s="320"/>
      <c r="T61" s="320"/>
      <c r="U61" s="320"/>
      <c r="V61" s="320"/>
      <c r="X61" s="332"/>
      <c r="Y61" s="332"/>
      <c r="Z61" s="332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  <c r="AS61" s="332"/>
      <c r="AT61" s="332"/>
      <c r="AU61" s="332"/>
      <c r="AV61" s="332"/>
    </row>
    <row r="62" spans="10:48" ht="15" customHeight="1" x14ac:dyDescent="0.25">
      <c r="N62" s="320"/>
      <c r="O62" s="320"/>
      <c r="P62" s="320"/>
      <c r="Q62" s="320"/>
      <c r="R62" s="320"/>
      <c r="S62" s="320"/>
      <c r="T62" s="320"/>
      <c r="U62" s="320"/>
      <c r="V62" s="320"/>
      <c r="X62" s="332"/>
      <c r="Y62" s="332"/>
      <c r="Z62" s="332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332"/>
      <c r="AM62" s="332"/>
      <c r="AN62" s="332"/>
      <c r="AO62" s="332"/>
      <c r="AP62" s="332"/>
      <c r="AQ62" s="332"/>
      <c r="AR62" s="332"/>
      <c r="AS62" s="332"/>
      <c r="AT62" s="332"/>
      <c r="AU62" s="332"/>
      <c r="AV62" s="332"/>
    </row>
    <row r="63" spans="10:48" ht="15" customHeight="1" x14ac:dyDescent="0.25">
      <c r="N63" s="320"/>
      <c r="O63" s="320"/>
      <c r="P63" s="320"/>
      <c r="Q63" s="320"/>
      <c r="R63" s="320"/>
      <c r="S63" s="320"/>
      <c r="T63" s="320"/>
      <c r="U63" s="320"/>
      <c r="V63" s="320"/>
      <c r="X63" s="332"/>
      <c r="Y63" s="332"/>
      <c r="Z63" s="332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  <c r="AS63" s="332"/>
      <c r="AT63" s="332"/>
      <c r="AU63" s="332"/>
      <c r="AV63" s="332"/>
    </row>
    <row r="64" spans="10:48" ht="15" customHeight="1" x14ac:dyDescent="0.25">
      <c r="N64" s="320"/>
      <c r="O64" s="320"/>
      <c r="P64" s="320"/>
      <c r="Q64" s="320"/>
      <c r="R64" s="320"/>
      <c r="S64" s="320"/>
      <c r="T64" s="320"/>
      <c r="U64" s="320"/>
      <c r="V64" s="320"/>
      <c r="X64" s="332"/>
      <c r="Y64" s="332"/>
      <c r="Z64" s="332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  <c r="AS64" s="332"/>
      <c r="AT64" s="332"/>
      <c r="AU64" s="332"/>
      <c r="AV64" s="332"/>
    </row>
    <row r="65" spans="14:48" ht="15" customHeight="1" x14ac:dyDescent="0.25">
      <c r="N65" s="320"/>
      <c r="O65" s="320"/>
      <c r="P65" s="320"/>
      <c r="Q65" s="320"/>
      <c r="R65" s="320"/>
      <c r="S65" s="320"/>
      <c r="T65" s="320"/>
      <c r="U65" s="320"/>
      <c r="V65" s="320"/>
      <c r="X65" s="332"/>
      <c r="Y65" s="332"/>
      <c r="Z65" s="332"/>
      <c r="AA65" s="332"/>
      <c r="AB65" s="332"/>
      <c r="AC65" s="332"/>
      <c r="AD65" s="332"/>
      <c r="AE65" s="332"/>
      <c r="AF65" s="332"/>
      <c r="AG65" s="332"/>
      <c r="AH65" s="332"/>
      <c r="AI65" s="332"/>
      <c r="AJ65" s="332"/>
      <c r="AK65" s="332"/>
      <c r="AL65" s="332"/>
      <c r="AM65" s="332"/>
      <c r="AN65" s="332"/>
      <c r="AO65" s="332"/>
      <c r="AP65" s="332"/>
      <c r="AQ65" s="332"/>
      <c r="AR65" s="332"/>
      <c r="AS65" s="332"/>
      <c r="AT65" s="332"/>
      <c r="AU65" s="332"/>
      <c r="AV65" s="332"/>
    </row>
    <row r="66" spans="14:48" ht="15" customHeight="1" x14ac:dyDescent="0.25">
      <c r="N66" s="320"/>
      <c r="O66" s="320"/>
      <c r="P66" s="320"/>
      <c r="Q66" s="320"/>
      <c r="R66" s="320"/>
      <c r="S66" s="320"/>
      <c r="T66" s="320"/>
      <c r="U66" s="320"/>
      <c r="V66" s="320"/>
      <c r="X66" s="332"/>
      <c r="Y66" s="332"/>
      <c r="Z66" s="332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  <c r="AT66" s="332"/>
      <c r="AU66" s="332"/>
      <c r="AV66" s="332"/>
    </row>
    <row r="67" spans="14:48" ht="15" customHeight="1" x14ac:dyDescent="0.25">
      <c r="N67" s="320"/>
      <c r="O67" s="320"/>
      <c r="P67" s="320"/>
      <c r="Q67" s="320"/>
      <c r="R67" s="320"/>
      <c r="S67" s="320"/>
      <c r="T67" s="320"/>
      <c r="U67" s="320"/>
      <c r="V67" s="320"/>
      <c r="X67" s="332"/>
      <c r="Y67" s="332"/>
      <c r="Z67" s="332"/>
      <c r="AA67" s="332"/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  <c r="AS67" s="332"/>
      <c r="AT67" s="332"/>
      <c r="AU67" s="332"/>
      <c r="AV67" s="332"/>
    </row>
    <row r="68" spans="14:48" ht="15" customHeight="1" x14ac:dyDescent="0.25">
      <c r="N68" s="320"/>
      <c r="O68" s="320"/>
      <c r="P68" s="320"/>
      <c r="Q68" s="320"/>
      <c r="R68" s="320"/>
      <c r="S68" s="320"/>
      <c r="T68" s="320"/>
      <c r="U68" s="320"/>
      <c r="V68" s="320"/>
      <c r="X68" s="332"/>
      <c r="Y68" s="332"/>
      <c r="Z68" s="332"/>
      <c r="AA68" s="332"/>
      <c r="AB68" s="332"/>
      <c r="AC68" s="332"/>
      <c r="AD68" s="332"/>
      <c r="AE68" s="332"/>
      <c r="AF68" s="332"/>
      <c r="AG68" s="332"/>
      <c r="AH68" s="332"/>
      <c r="AI68" s="332"/>
      <c r="AJ68" s="332"/>
      <c r="AK68" s="332"/>
      <c r="AL68" s="332"/>
      <c r="AM68" s="332"/>
      <c r="AN68" s="332"/>
      <c r="AO68" s="332"/>
      <c r="AP68" s="332"/>
      <c r="AQ68" s="332"/>
      <c r="AR68" s="332"/>
      <c r="AS68" s="332"/>
      <c r="AT68" s="332"/>
      <c r="AU68" s="332"/>
      <c r="AV68" s="332"/>
    </row>
    <row r="69" spans="14:48" ht="15" customHeight="1" x14ac:dyDescent="0.25">
      <c r="N69" s="320"/>
      <c r="O69" s="320"/>
      <c r="P69" s="320"/>
      <c r="Q69" s="320"/>
      <c r="R69" s="320"/>
      <c r="S69" s="320"/>
      <c r="T69" s="320"/>
      <c r="U69" s="320"/>
      <c r="V69" s="320"/>
      <c r="X69" s="332"/>
      <c r="Y69" s="332"/>
      <c r="Z69" s="332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  <c r="AS69" s="332"/>
      <c r="AT69" s="332"/>
      <c r="AU69" s="332"/>
      <c r="AV69" s="332"/>
    </row>
    <row r="70" spans="14:48" ht="15" customHeight="1" x14ac:dyDescent="0.25">
      <c r="N70" s="320"/>
      <c r="O70" s="320"/>
      <c r="P70" s="320"/>
      <c r="Q70" s="320"/>
      <c r="R70" s="320"/>
      <c r="S70" s="320"/>
      <c r="T70" s="320"/>
      <c r="U70" s="320"/>
      <c r="V70" s="320"/>
    </row>
  </sheetData>
  <mergeCells count="10">
    <mergeCell ref="S43:T43"/>
    <mergeCell ref="N6:P6"/>
    <mergeCell ref="F5:G5"/>
    <mergeCell ref="Q6:S6"/>
    <mergeCell ref="AC6:AE6"/>
    <mergeCell ref="S37:W38"/>
    <mergeCell ref="S39:T39"/>
    <mergeCell ref="S40:T40"/>
    <mergeCell ref="S41:T41"/>
    <mergeCell ref="S42:T42"/>
  </mergeCells>
  <conditionalFormatting sqref="N7:N34">
    <cfRule type="cellIs" dxfId="14" priority="4" operator="equal">
      <formula>$N$3</formula>
    </cfRule>
    <cfRule type="cellIs" dxfId="13" priority="5" operator="equal">
      <formula>"o3"</formula>
    </cfRule>
    <cfRule type="cellIs" dxfId="12" priority="6" operator="equal">
      <formula>"o3"</formula>
    </cfRule>
  </conditionalFormatting>
  <conditionalFormatting sqref="O7:O34">
    <cfRule type="cellIs" dxfId="11" priority="3" operator="equal">
      <formula>$O$3</formula>
    </cfRule>
  </conditionalFormatting>
  <conditionalFormatting sqref="P7:T7 P8:S34">
    <cfRule type="cellIs" dxfId="10" priority="2" operator="equal">
      <formula>$P$3</formula>
    </cfRule>
  </conditionalFormatting>
  <conditionalFormatting sqref="T8:T34">
    <cfRule type="cellIs" dxfId="9" priority="1" operator="equal">
      <formula>$P$3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Y70"/>
  <sheetViews>
    <sheetView zoomScale="85" zoomScaleNormal="85" workbookViewId="0">
      <selection activeCell="Z45" sqref="Z45:Z47"/>
    </sheetView>
  </sheetViews>
  <sheetFormatPr baseColWidth="10" defaultColWidth="11.42578125" defaultRowHeight="15" customHeight="1" x14ac:dyDescent="0.25"/>
  <cols>
    <col min="10" max="11" width="11.42578125" customWidth="1"/>
    <col min="20" max="20" width="11.42578125" customWidth="1"/>
    <col min="33" max="33" width="11.42578125" customWidth="1"/>
    <col min="35" max="41" width="11.42578125" customWidth="1"/>
  </cols>
  <sheetData>
    <row r="1" spans="2:51" ht="15" customHeight="1" x14ac:dyDescent="0.25">
      <c r="I1" s="135"/>
    </row>
    <row r="2" spans="2:51" ht="15" customHeight="1" x14ac:dyDescent="0.25">
      <c r="B2" s="314" t="s">
        <v>429</v>
      </c>
      <c r="C2" s="314"/>
      <c r="D2" s="314"/>
      <c r="N2" s="138"/>
    </row>
    <row r="3" spans="2:51" ht="15" customHeight="1" x14ac:dyDescent="0.25">
      <c r="B3" s="314"/>
      <c r="C3" s="314"/>
      <c r="D3" s="314"/>
      <c r="P3" s="404" t="s">
        <v>45</v>
      </c>
      <c r="Q3" s="363">
        <f>MIN(Q7:Q34)</f>
        <v>0.15185308988179202</v>
      </c>
      <c r="R3" s="363">
        <f>MIN(R7:R34)</f>
        <v>0.16755918661637614</v>
      </c>
      <c r="S3" s="364">
        <f>MIN(S7:S34)</f>
        <v>0.18227546273073036</v>
      </c>
      <c r="T3" s="324"/>
      <c r="U3" s="324"/>
      <c r="V3" s="324"/>
      <c r="W3" s="324"/>
      <c r="X3" s="324"/>
      <c r="Y3" s="324"/>
      <c r="Z3" s="321"/>
      <c r="AG3" s="354"/>
      <c r="AH3" s="354"/>
      <c r="AI3" s="354"/>
    </row>
    <row r="4" spans="2:51" ht="15" customHeight="1" x14ac:dyDescent="0.25">
      <c r="B4" s="312" t="s">
        <v>56</v>
      </c>
      <c r="C4" s="312" t="s">
        <v>53</v>
      </c>
      <c r="E4" s="136" t="s">
        <v>430</v>
      </c>
      <c r="F4" s="147">
        <v>360</v>
      </c>
      <c r="G4" s="137" t="s">
        <v>50</v>
      </c>
      <c r="H4" s="308" t="s">
        <v>46</v>
      </c>
      <c r="P4" s="1179" t="s">
        <v>47</v>
      </c>
      <c r="Q4" s="226">
        <v>6</v>
      </c>
      <c r="R4" s="226">
        <v>8</v>
      </c>
      <c r="S4" s="227">
        <v>10</v>
      </c>
      <c r="T4" s="228"/>
      <c r="U4" s="228"/>
      <c r="V4" s="228"/>
      <c r="W4" s="228"/>
      <c r="X4" s="228"/>
      <c r="Y4" s="228"/>
      <c r="Z4" s="309"/>
      <c r="AA4" s="332"/>
      <c r="AB4" s="332"/>
      <c r="AC4" s="332"/>
      <c r="AD4" s="355"/>
      <c r="AE4" s="356"/>
      <c r="AF4" s="356"/>
      <c r="AG4" s="355"/>
      <c r="AH4" s="355"/>
      <c r="AI4" s="355"/>
      <c r="AJ4" s="332"/>
      <c r="AK4" s="332"/>
      <c r="AL4" s="332"/>
      <c r="AM4" s="332"/>
      <c r="AN4" s="332"/>
      <c r="AO4" s="332"/>
      <c r="AP4" s="332"/>
      <c r="AQ4" s="332"/>
      <c r="AR4" s="332"/>
      <c r="AS4" s="332"/>
      <c r="AT4" s="332"/>
      <c r="AU4" s="332"/>
      <c r="AV4" s="332"/>
      <c r="AW4" s="332"/>
      <c r="AX4" s="332"/>
      <c r="AY4" s="332"/>
    </row>
    <row r="5" spans="2:51" ht="15" customHeight="1" x14ac:dyDescent="0.25">
      <c r="B5" s="138">
        <v>10</v>
      </c>
      <c r="C5" s="147">
        <v>45000</v>
      </c>
      <c r="D5" s="147"/>
      <c r="H5" s="1209" t="s">
        <v>48</v>
      </c>
      <c r="I5" s="1208"/>
      <c r="J5" s="1184" t="s">
        <v>431</v>
      </c>
      <c r="K5" s="139">
        <f>(K8+K10+K16+K18+K26)^0.5</f>
        <v>3828.9162957682947</v>
      </c>
      <c r="O5" s="309"/>
      <c r="P5" s="362"/>
      <c r="Q5" s="322">
        <f>Q4/100</f>
        <v>0.06</v>
      </c>
      <c r="R5" s="322">
        <f t="shared" ref="R5:S5" si="0">R4/100</f>
        <v>0.08</v>
      </c>
      <c r="S5" s="361">
        <f t="shared" si="0"/>
        <v>0.1</v>
      </c>
      <c r="T5" s="384">
        <f>MAX(AC7:AC34)</f>
        <v>0.80000000000000016</v>
      </c>
      <c r="U5" s="385">
        <f>MAX(AD7:AD34)</f>
        <v>0.90000000000000024</v>
      </c>
      <c r="V5" s="386">
        <f>MAX(AE7:AE34)</f>
        <v>0.95000000000000029</v>
      </c>
      <c r="W5" s="324"/>
      <c r="X5" s="324"/>
      <c r="Y5" s="324"/>
      <c r="AC5" s="335"/>
      <c r="AD5" s="357"/>
      <c r="AE5" s="357"/>
      <c r="AF5" s="384">
        <f>MAX(AF7:AF34)</f>
        <v>11.687499999999998</v>
      </c>
      <c r="AG5" s="384">
        <f t="shared" ref="AG5:AH5" si="1">MAX(AG7:AG34)</f>
        <v>9.8240740740740691</v>
      </c>
      <c r="AH5" s="384">
        <f t="shared" si="1"/>
        <v>9.0394736842105221</v>
      </c>
      <c r="AI5" s="359"/>
      <c r="AJ5" s="339"/>
      <c r="AK5" s="339"/>
      <c r="AL5" s="339"/>
      <c r="AM5" s="340"/>
      <c r="AN5" s="340"/>
      <c r="AO5" s="340"/>
      <c r="AP5" s="339"/>
      <c r="AQ5" s="339"/>
      <c r="AR5" s="339"/>
      <c r="AS5" s="340"/>
      <c r="AT5" s="340"/>
      <c r="AU5" s="340"/>
      <c r="AV5" s="336"/>
      <c r="AW5" s="336"/>
      <c r="AX5" s="336"/>
      <c r="AY5" s="332"/>
    </row>
    <row r="6" spans="2:51" ht="15" customHeight="1" x14ac:dyDescent="0.25">
      <c r="B6" s="138">
        <v>20</v>
      </c>
      <c r="C6" s="147">
        <v>25000</v>
      </c>
      <c r="D6" s="147"/>
      <c r="F6" s="139">
        <f>(J10-J18)/((1/H10)-(1/H18))</f>
        <v>5400.0000000000009</v>
      </c>
      <c r="G6" s="170" t="s">
        <v>60</v>
      </c>
      <c r="H6" s="1181" t="s">
        <v>51</v>
      </c>
      <c r="I6" s="1182" t="s">
        <v>52</v>
      </c>
      <c r="J6" s="1182" t="s">
        <v>53</v>
      </c>
      <c r="K6" s="1182" t="s">
        <v>432</v>
      </c>
      <c r="M6" s="1180" t="s">
        <v>53</v>
      </c>
      <c r="N6" s="1180" t="s">
        <v>54</v>
      </c>
      <c r="O6" s="1180" t="s">
        <v>55</v>
      </c>
      <c r="P6" s="1180" t="s">
        <v>56</v>
      </c>
      <c r="Q6" s="1208" t="s">
        <v>57</v>
      </c>
      <c r="R6" s="1208"/>
      <c r="S6" s="1208"/>
      <c r="T6" s="1210" t="s">
        <v>58</v>
      </c>
      <c r="U6" s="1211"/>
      <c r="V6" s="1212"/>
      <c r="W6" s="1183"/>
      <c r="X6" s="1183"/>
      <c r="Y6" s="1183"/>
      <c r="AA6" s="333"/>
      <c r="AB6" s="334"/>
      <c r="AC6" s="335"/>
      <c r="AD6" s="357"/>
      <c r="AE6" s="357"/>
      <c r="AF6" s="1210" t="s">
        <v>59</v>
      </c>
      <c r="AG6" s="1211"/>
      <c r="AH6" s="1212"/>
      <c r="AI6" s="359"/>
      <c r="AJ6" s="339"/>
      <c r="AK6" s="339"/>
      <c r="AL6" s="339"/>
      <c r="AM6" s="340"/>
      <c r="AN6" s="340"/>
      <c r="AO6" s="340"/>
      <c r="AP6" s="339"/>
      <c r="AQ6" s="339"/>
      <c r="AR6" s="339"/>
      <c r="AS6" s="340"/>
      <c r="AT6" s="340"/>
      <c r="AU6" s="340"/>
      <c r="AV6" s="336"/>
      <c r="AW6" s="336"/>
      <c r="AX6" s="336"/>
      <c r="AY6" s="332"/>
    </row>
    <row r="7" spans="2:51" ht="15" customHeight="1" x14ac:dyDescent="0.25">
      <c r="B7" s="138">
        <v>50</v>
      </c>
      <c r="C7" s="147">
        <v>10000</v>
      </c>
      <c r="D7" s="147"/>
      <c r="F7" s="318">
        <f>F6/$F$4</f>
        <v>15.000000000000002</v>
      </c>
      <c r="G7" s="170" t="s">
        <v>61</v>
      </c>
      <c r="H7" s="204">
        <v>0.05</v>
      </c>
      <c r="I7" s="147">
        <f t="shared" ref="I7" si="2">$F$15+$F$17*(1/$H7-1)</f>
        <v>94770</v>
      </c>
      <c r="J7" s="309"/>
      <c r="K7" s="309"/>
      <c r="L7" s="147"/>
      <c r="M7" s="328">
        <f t="shared" ref="M7:M34" si="3">I7</f>
        <v>94770</v>
      </c>
      <c r="N7" s="310">
        <f t="shared" ref="N7:N34" si="4">M7/$F$4</f>
        <v>263.25</v>
      </c>
      <c r="O7" s="326">
        <f t="shared" ref="O7:O34" si="5">1/P7</f>
        <v>20</v>
      </c>
      <c r="P7" s="325">
        <f>H7</f>
        <v>0.05</v>
      </c>
      <c r="Q7" s="365">
        <f>(((1+Q$5)^$N7)/((1+Q$5)^$N7-1))*Q$5*$O7</f>
        <v>1.200000261464246</v>
      </c>
      <c r="R7" s="366">
        <f t="shared" ref="R7:S22" si="6">(((1+R$5)^$N7)/((1+R$5)^$N7-1))*R$5*$O7</f>
        <v>1.6000000025428243</v>
      </c>
      <c r="S7" s="366">
        <f t="shared" si="6"/>
        <v>2.0000000000253748</v>
      </c>
      <c r="T7" s="371">
        <f>IF($P7&lt;T$5,-1000000,IF($P7=T$5,0,1000000))</f>
        <v>-1000000</v>
      </c>
      <c r="U7" s="369">
        <f t="shared" ref="U7:V22" si="7">IF($P7&lt;U$5,-1000000,IF($P7=U$5,0,1000000))</f>
        <v>-1000000</v>
      </c>
      <c r="V7" s="369">
        <f t="shared" si="7"/>
        <v>-1000000</v>
      </c>
      <c r="W7" s="377">
        <f>Q$3</f>
        <v>0.15185308988179202</v>
      </c>
      <c r="X7" s="375">
        <f t="shared" ref="X7:Y22" si="8">R$3</f>
        <v>0.16755918661637614</v>
      </c>
      <c r="Y7" s="378">
        <f t="shared" si="8"/>
        <v>0.18227546273073036</v>
      </c>
      <c r="Z7" s="226">
        <f>IF(Q7=Q$3,1,0)</f>
        <v>0</v>
      </c>
      <c r="AA7" s="226">
        <f>IF(R7=R$3,1,0)</f>
        <v>0</v>
      </c>
      <c r="AB7" s="227">
        <f>IF(S7=S$3,1,0)</f>
        <v>0</v>
      </c>
      <c r="AC7" s="387">
        <f t="shared" ref="AC7:AE34" si="9">$P7*Z7</f>
        <v>0</v>
      </c>
      <c r="AD7" s="388">
        <f t="shared" si="9"/>
        <v>0</v>
      </c>
      <c r="AE7" s="389">
        <f t="shared" si="9"/>
        <v>0</v>
      </c>
      <c r="AF7" s="396">
        <f>Z7*$N7</f>
        <v>0</v>
      </c>
      <c r="AG7" s="397">
        <f t="shared" ref="AG7:AH22" si="10">AA7*$N7</f>
        <v>0</v>
      </c>
      <c r="AH7" s="398">
        <f t="shared" si="10"/>
        <v>0</v>
      </c>
      <c r="AI7" s="359"/>
      <c r="AJ7" s="339"/>
      <c r="AK7" s="339"/>
      <c r="AL7" s="339"/>
      <c r="AM7" s="340"/>
      <c r="AN7" s="340"/>
      <c r="AO7" s="340"/>
      <c r="AP7" s="339"/>
      <c r="AQ7" s="339"/>
      <c r="AR7" s="339"/>
      <c r="AS7" s="340"/>
      <c r="AT7" s="340"/>
      <c r="AU7" s="340"/>
      <c r="AV7" s="336"/>
      <c r="AW7" s="336"/>
      <c r="AX7" s="336"/>
      <c r="AY7" s="332"/>
    </row>
    <row r="8" spans="2:51" ht="15" customHeight="1" x14ac:dyDescent="0.25">
      <c r="B8" s="138">
        <v>60</v>
      </c>
      <c r="C8" s="139">
        <v>7000</v>
      </c>
      <c r="D8" s="139"/>
      <c r="F8" s="314"/>
      <c r="G8" s="314"/>
      <c r="H8" s="204">
        <f>H7+0.05</f>
        <v>0.1</v>
      </c>
      <c r="I8" s="147">
        <f>$F$15+$F$17*(1/$H8-1)</f>
        <v>46470</v>
      </c>
      <c r="J8" s="147">
        <f>C5</f>
        <v>45000</v>
      </c>
      <c r="K8" s="1185">
        <f>(J8-I8)^2</f>
        <v>2160900</v>
      </c>
      <c r="L8" s="147"/>
      <c r="M8" s="328">
        <f t="shared" si="3"/>
        <v>46470</v>
      </c>
      <c r="N8" s="310">
        <f t="shared" si="4"/>
        <v>129.08333333333334</v>
      </c>
      <c r="O8" s="326">
        <f t="shared" si="5"/>
        <v>10</v>
      </c>
      <c r="P8" s="325">
        <f t="shared" ref="P8:P34" si="11">H8</f>
        <v>0.1</v>
      </c>
      <c r="Q8" s="367">
        <f t="shared" ref="Q8:S34" si="12">(((1+Q$5)^$N8)/((1+Q$5)^$N8-1))*Q$5*$O8</f>
        <v>0.60032495330207802</v>
      </c>
      <c r="R8" s="324">
        <f t="shared" si="6"/>
        <v>0.80003878477449875</v>
      </c>
      <c r="S8" s="324">
        <f t="shared" si="6"/>
        <v>1.000004538331287</v>
      </c>
      <c r="T8" s="372">
        <f t="shared" ref="T8:V34" si="13">IF($P8&lt;T$5,-1000000,IF($P8=T$5,0,1000000))</f>
        <v>-1000000</v>
      </c>
      <c r="U8" s="370">
        <f t="shared" si="7"/>
        <v>-1000000</v>
      </c>
      <c r="V8" s="370">
        <f t="shared" si="7"/>
        <v>-1000000</v>
      </c>
      <c r="W8" s="379">
        <f t="shared" ref="W8:Y34" si="14">Q$3</f>
        <v>0.15185308988179202</v>
      </c>
      <c r="X8" s="376">
        <f t="shared" si="8"/>
        <v>0.16755918661637614</v>
      </c>
      <c r="Y8" s="380">
        <f t="shared" si="8"/>
        <v>0.18227546273073036</v>
      </c>
      <c r="Z8" s="228">
        <f t="shared" ref="Z8:AB34" si="15">IF(Q8=Q$3,1,0)</f>
        <v>0</v>
      </c>
      <c r="AA8" s="228">
        <f t="shared" si="15"/>
        <v>0</v>
      </c>
      <c r="AB8" s="229">
        <f t="shared" si="15"/>
        <v>0</v>
      </c>
      <c r="AC8" s="390">
        <f t="shared" si="9"/>
        <v>0</v>
      </c>
      <c r="AD8" s="337">
        <f t="shared" si="9"/>
        <v>0</v>
      </c>
      <c r="AE8" s="391">
        <f t="shared" si="9"/>
        <v>0</v>
      </c>
      <c r="AF8" s="399">
        <f t="shared" ref="AF8:AH34" si="16">Z8*$N8</f>
        <v>0</v>
      </c>
      <c r="AG8" s="358">
        <f t="shared" si="10"/>
        <v>0</v>
      </c>
      <c r="AH8" s="400">
        <f t="shared" si="10"/>
        <v>0</v>
      </c>
      <c r="AI8" s="359"/>
      <c r="AJ8" s="339"/>
      <c r="AK8" s="339"/>
      <c r="AL8" s="339"/>
      <c r="AM8" s="340"/>
      <c r="AN8" s="340"/>
      <c r="AO8" s="340"/>
      <c r="AP8" s="339"/>
      <c r="AQ8" s="339"/>
      <c r="AR8" s="339"/>
      <c r="AS8" s="340"/>
      <c r="AT8" s="340"/>
      <c r="AU8" s="340"/>
      <c r="AV8" s="336"/>
      <c r="AW8" s="336"/>
      <c r="AX8" s="336"/>
      <c r="AY8" s="332"/>
    </row>
    <row r="9" spans="2:51" ht="15" customHeight="1" x14ac:dyDescent="0.25">
      <c r="B9" s="138">
        <v>100</v>
      </c>
      <c r="C9" s="147">
        <v>3000</v>
      </c>
      <c r="D9" s="147"/>
      <c r="E9" s="316"/>
      <c r="H9" s="204">
        <f t="shared" ref="H9:H34" si="17">H8+0.05</f>
        <v>0.15000000000000002</v>
      </c>
      <c r="I9" s="147">
        <f t="shared" ref="I9:I34" si="18">$F$15+$F$17*(1/$H9-1)</f>
        <v>30369.999999999996</v>
      </c>
      <c r="J9" s="309"/>
      <c r="K9" s="1031"/>
      <c r="L9" s="147"/>
      <c r="M9" s="328">
        <f t="shared" si="3"/>
        <v>30369.999999999996</v>
      </c>
      <c r="N9" s="310">
        <f t="shared" si="4"/>
        <v>84.3611111111111</v>
      </c>
      <c r="O9" s="326">
        <f t="shared" si="5"/>
        <v>6.6666666666666661</v>
      </c>
      <c r="P9" s="325">
        <f t="shared" si="11"/>
        <v>0.15000000000000002</v>
      </c>
      <c r="Q9" s="367">
        <f>(((1+Q$5)^$N9)/((1+Q$5)^$N9-1))*Q$5*$O9</f>
        <v>0.40295409640262131</v>
      </c>
      <c r="R9" s="324">
        <f t="shared" si="6"/>
        <v>0.53414241416942942</v>
      </c>
      <c r="S9" s="324">
        <f t="shared" si="6"/>
        <v>0.66688150697278603</v>
      </c>
      <c r="T9" s="372">
        <f t="shared" si="13"/>
        <v>-1000000</v>
      </c>
      <c r="U9" s="370">
        <f t="shared" si="7"/>
        <v>-1000000</v>
      </c>
      <c r="V9" s="370">
        <f t="shared" si="7"/>
        <v>-1000000</v>
      </c>
      <c r="W9" s="379">
        <f t="shared" si="14"/>
        <v>0.15185308988179202</v>
      </c>
      <c r="X9" s="376">
        <f t="shared" si="8"/>
        <v>0.16755918661637614</v>
      </c>
      <c r="Y9" s="380">
        <f t="shared" si="8"/>
        <v>0.18227546273073036</v>
      </c>
      <c r="Z9" s="228">
        <f t="shared" si="15"/>
        <v>0</v>
      </c>
      <c r="AA9" s="228">
        <f t="shared" si="15"/>
        <v>0</v>
      </c>
      <c r="AB9" s="229">
        <f t="shared" si="15"/>
        <v>0</v>
      </c>
      <c r="AC9" s="390">
        <f t="shared" si="9"/>
        <v>0</v>
      </c>
      <c r="AD9" s="337">
        <f t="shared" si="9"/>
        <v>0</v>
      </c>
      <c r="AE9" s="391">
        <f t="shared" si="9"/>
        <v>0</v>
      </c>
      <c r="AF9" s="399">
        <f t="shared" si="16"/>
        <v>0</v>
      </c>
      <c r="AG9" s="358">
        <f t="shared" si="10"/>
        <v>0</v>
      </c>
      <c r="AH9" s="400">
        <f t="shared" si="10"/>
        <v>0</v>
      </c>
      <c r="AI9" s="359"/>
      <c r="AJ9" s="339"/>
      <c r="AK9" s="339"/>
      <c r="AL9" s="339"/>
      <c r="AM9" s="340"/>
      <c r="AN9" s="340"/>
      <c r="AO9" s="340"/>
      <c r="AP9" s="339"/>
      <c r="AQ9" s="339"/>
      <c r="AR9" s="339"/>
      <c r="AS9" s="340"/>
      <c r="AT9" s="340"/>
      <c r="AU9" s="340"/>
      <c r="AV9" s="336"/>
      <c r="AW9" s="336"/>
      <c r="AX9" s="336"/>
      <c r="AY9" s="332"/>
    </row>
    <row r="10" spans="2:51" ht="15" customHeight="1" x14ac:dyDescent="0.25">
      <c r="C10" s="138"/>
      <c r="D10" s="147"/>
      <c r="F10" s="139">
        <f>J10-F6*(1/H10-1)</f>
        <v>3399.9999999999964</v>
      </c>
      <c r="G10" s="170" t="s">
        <v>60</v>
      </c>
      <c r="H10" s="204">
        <f t="shared" si="17"/>
        <v>0.2</v>
      </c>
      <c r="I10" s="147">
        <f t="shared" si="18"/>
        <v>22320</v>
      </c>
      <c r="J10" s="147">
        <f>C6</f>
        <v>25000</v>
      </c>
      <c r="K10" s="1185">
        <f>(J10-I10)^2</f>
        <v>7182400</v>
      </c>
      <c r="L10" s="147"/>
      <c r="M10" s="328">
        <f t="shared" si="3"/>
        <v>22320</v>
      </c>
      <c r="N10" s="310">
        <f t="shared" si="4"/>
        <v>62</v>
      </c>
      <c r="O10" s="326">
        <f t="shared" si="5"/>
        <v>5</v>
      </c>
      <c r="P10" s="325">
        <f t="shared" si="11"/>
        <v>0.2</v>
      </c>
      <c r="Q10" s="367">
        <f t="shared" si="12"/>
        <v>0.30831832120295488</v>
      </c>
      <c r="R10" s="324">
        <f t="shared" si="6"/>
        <v>0.40341570187212766</v>
      </c>
      <c r="S10" s="324">
        <f t="shared" si="6"/>
        <v>0.50136083014441146</v>
      </c>
      <c r="T10" s="372">
        <f t="shared" si="13"/>
        <v>-1000000</v>
      </c>
      <c r="U10" s="370">
        <f t="shared" si="7"/>
        <v>-1000000</v>
      </c>
      <c r="V10" s="370">
        <f t="shared" si="7"/>
        <v>-1000000</v>
      </c>
      <c r="W10" s="379">
        <f t="shared" si="14"/>
        <v>0.15185308988179202</v>
      </c>
      <c r="X10" s="376">
        <f t="shared" si="8"/>
        <v>0.16755918661637614</v>
      </c>
      <c r="Y10" s="380">
        <f t="shared" si="8"/>
        <v>0.18227546273073036</v>
      </c>
      <c r="Z10" s="228">
        <f t="shared" si="15"/>
        <v>0</v>
      </c>
      <c r="AA10" s="228">
        <f t="shared" si="15"/>
        <v>0</v>
      </c>
      <c r="AB10" s="229">
        <f t="shared" si="15"/>
        <v>0</v>
      </c>
      <c r="AC10" s="390">
        <f t="shared" si="9"/>
        <v>0</v>
      </c>
      <c r="AD10" s="337">
        <f t="shared" si="9"/>
        <v>0</v>
      </c>
      <c r="AE10" s="391">
        <f t="shared" si="9"/>
        <v>0</v>
      </c>
      <c r="AF10" s="399">
        <f t="shared" si="16"/>
        <v>0</v>
      </c>
      <c r="AG10" s="358">
        <f t="shared" si="10"/>
        <v>0</v>
      </c>
      <c r="AH10" s="400">
        <f t="shared" si="10"/>
        <v>0</v>
      </c>
      <c r="AI10" s="359"/>
      <c r="AJ10" s="339"/>
      <c r="AK10" s="339"/>
      <c r="AL10" s="339"/>
      <c r="AM10" s="340"/>
      <c r="AN10" s="340"/>
      <c r="AO10" s="340"/>
      <c r="AP10" s="339"/>
      <c r="AQ10" s="339"/>
      <c r="AR10" s="339"/>
      <c r="AS10" s="340"/>
      <c r="AT10" s="340"/>
      <c r="AU10" s="340"/>
      <c r="AV10" s="336"/>
      <c r="AW10" s="336"/>
      <c r="AX10" s="336"/>
      <c r="AY10" s="332"/>
    </row>
    <row r="11" spans="2:51" ht="15" customHeight="1" x14ac:dyDescent="0.25">
      <c r="F11" s="318">
        <f>F10/$F$4</f>
        <v>9.444444444444434</v>
      </c>
      <c r="G11" s="170" t="s">
        <v>61</v>
      </c>
      <c r="H11" s="204">
        <f t="shared" si="17"/>
        <v>0.25</v>
      </c>
      <c r="I11" s="147">
        <f t="shared" si="18"/>
        <v>17490</v>
      </c>
      <c r="J11" s="309"/>
      <c r="K11" s="1031"/>
      <c r="L11" s="147"/>
      <c r="M11" s="328">
        <f t="shared" si="3"/>
        <v>17490</v>
      </c>
      <c r="N11" s="310">
        <f t="shared" si="4"/>
        <v>48.583333333333336</v>
      </c>
      <c r="O11" s="326">
        <f t="shared" si="5"/>
        <v>4</v>
      </c>
      <c r="P11" s="325">
        <f t="shared" si="11"/>
        <v>0.25</v>
      </c>
      <c r="Q11" s="367">
        <f t="shared" si="12"/>
        <v>0.25503695231476298</v>
      </c>
      <c r="R11" s="324">
        <f t="shared" si="6"/>
        <v>0.32779405780464443</v>
      </c>
      <c r="S11" s="324">
        <f t="shared" si="6"/>
        <v>0.40393840638788037</v>
      </c>
      <c r="T11" s="372">
        <f t="shared" si="13"/>
        <v>-1000000</v>
      </c>
      <c r="U11" s="370">
        <f t="shared" si="7"/>
        <v>-1000000</v>
      </c>
      <c r="V11" s="370">
        <f t="shared" si="7"/>
        <v>-1000000</v>
      </c>
      <c r="W11" s="379">
        <f t="shared" si="14"/>
        <v>0.15185308988179202</v>
      </c>
      <c r="X11" s="376">
        <f t="shared" si="8"/>
        <v>0.16755918661637614</v>
      </c>
      <c r="Y11" s="380">
        <f t="shared" si="8"/>
        <v>0.18227546273073036</v>
      </c>
      <c r="Z11" s="228">
        <f t="shared" si="15"/>
        <v>0</v>
      </c>
      <c r="AA11" s="228">
        <f t="shared" si="15"/>
        <v>0</v>
      </c>
      <c r="AB11" s="229">
        <f t="shared" si="15"/>
        <v>0</v>
      </c>
      <c r="AC11" s="390">
        <f t="shared" si="9"/>
        <v>0</v>
      </c>
      <c r="AD11" s="337">
        <f t="shared" si="9"/>
        <v>0</v>
      </c>
      <c r="AE11" s="391">
        <f t="shared" si="9"/>
        <v>0</v>
      </c>
      <c r="AF11" s="399">
        <f t="shared" si="16"/>
        <v>0</v>
      </c>
      <c r="AG11" s="358">
        <f t="shared" si="10"/>
        <v>0</v>
      </c>
      <c r="AH11" s="400">
        <f t="shared" si="10"/>
        <v>0</v>
      </c>
      <c r="AI11" s="359"/>
      <c r="AJ11" s="339"/>
      <c r="AK11" s="339"/>
      <c r="AL11" s="339"/>
      <c r="AM11" s="340"/>
      <c r="AN11" s="340"/>
      <c r="AO11" s="340"/>
      <c r="AP11" s="339"/>
      <c r="AQ11" s="339"/>
      <c r="AR11" s="339"/>
      <c r="AS11" s="340"/>
      <c r="AT11" s="340"/>
      <c r="AU11" s="340"/>
      <c r="AV11" s="336"/>
      <c r="AW11" s="336"/>
      <c r="AX11" s="336"/>
      <c r="AY11" s="332"/>
    </row>
    <row r="12" spans="2:51" ht="15" customHeight="1" x14ac:dyDescent="0.25">
      <c r="H12" s="204">
        <f t="shared" si="17"/>
        <v>0.3</v>
      </c>
      <c r="I12" s="147">
        <f t="shared" si="18"/>
        <v>14270</v>
      </c>
      <c r="J12" s="319"/>
      <c r="K12" s="1031"/>
      <c r="L12" s="147"/>
      <c r="M12" s="328">
        <f t="shared" si="3"/>
        <v>14270</v>
      </c>
      <c r="N12" s="310">
        <f t="shared" si="4"/>
        <v>39.638888888888886</v>
      </c>
      <c r="O12" s="326">
        <f t="shared" si="5"/>
        <v>3.3333333333333335</v>
      </c>
      <c r="P12" s="325">
        <f t="shared" si="11"/>
        <v>0.3</v>
      </c>
      <c r="Q12" s="367">
        <f t="shared" si="12"/>
        <v>0.22204694512572715</v>
      </c>
      <c r="R12" s="324">
        <f t="shared" si="6"/>
        <v>0.27991450033344778</v>
      </c>
      <c r="S12" s="324">
        <f t="shared" si="6"/>
        <v>0.34113461101685222</v>
      </c>
      <c r="T12" s="372">
        <f t="shared" si="13"/>
        <v>-1000000</v>
      </c>
      <c r="U12" s="370">
        <f t="shared" si="7"/>
        <v>-1000000</v>
      </c>
      <c r="V12" s="370">
        <f t="shared" si="7"/>
        <v>-1000000</v>
      </c>
      <c r="W12" s="379">
        <f t="shared" si="14"/>
        <v>0.15185308988179202</v>
      </c>
      <c r="X12" s="376">
        <f t="shared" si="8"/>
        <v>0.16755918661637614</v>
      </c>
      <c r="Y12" s="380">
        <f t="shared" si="8"/>
        <v>0.18227546273073036</v>
      </c>
      <c r="Z12" s="228">
        <f t="shared" si="15"/>
        <v>0</v>
      </c>
      <c r="AA12" s="228">
        <f t="shared" si="15"/>
        <v>0</v>
      </c>
      <c r="AB12" s="229">
        <f t="shared" si="15"/>
        <v>0</v>
      </c>
      <c r="AC12" s="390">
        <f t="shared" si="9"/>
        <v>0</v>
      </c>
      <c r="AD12" s="337">
        <f t="shared" si="9"/>
        <v>0</v>
      </c>
      <c r="AE12" s="391">
        <f t="shared" si="9"/>
        <v>0</v>
      </c>
      <c r="AF12" s="399">
        <f t="shared" si="16"/>
        <v>0</v>
      </c>
      <c r="AG12" s="358">
        <f t="shared" si="10"/>
        <v>0</v>
      </c>
      <c r="AH12" s="400">
        <f t="shared" si="10"/>
        <v>0</v>
      </c>
      <c r="AI12" s="359"/>
      <c r="AJ12" s="339"/>
      <c r="AK12" s="339"/>
      <c r="AL12" s="339"/>
      <c r="AM12" s="340"/>
      <c r="AN12" s="340"/>
      <c r="AO12" s="340"/>
      <c r="AP12" s="339"/>
      <c r="AQ12" s="339"/>
      <c r="AR12" s="339"/>
      <c r="AS12" s="340"/>
      <c r="AT12" s="340"/>
      <c r="AU12" s="340"/>
      <c r="AV12" s="336"/>
      <c r="AW12" s="336"/>
      <c r="AX12" s="336"/>
      <c r="AY12" s="332"/>
    </row>
    <row r="13" spans="2:51" ht="15" customHeight="1" x14ac:dyDescent="0.25">
      <c r="B13" t="s">
        <v>433</v>
      </c>
      <c r="F13" s="204">
        <f>F6/F10</f>
        <v>1.588235294117649</v>
      </c>
      <c r="G13" s="170" t="s">
        <v>62</v>
      </c>
      <c r="H13" s="204">
        <f t="shared" si="17"/>
        <v>0.35</v>
      </c>
      <c r="I13" s="147">
        <f t="shared" si="18"/>
        <v>11970</v>
      </c>
      <c r="J13" s="309"/>
      <c r="K13" s="1031"/>
      <c r="L13" s="147"/>
      <c r="M13" s="328">
        <f t="shared" si="3"/>
        <v>11970</v>
      </c>
      <c r="N13" s="310">
        <f t="shared" si="4"/>
        <v>33.25</v>
      </c>
      <c r="O13" s="326">
        <f t="shared" si="5"/>
        <v>2.8571428571428572</v>
      </c>
      <c r="P13" s="325">
        <f t="shared" si="11"/>
        <v>0.35</v>
      </c>
      <c r="Q13" s="367">
        <f t="shared" si="12"/>
        <v>0.20028389965633114</v>
      </c>
      <c r="R13" s="324">
        <f t="shared" si="6"/>
        <v>0.24774318231545697</v>
      </c>
      <c r="S13" s="324">
        <f t="shared" si="6"/>
        <v>0.29825375447533614</v>
      </c>
      <c r="T13" s="372">
        <f t="shared" si="13"/>
        <v>-1000000</v>
      </c>
      <c r="U13" s="370">
        <f t="shared" si="7"/>
        <v>-1000000</v>
      </c>
      <c r="V13" s="370">
        <f t="shared" si="7"/>
        <v>-1000000</v>
      </c>
      <c r="W13" s="379">
        <f t="shared" si="14"/>
        <v>0.15185308988179202</v>
      </c>
      <c r="X13" s="376">
        <f t="shared" si="8"/>
        <v>0.16755918661637614</v>
      </c>
      <c r="Y13" s="380">
        <f t="shared" si="8"/>
        <v>0.18227546273073036</v>
      </c>
      <c r="Z13" s="228">
        <f t="shared" si="15"/>
        <v>0</v>
      </c>
      <c r="AA13" s="228">
        <f t="shared" si="15"/>
        <v>0</v>
      </c>
      <c r="AB13" s="229">
        <f t="shared" si="15"/>
        <v>0</v>
      </c>
      <c r="AC13" s="390">
        <f t="shared" si="9"/>
        <v>0</v>
      </c>
      <c r="AD13" s="337">
        <f t="shared" si="9"/>
        <v>0</v>
      </c>
      <c r="AE13" s="391">
        <f t="shared" si="9"/>
        <v>0</v>
      </c>
      <c r="AF13" s="399">
        <f t="shared" si="16"/>
        <v>0</v>
      </c>
      <c r="AG13" s="358">
        <f t="shared" si="10"/>
        <v>0</v>
      </c>
      <c r="AH13" s="400">
        <f t="shared" si="10"/>
        <v>0</v>
      </c>
      <c r="AI13" s="359"/>
      <c r="AJ13" s="339"/>
      <c r="AK13" s="339"/>
      <c r="AL13" s="339"/>
      <c r="AM13" s="340"/>
      <c r="AN13" s="340"/>
      <c r="AO13" s="340"/>
      <c r="AP13" s="339"/>
      <c r="AQ13" s="339"/>
      <c r="AR13" s="339"/>
      <c r="AS13" s="340"/>
      <c r="AT13" s="340"/>
      <c r="AU13" s="340"/>
      <c r="AV13" s="336"/>
      <c r="AW13" s="336"/>
      <c r="AX13" s="336"/>
      <c r="AY13" s="332"/>
    </row>
    <row r="14" spans="2:51" ht="15" customHeight="1" x14ac:dyDescent="0.25">
      <c r="H14" s="204">
        <f t="shared" si="17"/>
        <v>0.39999999999999997</v>
      </c>
      <c r="I14" s="147">
        <f t="shared" si="18"/>
        <v>10245</v>
      </c>
      <c r="J14" s="319"/>
      <c r="K14" s="1031"/>
      <c r="L14" s="147"/>
      <c r="M14" s="328">
        <f t="shared" si="3"/>
        <v>10245</v>
      </c>
      <c r="N14" s="310">
        <f t="shared" si="4"/>
        <v>28.458333333333332</v>
      </c>
      <c r="O14" s="326">
        <f t="shared" si="5"/>
        <v>2.5</v>
      </c>
      <c r="P14" s="325">
        <f t="shared" si="11"/>
        <v>0.39999999999999997</v>
      </c>
      <c r="Q14" s="367">
        <f t="shared" si="12"/>
        <v>0.18529377174821118</v>
      </c>
      <c r="R14" s="324">
        <f t="shared" si="6"/>
        <v>0.22519892004904324</v>
      </c>
      <c r="S14" s="324">
        <f t="shared" si="6"/>
        <v>0.26777471885694515</v>
      </c>
      <c r="T14" s="372">
        <f t="shared" si="13"/>
        <v>-1000000</v>
      </c>
      <c r="U14" s="370">
        <f t="shared" si="7"/>
        <v>-1000000</v>
      </c>
      <c r="V14" s="370">
        <f t="shared" si="7"/>
        <v>-1000000</v>
      </c>
      <c r="W14" s="379">
        <f t="shared" si="14"/>
        <v>0.15185308988179202</v>
      </c>
      <c r="X14" s="376">
        <f t="shared" si="8"/>
        <v>0.16755918661637614</v>
      </c>
      <c r="Y14" s="380">
        <f t="shared" si="8"/>
        <v>0.18227546273073036</v>
      </c>
      <c r="Z14" s="228">
        <f t="shared" si="15"/>
        <v>0</v>
      </c>
      <c r="AA14" s="228">
        <f t="shared" si="15"/>
        <v>0</v>
      </c>
      <c r="AB14" s="229">
        <f t="shared" si="15"/>
        <v>0</v>
      </c>
      <c r="AC14" s="390">
        <f t="shared" si="9"/>
        <v>0</v>
      </c>
      <c r="AD14" s="337">
        <f t="shared" si="9"/>
        <v>0</v>
      </c>
      <c r="AE14" s="391">
        <f t="shared" si="9"/>
        <v>0</v>
      </c>
      <c r="AF14" s="399">
        <f t="shared" si="16"/>
        <v>0</v>
      </c>
      <c r="AG14" s="358">
        <f t="shared" si="10"/>
        <v>0</v>
      </c>
      <c r="AH14" s="400">
        <f t="shared" si="10"/>
        <v>0</v>
      </c>
      <c r="AI14" s="359"/>
      <c r="AJ14" s="339"/>
      <c r="AK14" s="339"/>
      <c r="AL14" s="339"/>
      <c r="AM14" s="340"/>
      <c r="AN14" s="340"/>
      <c r="AO14" s="340"/>
      <c r="AP14" s="339"/>
      <c r="AQ14" s="339"/>
      <c r="AR14" s="339"/>
      <c r="AS14" s="340"/>
      <c r="AT14" s="340"/>
      <c r="AU14" s="340"/>
      <c r="AV14" s="336"/>
      <c r="AW14" s="336"/>
      <c r="AX14" s="336"/>
      <c r="AY14" s="332"/>
    </row>
    <row r="15" spans="2:51" ht="15" customHeight="1" x14ac:dyDescent="0.25">
      <c r="E15" s="136" t="s">
        <v>434</v>
      </c>
      <c r="F15" s="139">
        <f>C9</f>
        <v>3000</v>
      </c>
      <c r="G15" s="170" t="s">
        <v>60</v>
      </c>
      <c r="H15" s="204">
        <f t="shared" si="17"/>
        <v>0.44999999999999996</v>
      </c>
      <c r="I15" s="147">
        <f t="shared" si="18"/>
        <v>8903.3333333333339</v>
      </c>
      <c r="J15" s="309"/>
      <c r="K15" s="1031"/>
      <c r="L15" s="147"/>
      <c r="M15" s="328">
        <f t="shared" si="3"/>
        <v>8903.3333333333339</v>
      </c>
      <c r="N15" s="310">
        <f t="shared" si="4"/>
        <v>24.731481481481485</v>
      </c>
      <c r="O15" s="326">
        <f t="shared" si="5"/>
        <v>2.2222222222222223</v>
      </c>
      <c r="P15" s="325">
        <f t="shared" si="11"/>
        <v>0.44999999999999996</v>
      </c>
      <c r="Q15" s="367">
        <f>(((1+Q$5)^$N15)/((1+Q$5)^$N15-1))*Q$5*$O15</f>
        <v>0.17467390667062091</v>
      </c>
      <c r="R15" s="324">
        <f t="shared" si="6"/>
        <v>0.20892096303611782</v>
      </c>
      <c r="S15" s="324">
        <f t="shared" si="6"/>
        <v>0.24546494797183624</v>
      </c>
      <c r="T15" s="372">
        <f t="shared" si="13"/>
        <v>-1000000</v>
      </c>
      <c r="U15" s="370">
        <f t="shared" si="7"/>
        <v>-1000000</v>
      </c>
      <c r="V15" s="370">
        <f t="shared" si="7"/>
        <v>-1000000</v>
      </c>
      <c r="W15" s="379">
        <f t="shared" si="14"/>
        <v>0.15185308988179202</v>
      </c>
      <c r="X15" s="376">
        <f t="shared" si="8"/>
        <v>0.16755918661637614</v>
      </c>
      <c r="Y15" s="380">
        <f t="shared" si="8"/>
        <v>0.18227546273073036</v>
      </c>
      <c r="Z15" s="228">
        <f t="shared" si="15"/>
        <v>0</v>
      </c>
      <c r="AA15" s="228">
        <f t="shared" si="15"/>
        <v>0</v>
      </c>
      <c r="AB15" s="229">
        <f t="shared" si="15"/>
        <v>0</v>
      </c>
      <c r="AC15" s="390">
        <f t="shared" si="9"/>
        <v>0</v>
      </c>
      <c r="AD15" s="337">
        <f t="shared" si="9"/>
        <v>0</v>
      </c>
      <c r="AE15" s="391">
        <f t="shared" si="9"/>
        <v>0</v>
      </c>
      <c r="AF15" s="399">
        <f t="shared" si="16"/>
        <v>0</v>
      </c>
      <c r="AG15" s="358">
        <f t="shared" si="10"/>
        <v>0</v>
      </c>
      <c r="AH15" s="400">
        <f t="shared" si="10"/>
        <v>0</v>
      </c>
      <c r="AI15" s="359"/>
      <c r="AJ15" s="339"/>
      <c r="AK15" s="339"/>
      <c r="AL15" s="339"/>
      <c r="AM15" s="340"/>
      <c r="AN15" s="340"/>
      <c r="AO15" s="340"/>
      <c r="AP15" s="339"/>
      <c r="AQ15" s="339"/>
      <c r="AR15" s="339"/>
      <c r="AS15" s="340"/>
      <c r="AT15" s="340"/>
      <c r="AU15" s="340"/>
      <c r="AV15" s="336"/>
      <c r="AW15" s="336"/>
      <c r="AX15" s="336"/>
      <c r="AY15" s="332"/>
    </row>
    <row r="16" spans="2:51" ht="15" customHeight="1" x14ac:dyDescent="0.25">
      <c r="H16" s="204">
        <f t="shared" si="17"/>
        <v>0.49999999999999994</v>
      </c>
      <c r="I16" s="147">
        <f t="shared" si="18"/>
        <v>7830</v>
      </c>
      <c r="J16" s="147">
        <f>C7</f>
        <v>10000</v>
      </c>
      <c r="K16" s="1185">
        <f>(J16-I16)^2</f>
        <v>4708900</v>
      </c>
      <c r="L16" s="147"/>
      <c r="M16" s="328">
        <f t="shared" si="3"/>
        <v>7830</v>
      </c>
      <c r="N16" s="310">
        <f t="shared" si="4"/>
        <v>21.75</v>
      </c>
      <c r="O16" s="326">
        <f t="shared" si="5"/>
        <v>2</v>
      </c>
      <c r="P16" s="325">
        <f t="shared" si="11"/>
        <v>0.49999999999999994</v>
      </c>
      <c r="Q16" s="367">
        <f t="shared" si="12"/>
        <v>0.16703255240328096</v>
      </c>
      <c r="R16" s="324">
        <f t="shared" si="6"/>
        <v>0.19692643034917642</v>
      </c>
      <c r="S16" s="324">
        <f t="shared" si="6"/>
        <v>0.22878275669040177</v>
      </c>
      <c r="T16" s="372">
        <f t="shared" si="13"/>
        <v>-1000000</v>
      </c>
      <c r="U16" s="370">
        <f t="shared" si="7"/>
        <v>-1000000</v>
      </c>
      <c r="V16" s="370">
        <f t="shared" si="7"/>
        <v>-1000000</v>
      </c>
      <c r="W16" s="379">
        <f t="shared" si="14"/>
        <v>0.15185308988179202</v>
      </c>
      <c r="X16" s="376">
        <f t="shared" si="8"/>
        <v>0.16755918661637614</v>
      </c>
      <c r="Y16" s="380">
        <f t="shared" si="8"/>
        <v>0.18227546273073036</v>
      </c>
      <c r="Z16" s="228">
        <f t="shared" si="15"/>
        <v>0</v>
      </c>
      <c r="AA16" s="228">
        <f t="shared" si="15"/>
        <v>0</v>
      </c>
      <c r="AB16" s="229">
        <f t="shared" si="15"/>
        <v>0</v>
      </c>
      <c r="AC16" s="390">
        <f t="shared" si="9"/>
        <v>0</v>
      </c>
      <c r="AD16" s="337">
        <f t="shared" si="9"/>
        <v>0</v>
      </c>
      <c r="AE16" s="391">
        <f t="shared" si="9"/>
        <v>0</v>
      </c>
      <c r="AF16" s="399">
        <f t="shared" si="16"/>
        <v>0</v>
      </c>
      <c r="AG16" s="358">
        <f t="shared" si="10"/>
        <v>0</v>
      </c>
      <c r="AH16" s="400">
        <f t="shared" si="10"/>
        <v>0</v>
      </c>
      <c r="AI16" s="359"/>
      <c r="AJ16" s="339"/>
      <c r="AK16" s="339"/>
      <c r="AL16" s="339"/>
      <c r="AM16" s="340"/>
      <c r="AN16" s="340"/>
      <c r="AO16" s="340"/>
      <c r="AP16" s="339"/>
      <c r="AQ16" s="339"/>
      <c r="AR16" s="339"/>
      <c r="AS16" s="340"/>
      <c r="AT16" s="340"/>
      <c r="AU16" s="340"/>
      <c r="AV16" s="336"/>
      <c r="AW16" s="336"/>
      <c r="AX16" s="336"/>
      <c r="AY16" s="332"/>
    </row>
    <row r="17" spans="2:51" ht="15" customHeight="1" x14ac:dyDescent="0.25">
      <c r="E17" s="136" t="s">
        <v>435</v>
      </c>
      <c r="F17" s="139">
        <v>4830</v>
      </c>
      <c r="G17" s="170" t="s">
        <v>60</v>
      </c>
      <c r="H17" s="204">
        <f t="shared" si="17"/>
        <v>0.54999999999999993</v>
      </c>
      <c r="I17" s="147">
        <f t="shared" si="18"/>
        <v>6951.818181818182</v>
      </c>
      <c r="J17" s="309"/>
      <c r="K17" s="1031"/>
      <c r="L17" s="147"/>
      <c r="M17" s="328">
        <f t="shared" si="3"/>
        <v>6951.818181818182</v>
      </c>
      <c r="N17" s="310">
        <f t="shared" si="4"/>
        <v>19.310606060606062</v>
      </c>
      <c r="O17" s="326">
        <f t="shared" si="5"/>
        <v>1.8181818181818183</v>
      </c>
      <c r="P17" s="325">
        <f t="shared" si="11"/>
        <v>0.54999999999999993</v>
      </c>
      <c r="Q17" s="367">
        <f t="shared" si="12"/>
        <v>0.16151685131002913</v>
      </c>
      <c r="R17" s="324">
        <f t="shared" si="6"/>
        <v>0.18798375933373088</v>
      </c>
      <c r="S17" s="324">
        <f t="shared" si="6"/>
        <v>0.21612563181293787</v>
      </c>
      <c r="T17" s="372">
        <f t="shared" si="13"/>
        <v>-1000000</v>
      </c>
      <c r="U17" s="370">
        <f t="shared" si="7"/>
        <v>-1000000</v>
      </c>
      <c r="V17" s="370">
        <f t="shared" si="7"/>
        <v>-1000000</v>
      </c>
      <c r="W17" s="379">
        <f t="shared" si="14"/>
        <v>0.15185308988179202</v>
      </c>
      <c r="X17" s="376">
        <f t="shared" si="8"/>
        <v>0.16755918661637614</v>
      </c>
      <c r="Y17" s="380">
        <f t="shared" si="8"/>
        <v>0.18227546273073036</v>
      </c>
      <c r="Z17" s="228">
        <f t="shared" si="15"/>
        <v>0</v>
      </c>
      <c r="AA17" s="228">
        <f t="shared" si="15"/>
        <v>0</v>
      </c>
      <c r="AB17" s="229">
        <f t="shared" si="15"/>
        <v>0</v>
      </c>
      <c r="AC17" s="390">
        <f t="shared" si="9"/>
        <v>0</v>
      </c>
      <c r="AD17" s="337">
        <f t="shared" si="9"/>
        <v>0</v>
      </c>
      <c r="AE17" s="391">
        <f t="shared" si="9"/>
        <v>0</v>
      </c>
      <c r="AF17" s="399">
        <f t="shared" si="16"/>
        <v>0</v>
      </c>
      <c r="AG17" s="358">
        <f t="shared" si="10"/>
        <v>0</v>
      </c>
      <c r="AH17" s="400">
        <f t="shared" si="10"/>
        <v>0</v>
      </c>
      <c r="AI17" s="359"/>
      <c r="AJ17" s="339"/>
      <c r="AK17" s="339"/>
      <c r="AL17" s="339"/>
      <c r="AM17" s="340"/>
      <c r="AN17" s="340"/>
      <c r="AO17" s="340"/>
      <c r="AP17" s="339"/>
      <c r="AQ17" s="339"/>
      <c r="AR17" s="339"/>
      <c r="AS17" s="340"/>
      <c r="AT17" s="340"/>
      <c r="AU17" s="340"/>
      <c r="AV17" s="336"/>
      <c r="AW17" s="336"/>
      <c r="AX17" s="336"/>
      <c r="AY17" s="332"/>
    </row>
    <row r="18" spans="2:51" ht="15" customHeight="1" x14ac:dyDescent="0.25">
      <c r="B18" s="313"/>
      <c r="C18" s="313"/>
      <c r="D18" s="313"/>
      <c r="H18" s="204">
        <f t="shared" si="17"/>
        <v>0.6</v>
      </c>
      <c r="I18" s="147">
        <f t="shared" si="18"/>
        <v>6220</v>
      </c>
      <c r="J18" s="147">
        <f>C8</f>
        <v>7000</v>
      </c>
      <c r="K18" s="1185">
        <f>(J18-I18)^2</f>
        <v>608400</v>
      </c>
      <c r="L18" s="147"/>
      <c r="M18" s="328">
        <f t="shared" si="3"/>
        <v>6220</v>
      </c>
      <c r="N18" s="310">
        <f t="shared" si="4"/>
        <v>17.277777777777779</v>
      </c>
      <c r="O18" s="326">
        <f t="shared" si="5"/>
        <v>1.6666666666666667</v>
      </c>
      <c r="P18" s="325">
        <f t="shared" si="11"/>
        <v>0.6</v>
      </c>
      <c r="Q18" s="367">
        <f t="shared" si="12"/>
        <v>0.15758006666398061</v>
      </c>
      <c r="R18" s="324">
        <f t="shared" si="6"/>
        <v>0.18129550161356967</v>
      </c>
      <c r="S18" s="324">
        <f t="shared" si="6"/>
        <v>0.20644320412653591</v>
      </c>
      <c r="T18" s="372">
        <f t="shared" si="13"/>
        <v>-1000000</v>
      </c>
      <c r="U18" s="370">
        <f t="shared" si="7"/>
        <v>-1000000</v>
      </c>
      <c r="V18" s="370">
        <f t="shared" si="7"/>
        <v>-1000000</v>
      </c>
      <c r="W18" s="379">
        <f t="shared" si="14"/>
        <v>0.15185308988179202</v>
      </c>
      <c r="X18" s="376">
        <f t="shared" si="8"/>
        <v>0.16755918661637614</v>
      </c>
      <c r="Y18" s="380">
        <f t="shared" si="8"/>
        <v>0.18227546273073036</v>
      </c>
      <c r="Z18" s="228">
        <f t="shared" si="15"/>
        <v>0</v>
      </c>
      <c r="AA18" s="228">
        <f t="shared" si="15"/>
        <v>0</v>
      </c>
      <c r="AB18" s="229">
        <f t="shared" si="15"/>
        <v>0</v>
      </c>
      <c r="AC18" s="390">
        <f t="shared" si="9"/>
        <v>0</v>
      </c>
      <c r="AD18" s="337">
        <f t="shared" si="9"/>
        <v>0</v>
      </c>
      <c r="AE18" s="391">
        <f t="shared" si="9"/>
        <v>0</v>
      </c>
      <c r="AF18" s="399">
        <f t="shared" si="16"/>
        <v>0</v>
      </c>
      <c r="AG18" s="358">
        <f t="shared" si="10"/>
        <v>0</v>
      </c>
      <c r="AH18" s="400">
        <f t="shared" si="10"/>
        <v>0</v>
      </c>
      <c r="AI18" s="359"/>
      <c r="AJ18" s="339"/>
      <c r="AK18" s="339"/>
      <c r="AL18" s="339"/>
      <c r="AM18" s="340"/>
      <c r="AN18" s="340"/>
      <c r="AO18" s="340"/>
      <c r="AP18" s="339"/>
      <c r="AQ18" s="339"/>
      <c r="AR18" s="339"/>
      <c r="AS18" s="340"/>
      <c r="AT18" s="340"/>
      <c r="AU18" s="340"/>
      <c r="AV18" s="336"/>
      <c r="AW18" s="336"/>
      <c r="AX18" s="336"/>
      <c r="AY18" s="332"/>
    </row>
    <row r="19" spans="2:51" ht="15" customHeight="1" x14ac:dyDescent="0.25">
      <c r="H19" s="204">
        <f t="shared" si="17"/>
        <v>0.65</v>
      </c>
      <c r="I19" s="147">
        <f t="shared" si="18"/>
        <v>5600.7692307692305</v>
      </c>
      <c r="J19" s="309"/>
      <c r="K19" s="1186"/>
      <c r="L19" s="147"/>
      <c r="M19" s="328">
        <f t="shared" si="3"/>
        <v>5600.7692307692305</v>
      </c>
      <c r="N19" s="310">
        <f t="shared" si="4"/>
        <v>15.557692307692307</v>
      </c>
      <c r="O19" s="326">
        <f t="shared" si="5"/>
        <v>1.5384615384615383</v>
      </c>
      <c r="P19" s="325">
        <f t="shared" si="11"/>
        <v>0.65</v>
      </c>
      <c r="Q19" s="367">
        <f t="shared" si="12"/>
        <v>0.15485880468339708</v>
      </c>
      <c r="R19" s="324">
        <f t="shared" si="6"/>
        <v>0.17632736457894999</v>
      </c>
      <c r="S19" s="324">
        <f t="shared" si="6"/>
        <v>0.19902470905282935</v>
      </c>
      <c r="T19" s="372">
        <f t="shared" si="13"/>
        <v>-1000000</v>
      </c>
      <c r="U19" s="370">
        <f t="shared" si="7"/>
        <v>-1000000</v>
      </c>
      <c r="V19" s="370">
        <f t="shared" si="7"/>
        <v>-1000000</v>
      </c>
      <c r="W19" s="379">
        <f t="shared" si="14"/>
        <v>0.15185308988179202</v>
      </c>
      <c r="X19" s="376">
        <f t="shared" si="8"/>
        <v>0.16755918661637614</v>
      </c>
      <c r="Y19" s="380">
        <f t="shared" si="8"/>
        <v>0.18227546273073036</v>
      </c>
      <c r="Z19" s="228">
        <f t="shared" si="15"/>
        <v>0</v>
      </c>
      <c r="AA19" s="228">
        <f t="shared" si="15"/>
        <v>0</v>
      </c>
      <c r="AB19" s="229">
        <f t="shared" si="15"/>
        <v>0</v>
      </c>
      <c r="AC19" s="390">
        <f t="shared" si="9"/>
        <v>0</v>
      </c>
      <c r="AD19" s="337">
        <f t="shared" si="9"/>
        <v>0</v>
      </c>
      <c r="AE19" s="391">
        <f t="shared" si="9"/>
        <v>0</v>
      </c>
      <c r="AF19" s="399">
        <f t="shared" si="16"/>
        <v>0</v>
      </c>
      <c r="AG19" s="358">
        <f t="shared" si="10"/>
        <v>0</v>
      </c>
      <c r="AH19" s="400">
        <f t="shared" si="10"/>
        <v>0</v>
      </c>
      <c r="AI19" s="359"/>
      <c r="AJ19" s="339"/>
      <c r="AK19" s="339"/>
      <c r="AL19" s="339"/>
      <c r="AM19" s="340"/>
      <c r="AN19" s="340"/>
      <c r="AO19" s="340"/>
      <c r="AP19" s="339"/>
      <c r="AQ19" s="339"/>
      <c r="AR19" s="339"/>
      <c r="AS19" s="340"/>
      <c r="AT19" s="340"/>
      <c r="AU19" s="340"/>
      <c r="AV19" s="336"/>
      <c r="AW19" s="336"/>
      <c r="AX19" s="336"/>
      <c r="AY19" s="332"/>
    </row>
    <row r="20" spans="2:51" ht="15" customHeight="1" x14ac:dyDescent="0.25">
      <c r="D20" s="309"/>
      <c r="E20" s="1187"/>
      <c r="G20" s="135"/>
      <c r="H20" s="204">
        <f t="shared" si="17"/>
        <v>0.70000000000000007</v>
      </c>
      <c r="I20" s="147">
        <f t="shared" si="18"/>
        <v>5069.9999999999991</v>
      </c>
      <c r="J20" s="319"/>
      <c r="K20" s="193"/>
      <c r="L20" s="147"/>
      <c r="M20" s="328">
        <f t="shared" si="3"/>
        <v>5069.9999999999991</v>
      </c>
      <c r="N20" s="310">
        <f t="shared" si="4"/>
        <v>14.08333333333333</v>
      </c>
      <c r="O20" s="326">
        <f t="shared" si="5"/>
        <v>1.4285714285714284</v>
      </c>
      <c r="P20" s="325">
        <f t="shared" si="11"/>
        <v>0.70000000000000007</v>
      </c>
      <c r="Q20" s="367">
        <f t="shared" si="12"/>
        <v>0.15310455055314168</v>
      </c>
      <c r="R20" s="324">
        <f t="shared" si="6"/>
        <v>0.1727112569970837</v>
      </c>
      <c r="S20" s="324">
        <f t="shared" si="6"/>
        <v>0.19337632636942487</v>
      </c>
      <c r="T20" s="372">
        <f t="shared" si="13"/>
        <v>-1000000</v>
      </c>
      <c r="U20" s="370">
        <f t="shared" si="7"/>
        <v>-1000000</v>
      </c>
      <c r="V20" s="370">
        <f t="shared" si="7"/>
        <v>-1000000</v>
      </c>
      <c r="W20" s="379">
        <f t="shared" si="14"/>
        <v>0.15185308988179202</v>
      </c>
      <c r="X20" s="376">
        <f t="shared" si="8"/>
        <v>0.16755918661637614</v>
      </c>
      <c r="Y20" s="380">
        <f t="shared" si="8"/>
        <v>0.18227546273073036</v>
      </c>
      <c r="Z20" s="228">
        <f t="shared" si="15"/>
        <v>0</v>
      </c>
      <c r="AA20" s="228">
        <f t="shared" si="15"/>
        <v>0</v>
      </c>
      <c r="AB20" s="229">
        <f t="shared" si="15"/>
        <v>0</v>
      </c>
      <c r="AC20" s="390">
        <f t="shared" si="9"/>
        <v>0</v>
      </c>
      <c r="AD20" s="337">
        <f t="shared" si="9"/>
        <v>0</v>
      </c>
      <c r="AE20" s="391">
        <f t="shared" si="9"/>
        <v>0</v>
      </c>
      <c r="AF20" s="399">
        <f t="shared" si="16"/>
        <v>0</v>
      </c>
      <c r="AG20" s="358">
        <f t="shared" si="10"/>
        <v>0</v>
      </c>
      <c r="AH20" s="400">
        <f t="shared" si="10"/>
        <v>0</v>
      </c>
      <c r="AI20" s="359"/>
      <c r="AJ20" s="339"/>
      <c r="AK20" s="339"/>
      <c r="AL20" s="339"/>
      <c r="AM20" s="340"/>
      <c r="AN20" s="340"/>
      <c r="AO20" s="340"/>
      <c r="AP20" s="339"/>
      <c r="AQ20" s="339"/>
      <c r="AR20" s="339"/>
      <c r="AS20" s="340"/>
      <c r="AT20" s="340"/>
      <c r="AU20" s="340"/>
      <c r="AV20" s="336"/>
      <c r="AW20" s="336"/>
      <c r="AX20" s="336"/>
      <c r="AY20" s="332"/>
    </row>
    <row r="21" spans="2:51" ht="15" customHeight="1" x14ac:dyDescent="0.25">
      <c r="D21" s="138"/>
      <c r="E21" s="147"/>
      <c r="H21" s="204">
        <f t="shared" si="17"/>
        <v>0.75000000000000011</v>
      </c>
      <c r="I21" s="147">
        <f t="shared" si="18"/>
        <v>4609.9999999999982</v>
      </c>
      <c r="J21" s="309"/>
      <c r="K21" s="1186"/>
      <c r="L21" s="147"/>
      <c r="M21" s="328">
        <f t="shared" si="3"/>
        <v>4609.9999999999982</v>
      </c>
      <c r="N21" s="310">
        <f t="shared" si="4"/>
        <v>12.80555555555555</v>
      </c>
      <c r="O21" s="326">
        <f t="shared" si="5"/>
        <v>1.333333333333333</v>
      </c>
      <c r="P21" s="325">
        <f t="shared" si="11"/>
        <v>0.75000000000000011</v>
      </c>
      <c r="Q21" s="367">
        <f t="shared" si="12"/>
        <v>0.15214366782815342</v>
      </c>
      <c r="R21" s="324">
        <f t="shared" si="6"/>
        <v>0.17018789996866956</v>
      </c>
      <c r="S21" s="324">
        <f t="shared" si="6"/>
        <v>0.1891474692308599</v>
      </c>
      <c r="T21" s="372">
        <f t="shared" si="13"/>
        <v>-1000000</v>
      </c>
      <c r="U21" s="370">
        <f t="shared" si="7"/>
        <v>-1000000</v>
      </c>
      <c r="V21" s="370">
        <f t="shared" si="7"/>
        <v>-1000000</v>
      </c>
      <c r="W21" s="379">
        <f t="shared" si="14"/>
        <v>0.15185308988179202</v>
      </c>
      <c r="X21" s="376">
        <f t="shared" si="8"/>
        <v>0.16755918661637614</v>
      </c>
      <c r="Y21" s="380">
        <f t="shared" si="8"/>
        <v>0.18227546273073036</v>
      </c>
      <c r="Z21" s="228">
        <f t="shared" si="15"/>
        <v>0</v>
      </c>
      <c r="AA21" s="228">
        <f t="shared" si="15"/>
        <v>0</v>
      </c>
      <c r="AB21" s="229">
        <f t="shared" si="15"/>
        <v>0</v>
      </c>
      <c r="AC21" s="390">
        <f t="shared" si="9"/>
        <v>0</v>
      </c>
      <c r="AD21" s="337">
        <f t="shared" si="9"/>
        <v>0</v>
      </c>
      <c r="AE21" s="391">
        <f t="shared" si="9"/>
        <v>0</v>
      </c>
      <c r="AF21" s="399">
        <f t="shared" si="16"/>
        <v>0</v>
      </c>
      <c r="AG21" s="358">
        <f t="shared" si="10"/>
        <v>0</v>
      </c>
      <c r="AH21" s="400">
        <f t="shared" si="10"/>
        <v>0</v>
      </c>
      <c r="AI21" s="359"/>
      <c r="AJ21" s="339"/>
      <c r="AK21" s="339"/>
      <c r="AL21" s="339"/>
      <c r="AM21" s="340"/>
      <c r="AN21" s="340"/>
      <c r="AO21" s="340"/>
      <c r="AP21" s="339"/>
      <c r="AQ21" s="339"/>
      <c r="AR21" s="339"/>
      <c r="AS21" s="340"/>
      <c r="AT21" s="340"/>
      <c r="AU21" s="340"/>
      <c r="AV21" s="336"/>
      <c r="AW21" s="336"/>
      <c r="AX21" s="336"/>
      <c r="AY21" s="332"/>
    </row>
    <row r="22" spans="2:51" ht="15" customHeight="1" x14ac:dyDescent="0.25">
      <c r="D22" s="138"/>
      <c r="E22" s="147"/>
      <c r="F22" s="409"/>
      <c r="H22" s="204">
        <f t="shared" si="17"/>
        <v>0.80000000000000016</v>
      </c>
      <c r="I22" s="147">
        <f t="shared" si="18"/>
        <v>4207.4999999999991</v>
      </c>
      <c r="J22" s="319"/>
      <c r="K22" s="193"/>
      <c r="L22" s="147"/>
      <c r="M22" s="328">
        <f t="shared" si="3"/>
        <v>4207.4999999999991</v>
      </c>
      <c r="N22" s="310">
        <f>M22/$F$4</f>
        <v>11.687499999999998</v>
      </c>
      <c r="O22" s="326">
        <f t="shared" si="5"/>
        <v>1.2499999999999998</v>
      </c>
      <c r="P22" s="325">
        <f t="shared" si="11"/>
        <v>0.80000000000000016</v>
      </c>
      <c r="Q22" s="367">
        <f t="shared" si="12"/>
        <v>0.15185308988179202</v>
      </c>
      <c r="R22" s="324">
        <f t="shared" si="6"/>
        <v>0.16857159563420065</v>
      </c>
      <c r="S22" s="324">
        <f t="shared" si="6"/>
        <v>0.18608495410040055</v>
      </c>
      <c r="T22" s="372">
        <f t="shared" si="13"/>
        <v>0</v>
      </c>
      <c r="U22" s="370">
        <f t="shared" si="7"/>
        <v>-1000000</v>
      </c>
      <c r="V22" s="370">
        <f t="shared" si="7"/>
        <v>-1000000</v>
      </c>
      <c r="W22" s="379">
        <f t="shared" si="14"/>
        <v>0.15185308988179202</v>
      </c>
      <c r="X22" s="376">
        <f t="shared" si="8"/>
        <v>0.16755918661637614</v>
      </c>
      <c r="Y22" s="380">
        <f t="shared" si="8"/>
        <v>0.18227546273073036</v>
      </c>
      <c r="Z22" s="228">
        <f t="shared" si="15"/>
        <v>1</v>
      </c>
      <c r="AA22" s="228">
        <f t="shared" si="15"/>
        <v>0</v>
      </c>
      <c r="AB22" s="229">
        <f t="shared" si="15"/>
        <v>0</v>
      </c>
      <c r="AC22" s="390">
        <f t="shared" si="9"/>
        <v>0.80000000000000016</v>
      </c>
      <c r="AD22" s="337">
        <f t="shared" si="9"/>
        <v>0</v>
      </c>
      <c r="AE22" s="391">
        <f t="shared" si="9"/>
        <v>0</v>
      </c>
      <c r="AF22" s="399">
        <f t="shared" si="16"/>
        <v>11.687499999999998</v>
      </c>
      <c r="AG22" s="358">
        <f t="shared" si="10"/>
        <v>0</v>
      </c>
      <c r="AH22" s="400">
        <f t="shared" si="10"/>
        <v>0</v>
      </c>
      <c r="AI22" s="359"/>
      <c r="AJ22" s="339"/>
      <c r="AK22" s="339"/>
      <c r="AL22" s="339"/>
      <c r="AM22" s="340"/>
      <c r="AN22" s="340"/>
      <c r="AO22" s="340"/>
      <c r="AP22" s="339"/>
      <c r="AQ22" s="339"/>
      <c r="AR22" s="339"/>
      <c r="AS22" s="340"/>
      <c r="AT22" s="340"/>
      <c r="AU22" s="340"/>
      <c r="AV22" s="336"/>
      <c r="AW22" s="336"/>
      <c r="AX22" s="336"/>
      <c r="AY22" s="332"/>
    </row>
    <row r="23" spans="2:51" ht="15" customHeight="1" x14ac:dyDescent="0.25">
      <c r="D23" s="138"/>
      <c r="E23" s="147"/>
      <c r="H23" s="204">
        <f t="shared" si="17"/>
        <v>0.8500000000000002</v>
      </c>
      <c r="I23" s="147">
        <f t="shared" si="18"/>
        <v>3852.3529411764698</v>
      </c>
      <c r="K23" s="1031"/>
      <c r="L23" s="147"/>
      <c r="M23" s="328">
        <f t="shared" si="3"/>
        <v>3852.3529411764698</v>
      </c>
      <c r="N23" s="310">
        <f t="shared" si="4"/>
        <v>10.700980392156861</v>
      </c>
      <c r="O23" s="326">
        <f t="shared" si="5"/>
        <v>1.1764705882352939</v>
      </c>
      <c r="P23" s="325">
        <f t="shared" si="11"/>
        <v>0.8500000000000002</v>
      </c>
      <c r="Q23" s="367">
        <f t="shared" si="12"/>
        <v>0.15214505149256374</v>
      </c>
      <c r="R23" s="324">
        <f t="shared" si="12"/>
        <v>0.16772791430539277</v>
      </c>
      <c r="S23" s="324">
        <f t="shared" si="12"/>
        <v>0.18400366388166484</v>
      </c>
      <c r="T23" s="372">
        <f t="shared" si="13"/>
        <v>1000000</v>
      </c>
      <c r="U23" s="370">
        <f t="shared" si="13"/>
        <v>-1000000</v>
      </c>
      <c r="V23" s="370">
        <f t="shared" si="13"/>
        <v>-1000000</v>
      </c>
      <c r="W23" s="379">
        <f t="shared" si="14"/>
        <v>0.15185308988179202</v>
      </c>
      <c r="X23" s="376">
        <f t="shared" si="14"/>
        <v>0.16755918661637614</v>
      </c>
      <c r="Y23" s="380">
        <f t="shared" si="14"/>
        <v>0.18227546273073036</v>
      </c>
      <c r="Z23" s="228">
        <f t="shared" si="15"/>
        <v>0</v>
      </c>
      <c r="AA23" s="228">
        <f t="shared" si="15"/>
        <v>0</v>
      </c>
      <c r="AB23" s="229">
        <f t="shared" si="15"/>
        <v>0</v>
      </c>
      <c r="AC23" s="390">
        <f t="shared" si="9"/>
        <v>0</v>
      </c>
      <c r="AD23" s="337">
        <f t="shared" si="9"/>
        <v>0</v>
      </c>
      <c r="AE23" s="391">
        <f t="shared" si="9"/>
        <v>0</v>
      </c>
      <c r="AF23" s="399">
        <f t="shared" si="16"/>
        <v>0</v>
      </c>
      <c r="AG23" s="358">
        <f t="shared" si="16"/>
        <v>0</v>
      </c>
      <c r="AH23" s="400">
        <f t="shared" si="16"/>
        <v>0</v>
      </c>
      <c r="AI23" s="359"/>
      <c r="AJ23" s="339"/>
      <c r="AK23" s="339"/>
      <c r="AL23" s="339"/>
      <c r="AM23" s="340"/>
      <c r="AN23" s="340"/>
      <c r="AO23" s="340"/>
      <c r="AP23" s="339"/>
      <c r="AQ23" s="339"/>
      <c r="AR23" s="339"/>
      <c r="AS23" s="340"/>
      <c r="AT23" s="340"/>
      <c r="AU23" s="340"/>
      <c r="AV23" s="336"/>
      <c r="AW23" s="336"/>
      <c r="AX23" s="336"/>
      <c r="AY23" s="332"/>
    </row>
    <row r="24" spans="2:51" ht="15" customHeight="1" x14ac:dyDescent="0.25">
      <c r="D24" s="138"/>
      <c r="E24" s="147"/>
      <c r="H24" s="204">
        <f t="shared" si="17"/>
        <v>0.90000000000000024</v>
      </c>
      <c r="I24" s="147">
        <f t="shared" si="18"/>
        <v>3536.6666666666647</v>
      </c>
      <c r="K24" s="1031"/>
      <c r="L24" s="147"/>
      <c r="M24" s="328">
        <f t="shared" si="3"/>
        <v>3536.6666666666647</v>
      </c>
      <c r="N24" s="310">
        <f t="shared" si="4"/>
        <v>9.8240740740740691</v>
      </c>
      <c r="O24" s="326">
        <f t="shared" si="5"/>
        <v>1.1111111111111107</v>
      </c>
      <c r="P24" s="325">
        <f t="shared" si="11"/>
        <v>0.90000000000000024</v>
      </c>
      <c r="Q24" s="367">
        <f t="shared" si="12"/>
        <v>0.15295723501525052</v>
      </c>
      <c r="R24" s="324">
        <f t="shared" si="12"/>
        <v>0.16755918661637614</v>
      </c>
      <c r="S24" s="324">
        <f t="shared" si="12"/>
        <v>0.18276729591711718</v>
      </c>
      <c r="T24" s="372">
        <f t="shared" si="13"/>
        <v>1000000</v>
      </c>
      <c r="U24" s="370">
        <f t="shared" si="13"/>
        <v>0</v>
      </c>
      <c r="V24" s="370">
        <f t="shared" si="13"/>
        <v>-1000000</v>
      </c>
      <c r="W24" s="379">
        <f t="shared" si="14"/>
        <v>0.15185308988179202</v>
      </c>
      <c r="X24" s="376">
        <f t="shared" si="14"/>
        <v>0.16755918661637614</v>
      </c>
      <c r="Y24" s="380">
        <f t="shared" si="14"/>
        <v>0.18227546273073036</v>
      </c>
      <c r="Z24" s="228">
        <f t="shared" si="15"/>
        <v>0</v>
      </c>
      <c r="AA24" s="228">
        <f t="shared" si="15"/>
        <v>1</v>
      </c>
      <c r="AB24" s="229">
        <f t="shared" si="15"/>
        <v>0</v>
      </c>
      <c r="AC24" s="390">
        <f t="shared" si="9"/>
        <v>0</v>
      </c>
      <c r="AD24" s="337">
        <f t="shared" si="9"/>
        <v>0.90000000000000024</v>
      </c>
      <c r="AE24" s="391">
        <f t="shared" si="9"/>
        <v>0</v>
      </c>
      <c r="AF24" s="399">
        <f t="shared" si="16"/>
        <v>0</v>
      </c>
      <c r="AG24" s="358">
        <f t="shared" si="16"/>
        <v>9.8240740740740691</v>
      </c>
      <c r="AH24" s="400">
        <f t="shared" si="16"/>
        <v>0</v>
      </c>
      <c r="AI24" s="355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2"/>
      <c r="AV24" s="332"/>
      <c r="AW24" s="332"/>
      <c r="AX24" s="332"/>
      <c r="AY24" s="332"/>
    </row>
    <row r="25" spans="2:51" ht="15" customHeight="1" x14ac:dyDescent="0.25">
      <c r="D25" s="138"/>
      <c r="E25" s="147"/>
      <c r="H25" s="204">
        <f t="shared" si="17"/>
        <v>0.95000000000000029</v>
      </c>
      <c r="I25" s="147">
        <f t="shared" si="18"/>
        <v>3254.2105263157882</v>
      </c>
      <c r="K25" s="1031"/>
      <c r="L25" s="147"/>
      <c r="M25" s="328">
        <f t="shared" si="3"/>
        <v>3254.2105263157882</v>
      </c>
      <c r="N25" s="310">
        <f t="shared" si="4"/>
        <v>9.0394736842105221</v>
      </c>
      <c r="O25" s="326">
        <f t="shared" si="5"/>
        <v>1.0526315789473681</v>
      </c>
      <c r="P25" s="325">
        <f t="shared" si="11"/>
        <v>0.95000000000000029</v>
      </c>
      <c r="Q25" s="367">
        <f t="shared" si="12"/>
        <v>0.15424627609271241</v>
      </c>
      <c r="R25" s="324">
        <f t="shared" si="12"/>
        <v>0.16799486610119641</v>
      </c>
      <c r="S25" s="324">
        <f t="shared" si="12"/>
        <v>0.18227546273073036</v>
      </c>
      <c r="T25" s="372">
        <f t="shared" si="13"/>
        <v>1000000</v>
      </c>
      <c r="U25" s="370">
        <f t="shared" si="13"/>
        <v>1000000</v>
      </c>
      <c r="V25" s="370">
        <f t="shared" si="13"/>
        <v>0</v>
      </c>
      <c r="W25" s="379">
        <f t="shared" si="14"/>
        <v>0.15185308988179202</v>
      </c>
      <c r="X25" s="376">
        <f t="shared" si="14"/>
        <v>0.16755918661637614</v>
      </c>
      <c r="Y25" s="380">
        <f t="shared" si="14"/>
        <v>0.18227546273073036</v>
      </c>
      <c r="Z25" s="228">
        <f t="shared" si="15"/>
        <v>0</v>
      </c>
      <c r="AA25" s="228">
        <f t="shared" si="15"/>
        <v>0</v>
      </c>
      <c r="AB25" s="229">
        <f t="shared" si="15"/>
        <v>1</v>
      </c>
      <c r="AC25" s="390">
        <f t="shared" si="9"/>
        <v>0</v>
      </c>
      <c r="AD25" s="337">
        <f t="shared" si="9"/>
        <v>0</v>
      </c>
      <c r="AE25" s="391">
        <f t="shared" si="9"/>
        <v>0.95000000000000029</v>
      </c>
      <c r="AF25" s="399">
        <f t="shared" si="16"/>
        <v>0</v>
      </c>
      <c r="AG25" s="358">
        <f t="shared" si="16"/>
        <v>0</v>
      </c>
      <c r="AH25" s="400">
        <f t="shared" si="16"/>
        <v>9.0394736842105221</v>
      </c>
      <c r="AI25" s="360"/>
      <c r="AJ25" s="332"/>
      <c r="AK25" s="332"/>
      <c r="AL25" s="332"/>
      <c r="AM25" s="332"/>
      <c r="AN25" s="332"/>
      <c r="AO25" s="332"/>
      <c r="AP25" s="332"/>
      <c r="AQ25" s="332"/>
      <c r="AR25" s="332"/>
      <c r="AS25" s="341"/>
      <c r="AT25" s="341"/>
      <c r="AU25" s="341"/>
      <c r="AV25" s="341"/>
      <c r="AW25" s="341"/>
      <c r="AX25" s="341"/>
      <c r="AY25" s="332"/>
    </row>
    <row r="26" spans="2:51" ht="15" customHeight="1" x14ac:dyDescent="0.25">
      <c r="H26" s="204">
        <f t="shared" si="17"/>
        <v>1.0000000000000002</v>
      </c>
      <c r="I26" s="147">
        <f t="shared" si="18"/>
        <v>2999.9999999999991</v>
      </c>
      <c r="J26" s="139">
        <f>C9</f>
        <v>3000</v>
      </c>
      <c r="K26" s="1185">
        <f>(J26-I26)^2</f>
        <v>8.2718061255302767E-25</v>
      </c>
      <c r="L26" s="147"/>
      <c r="M26" s="328">
        <f t="shared" si="3"/>
        <v>2999.9999999999991</v>
      </c>
      <c r="N26" s="310">
        <f t="shared" si="4"/>
        <v>8.3333333333333304</v>
      </c>
      <c r="O26" s="326">
        <f t="shared" si="5"/>
        <v>0.99999999999999978</v>
      </c>
      <c r="P26" s="325">
        <f t="shared" si="11"/>
        <v>1.0000000000000002</v>
      </c>
      <c r="Q26" s="367">
        <f t="shared" si="12"/>
        <v>0.15598342423322073</v>
      </c>
      <c r="R26" s="324">
        <f t="shared" si="12"/>
        <v>0.16898502404395657</v>
      </c>
      <c r="S26" s="324">
        <f t="shared" si="12"/>
        <v>0.18245490656356417</v>
      </c>
      <c r="T26" s="372">
        <f t="shared" si="13"/>
        <v>1000000</v>
      </c>
      <c r="U26" s="370">
        <f t="shared" si="13"/>
        <v>1000000</v>
      </c>
      <c r="V26" s="370">
        <f t="shared" si="13"/>
        <v>1000000</v>
      </c>
      <c r="W26" s="379">
        <f t="shared" si="14"/>
        <v>0.15185308988179202</v>
      </c>
      <c r="X26" s="376">
        <f t="shared" si="14"/>
        <v>0.16755918661637614</v>
      </c>
      <c r="Y26" s="380">
        <f t="shared" si="14"/>
        <v>0.18227546273073036</v>
      </c>
      <c r="Z26" s="228">
        <f t="shared" si="15"/>
        <v>0</v>
      </c>
      <c r="AA26" s="228">
        <f t="shared" si="15"/>
        <v>0</v>
      </c>
      <c r="AB26" s="229">
        <f t="shared" si="15"/>
        <v>0</v>
      </c>
      <c r="AC26" s="390">
        <f t="shared" si="9"/>
        <v>0</v>
      </c>
      <c r="AD26" s="337">
        <f t="shared" si="9"/>
        <v>0</v>
      </c>
      <c r="AE26" s="391">
        <f t="shared" si="9"/>
        <v>0</v>
      </c>
      <c r="AF26" s="399">
        <f t="shared" si="16"/>
        <v>0</v>
      </c>
      <c r="AG26" s="358">
        <f t="shared" si="16"/>
        <v>0</v>
      </c>
      <c r="AH26" s="400">
        <f t="shared" si="16"/>
        <v>0</v>
      </c>
      <c r="AI26" s="332"/>
      <c r="AJ26" s="342"/>
      <c r="AK26" s="342"/>
      <c r="AL26" s="34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</row>
    <row r="27" spans="2:51" ht="15" customHeight="1" x14ac:dyDescent="0.25">
      <c r="H27" s="204">
        <f t="shared" si="17"/>
        <v>1.0500000000000003</v>
      </c>
      <c r="I27" s="147">
        <f t="shared" si="18"/>
        <v>2769.9999999999986</v>
      </c>
      <c r="L27" s="147"/>
      <c r="M27" s="328">
        <f t="shared" si="3"/>
        <v>2769.9999999999986</v>
      </c>
      <c r="N27" s="310">
        <f t="shared" si="4"/>
        <v>7.6944444444444411</v>
      </c>
      <c r="O27" s="326">
        <f t="shared" si="5"/>
        <v>0.95238095238095211</v>
      </c>
      <c r="P27" s="325">
        <f t="shared" si="11"/>
        <v>1.0500000000000003</v>
      </c>
      <c r="Q27" s="367">
        <f t="shared" si="12"/>
        <v>0.15815163193738652</v>
      </c>
      <c r="R27" s="324">
        <f t="shared" si="12"/>
        <v>0.17049591890469462</v>
      </c>
      <c r="S27" s="324">
        <f t="shared" si="12"/>
        <v>0.18325344977078298</v>
      </c>
      <c r="T27" s="372">
        <f t="shared" si="13"/>
        <v>1000000</v>
      </c>
      <c r="U27" s="370">
        <f t="shared" si="13"/>
        <v>1000000</v>
      </c>
      <c r="V27" s="370">
        <f t="shared" si="13"/>
        <v>1000000</v>
      </c>
      <c r="W27" s="379">
        <f t="shared" si="14"/>
        <v>0.15185308988179202</v>
      </c>
      <c r="X27" s="376">
        <f t="shared" si="14"/>
        <v>0.16755918661637614</v>
      </c>
      <c r="Y27" s="380">
        <f t="shared" si="14"/>
        <v>0.18227546273073036</v>
      </c>
      <c r="Z27" s="228">
        <f t="shared" si="15"/>
        <v>0</v>
      </c>
      <c r="AA27" s="228">
        <f t="shared" si="15"/>
        <v>0</v>
      </c>
      <c r="AB27" s="229">
        <f t="shared" si="15"/>
        <v>0</v>
      </c>
      <c r="AC27" s="390">
        <f t="shared" si="9"/>
        <v>0</v>
      </c>
      <c r="AD27" s="337">
        <f t="shared" si="9"/>
        <v>0</v>
      </c>
      <c r="AE27" s="391">
        <f t="shared" si="9"/>
        <v>0</v>
      </c>
      <c r="AF27" s="399">
        <f t="shared" si="16"/>
        <v>0</v>
      </c>
      <c r="AG27" s="358">
        <f t="shared" si="16"/>
        <v>0</v>
      </c>
      <c r="AH27" s="400">
        <f t="shared" si="16"/>
        <v>0</v>
      </c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</row>
    <row r="28" spans="2:51" ht="15" customHeight="1" x14ac:dyDescent="0.25">
      <c r="H28" s="204">
        <f t="shared" si="17"/>
        <v>1.1000000000000003</v>
      </c>
      <c r="I28" s="147">
        <f t="shared" si="18"/>
        <v>2560.9090909090896</v>
      </c>
      <c r="L28" s="147"/>
      <c r="M28" s="328">
        <f t="shared" si="3"/>
        <v>2560.9090909090896</v>
      </c>
      <c r="N28" s="310">
        <f t="shared" si="4"/>
        <v>7.1136363636363598</v>
      </c>
      <c r="O28" s="326">
        <f t="shared" si="5"/>
        <v>0.90909090909090884</v>
      </c>
      <c r="P28" s="325">
        <f t="shared" si="11"/>
        <v>1.1000000000000003</v>
      </c>
      <c r="Q28" s="367">
        <f t="shared" si="12"/>
        <v>0.16074362483610394</v>
      </c>
      <c r="R28" s="324">
        <f t="shared" si="12"/>
        <v>0.1725069823454346</v>
      </c>
      <c r="S28" s="324">
        <f t="shared" si="12"/>
        <v>0.18463581477023533</v>
      </c>
      <c r="T28" s="372">
        <f t="shared" si="13"/>
        <v>1000000</v>
      </c>
      <c r="U28" s="370">
        <f t="shared" si="13"/>
        <v>1000000</v>
      </c>
      <c r="V28" s="370">
        <f t="shared" si="13"/>
        <v>1000000</v>
      </c>
      <c r="W28" s="379">
        <f t="shared" si="14"/>
        <v>0.15185308988179202</v>
      </c>
      <c r="X28" s="376">
        <f t="shared" si="14"/>
        <v>0.16755918661637614</v>
      </c>
      <c r="Y28" s="380">
        <f t="shared" si="14"/>
        <v>0.18227546273073036</v>
      </c>
      <c r="Z28" s="228">
        <f t="shared" si="15"/>
        <v>0</v>
      </c>
      <c r="AA28" s="228">
        <f t="shared" si="15"/>
        <v>0</v>
      </c>
      <c r="AB28" s="229">
        <f t="shared" si="15"/>
        <v>0</v>
      </c>
      <c r="AC28" s="390">
        <f t="shared" si="9"/>
        <v>0</v>
      </c>
      <c r="AD28" s="337">
        <f t="shared" si="9"/>
        <v>0</v>
      </c>
      <c r="AE28" s="391">
        <f t="shared" si="9"/>
        <v>0</v>
      </c>
      <c r="AF28" s="399">
        <f t="shared" si="16"/>
        <v>0</v>
      </c>
      <c r="AG28" s="358">
        <f t="shared" si="16"/>
        <v>0</v>
      </c>
      <c r="AH28" s="400">
        <f t="shared" si="16"/>
        <v>0</v>
      </c>
      <c r="AI28" s="395"/>
      <c r="AJ28" s="395"/>
      <c r="AK28" s="332"/>
      <c r="AL28" s="332"/>
      <c r="AM28" s="332"/>
      <c r="AN28" s="332"/>
      <c r="AO28" s="332"/>
      <c r="AP28" s="332"/>
      <c r="AQ28" s="332"/>
      <c r="AR28" s="332"/>
      <c r="AS28" s="332"/>
      <c r="AT28" s="332"/>
      <c r="AU28" s="332"/>
      <c r="AV28" s="332"/>
      <c r="AW28" s="332"/>
      <c r="AX28" s="332"/>
      <c r="AY28" s="332"/>
    </row>
    <row r="29" spans="2:51" ht="15" customHeight="1" x14ac:dyDescent="0.25">
      <c r="H29" s="204">
        <f t="shared" si="17"/>
        <v>1.1500000000000004</v>
      </c>
      <c r="I29" s="147">
        <f t="shared" si="18"/>
        <v>2369.9999999999991</v>
      </c>
      <c r="L29" s="147"/>
      <c r="M29" s="328">
        <f t="shared" si="3"/>
        <v>2369.9999999999991</v>
      </c>
      <c r="N29" s="310">
        <f t="shared" si="4"/>
        <v>6.5833333333333304</v>
      </c>
      <c r="O29" s="326">
        <f t="shared" si="5"/>
        <v>0.8695652173913041</v>
      </c>
      <c r="P29" s="325">
        <f t="shared" si="11"/>
        <v>1.1500000000000004</v>
      </c>
      <c r="Q29" s="367">
        <f t="shared" si="12"/>
        <v>0.16376067346970125</v>
      </c>
      <c r="R29" s="324">
        <f t="shared" si="12"/>
        <v>0.17500880610570665</v>
      </c>
      <c r="S29" s="324">
        <f t="shared" si="12"/>
        <v>0.18658076002466076</v>
      </c>
      <c r="T29" s="372">
        <f t="shared" si="13"/>
        <v>1000000</v>
      </c>
      <c r="U29" s="370">
        <f t="shared" si="13"/>
        <v>1000000</v>
      </c>
      <c r="V29" s="370">
        <f t="shared" si="13"/>
        <v>1000000</v>
      </c>
      <c r="W29" s="379">
        <f t="shared" si="14"/>
        <v>0.15185308988179202</v>
      </c>
      <c r="X29" s="376">
        <f t="shared" si="14"/>
        <v>0.16755918661637614</v>
      </c>
      <c r="Y29" s="380">
        <f t="shared" si="14"/>
        <v>0.18227546273073036</v>
      </c>
      <c r="Z29" s="228">
        <f t="shared" si="15"/>
        <v>0</v>
      </c>
      <c r="AA29" s="228">
        <f t="shared" si="15"/>
        <v>0</v>
      </c>
      <c r="AB29" s="229">
        <f t="shared" si="15"/>
        <v>0</v>
      </c>
      <c r="AC29" s="390">
        <f t="shared" si="9"/>
        <v>0</v>
      </c>
      <c r="AD29" s="337">
        <f t="shared" si="9"/>
        <v>0</v>
      </c>
      <c r="AE29" s="391">
        <f t="shared" si="9"/>
        <v>0</v>
      </c>
      <c r="AF29" s="399">
        <f t="shared" si="16"/>
        <v>0</v>
      </c>
      <c r="AG29" s="358">
        <f t="shared" si="16"/>
        <v>0</v>
      </c>
      <c r="AH29" s="400">
        <f t="shared" si="16"/>
        <v>0</v>
      </c>
      <c r="AI29" s="395"/>
      <c r="AJ29" s="395"/>
      <c r="AK29" s="332"/>
      <c r="AL29" s="332"/>
      <c r="AM29" s="332"/>
      <c r="AN29" s="332"/>
      <c r="AO29" s="332"/>
      <c r="AP29" s="332"/>
      <c r="AQ29" s="332"/>
      <c r="AR29" s="332"/>
      <c r="AS29" s="332"/>
      <c r="AT29" s="332"/>
      <c r="AU29" s="332"/>
      <c r="AV29" s="332"/>
      <c r="AW29" s="332"/>
      <c r="AX29" s="332"/>
      <c r="AY29" s="332"/>
    </row>
    <row r="30" spans="2:51" ht="15" customHeight="1" x14ac:dyDescent="0.25">
      <c r="H30" s="204">
        <f t="shared" si="17"/>
        <v>1.2000000000000004</v>
      </c>
      <c r="I30" s="147">
        <f t="shared" si="18"/>
        <v>2194.9999999999986</v>
      </c>
      <c r="L30" s="147"/>
      <c r="M30" s="328">
        <f t="shared" si="3"/>
        <v>2194.9999999999986</v>
      </c>
      <c r="N30" s="310">
        <f t="shared" si="4"/>
        <v>6.0972222222222188</v>
      </c>
      <c r="O30" s="326">
        <f t="shared" si="5"/>
        <v>0.83333333333333304</v>
      </c>
      <c r="P30" s="325">
        <f t="shared" si="11"/>
        <v>1.2000000000000004</v>
      </c>
      <c r="Q30" s="367">
        <f t="shared" si="12"/>
        <v>0.16721189257737218</v>
      </c>
      <c r="R30" s="324">
        <f t="shared" si="12"/>
        <v>0.17800186554680492</v>
      </c>
      <c r="S30" s="324">
        <f t="shared" si="12"/>
        <v>0.18907917536562666</v>
      </c>
      <c r="T30" s="372">
        <f t="shared" si="13"/>
        <v>1000000</v>
      </c>
      <c r="U30" s="370">
        <f t="shared" si="13"/>
        <v>1000000</v>
      </c>
      <c r="V30" s="370">
        <f t="shared" si="13"/>
        <v>1000000</v>
      </c>
      <c r="W30" s="379">
        <f t="shared" si="14"/>
        <v>0.15185308988179202</v>
      </c>
      <c r="X30" s="376">
        <f t="shared" si="14"/>
        <v>0.16755918661637614</v>
      </c>
      <c r="Y30" s="380">
        <f t="shared" si="14"/>
        <v>0.18227546273073036</v>
      </c>
      <c r="Z30" s="228">
        <f t="shared" si="15"/>
        <v>0</v>
      </c>
      <c r="AA30" s="228">
        <f t="shared" si="15"/>
        <v>0</v>
      </c>
      <c r="AB30" s="229">
        <f t="shared" si="15"/>
        <v>0</v>
      </c>
      <c r="AC30" s="390">
        <f t="shared" si="9"/>
        <v>0</v>
      </c>
      <c r="AD30" s="337">
        <f t="shared" si="9"/>
        <v>0</v>
      </c>
      <c r="AE30" s="391">
        <f t="shared" si="9"/>
        <v>0</v>
      </c>
      <c r="AF30" s="399">
        <f t="shared" si="16"/>
        <v>0</v>
      </c>
      <c r="AG30" s="358">
        <f t="shared" si="16"/>
        <v>0</v>
      </c>
      <c r="AH30" s="400">
        <f t="shared" si="16"/>
        <v>0</v>
      </c>
      <c r="AI30" s="343"/>
      <c r="AJ30" s="343"/>
      <c r="AK30" s="332"/>
      <c r="AL30" s="332"/>
      <c r="AM30" s="332"/>
      <c r="AN30" s="332"/>
      <c r="AO30" s="332"/>
      <c r="AP30" s="332"/>
      <c r="AQ30" s="332"/>
      <c r="AR30" s="332"/>
      <c r="AS30" s="332"/>
      <c r="AT30" s="332"/>
      <c r="AU30" s="332"/>
      <c r="AV30" s="332"/>
      <c r="AW30" s="332"/>
      <c r="AX30" s="332"/>
      <c r="AY30" s="332"/>
    </row>
    <row r="31" spans="2:51" ht="15" customHeight="1" x14ac:dyDescent="0.25">
      <c r="H31" s="204">
        <f t="shared" si="17"/>
        <v>1.2500000000000004</v>
      </c>
      <c r="I31" s="147">
        <f t="shared" si="18"/>
        <v>2033.9999999999986</v>
      </c>
      <c r="L31" s="147"/>
      <c r="M31" s="328">
        <f t="shared" si="3"/>
        <v>2033.9999999999986</v>
      </c>
      <c r="N31" s="310">
        <f t="shared" si="4"/>
        <v>5.6499999999999959</v>
      </c>
      <c r="O31" s="326">
        <f t="shared" si="5"/>
        <v>0.79999999999999971</v>
      </c>
      <c r="P31" s="325">
        <f t="shared" si="11"/>
        <v>1.2500000000000004</v>
      </c>
      <c r="Q31" s="367">
        <f t="shared" si="12"/>
        <v>0.17111396258308559</v>
      </c>
      <c r="R31" s="324">
        <f t="shared" si="12"/>
        <v>0.18149581408038221</v>
      </c>
      <c r="S31" s="324">
        <f t="shared" si="12"/>
        <v>0.1921329078653129</v>
      </c>
      <c r="T31" s="372">
        <f t="shared" si="13"/>
        <v>1000000</v>
      </c>
      <c r="U31" s="370">
        <f t="shared" si="13"/>
        <v>1000000</v>
      </c>
      <c r="V31" s="370">
        <f t="shared" si="13"/>
        <v>1000000</v>
      </c>
      <c r="W31" s="379">
        <f t="shared" si="14"/>
        <v>0.15185308988179202</v>
      </c>
      <c r="X31" s="376">
        <f t="shared" si="14"/>
        <v>0.16755918661637614</v>
      </c>
      <c r="Y31" s="380">
        <f t="shared" si="14"/>
        <v>0.18227546273073036</v>
      </c>
      <c r="Z31" s="228">
        <f t="shared" si="15"/>
        <v>0</v>
      </c>
      <c r="AA31" s="228">
        <f t="shared" si="15"/>
        <v>0</v>
      </c>
      <c r="AB31" s="229">
        <f t="shared" si="15"/>
        <v>0</v>
      </c>
      <c r="AC31" s="390">
        <f t="shared" si="9"/>
        <v>0</v>
      </c>
      <c r="AD31" s="337">
        <f t="shared" si="9"/>
        <v>0</v>
      </c>
      <c r="AE31" s="391">
        <f t="shared" si="9"/>
        <v>0</v>
      </c>
      <c r="AF31" s="399">
        <f t="shared" si="16"/>
        <v>0</v>
      </c>
      <c r="AG31" s="358">
        <f t="shared" si="16"/>
        <v>0</v>
      </c>
      <c r="AH31" s="400">
        <f t="shared" si="16"/>
        <v>0</v>
      </c>
      <c r="AI31" s="344"/>
      <c r="AJ31" s="344"/>
      <c r="AK31" s="332"/>
      <c r="AL31" s="332"/>
      <c r="AM31" s="332"/>
      <c r="AN31" s="332"/>
      <c r="AO31" s="332"/>
      <c r="AP31" s="332"/>
      <c r="AQ31" s="332"/>
      <c r="AR31" s="332"/>
      <c r="AS31" s="332"/>
      <c r="AT31" s="332"/>
      <c r="AU31" s="332"/>
      <c r="AV31" s="332"/>
      <c r="AW31" s="332"/>
      <c r="AX31" s="332"/>
      <c r="AY31" s="332"/>
    </row>
    <row r="32" spans="2:51" ht="15" customHeight="1" x14ac:dyDescent="0.25">
      <c r="H32" s="204">
        <f t="shared" si="17"/>
        <v>1.3000000000000005</v>
      </c>
      <c r="I32" s="147">
        <f t="shared" si="18"/>
        <v>1885.3846153846139</v>
      </c>
      <c r="L32" s="147"/>
      <c r="M32" s="328">
        <f t="shared" si="3"/>
        <v>1885.3846153846139</v>
      </c>
      <c r="N32" s="310">
        <f t="shared" si="4"/>
        <v>5.2371794871794828</v>
      </c>
      <c r="O32" s="326">
        <f t="shared" si="5"/>
        <v>0.76923076923076894</v>
      </c>
      <c r="P32" s="325">
        <f t="shared" si="11"/>
        <v>1.3000000000000005</v>
      </c>
      <c r="Q32" s="367">
        <f t="shared" si="12"/>
        <v>0.17549121569766235</v>
      </c>
      <c r="R32" s="324">
        <f t="shared" si="12"/>
        <v>0.18550924968380325</v>
      </c>
      <c r="S32" s="324">
        <f t="shared" si="12"/>
        <v>0.19575417599193376</v>
      </c>
      <c r="T32" s="372">
        <f t="shared" si="13"/>
        <v>1000000</v>
      </c>
      <c r="U32" s="370">
        <f t="shared" si="13"/>
        <v>1000000</v>
      </c>
      <c r="V32" s="370">
        <f t="shared" si="13"/>
        <v>1000000</v>
      </c>
      <c r="W32" s="379">
        <f t="shared" si="14"/>
        <v>0.15185308988179202</v>
      </c>
      <c r="X32" s="376">
        <f t="shared" si="14"/>
        <v>0.16755918661637614</v>
      </c>
      <c r="Y32" s="380">
        <f t="shared" si="14"/>
        <v>0.18227546273073036</v>
      </c>
      <c r="Z32" s="228">
        <f t="shared" si="15"/>
        <v>0</v>
      </c>
      <c r="AA32" s="228">
        <f t="shared" si="15"/>
        <v>0</v>
      </c>
      <c r="AB32" s="229">
        <f t="shared" si="15"/>
        <v>0</v>
      </c>
      <c r="AC32" s="390">
        <f t="shared" si="9"/>
        <v>0</v>
      </c>
      <c r="AD32" s="337">
        <f t="shared" si="9"/>
        <v>0</v>
      </c>
      <c r="AE32" s="391">
        <f t="shared" si="9"/>
        <v>0</v>
      </c>
      <c r="AF32" s="399">
        <f t="shared" si="16"/>
        <v>0</v>
      </c>
      <c r="AG32" s="358">
        <f t="shared" si="16"/>
        <v>0</v>
      </c>
      <c r="AH32" s="400">
        <f t="shared" si="16"/>
        <v>0</v>
      </c>
      <c r="AI32" s="345"/>
      <c r="AJ32" s="345"/>
      <c r="AK32" s="332"/>
      <c r="AL32" s="332"/>
      <c r="AM32" s="342"/>
      <c r="AN32" s="342"/>
      <c r="AO32" s="34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</row>
    <row r="33" spans="8:51" ht="15" customHeight="1" x14ac:dyDescent="0.25">
      <c r="H33" s="204">
        <f t="shared" si="17"/>
        <v>1.3500000000000005</v>
      </c>
      <c r="I33" s="147">
        <f t="shared" si="18"/>
        <v>1747.7777777777765</v>
      </c>
      <c r="L33" s="147"/>
      <c r="M33" s="328">
        <f t="shared" si="3"/>
        <v>1747.7777777777765</v>
      </c>
      <c r="N33" s="310">
        <f t="shared" si="4"/>
        <v>4.8549382716049347</v>
      </c>
      <c r="O33" s="326">
        <f t="shared" si="5"/>
        <v>0.74074074074074048</v>
      </c>
      <c r="P33" s="325">
        <f t="shared" si="11"/>
        <v>1.3500000000000005</v>
      </c>
      <c r="Q33" s="367">
        <f t="shared" si="12"/>
        <v>0.18037606504673045</v>
      </c>
      <c r="R33" s="324">
        <f t="shared" si="12"/>
        <v>0.19006990346692773</v>
      </c>
      <c r="S33" s="324">
        <f t="shared" si="12"/>
        <v>0.19996549170353906</v>
      </c>
      <c r="T33" s="372">
        <f t="shared" si="13"/>
        <v>1000000</v>
      </c>
      <c r="U33" s="370">
        <f t="shared" si="13"/>
        <v>1000000</v>
      </c>
      <c r="V33" s="370">
        <f t="shared" si="13"/>
        <v>1000000</v>
      </c>
      <c r="W33" s="379">
        <f t="shared" si="14"/>
        <v>0.15185308988179202</v>
      </c>
      <c r="X33" s="376">
        <f t="shared" si="14"/>
        <v>0.16755918661637614</v>
      </c>
      <c r="Y33" s="380">
        <f t="shared" si="14"/>
        <v>0.18227546273073036</v>
      </c>
      <c r="Z33" s="228">
        <f t="shared" si="15"/>
        <v>0</v>
      </c>
      <c r="AA33" s="228">
        <f t="shared" si="15"/>
        <v>0</v>
      </c>
      <c r="AB33" s="229">
        <f t="shared" si="15"/>
        <v>0</v>
      </c>
      <c r="AC33" s="390">
        <f t="shared" si="9"/>
        <v>0</v>
      </c>
      <c r="AD33" s="337">
        <f t="shared" si="9"/>
        <v>0</v>
      </c>
      <c r="AE33" s="391">
        <f t="shared" si="9"/>
        <v>0</v>
      </c>
      <c r="AF33" s="399">
        <f t="shared" si="16"/>
        <v>0</v>
      </c>
      <c r="AG33" s="358">
        <f t="shared" si="16"/>
        <v>0</v>
      </c>
      <c r="AH33" s="400">
        <f t="shared" si="16"/>
        <v>0</v>
      </c>
      <c r="AI33" s="346"/>
      <c r="AJ33" s="346"/>
      <c r="AK33" s="332"/>
      <c r="AL33" s="332"/>
      <c r="AM33" s="332"/>
      <c r="AN33" s="332"/>
      <c r="AO33" s="332"/>
      <c r="AP33" s="332"/>
      <c r="AQ33" s="332"/>
      <c r="AR33" s="332"/>
      <c r="AS33" s="332"/>
      <c r="AT33" s="332"/>
      <c r="AU33" s="332"/>
      <c r="AV33" s="332"/>
      <c r="AW33" s="332"/>
      <c r="AX33" s="332"/>
      <c r="AY33" s="332"/>
    </row>
    <row r="34" spans="8:51" ht="15" customHeight="1" x14ac:dyDescent="0.25">
      <c r="H34" s="204">
        <f t="shared" si="17"/>
        <v>1.4000000000000006</v>
      </c>
      <c r="I34" s="147">
        <f t="shared" si="18"/>
        <v>1619.9999999999984</v>
      </c>
      <c r="L34" s="147"/>
      <c r="M34" s="329">
        <f t="shared" si="3"/>
        <v>1619.9999999999984</v>
      </c>
      <c r="N34" s="330">
        <f t="shared" si="4"/>
        <v>4.4999999999999956</v>
      </c>
      <c r="O34" s="323">
        <f t="shared" si="5"/>
        <v>0.71428571428571397</v>
      </c>
      <c r="P34" s="327">
        <f t="shared" si="11"/>
        <v>1.4000000000000006</v>
      </c>
      <c r="Q34" s="368">
        <f t="shared" si="12"/>
        <v>0.18580978562385378</v>
      </c>
      <c r="R34" s="322">
        <f t="shared" si="12"/>
        <v>0.19521523928474904</v>
      </c>
      <c r="S34" s="322">
        <f t="shared" si="12"/>
        <v>0.20480005817448563</v>
      </c>
      <c r="T34" s="373">
        <f t="shared" si="13"/>
        <v>1000000</v>
      </c>
      <c r="U34" s="374">
        <f t="shared" si="13"/>
        <v>1000000</v>
      </c>
      <c r="V34" s="374">
        <f t="shared" si="13"/>
        <v>1000000</v>
      </c>
      <c r="W34" s="381">
        <f t="shared" si="14"/>
        <v>0.15185308988179202</v>
      </c>
      <c r="X34" s="382">
        <f t="shared" si="14"/>
        <v>0.16755918661637614</v>
      </c>
      <c r="Y34" s="383">
        <f t="shared" si="14"/>
        <v>0.18227546273073036</v>
      </c>
      <c r="Z34" s="230">
        <f t="shared" si="15"/>
        <v>0</v>
      </c>
      <c r="AA34" s="230">
        <f t="shared" si="15"/>
        <v>0</v>
      </c>
      <c r="AB34" s="231">
        <f t="shared" si="15"/>
        <v>0</v>
      </c>
      <c r="AC34" s="392">
        <f t="shared" si="9"/>
        <v>0</v>
      </c>
      <c r="AD34" s="393">
        <f t="shared" si="9"/>
        <v>0</v>
      </c>
      <c r="AE34" s="394">
        <f t="shared" si="9"/>
        <v>0</v>
      </c>
      <c r="AF34" s="401">
        <f t="shared" si="16"/>
        <v>0</v>
      </c>
      <c r="AG34" s="402">
        <f t="shared" si="16"/>
        <v>0</v>
      </c>
      <c r="AH34" s="403">
        <f t="shared" si="16"/>
        <v>0</v>
      </c>
      <c r="AI34" s="346"/>
      <c r="AJ34" s="346"/>
      <c r="AK34" s="332"/>
      <c r="AL34" s="332"/>
      <c r="AM34" s="332"/>
      <c r="AN34" s="332"/>
      <c r="AO34" s="332"/>
      <c r="AP34" s="332"/>
      <c r="AQ34" s="332"/>
      <c r="AR34" s="332"/>
      <c r="AS34" s="332"/>
      <c r="AT34" s="332"/>
      <c r="AU34" s="332"/>
      <c r="AV34" s="332"/>
      <c r="AW34" s="332"/>
      <c r="AX34" s="332"/>
      <c r="AY34" s="332"/>
    </row>
    <row r="35" spans="8:51" ht="15" customHeight="1" x14ac:dyDescent="0.25">
      <c r="M35" s="139"/>
      <c r="P35" s="204"/>
      <c r="Q35" s="320"/>
      <c r="R35" s="320"/>
      <c r="S35" s="320"/>
      <c r="T35" s="320"/>
      <c r="U35" s="320"/>
      <c r="V35" s="320"/>
      <c r="W35" s="320"/>
      <c r="X35" s="320"/>
      <c r="Y35" s="320"/>
      <c r="Z35" s="138"/>
      <c r="AA35" s="138"/>
      <c r="AB35" s="138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</row>
    <row r="36" spans="8:51" ht="15" customHeight="1" x14ac:dyDescent="0.25">
      <c r="M36" s="139"/>
      <c r="P36" s="204"/>
      <c r="Z36" s="138"/>
      <c r="AA36" s="138"/>
      <c r="AB36" s="138"/>
      <c r="AC36" s="332"/>
      <c r="AD36" s="332"/>
      <c r="AE36" s="332"/>
      <c r="AF36" s="332"/>
      <c r="AG36" s="332"/>
      <c r="AH36" s="332"/>
      <c r="AI36" s="332"/>
      <c r="AJ36" s="332"/>
      <c r="AK36" s="332"/>
      <c r="AL36" s="344"/>
      <c r="AM36" s="332"/>
      <c r="AN36" s="332"/>
      <c r="AO36" s="332"/>
      <c r="AP36" s="332"/>
      <c r="AQ36" s="332"/>
      <c r="AR36" s="332"/>
      <c r="AS36" s="332"/>
      <c r="AT36" s="332"/>
      <c r="AU36" s="332"/>
      <c r="AV36" s="332"/>
      <c r="AW36" s="332"/>
      <c r="AX36" s="332"/>
      <c r="AY36" s="332"/>
    </row>
    <row r="37" spans="8:51" ht="15" customHeight="1" x14ac:dyDescent="0.25">
      <c r="M37" s="139"/>
      <c r="P37" s="204"/>
      <c r="Q37" s="320"/>
      <c r="R37" s="320"/>
      <c r="S37" s="320"/>
      <c r="T37" s="320"/>
      <c r="V37" s="1213" t="s">
        <v>63</v>
      </c>
      <c r="W37" s="1214"/>
      <c r="X37" s="1214"/>
      <c r="Y37" s="1214"/>
      <c r="Z37" s="1215"/>
      <c r="AA37" s="333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47"/>
      <c r="AO37" s="332"/>
      <c r="AP37" s="332"/>
      <c r="AQ37" s="332"/>
      <c r="AR37" s="332"/>
      <c r="AS37" s="332"/>
      <c r="AT37" s="332"/>
      <c r="AU37" s="332"/>
      <c r="AV37" s="332"/>
      <c r="AW37" s="332"/>
      <c r="AX37" s="332"/>
      <c r="AY37" s="332"/>
    </row>
    <row r="38" spans="8:51" ht="15" customHeight="1" x14ac:dyDescent="0.25">
      <c r="M38" s="139"/>
      <c r="P38" s="204"/>
      <c r="Q38" s="320"/>
      <c r="R38" s="320"/>
      <c r="S38" s="320"/>
      <c r="T38" s="320"/>
      <c r="U38" s="408"/>
      <c r="V38" s="1216"/>
      <c r="W38" s="1217"/>
      <c r="X38" s="1217"/>
      <c r="Y38" s="1217"/>
      <c r="Z38" s="1218"/>
      <c r="AA38" s="333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6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</row>
    <row r="39" spans="8:51" ht="15" customHeight="1" x14ac:dyDescent="0.25">
      <c r="M39" s="139"/>
      <c r="P39" s="204"/>
      <c r="Q39" s="320"/>
      <c r="R39" s="320"/>
      <c r="S39" s="320"/>
      <c r="T39" s="320"/>
      <c r="U39" s="408"/>
      <c r="V39" s="1219" t="s">
        <v>64</v>
      </c>
      <c r="W39" s="1220"/>
      <c r="X39" s="405">
        <f>Q4</f>
        <v>6</v>
      </c>
      <c r="Y39" s="405">
        <f t="shared" ref="Y39:Z39" si="19">R4</f>
        <v>8</v>
      </c>
      <c r="Z39" s="405">
        <f t="shared" si="19"/>
        <v>10</v>
      </c>
      <c r="AA39" s="333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6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</row>
    <row r="40" spans="8:51" ht="15" customHeight="1" x14ac:dyDescent="0.25">
      <c r="M40" s="139"/>
      <c r="P40" s="204"/>
      <c r="Q40" s="320"/>
      <c r="R40" s="320"/>
      <c r="S40" s="320"/>
      <c r="T40" s="320"/>
      <c r="V40" s="1221" t="s">
        <v>65</v>
      </c>
      <c r="W40" s="1222"/>
      <c r="X40" s="311">
        <f>T5</f>
        <v>0.80000000000000016</v>
      </c>
      <c r="Y40" s="311">
        <f t="shared" ref="Y40:Z40" si="20">U5</f>
        <v>0.90000000000000024</v>
      </c>
      <c r="Z40" s="311">
        <f t="shared" si="20"/>
        <v>0.95000000000000029</v>
      </c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8"/>
      <c r="AO40" s="332"/>
      <c r="AP40" s="332"/>
      <c r="AQ40" s="332"/>
      <c r="AR40" s="332"/>
      <c r="AS40" s="332"/>
      <c r="AT40" s="332"/>
      <c r="AU40" s="332"/>
      <c r="AV40" s="332"/>
      <c r="AW40" s="332"/>
      <c r="AX40" s="332"/>
      <c r="AY40" s="332"/>
    </row>
    <row r="41" spans="8:51" ht="15" customHeight="1" x14ac:dyDescent="0.25">
      <c r="M41" s="139"/>
      <c r="P41" s="204"/>
      <c r="Q41" s="320"/>
      <c r="R41" s="320"/>
      <c r="S41" s="320"/>
      <c r="T41" s="320"/>
      <c r="V41" s="1221" t="s">
        <v>66</v>
      </c>
      <c r="W41" s="1222"/>
      <c r="X41" s="311">
        <f>AF5</f>
        <v>11.687499999999998</v>
      </c>
      <c r="Y41" s="311">
        <f t="shared" ref="Y41:Z41" si="21">AG5</f>
        <v>9.8240740740740691</v>
      </c>
      <c r="Z41" s="311">
        <f t="shared" si="21"/>
        <v>9.0394736842105221</v>
      </c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</row>
    <row r="42" spans="8:51" ht="15" customHeight="1" x14ac:dyDescent="0.25">
      <c r="M42" s="139"/>
      <c r="P42" s="204"/>
      <c r="Q42" s="320"/>
      <c r="R42" s="320"/>
      <c r="S42" s="320"/>
      <c r="T42" s="320"/>
      <c r="V42" s="1221" t="s">
        <v>67</v>
      </c>
      <c r="W42" s="1222"/>
      <c r="X42" s="406">
        <f>Q3</f>
        <v>0.15185308988179202</v>
      </c>
      <c r="Y42" s="406">
        <f t="shared" ref="Y42:Z42" si="22">R3</f>
        <v>0.16755918661637614</v>
      </c>
      <c r="Z42" s="406">
        <f t="shared" si="22"/>
        <v>0.18227546273073036</v>
      </c>
      <c r="AA42" s="332"/>
      <c r="AB42" s="332"/>
      <c r="AC42" s="332"/>
      <c r="AD42" s="332"/>
      <c r="AE42" s="332"/>
      <c r="AF42" s="332"/>
      <c r="AG42" s="332"/>
      <c r="AH42" s="348"/>
      <c r="AI42" s="349"/>
      <c r="AJ42" s="350"/>
      <c r="AK42" s="332"/>
      <c r="AL42" s="332"/>
      <c r="AM42" s="332"/>
      <c r="AN42" s="332"/>
      <c r="AO42" s="332"/>
      <c r="AP42" s="332"/>
      <c r="AQ42" s="332"/>
      <c r="AR42" s="332"/>
      <c r="AS42" s="332"/>
      <c r="AT42" s="332"/>
      <c r="AU42" s="332"/>
      <c r="AV42" s="332"/>
      <c r="AW42" s="332"/>
      <c r="AX42" s="332"/>
      <c r="AY42" s="332"/>
    </row>
    <row r="43" spans="8:51" ht="15" customHeight="1" x14ac:dyDescent="0.25">
      <c r="M43" s="139"/>
      <c r="P43" s="204"/>
      <c r="Q43" s="320"/>
      <c r="R43" s="320"/>
      <c r="S43" s="320"/>
      <c r="T43" s="320"/>
      <c r="V43" s="1206" t="s">
        <v>68</v>
      </c>
      <c r="W43" s="1207"/>
      <c r="X43" s="407">
        <f>Q26</f>
        <v>0.15598342423322073</v>
      </c>
      <c r="Y43" s="407">
        <f t="shared" ref="Y43:Z43" si="23">R26</f>
        <v>0.16898502404395657</v>
      </c>
      <c r="Z43" s="407">
        <f t="shared" si="23"/>
        <v>0.18245490656356417</v>
      </c>
      <c r="AA43" s="332"/>
      <c r="AB43" s="332"/>
      <c r="AC43" s="332"/>
      <c r="AD43" s="332"/>
      <c r="AE43" s="332"/>
      <c r="AF43" s="332"/>
      <c r="AG43" s="332"/>
      <c r="AH43" s="348"/>
      <c r="AI43" s="349"/>
      <c r="AJ43" s="350"/>
      <c r="AK43" s="332"/>
      <c r="AL43" s="332"/>
      <c r="AM43" s="332"/>
      <c r="AN43" s="332"/>
      <c r="AO43" s="332"/>
      <c r="AP43" s="332"/>
      <c r="AQ43" s="332"/>
      <c r="AR43" s="332"/>
      <c r="AS43" s="332"/>
      <c r="AT43" s="332"/>
      <c r="AU43" s="332"/>
      <c r="AV43" s="332"/>
      <c r="AW43" s="332"/>
      <c r="AX43" s="332"/>
      <c r="AY43" s="332"/>
    </row>
    <row r="44" spans="8:51" ht="15" customHeight="1" x14ac:dyDescent="0.25">
      <c r="M44" s="139"/>
      <c r="P44" s="204"/>
      <c r="Q44" s="320"/>
      <c r="R44" s="320"/>
      <c r="S44" s="320"/>
      <c r="T44" s="320"/>
      <c r="U44" s="320"/>
      <c r="V44" s="320"/>
      <c r="W44" s="320"/>
      <c r="X44" s="320"/>
      <c r="Y44" s="320"/>
      <c r="AA44" s="332"/>
      <c r="AB44" s="332"/>
      <c r="AC44" s="332"/>
      <c r="AD44" s="332"/>
      <c r="AE44" s="332"/>
      <c r="AF44" s="332"/>
      <c r="AG44" s="332"/>
      <c r="AH44" s="348"/>
      <c r="AI44" s="349"/>
      <c r="AJ44" s="350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</row>
    <row r="45" spans="8:51" ht="15" customHeight="1" x14ac:dyDescent="0.25">
      <c r="M45" s="139"/>
      <c r="P45" s="204"/>
      <c r="Q45" s="320"/>
      <c r="R45" s="320"/>
      <c r="S45" s="320"/>
      <c r="T45" s="320"/>
      <c r="U45" s="320"/>
      <c r="V45" s="320"/>
      <c r="W45" s="320"/>
      <c r="X45" s="320"/>
      <c r="Y45" s="320"/>
      <c r="Z45" s="1188"/>
      <c r="AA45" s="332"/>
      <c r="AB45" s="332"/>
      <c r="AC45" s="332"/>
      <c r="AD45" s="332"/>
      <c r="AE45" s="332"/>
      <c r="AF45" s="332"/>
      <c r="AG45" s="332"/>
      <c r="AH45" s="351"/>
      <c r="AI45" s="352"/>
      <c r="AJ45" s="350"/>
      <c r="AK45" s="332"/>
      <c r="AL45" s="332"/>
      <c r="AM45" s="332"/>
      <c r="AN45" s="332"/>
      <c r="AO45" s="332"/>
      <c r="AP45" s="332"/>
      <c r="AQ45" s="332"/>
      <c r="AR45" s="332"/>
      <c r="AS45" s="332"/>
      <c r="AT45" s="332"/>
      <c r="AU45" s="332"/>
      <c r="AV45" s="332"/>
      <c r="AW45" s="332"/>
      <c r="AX45" s="332"/>
      <c r="AY45" s="332"/>
    </row>
    <row r="46" spans="8:51" ht="15" customHeight="1" x14ac:dyDescent="0.25">
      <c r="M46" s="139"/>
      <c r="P46" s="204"/>
      <c r="Q46" s="320"/>
      <c r="R46" s="320"/>
      <c r="S46" s="320"/>
      <c r="T46" s="320"/>
      <c r="U46" s="320"/>
      <c r="V46" s="320"/>
      <c r="W46" s="320"/>
      <c r="X46" s="320"/>
      <c r="Y46" s="320"/>
      <c r="Z46" s="1189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  <c r="AW46" s="332"/>
      <c r="AX46" s="332"/>
      <c r="AY46" s="332"/>
    </row>
    <row r="47" spans="8:51" ht="15" customHeight="1" x14ac:dyDescent="0.25">
      <c r="M47" s="139"/>
      <c r="P47" s="204"/>
      <c r="Q47" s="320"/>
      <c r="R47" s="320"/>
      <c r="S47" s="320"/>
      <c r="T47" s="320"/>
      <c r="U47" s="320"/>
      <c r="V47" s="320"/>
      <c r="W47" s="320"/>
      <c r="X47" s="320"/>
      <c r="Y47" s="320"/>
      <c r="AA47" s="332"/>
      <c r="AB47" s="332"/>
      <c r="AC47" s="332"/>
      <c r="AD47" s="332"/>
      <c r="AE47" s="332"/>
      <c r="AF47" s="332"/>
      <c r="AG47" s="332"/>
      <c r="AH47" s="332"/>
      <c r="AI47" s="335"/>
      <c r="AJ47" s="350"/>
      <c r="AK47" s="332"/>
      <c r="AL47" s="332"/>
      <c r="AM47" s="332"/>
      <c r="AN47" s="332"/>
      <c r="AO47" s="332"/>
      <c r="AP47" s="332"/>
      <c r="AQ47" s="332"/>
      <c r="AR47" s="332"/>
      <c r="AS47" s="332"/>
      <c r="AT47" s="332"/>
      <c r="AU47" s="332"/>
      <c r="AV47" s="332"/>
      <c r="AW47" s="332"/>
      <c r="AX47" s="332"/>
      <c r="AY47" s="332"/>
    </row>
    <row r="48" spans="8:51" ht="15" customHeight="1" x14ac:dyDescent="0.25">
      <c r="M48" s="139"/>
      <c r="P48" s="204"/>
      <c r="Q48" s="320"/>
      <c r="R48" s="320"/>
      <c r="S48" s="320"/>
      <c r="T48" s="320"/>
      <c r="U48" s="320"/>
      <c r="V48" s="320"/>
      <c r="W48" s="320"/>
      <c r="X48" s="320"/>
      <c r="Y48" s="320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  <c r="AK48" s="332"/>
      <c r="AL48" s="332"/>
      <c r="AM48" s="332"/>
      <c r="AN48" s="332"/>
      <c r="AO48" s="332"/>
      <c r="AP48" s="332"/>
      <c r="AQ48" s="332"/>
      <c r="AR48" s="332"/>
      <c r="AS48" s="332"/>
      <c r="AT48" s="332"/>
      <c r="AU48" s="332"/>
      <c r="AV48" s="332"/>
      <c r="AW48" s="332"/>
      <c r="AX48" s="332"/>
      <c r="AY48" s="332"/>
    </row>
    <row r="49" spans="13:51" ht="15" customHeight="1" x14ac:dyDescent="0.25">
      <c r="M49" s="139"/>
      <c r="P49" s="204"/>
      <c r="Q49" s="320"/>
      <c r="R49" s="320"/>
      <c r="S49" s="320"/>
      <c r="T49" s="320"/>
      <c r="U49" s="320"/>
      <c r="V49" s="320"/>
      <c r="W49" s="320"/>
      <c r="X49" s="320"/>
      <c r="Y49" s="320"/>
      <c r="AA49" s="332"/>
      <c r="AB49" s="332"/>
      <c r="AC49" s="332"/>
      <c r="AD49" s="332"/>
      <c r="AE49" s="332"/>
      <c r="AF49" s="332"/>
      <c r="AG49" s="332"/>
      <c r="AH49" s="351"/>
      <c r="AI49" s="349"/>
      <c r="AJ49" s="350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</row>
    <row r="50" spans="13:51" ht="15" customHeight="1" x14ac:dyDescent="0.25">
      <c r="M50" s="139"/>
      <c r="P50" s="204"/>
      <c r="Q50" s="320"/>
      <c r="R50" s="320"/>
      <c r="S50" s="320"/>
      <c r="T50" s="320"/>
      <c r="U50" s="320"/>
      <c r="V50" s="320"/>
      <c r="W50" s="320"/>
      <c r="X50" s="320"/>
      <c r="Y50" s="320"/>
      <c r="AA50" s="332"/>
      <c r="AB50" s="332"/>
      <c r="AC50" s="332"/>
      <c r="AD50" s="332"/>
      <c r="AE50" s="332"/>
      <c r="AF50" s="332"/>
      <c r="AG50" s="332"/>
      <c r="AH50" s="348"/>
      <c r="AI50" s="349"/>
      <c r="AJ50" s="350"/>
      <c r="AK50" s="332"/>
      <c r="AL50" s="332"/>
      <c r="AM50" s="332"/>
      <c r="AN50" s="332"/>
      <c r="AO50" s="332"/>
      <c r="AP50" s="332"/>
      <c r="AQ50" s="332"/>
      <c r="AR50" s="332"/>
      <c r="AS50" s="332"/>
      <c r="AT50" s="332"/>
      <c r="AU50" s="332"/>
      <c r="AV50" s="332"/>
      <c r="AW50" s="332"/>
      <c r="AX50" s="332"/>
      <c r="AY50" s="332"/>
    </row>
    <row r="51" spans="13:51" ht="15" customHeight="1" x14ac:dyDescent="0.25">
      <c r="M51" s="139"/>
      <c r="P51" s="204"/>
      <c r="Q51" s="320"/>
      <c r="R51" s="320"/>
      <c r="S51" s="320"/>
      <c r="T51" s="320"/>
      <c r="U51" s="320"/>
      <c r="V51" s="320"/>
      <c r="W51" s="320"/>
      <c r="X51" s="320"/>
      <c r="Y51" s="320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  <c r="AS51" s="332"/>
      <c r="AT51" s="332"/>
      <c r="AU51" s="332"/>
      <c r="AV51" s="332"/>
      <c r="AW51" s="332"/>
      <c r="AX51" s="332"/>
      <c r="AY51" s="332"/>
    </row>
    <row r="52" spans="13:51" ht="15" customHeight="1" x14ac:dyDescent="0.25">
      <c r="M52" s="139"/>
      <c r="P52" s="204"/>
      <c r="Q52" s="320"/>
      <c r="R52" s="320"/>
      <c r="S52" s="320"/>
      <c r="T52" s="320"/>
      <c r="U52" s="320"/>
      <c r="V52" s="320"/>
      <c r="W52" s="320"/>
      <c r="X52" s="320"/>
      <c r="Y52" s="320"/>
      <c r="AA52" s="332"/>
      <c r="AB52" s="332"/>
      <c r="AC52" s="332"/>
      <c r="AD52" s="332"/>
      <c r="AE52" s="332"/>
      <c r="AF52" s="332"/>
      <c r="AG52" s="332"/>
      <c r="AH52" s="332"/>
      <c r="AI52" s="353"/>
      <c r="AJ52" s="350"/>
      <c r="AK52" s="332"/>
      <c r="AL52" s="332"/>
      <c r="AM52" s="332"/>
      <c r="AN52" s="332"/>
      <c r="AO52" s="332"/>
      <c r="AP52" s="332"/>
      <c r="AQ52" s="332"/>
      <c r="AR52" s="332"/>
      <c r="AS52" s="332"/>
      <c r="AT52" s="332"/>
      <c r="AU52" s="332"/>
      <c r="AV52" s="332"/>
      <c r="AW52" s="332"/>
      <c r="AX52" s="332"/>
      <c r="AY52" s="332"/>
    </row>
    <row r="53" spans="13:51" ht="15" customHeight="1" x14ac:dyDescent="0.25">
      <c r="M53" s="139"/>
      <c r="P53" s="204"/>
      <c r="Q53" s="320"/>
      <c r="R53" s="320"/>
      <c r="S53" s="320"/>
      <c r="T53" s="320"/>
      <c r="U53" s="320"/>
      <c r="V53" s="320"/>
      <c r="W53" s="320"/>
      <c r="X53" s="320"/>
      <c r="Y53" s="320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</row>
    <row r="54" spans="13:51" ht="15" customHeight="1" x14ac:dyDescent="0.25">
      <c r="M54" s="139"/>
      <c r="P54" s="204"/>
      <c r="Q54" s="320"/>
      <c r="R54" s="320"/>
      <c r="S54" s="320"/>
      <c r="T54" s="320"/>
      <c r="U54" s="320"/>
      <c r="V54" s="320"/>
      <c r="W54" s="320"/>
      <c r="X54" s="320"/>
      <c r="Y54" s="320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2"/>
      <c r="AP54" s="332"/>
      <c r="AQ54" s="332"/>
      <c r="AR54" s="332"/>
      <c r="AS54" s="332"/>
      <c r="AT54" s="332"/>
      <c r="AU54" s="332"/>
      <c r="AV54" s="332"/>
      <c r="AW54" s="332"/>
      <c r="AX54" s="332"/>
      <c r="AY54" s="332"/>
    </row>
    <row r="55" spans="13:51" ht="15" customHeight="1" x14ac:dyDescent="0.25">
      <c r="M55" s="139"/>
      <c r="P55" s="204"/>
      <c r="Q55" s="320"/>
      <c r="R55" s="320"/>
      <c r="S55" s="320"/>
      <c r="T55" s="320"/>
      <c r="U55" s="320"/>
      <c r="V55" s="320"/>
      <c r="W55" s="320"/>
      <c r="X55" s="320"/>
      <c r="Y55" s="320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  <c r="AT55" s="332"/>
      <c r="AU55" s="332"/>
      <c r="AV55" s="332"/>
      <c r="AW55" s="332"/>
      <c r="AX55" s="332"/>
      <c r="AY55" s="332"/>
    </row>
    <row r="56" spans="13:51" ht="15" customHeight="1" x14ac:dyDescent="0.25">
      <c r="M56" s="139"/>
      <c r="P56" s="204"/>
      <c r="Q56" s="320"/>
      <c r="R56" s="320"/>
      <c r="S56" s="320"/>
      <c r="T56" s="320"/>
      <c r="U56" s="320"/>
      <c r="V56" s="320"/>
      <c r="W56" s="320"/>
      <c r="X56" s="320"/>
      <c r="Y56" s="320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  <c r="AS56" s="332"/>
      <c r="AT56" s="332"/>
      <c r="AU56" s="332"/>
      <c r="AV56" s="332"/>
      <c r="AW56" s="332"/>
      <c r="AX56" s="332"/>
      <c r="AY56" s="332"/>
    </row>
    <row r="57" spans="13:51" ht="15" customHeight="1" x14ac:dyDescent="0.25">
      <c r="Q57" s="320"/>
      <c r="R57" s="320"/>
      <c r="S57" s="320"/>
      <c r="T57" s="320"/>
      <c r="U57" s="320"/>
      <c r="V57" s="320"/>
      <c r="W57" s="320"/>
      <c r="X57" s="320"/>
      <c r="Y57" s="320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  <c r="AS57" s="332"/>
      <c r="AT57" s="332"/>
      <c r="AU57" s="332"/>
      <c r="AV57" s="332"/>
      <c r="AW57" s="332"/>
      <c r="AX57" s="332"/>
      <c r="AY57" s="332"/>
    </row>
    <row r="58" spans="13:51" ht="15" customHeight="1" x14ac:dyDescent="0.25">
      <c r="Q58" s="320"/>
      <c r="R58" s="320"/>
      <c r="S58" s="320"/>
      <c r="T58" s="320"/>
      <c r="U58" s="320"/>
      <c r="V58" s="320"/>
      <c r="W58" s="320"/>
      <c r="X58" s="320"/>
      <c r="Y58" s="320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  <c r="AS58" s="332"/>
      <c r="AT58" s="332"/>
      <c r="AU58" s="332"/>
      <c r="AV58" s="332"/>
      <c r="AW58" s="332"/>
      <c r="AX58" s="332"/>
      <c r="AY58" s="332"/>
    </row>
    <row r="59" spans="13:51" ht="15" customHeight="1" x14ac:dyDescent="0.25">
      <c r="Q59" s="320"/>
      <c r="R59" s="320"/>
      <c r="S59" s="320"/>
      <c r="T59" s="320"/>
      <c r="U59" s="320"/>
      <c r="V59" s="320"/>
      <c r="W59" s="320"/>
      <c r="X59" s="320"/>
      <c r="Y59" s="320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  <c r="AT59" s="332"/>
      <c r="AU59" s="332"/>
      <c r="AV59" s="332"/>
      <c r="AW59" s="332"/>
      <c r="AX59" s="332"/>
      <c r="AY59" s="332"/>
    </row>
    <row r="60" spans="13:51" ht="15" customHeight="1" x14ac:dyDescent="0.25">
      <c r="Q60" s="320"/>
      <c r="R60" s="320"/>
      <c r="S60" s="320"/>
      <c r="T60" s="320"/>
      <c r="U60" s="320"/>
      <c r="V60" s="320"/>
      <c r="W60" s="320"/>
      <c r="X60" s="320"/>
      <c r="Y60" s="320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  <c r="AS60" s="332"/>
      <c r="AT60" s="332"/>
      <c r="AU60" s="332"/>
      <c r="AV60" s="332"/>
      <c r="AW60" s="332"/>
      <c r="AX60" s="332"/>
      <c r="AY60" s="332"/>
    </row>
    <row r="61" spans="13:51" ht="15" customHeight="1" x14ac:dyDescent="0.25">
      <c r="Q61" s="320"/>
      <c r="R61" s="320"/>
      <c r="S61" s="320"/>
      <c r="T61" s="320"/>
      <c r="U61" s="320"/>
      <c r="V61" s="320"/>
      <c r="W61" s="320"/>
      <c r="X61" s="320"/>
      <c r="Y61" s="320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  <c r="AS61" s="332"/>
      <c r="AT61" s="332"/>
      <c r="AU61" s="332"/>
      <c r="AV61" s="332"/>
      <c r="AW61" s="332"/>
      <c r="AX61" s="332"/>
      <c r="AY61" s="332"/>
    </row>
    <row r="62" spans="13:51" ht="15" customHeight="1" x14ac:dyDescent="0.25">
      <c r="Q62" s="320"/>
      <c r="R62" s="320"/>
      <c r="S62" s="320"/>
      <c r="T62" s="320"/>
      <c r="U62" s="320"/>
      <c r="V62" s="320"/>
      <c r="W62" s="320"/>
      <c r="X62" s="320"/>
      <c r="Y62" s="320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332"/>
      <c r="AM62" s="332"/>
      <c r="AN62" s="332"/>
      <c r="AO62" s="332"/>
      <c r="AP62" s="332"/>
      <c r="AQ62" s="332"/>
      <c r="AR62" s="332"/>
      <c r="AS62" s="332"/>
      <c r="AT62" s="332"/>
      <c r="AU62" s="332"/>
      <c r="AV62" s="332"/>
      <c r="AW62" s="332"/>
      <c r="AX62" s="332"/>
      <c r="AY62" s="332"/>
    </row>
    <row r="63" spans="13:51" ht="15" customHeight="1" x14ac:dyDescent="0.25">
      <c r="Q63" s="320"/>
      <c r="R63" s="320"/>
      <c r="S63" s="320"/>
      <c r="T63" s="320"/>
      <c r="U63" s="320"/>
      <c r="V63" s="320"/>
      <c r="W63" s="320"/>
      <c r="X63" s="320"/>
      <c r="Y63" s="320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  <c r="AS63" s="332"/>
      <c r="AT63" s="332"/>
      <c r="AU63" s="332"/>
      <c r="AV63" s="332"/>
      <c r="AW63" s="332"/>
      <c r="AX63" s="332"/>
      <c r="AY63" s="332"/>
    </row>
    <row r="64" spans="13:51" ht="15" customHeight="1" x14ac:dyDescent="0.25">
      <c r="Q64" s="320"/>
      <c r="R64" s="320"/>
      <c r="S64" s="320"/>
      <c r="T64" s="320"/>
      <c r="U64" s="320"/>
      <c r="V64" s="320"/>
      <c r="W64" s="320"/>
      <c r="X64" s="320"/>
      <c r="Y64" s="320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  <c r="AS64" s="332"/>
      <c r="AT64" s="332"/>
      <c r="AU64" s="332"/>
      <c r="AV64" s="332"/>
      <c r="AW64" s="332"/>
      <c r="AX64" s="332"/>
      <c r="AY64" s="332"/>
    </row>
    <row r="65" spans="17:51" ht="15" customHeight="1" x14ac:dyDescent="0.25">
      <c r="Q65" s="320"/>
      <c r="R65" s="320"/>
      <c r="S65" s="320"/>
      <c r="T65" s="320"/>
      <c r="U65" s="320"/>
      <c r="V65" s="320"/>
      <c r="W65" s="320"/>
      <c r="X65" s="320"/>
      <c r="Y65" s="320"/>
      <c r="AA65" s="332"/>
      <c r="AB65" s="332"/>
      <c r="AC65" s="332"/>
      <c r="AD65" s="332"/>
      <c r="AE65" s="332"/>
      <c r="AF65" s="332"/>
      <c r="AG65" s="332"/>
      <c r="AH65" s="332"/>
      <c r="AI65" s="332"/>
      <c r="AJ65" s="332"/>
      <c r="AK65" s="332"/>
      <c r="AL65" s="332"/>
      <c r="AM65" s="332"/>
      <c r="AN65" s="332"/>
      <c r="AO65" s="332"/>
      <c r="AP65" s="332"/>
      <c r="AQ65" s="332"/>
      <c r="AR65" s="332"/>
      <c r="AS65" s="332"/>
      <c r="AT65" s="332"/>
      <c r="AU65" s="332"/>
      <c r="AV65" s="332"/>
      <c r="AW65" s="332"/>
      <c r="AX65" s="332"/>
      <c r="AY65" s="332"/>
    </row>
    <row r="66" spans="17:51" ht="15" customHeight="1" x14ac:dyDescent="0.25">
      <c r="Q66" s="320"/>
      <c r="R66" s="320"/>
      <c r="S66" s="320"/>
      <c r="T66" s="320"/>
      <c r="U66" s="320"/>
      <c r="V66" s="320"/>
      <c r="W66" s="320"/>
      <c r="X66" s="320"/>
      <c r="Y66" s="320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  <c r="AT66" s="332"/>
      <c r="AU66" s="332"/>
      <c r="AV66" s="332"/>
      <c r="AW66" s="332"/>
      <c r="AX66" s="332"/>
      <c r="AY66" s="332"/>
    </row>
    <row r="67" spans="17:51" ht="15" customHeight="1" x14ac:dyDescent="0.25">
      <c r="Q67" s="320"/>
      <c r="R67" s="320"/>
      <c r="S67" s="320"/>
      <c r="T67" s="320"/>
      <c r="U67" s="320"/>
      <c r="V67" s="320"/>
      <c r="W67" s="320"/>
      <c r="X67" s="320"/>
      <c r="Y67" s="320"/>
      <c r="AA67" s="332"/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  <c r="AS67" s="332"/>
      <c r="AT67" s="332"/>
      <c r="AU67" s="332"/>
      <c r="AV67" s="332"/>
      <c r="AW67" s="332"/>
      <c r="AX67" s="332"/>
      <c r="AY67" s="332"/>
    </row>
    <row r="68" spans="17:51" ht="15" customHeight="1" x14ac:dyDescent="0.25">
      <c r="Q68" s="320"/>
      <c r="R68" s="320"/>
      <c r="S68" s="320"/>
      <c r="T68" s="320"/>
      <c r="U68" s="320"/>
      <c r="V68" s="320"/>
      <c r="W68" s="320"/>
      <c r="X68" s="320"/>
      <c r="Y68" s="320"/>
      <c r="AA68" s="332"/>
      <c r="AB68" s="332"/>
      <c r="AC68" s="332"/>
      <c r="AD68" s="332"/>
      <c r="AE68" s="332"/>
      <c r="AF68" s="332"/>
      <c r="AG68" s="332"/>
      <c r="AH68" s="332"/>
      <c r="AI68" s="332"/>
      <c r="AJ68" s="332"/>
      <c r="AK68" s="332"/>
      <c r="AL68" s="332"/>
      <c r="AM68" s="332"/>
      <c r="AN68" s="332"/>
      <c r="AO68" s="332"/>
      <c r="AP68" s="332"/>
      <c r="AQ68" s="332"/>
      <c r="AR68" s="332"/>
      <c r="AS68" s="332"/>
      <c r="AT68" s="332"/>
      <c r="AU68" s="332"/>
      <c r="AV68" s="332"/>
      <c r="AW68" s="332"/>
      <c r="AX68" s="332"/>
      <c r="AY68" s="332"/>
    </row>
    <row r="69" spans="17:51" ht="15" customHeight="1" x14ac:dyDescent="0.25">
      <c r="Q69" s="320"/>
      <c r="R69" s="320"/>
      <c r="S69" s="320"/>
      <c r="T69" s="320"/>
      <c r="U69" s="320"/>
      <c r="V69" s="320"/>
      <c r="W69" s="320"/>
      <c r="X69" s="320"/>
      <c r="Y69" s="320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  <c r="AS69" s="332"/>
      <c r="AT69" s="332"/>
      <c r="AU69" s="332"/>
      <c r="AV69" s="332"/>
      <c r="AW69" s="332"/>
      <c r="AX69" s="332"/>
      <c r="AY69" s="332"/>
    </row>
    <row r="70" spans="17:51" ht="15" customHeight="1" x14ac:dyDescent="0.25">
      <c r="Q70" s="320"/>
      <c r="R70" s="320"/>
      <c r="S70" s="320"/>
      <c r="T70" s="320"/>
      <c r="U70" s="320"/>
      <c r="V70" s="320"/>
      <c r="W70" s="320"/>
      <c r="X70" s="320"/>
      <c r="Y70" s="320"/>
    </row>
  </sheetData>
  <mergeCells count="10">
    <mergeCell ref="V42:W42"/>
    <mergeCell ref="V43:W43"/>
    <mergeCell ref="H5:I5"/>
    <mergeCell ref="Q6:S6"/>
    <mergeCell ref="T6:V6"/>
    <mergeCell ref="AF6:AH6"/>
    <mergeCell ref="V37:Z38"/>
    <mergeCell ref="V39:W39"/>
    <mergeCell ref="V40:W40"/>
    <mergeCell ref="V41:W41"/>
  </mergeCells>
  <conditionalFormatting sqref="Q7:Q34">
    <cfRule type="cellIs" dxfId="8" priority="4" operator="equal">
      <formula>$Q$3</formula>
    </cfRule>
    <cfRule type="cellIs" dxfId="7" priority="5" operator="equal">
      <formula>"o3"</formula>
    </cfRule>
    <cfRule type="cellIs" dxfId="6" priority="6" operator="equal">
      <formula>"o3"</formula>
    </cfRule>
  </conditionalFormatting>
  <conditionalFormatting sqref="R7:R34">
    <cfRule type="cellIs" dxfId="5" priority="3" operator="equal">
      <formula>$R$3</formula>
    </cfRule>
  </conditionalFormatting>
  <conditionalFormatting sqref="S7:W7 S8:V34">
    <cfRule type="cellIs" dxfId="4" priority="2" operator="equal">
      <formula>$S$3</formula>
    </cfRule>
  </conditionalFormatting>
  <conditionalFormatting sqref="W8:W34">
    <cfRule type="cellIs" dxfId="3" priority="1" operator="equal">
      <formula>$S$3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33"/>
  <sheetViews>
    <sheetView zoomScale="70" zoomScaleNormal="70" workbookViewId="0">
      <selection activeCell="V12" sqref="V12"/>
    </sheetView>
  </sheetViews>
  <sheetFormatPr baseColWidth="10" defaultColWidth="9.7109375" defaultRowHeight="15" x14ac:dyDescent="0.25"/>
  <cols>
    <col min="7" max="7" width="11.5703125" bestFit="1" customWidth="1"/>
    <col min="11" max="11" width="9.7109375" customWidth="1"/>
    <col min="12" max="12" width="12" bestFit="1" customWidth="1"/>
    <col min="14" max="14" width="9.7109375" customWidth="1"/>
    <col min="15" max="15" width="12.5703125" bestFit="1" customWidth="1"/>
    <col min="16" max="16" width="14.85546875" bestFit="1" customWidth="1"/>
    <col min="18" max="18" width="14.85546875" bestFit="1" customWidth="1"/>
  </cols>
  <sheetData>
    <row r="1" spans="2:20" x14ac:dyDescent="0.25">
      <c r="B1" s="135" t="s">
        <v>69</v>
      </c>
      <c r="C1" s="136" t="s">
        <v>70</v>
      </c>
      <c r="D1" s="148">
        <f>6.02263*10^23</f>
        <v>6.02263E+23</v>
      </c>
      <c r="E1" s="137" t="s">
        <v>71</v>
      </c>
      <c r="F1" s="137"/>
      <c r="H1" s="138"/>
      <c r="K1" s="142" t="s">
        <v>72</v>
      </c>
      <c r="L1" s="142" t="s">
        <v>73</v>
      </c>
      <c r="M1" s="142" t="s">
        <v>74</v>
      </c>
      <c r="N1" s="142" t="s">
        <v>75</v>
      </c>
      <c r="O1" s="142" t="s">
        <v>76</v>
      </c>
      <c r="P1" s="142" t="s">
        <v>77</v>
      </c>
      <c r="Q1" s="142" t="s">
        <v>78</v>
      </c>
      <c r="R1" s="142" t="s">
        <v>79</v>
      </c>
      <c r="S1" s="142" t="s">
        <v>80</v>
      </c>
    </row>
    <row r="2" spans="2:20" x14ac:dyDescent="0.25">
      <c r="B2" s="135" t="s">
        <v>81</v>
      </c>
      <c r="C2" s="136" t="s">
        <v>82</v>
      </c>
      <c r="D2" s="148">
        <f>1.60219*10^-19</f>
        <v>1.6021899999999999E-19</v>
      </c>
      <c r="E2" s="137" t="s">
        <v>83</v>
      </c>
      <c r="F2" s="137"/>
      <c r="K2" s="146" t="s">
        <v>84</v>
      </c>
      <c r="L2" s="312" t="s">
        <v>85</v>
      </c>
      <c r="M2" s="312" t="s">
        <v>86</v>
      </c>
      <c r="N2" s="312" t="s">
        <v>87</v>
      </c>
      <c r="O2" s="312" t="s">
        <v>88</v>
      </c>
      <c r="P2" s="146" t="s">
        <v>89</v>
      </c>
      <c r="Q2" s="312" t="s">
        <v>90</v>
      </c>
      <c r="R2" s="146" t="s">
        <v>91</v>
      </c>
      <c r="S2" s="312" t="s">
        <v>92</v>
      </c>
    </row>
    <row r="3" spans="2:20" x14ac:dyDescent="0.25">
      <c r="C3" s="136" t="s">
        <v>93</v>
      </c>
      <c r="D3" s="139">
        <f>D1*D2</f>
        <v>96493.975596999997</v>
      </c>
      <c r="E3" s="137" t="s">
        <v>83</v>
      </c>
      <c r="F3" s="137"/>
      <c r="H3" s="135" t="s">
        <v>94</v>
      </c>
      <c r="K3" s="139">
        <v>3</v>
      </c>
      <c r="L3" s="139">
        <v>13</v>
      </c>
      <c r="M3" s="139">
        <v>26</v>
      </c>
      <c r="N3" s="139">
        <v>29</v>
      </c>
      <c r="O3" s="139">
        <v>1</v>
      </c>
      <c r="P3" s="139">
        <v>82</v>
      </c>
      <c r="Q3" s="139">
        <v>79</v>
      </c>
      <c r="R3" s="139">
        <v>16</v>
      </c>
      <c r="S3" s="139">
        <v>8</v>
      </c>
    </row>
    <row r="4" spans="2:20" x14ac:dyDescent="0.25">
      <c r="H4" s="135" t="s">
        <v>95</v>
      </c>
      <c r="I4" s="136"/>
      <c r="J4" s="145" t="s">
        <v>96</v>
      </c>
      <c r="K4" s="162">
        <v>6.9417406399999999</v>
      </c>
      <c r="L4" s="159">
        <v>26.981999999999999</v>
      </c>
      <c r="M4" s="159">
        <v>55.844999999999999</v>
      </c>
      <c r="N4" s="159">
        <v>63.536000000000001</v>
      </c>
      <c r="O4" s="159">
        <v>1.01</v>
      </c>
      <c r="P4" s="163">
        <v>207.1</v>
      </c>
      <c r="Q4" s="159">
        <v>196.97</v>
      </c>
      <c r="R4" s="165">
        <v>32.064999999999998</v>
      </c>
      <c r="S4" s="159">
        <v>15.999000000000001</v>
      </c>
    </row>
    <row r="5" spans="2:20" x14ac:dyDescent="0.25">
      <c r="H5" s="135" t="s">
        <v>97</v>
      </c>
      <c r="I5" s="136"/>
      <c r="J5" s="145" t="s">
        <v>98</v>
      </c>
      <c r="K5" s="140">
        <v>1</v>
      </c>
      <c r="L5" s="139">
        <v>3</v>
      </c>
      <c r="M5" s="139">
        <v>2</v>
      </c>
      <c r="N5" s="139">
        <v>2</v>
      </c>
      <c r="O5" s="139">
        <v>1</v>
      </c>
      <c r="P5" s="140">
        <v>2</v>
      </c>
      <c r="Q5" s="139">
        <v>3</v>
      </c>
      <c r="R5" s="140">
        <v>2</v>
      </c>
      <c r="S5" s="139">
        <v>2</v>
      </c>
    </row>
    <row r="7" spans="2:20" x14ac:dyDescent="0.25">
      <c r="H7" s="135" t="s">
        <v>99</v>
      </c>
      <c r="J7" s="138"/>
      <c r="K7" s="140">
        <v>0.98</v>
      </c>
      <c r="L7" s="160">
        <v>1.61</v>
      </c>
      <c r="M7" s="160">
        <v>1.83</v>
      </c>
      <c r="N7" s="160">
        <v>1.9</v>
      </c>
      <c r="O7" s="160">
        <v>2.2000000000000002</v>
      </c>
      <c r="P7" s="138">
        <v>2.33</v>
      </c>
      <c r="Q7" s="160">
        <v>2.54</v>
      </c>
      <c r="R7" s="138">
        <v>2.58</v>
      </c>
      <c r="S7" s="160">
        <v>3.44</v>
      </c>
    </row>
    <row r="8" spans="2:20" x14ac:dyDescent="0.25">
      <c r="H8" s="135" t="s">
        <v>100</v>
      </c>
      <c r="J8" s="145" t="s">
        <v>101</v>
      </c>
      <c r="K8" s="140">
        <v>520.20000000000005</v>
      </c>
      <c r="L8" s="160">
        <v>577.5</v>
      </c>
      <c r="M8" s="160">
        <v>762.5</v>
      </c>
      <c r="N8" s="160">
        <v>745.5</v>
      </c>
      <c r="O8" s="160">
        <v>1312</v>
      </c>
      <c r="P8" s="138">
        <v>715.6</v>
      </c>
      <c r="Q8" s="160">
        <v>890.1</v>
      </c>
      <c r="R8" s="138">
        <v>999.6</v>
      </c>
      <c r="S8" s="160">
        <v>1313.9</v>
      </c>
    </row>
    <row r="9" spans="2:20" x14ac:dyDescent="0.25">
      <c r="H9" s="135" t="s">
        <v>102</v>
      </c>
      <c r="J9" s="145" t="s">
        <v>103</v>
      </c>
      <c r="K9" s="160">
        <v>7298.1</v>
      </c>
      <c r="L9" s="160">
        <v>1816.7</v>
      </c>
      <c r="M9" s="160">
        <v>1561.9</v>
      </c>
      <c r="N9" s="160">
        <v>1957.9</v>
      </c>
      <c r="O9" s="160"/>
      <c r="P9" s="160">
        <v>1450.5</v>
      </c>
      <c r="Q9" s="160">
        <v>1980</v>
      </c>
      <c r="R9" s="160">
        <v>2252</v>
      </c>
      <c r="S9" s="160">
        <v>3388.3</v>
      </c>
    </row>
    <row r="10" spans="2:20" x14ac:dyDescent="0.25">
      <c r="H10" s="135" t="s">
        <v>102</v>
      </c>
      <c r="J10" s="145" t="s">
        <v>103</v>
      </c>
      <c r="K10" s="160">
        <v>11815</v>
      </c>
      <c r="L10" s="160">
        <v>2744.8</v>
      </c>
      <c r="M10" s="160">
        <v>2957</v>
      </c>
      <c r="N10" s="160">
        <v>3555</v>
      </c>
      <c r="O10" s="160"/>
      <c r="P10" s="160">
        <v>3081.5</v>
      </c>
      <c r="Q10" s="160"/>
      <c r="R10" s="160">
        <v>3357</v>
      </c>
      <c r="S10" s="160">
        <v>5300.5</v>
      </c>
    </row>
    <row r="11" spans="2:20" x14ac:dyDescent="0.25">
      <c r="H11" s="135" t="s">
        <v>104</v>
      </c>
      <c r="I11" s="136" t="s">
        <v>105</v>
      </c>
      <c r="J11" s="145" t="s">
        <v>106</v>
      </c>
      <c r="K11" s="147">
        <v>535</v>
      </c>
      <c r="L11" s="139">
        <v>2698</v>
      </c>
      <c r="M11" s="139">
        <v>7874</v>
      </c>
      <c r="N11" s="139">
        <v>8960</v>
      </c>
      <c r="O11" s="164">
        <v>8.9899999999999994E-2</v>
      </c>
      <c r="P11" s="147">
        <v>11340</v>
      </c>
      <c r="Q11" s="139">
        <v>19300</v>
      </c>
      <c r="R11" s="147">
        <v>1950</v>
      </c>
      <c r="S11" s="164">
        <v>1.429</v>
      </c>
    </row>
    <row r="12" spans="2:20" x14ac:dyDescent="0.25">
      <c r="H12" s="135" t="s">
        <v>107</v>
      </c>
      <c r="J12" s="145" t="s">
        <v>108</v>
      </c>
      <c r="K12" s="138">
        <v>10.8</v>
      </c>
      <c r="L12" s="138">
        <v>37.700000000000003</v>
      </c>
      <c r="M12" s="138">
        <v>9.93</v>
      </c>
      <c r="N12" s="138">
        <v>58.107999999999997</v>
      </c>
      <c r="O12" s="138"/>
      <c r="P12" s="138">
        <v>4.8099999999999996</v>
      </c>
      <c r="Q12" s="138">
        <v>45.5</v>
      </c>
      <c r="R12" s="138"/>
      <c r="S12" s="138"/>
    </row>
    <row r="13" spans="2:20" x14ac:dyDescent="0.25">
      <c r="H13" s="135" t="s">
        <v>109</v>
      </c>
      <c r="J13" s="145" t="s">
        <v>110</v>
      </c>
      <c r="K13" s="138">
        <v>81.7</v>
      </c>
      <c r="L13" s="138">
        <v>237</v>
      </c>
      <c r="M13" s="138" t="s">
        <v>111</v>
      </c>
      <c r="N13" s="138">
        <v>400</v>
      </c>
      <c r="O13" s="138">
        <v>0.18149999999999999</v>
      </c>
      <c r="P13" s="138">
        <v>35.299999999999997</v>
      </c>
      <c r="Q13" s="138">
        <v>317</v>
      </c>
      <c r="R13" s="138">
        <v>0.26900000000000002</v>
      </c>
      <c r="S13" s="138">
        <v>2.674E-2</v>
      </c>
    </row>
    <row r="15" spans="2:20" x14ac:dyDescent="0.25">
      <c r="B15" s="149"/>
    </row>
    <row r="16" spans="2:20" x14ac:dyDescent="0.25">
      <c r="B16" s="149"/>
      <c r="H16" s="135" t="s">
        <v>112</v>
      </c>
      <c r="J16" s="145" t="s">
        <v>113</v>
      </c>
      <c r="K16" s="161">
        <f>(K8*1000)/($D$3)</f>
        <v>5.3910101307523819</v>
      </c>
      <c r="M16" s="161">
        <f t="shared" ref="M16:P17" si="0">(M8*1000)/($D$3)</f>
        <v>7.9020477214507698</v>
      </c>
      <c r="N16" s="161">
        <f t="shared" si="0"/>
        <v>7.7258709197921949</v>
      </c>
      <c r="O16" s="161">
        <f t="shared" si="0"/>
        <v>13.59670375153234</v>
      </c>
      <c r="P16" s="161">
        <f t="shared" si="0"/>
        <v>7.4160070156985842</v>
      </c>
      <c r="R16" s="161">
        <f>(R8*1000)/($D$3)</f>
        <v>10.359195937524182</v>
      </c>
      <c r="S16" s="161">
        <f>(S8*1000)/($D$3)</f>
        <v>13.616394099953006</v>
      </c>
      <c r="T16" s="161"/>
    </row>
    <row r="17" spans="2:20" x14ac:dyDescent="0.25">
      <c r="B17" s="149"/>
      <c r="H17" s="135" t="s">
        <v>114</v>
      </c>
      <c r="J17" s="145" t="s">
        <v>113</v>
      </c>
      <c r="K17" s="161">
        <f>(K9*1000)/($D$3)</f>
        <v>75.632700952026056</v>
      </c>
      <c r="M17" s="161">
        <f t="shared" si="0"/>
        <v>16.186502735913386</v>
      </c>
      <c r="N17" s="161">
        <f t="shared" si="0"/>
        <v>20.290385880430769</v>
      </c>
      <c r="O17" s="161">
        <f t="shared" si="0"/>
        <v>0</v>
      </c>
      <c r="P17" s="161">
        <f t="shared" si="0"/>
        <v>15.032026517986022</v>
      </c>
      <c r="R17" s="161">
        <f>(R9*1000)/($D$3)</f>
        <v>23.338244549124109</v>
      </c>
      <c r="S17" s="161">
        <f>(S9*1000)/($D$3)</f>
        <v>35.114109238808709</v>
      </c>
      <c r="T17" s="161"/>
    </row>
    <row r="18" spans="2:20" x14ac:dyDescent="0.25">
      <c r="B18" s="149"/>
      <c r="C18" s="149"/>
      <c r="G18" s="135" t="s">
        <v>115</v>
      </c>
      <c r="I18" s="136" t="s">
        <v>116</v>
      </c>
      <c r="J18" s="145" t="s">
        <v>117</v>
      </c>
      <c r="K18">
        <f>K4/1000</f>
        <v>6.9417406400000001E-3</v>
      </c>
      <c r="P18" s="138">
        <f>P4/1000</f>
        <v>0.20710000000000001</v>
      </c>
      <c r="R18" s="138">
        <f>R4/1000</f>
        <v>3.2064999999999996E-2</v>
      </c>
      <c r="S18" s="145"/>
    </row>
    <row r="19" spans="2:20" x14ac:dyDescent="0.25">
      <c r="B19" s="149"/>
      <c r="C19" s="149"/>
      <c r="G19" s="135" t="s">
        <v>118</v>
      </c>
      <c r="I19" s="136" t="s">
        <v>119</v>
      </c>
      <c r="J19" s="145" t="s">
        <v>120</v>
      </c>
      <c r="K19" s="140">
        <f>((K4/1000)/K11)</f>
        <v>1.2975216149532711E-5</v>
      </c>
      <c r="P19" s="140">
        <f>((P4/1000)/P11)</f>
        <v>1.8262786596119931E-5</v>
      </c>
      <c r="R19" s="140">
        <f>((R4/1000)/R11)</f>
        <v>1.6443589743589743E-5</v>
      </c>
    </row>
    <row r="20" spans="2:20" x14ac:dyDescent="0.25">
      <c r="B20" s="149"/>
      <c r="C20" s="149"/>
      <c r="G20" s="135" t="s">
        <v>121</v>
      </c>
      <c r="I20" s="136" t="s">
        <v>122</v>
      </c>
      <c r="J20" s="145" t="s">
        <v>123</v>
      </c>
      <c r="K20" s="141">
        <f>(K19/$D$1)</f>
        <v>2.1544103073794524E-29</v>
      </c>
      <c r="P20" s="143">
        <f>(P19/$D$1)</f>
        <v>3.0323607122004725E-29</v>
      </c>
      <c r="R20" s="143">
        <f>(R19/$D$1)</f>
        <v>2.7303005071853564E-29</v>
      </c>
    </row>
    <row r="21" spans="2:20" x14ac:dyDescent="0.25">
      <c r="B21" s="149"/>
      <c r="C21" s="149"/>
      <c r="G21" s="135" t="s">
        <v>124</v>
      </c>
      <c r="I21" s="144" t="s">
        <v>125</v>
      </c>
      <c r="J21" s="145" t="s">
        <v>126</v>
      </c>
      <c r="K21" s="143">
        <f>(((3/(4*PI()))*K20)^(1/3))</f>
        <v>1.7261555791881905E-10</v>
      </c>
      <c r="P21" s="143">
        <f>(((3/(4*PI()))*P20)^(1/3))</f>
        <v>1.9344792869843681E-10</v>
      </c>
      <c r="R21" s="143">
        <f>(((3/(4*PI()))*R20)^(1/3))</f>
        <v>1.867987418628966E-10</v>
      </c>
    </row>
    <row r="22" spans="2:20" x14ac:dyDescent="0.25">
      <c r="B22" s="149"/>
      <c r="C22" s="149"/>
      <c r="I22" s="144"/>
      <c r="J22" s="145" t="s">
        <v>127</v>
      </c>
      <c r="K22" s="139">
        <f>K21*1000000000000</f>
        <v>172.61555791881904</v>
      </c>
      <c r="P22" s="139">
        <f>P21*1000000000000</f>
        <v>193.44792869843681</v>
      </c>
      <c r="R22" s="139">
        <f>R21*1000000000000</f>
        <v>186.79874186289661</v>
      </c>
    </row>
    <row r="23" spans="2:20" x14ac:dyDescent="0.25">
      <c r="B23" s="149"/>
      <c r="C23" s="149"/>
      <c r="D23" s="149"/>
      <c r="E23" s="149"/>
      <c r="F23" s="149"/>
      <c r="G23" s="150" t="s">
        <v>128</v>
      </c>
      <c r="H23" s="149"/>
      <c r="I23" s="151" t="s">
        <v>129</v>
      </c>
      <c r="J23" s="152" t="s">
        <v>130</v>
      </c>
      <c r="K23" s="153">
        <f>4*K21^2</f>
        <v>1.1918452334250071E-19</v>
      </c>
      <c r="M23" s="149"/>
      <c r="N23" s="149"/>
      <c r="P23" s="153">
        <f>4*P21^2</f>
        <v>1.4968840447086197E-19</v>
      </c>
      <c r="R23" s="153">
        <f>4*R21^2</f>
        <v>1.3957507984624432E-19</v>
      </c>
      <c r="S23" s="145"/>
    </row>
    <row r="24" spans="2:20" x14ac:dyDescent="0.25">
      <c r="B24" s="149"/>
      <c r="C24" s="149"/>
      <c r="D24" s="149"/>
      <c r="E24" s="149"/>
      <c r="F24" s="149"/>
      <c r="G24" s="150" t="s">
        <v>131</v>
      </c>
      <c r="H24" s="149"/>
      <c r="I24" s="151" t="s">
        <v>132</v>
      </c>
      <c r="J24" s="152" t="s">
        <v>130</v>
      </c>
      <c r="K24" s="154">
        <f>K23*$D$1</f>
        <v>71780.428581824497</v>
      </c>
      <c r="M24" s="155"/>
      <c r="N24" s="155"/>
      <c r="P24" s="154">
        <f>P23*$D$1</f>
        <v>90151.787541834739</v>
      </c>
      <c r="R24" s="154">
        <f>R23*$D$1</f>
        <v>84060.906313438638</v>
      </c>
      <c r="S24" s="145"/>
    </row>
    <row r="25" spans="2:20" x14ac:dyDescent="0.25">
      <c r="B25" s="149"/>
      <c r="C25" s="149"/>
      <c r="D25" s="149"/>
      <c r="E25" s="149"/>
      <c r="F25" s="149"/>
      <c r="G25" s="150" t="s">
        <v>133</v>
      </c>
      <c r="H25" s="149"/>
      <c r="I25" s="151" t="s">
        <v>134</v>
      </c>
      <c r="J25" s="152" t="s">
        <v>135</v>
      </c>
      <c r="K25" s="154">
        <f>$D$3*K5</f>
        <v>96493.975596999997</v>
      </c>
      <c r="M25" s="156"/>
      <c r="N25" s="156"/>
      <c r="P25" s="154">
        <f>$D$3*P5</f>
        <v>192987.95119399999</v>
      </c>
      <c r="R25" s="154">
        <f>$D$3*R5</f>
        <v>192987.95119399999</v>
      </c>
    </row>
    <row r="26" spans="2:20" x14ac:dyDescent="0.25">
      <c r="C26" s="149"/>
      <c r="D26" s="149"/>
      <c r="E26" s="149"/>
      <c r="F26" s="149"/>
      <c r="G26" s="149"/>
      <c r="H26" s="149"/>
      <c r="I26" s="149"/>
      <c r="J26" s="149"/>
      <c r="K26" s="149"/>
      <c r="M26" s="153"/>
      <c r="N26" s="153"/>
      <c r="P26" s="149"/>
      <c r="R26" s="149"/>
    </row>
    <row r="27" spans="2:20" x14ac:dyDescent="0.25">
      <c r="C27" s="149"/>
      <c r="D27" s="149"/>
      <c r="E27" s="149"/>
      <c r="F27" s="149"/>
      <c r="G27" s="150" t="s">
        <v>136</v>
      </c>
      <c r="H27" s="149"/>
      <c r="I27" s="151" t="s">
        <v>137</v>
      </c>
      <c r="J27" s="152" t="s">
        <v>113</v>
      </c>
      <c r="K27" s="155">
        <v>3.7</v>
      </c>
      <c r="M27" s="153"/>
      <c r="N27" s="153"/>
      <c r="P27" s="155">
        <v>2.1</v>
      </c>
      <c r="R27" s="155">
        <v>2.1</v>
      </c>
    </row>
    <row r="28" spans="2:20" x14ac:dyDescent="0.25">
      <c r="C28" s="149"/>
      <c r="D28" s="149"/>
      <c r="E28" s="149"/>
      <c r="F28" s="149"/>
      <c r="G28" s="150" t="s">
        <v>138</v>
      </c>
      <c r="H28" s="149"/>
      <c r="I28" s="151" t="s">
        <v>139</v>
      </c>
      <c r="J28" s="152" t="s">
        <v>140</v>
      </c>
      <c r="K28" s="154">
        <f>K25*K27</f>
        <v>357027.70970890002</v>
      </c>
      <c r="M28" s="154"/>
      <c r="N28" s="154"/>
      <c r="P28" s="154">
        <f>P25*P27</f>
        <v>405274.69750740001</v>
      </c>
      <c r="R28" s="154">
        <f>R25*R27</f>
        <v>405274.69750740001</v>
      </c>
    </row>
    <row r="29" spans="2:20" x14ac:dyDescent="0.25">
      <c r="D29" s="149"/>
      <c r="E29" s="149"/>
      <c r="F29" s="149"/>
      <c r="G29" s="149"/>
      <c r="H29" s="149"/>
      <c r="I29" s="149"/>
      <c r="J29" s="152" t="s">
        <v>141</v>
      </c>
      <c r="K29" s="157">
        <f>K28/3600</f>
        <v>99.174363808027778</v>
      </c>
      <c r="M29" s="153"/>
      <c r="N29" s="153"/>
      <c r="P29" s="157">
        <f>P28/3600</f>
        <v>112.57630486316667</v>
      </c>
      <c r="R29" s="157">
        <f>R28/3600</f>
        <v>112.57630486316667</v>
      </c>
    </row>
    <row r="30" spans="2:20" x14ac:dyDescent="0.25">
      <c r="D30" s="149"/>
      <c r="E30" s="149"/>
      <c r="F30" s="149"/>
      <c r="G30" s="149"/>
      <c r="H30" s="149"/>
      <c r="I30" s="149"/>
      <c r="J30" s="149"/>
      <c r="K30" s="149"/>
      <c r="M30" s="154"/>
      <c r="N30" s="154"/>
      <c r="P30" s="149"/>
      <c r="R30" s="149"/>
    </row>
    <row r="31" spans="2:20" x14ac:dyDescent="0.25">
      <c r="D31" s="149"/>
      <c r="E31" s="149"/>
      <c r="F31" s="149"/>
      <c r="G31" s="150" t="s">
        <v>142</v>
      </c>
      <c r="H31" s="149"/>
      <c r="I31" s="151" t="s">
        <v>143</v>
      </c>
      <c r="J31" s="152" t="s">
        <v>144</v>
      </c>
      <c r="K31" s="158">
        <f>K25/K18</f>
        <v>13900544.63299568</v>
      </c>
      <c r="M31" s="149"/>
      <c r="N31" s="149"/>
      <c r="P31" s="158">
        <f>P25/P18</f>
        <v>931858.76964751317</v>
      </c>
      <c r="R31" s="158">
        <f>R25/R18</f>
        <v>6018648.0958677689</v>
      </c>
    </row>
    <row r="32" spans="2:20" x14ac:dyDescent="0.25">
      <c r="D32" s="149"/>
      <c r="E32" s="149"/>
      <c r="F32" s="149"/>
      <c r="G32" s="149"/>
      <c r="H32" s="149"/>
      <c r="I32" s="149"/>
      <c r="J32" s="152" t="s">
        <v>145</v>
      </c>
      <c r="K32" s="154">
        <f>K31/3600</f>
        <v>3861.2623980543553</v>
      </c>
      <c r="M32" s="149"/>
      <c r="N32" s="149"/>
      <c r="P32" s="154">
        <f>P31/3600</f>
        <v>258.84965823542035</v>
      </c>
      <c r="R32" s="154">
        <f>R31/3600</f>
        <v>1671.8466932966026</v>
      </c>
    </row>
    <row r="33" spans="4:17" x14ac:dyDescent="0.25">
      <c r="D33" s="149"/>
      <c r="E33" s="149"/>
      <c r="F33" s="149"/>
      <c r="G33" s="150" t="s">
        <v>146</v>
      </c>
      <c r="H33" s="149"/>
      <c r="I33" s="151" t="s">
        <v>147</v>
      </c>
      <c r="J33" s="152" t="s">
        <v>148</v>
      </c>
      <c r="K33" s="157"/>
      <c r="M33" s="149"/>
      <c r="N33" s="149"/>
      <c r="P33" s="157"/>
      <c r="Q33" s="157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85" zoomScaleNormal="85" workbookViewId="0">
      <selection activeCell="E21" sqref="E21"/>
    </sheetView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AT132"/>
  <sheetViews>
    <sheetView topLeftCell="D37" zoomScale="55" zoomScaleNormal="55" workbookViewId="0">
      <selection activeCell="D28" sqref="D28"/>
    </sheetView>
  </sheetViews>
  <sheetFormatPr baseColWidth="10" defaultColWidth="6.7109375" defaultRowHeight="15" customHeight="1" x14ac:dyDescent="0.25"/>
  <cols>
    <col min="4" max="4" width="6.7109375" customWidth="1"/>
    <col min="6" max="6" width="6.7109375" customWidth="1"/>
    <col min="29" max="33" width="6.7109375" customWidth="1"/>
    <col min="36" max="36" width="6.7109375" customWidth="1"/>
    <col min="38" max="38" width="6.7109375" customWidth="1"/>
  </cols>
  <sheetData>
    <row r="2" spans="2:46" ht="15" customHeight="1" x14ac:dyDescent="0.25">
      <c r="C2" s="171" t="s">
        <v>149</v>
      </c>
      <c r="D2" s="169" t="s">
        <v>150</v>
      </c>
    </row>
    <row r="4" spans="2:46" ht="15" customHeight="1" x14ac:dyDescent="0.25">
      <c r="B4" s="166" t="s">
        <v>151</v>
      </c>
      <c r="C4" s="202">
        <v>2.14</v>
      </c>
      <c r="D4" s="137" t="s">
        <v>152</v>
      </c>
    </row>
    <row r="5" spans="2:46" ht="15" customHeight="1" x14ac:dyDescent="0.25">
      <c r="B5" s="166" t="s">
        <v>153</v>
      </c>
      <c r="C5" s="202">
        <v>2.25</v>
      </c>
      <c r="D5" s="137" t="s">
        <v>152</v>
      </c>
      <c r="V5" s="188" t="s">
        <v>154</v>
      </c>
      <c r="W5" s="189">
        <v>2.2000000000000002</v>
      </c>
      <c r="X5" s="174">
        <f>$C$5</f>
        <v>2.25</v>
      </c>
      <c r="Y5" s="175">
        <v>2.2999999999999998</v>
      </c>
      <c r="Z5" s="198"/>
      <c r="AB5" s="188" t="s">
        <v>154</v>
      </c>
      <c r="AC5" s="190">
        <f>W5</f>
        <v>2.2000000000000002</v>
      </c>
      <c r="AD5" s="189">
        <f t="shared" ref="AD5:AE5" si="0">X5</f>
        <v>2.25</v>
      </c>
      <c r="AE5" s="203">
        <f t="shared" si="0"/>
        <v>2.2999999999999998</v>
      </c>
    </row>
    <row r="6" spans="2:46" ht="15" customHeight="1" x14ac:dyDescent="0.25">
      <c r="T6" s="178"/>
      <c r="V6" s="188" t="s">
        <v>155</v>
      </c>
      <c r="W6" s="176">
        <f>(W$5-$C$4)/($E$7)</f>
        <v>229.09507445589938</v>
      </c>
      <c r="X6" s="176">
        <f>(X$5-$C$4)/($E$7)</f>
        <v>420.00763650248138</v>
      </c>
      <c r="Y6" s="177">
        <f>(Y$5-$C$4)/($E$7)</f>
        <v>610.92019854906334</v>
      </c>
      <c r="Z6" s="199"/>
      <c r="AB6" s="188" t="s">
        <v>155</v>
      </c>
      <c r="AC6" s="191">
        <f>$W$6</f>
        <v>229.09507445589938</v>
      </c>
      <c r="AD6" s="176">
        <f>$X$6</f>
        <v>420.00763650248138</v>
      </c>
      <c r="AE6" s="177">
        <f>$Y$6</f>
        <v>610.92019854906334</v>
      </c>
    </row>
    <row r="7" spans="2:46" ht="15" customHeight="1" x14ac:dyDescent="0.25">
      <c r="B7" s="136" t="s">
        <v>156</v>
      </c>
      <c r="C7" s="167">
        <v>0.26190000000000002</v>
      </c>
      <c r="D7" s="170" t="s">
        <v>157</v>
      </c>
      <c r="E7" s="173">
        <f>C7/1000</f>
        <v>2.6190000000000002E-4</v>
      </c>
      <c r="F7" s="170" t="s">
        <v>158</v>
      </c>
      <c r="T7" s="179" t="s">
        <v>159</v>
      </c>
      <c r="V7" s="416" t="s">
        <v>160</v>
      </c>
      <c r="W7" s="1210" t="s">
        <v>161</v>
      </c>
      <c r="X7" s="1211"/>
      <c r="Y7" s="1211"/>
      <c r="Z7" s="415" t="s">
        <v>162</v>
      </c>
      <c r="AB7" s="416" t="s">
        <v>160</v>
      </c>
      <c r="AC7" s="1223" t="s">
        <v>163</v>
      </c>
      <c r="AD7" s="1224"/>
      <c r="AE7" s="1225"/>
      <c r="AF7" s="417" t="s">
        <v>164</v>
      </c>
      <c r="AG7" s="418" t="s">
        <v>165</v>
      </c>
      <c r="AI7" s="210" t="s">
        <v>56</v>
      </c>
      <c r="AJ7" s="208" t="s">
        <v>166</v>
      </c>
      <c r="AK7" s="209" t="s">
        <v>167</v>
      </c>
      <c r="AL7" s="210" t="s">
        <v>165</v>
      </c>
      <c r="AN7" s="416" t="s">
        <v>160</v>
      </c>
      <c r="AO7" s="190">
        <f>0.6*AQ7</f>
        <v>135</v>
      </c>
      <c r="AP7" s="189">
        <f>0.8*AQ7</f>
        <v>180</v>
      </c>
      <c r="AQ7" s="203">
        <f>C11</f>
        <v>225</v>
      </c>
      <c r="AR7" s="312" t="s">
        <v>168</v>
      </c>
      <c r="AS7" s="312" t="s">
        <v>169</v>
      </c>
      <c r="AT7" s="232" t="s">
        <v>170</v>
      </c>
    </row>
    <row r="8" spans="2:46" ht="15" customHeight="1" x14ac:dyDescent="0.25">
      <c r="B8" s="136" t="s">
        <v>171</v>
      </c>
      <c r="C8" s="168">
        <v>2207.6</v>
      </c>
      <c r="D8" s="137" t="s">
        <v>172</v>
      </c>
      <c r="T8" s="180">
        <v>0</v>
      </c>
      <c r="V8" s="182">
        <f t="shared" ref="V8:V39" si="1">(T8/$T$108)*$C$12</f>
        <v>0</v>
      </c>
      <c r="W8" s="183">
        <f t="shared" ref="W8:Y27" si="2">W$6*EXP(-(W$6)/($C$8)*$V8)</f>
        <v>229.09507445589938</v>
      </c>
      <c r="X8" s="183">
        <f t="shared" si="2"/>
        <v>420.00763650248138</v>
      </c>
      <c r="Y8" s="183">
        <f t="shared" si="2"/>
        <v>610.92019854906334</v>
      </c>
      <c r="Z8" s="205">
        <f t="shared" ref="Z8:Z39" si="3">$C$11</f>
        <v>225</v>
      </c>
      <c r="AB8" s="182">
        <f>$V8</f>
        <v>0</v>
      </c>
      <c r="AC8" s="192">
        <f t="shared" ref="AC8:AE27" si="4">$C$8*(1-EXP(-(AC$6/$C$8)*$AB8))</f>
        <v>0</v>
      </c>
      <c r="AD8" s="193">
        <f t="shared" si="4"/>
        <v>0</v>
      </c>
      <c r="AE8" s="194">
        <f t="shared" si="4"/>
        <v>0</v>
      </c>
      <c r="AF8" s="200">
        <f t="shared" ref="AF8:AF39" si="5">$C$9</f>
        <v>1800</v>
      </c>
      <c r="AG8" s="201">
        <f t="shared" ref="AG8:AG39" si="6">$C$8</f>
        <v>2207.6</v>
      </c>
      <c r="AI8" s="211">
        <f t="shared" ref="AI8:AI39" si="7">($T8/$T$108)*$C$8</f>
        <v>0</v>
      </c>
      <c r="AJ8" s="213">
        <f t="shared" ref="AJ8:AJ39" si="8">($E$7/(1-$AI8/$C$8))*1000</f>
        <v>0.26190000000000002</v>
      </c>
      <c r="AK8" s="214"/>
      <c r="AL8" s="217">
        <f t="shared" ref="AL8:AL39" si="9">IF(AI8&lt;$C$8,1000000,-1000000)</f>
        <v>1000000</v>
      </c>
      <c r="AN8" s="190">
        <f>$V8</f>
        <v>0</v>
      </c>
      <c r="AO8" s="219">
        <f>($C$4+($E$7/(1-(AO$7*$AN8)/$C$8))*AO$7)</f>
        <v>2.1753564999999999</v>
      </c>
      <c r="AP8" s="220">
        <f t="shared" ref="AP8:AQ8" si="10">$C$4+($E$7/(1-(AP$7*$AN8)/$C$8))*AP$7</f>
        <v>2.1871420000000001</v>
      </c>
      <c r="AQ8" s="221">
        <f t="shared" si="10"/>
        <v>2.1989274999999999</v>
      </c>
      <c r="AR8" s="219">
        <f>$C$5</f>
        <v>2.25</v>
      </c>
      <c r="AS8" s="226">
        <v>2.37</v>
      </c>
      <c r="AT8" s="227">
        <v>2.83</v>
      </c>
    </row>
    <row r="9" spans="2:46" ht="15" customHeight="1" x14ac:dyDescent="0.25">
      <c r="B9" s="136" t="s">
        <v>173</v>
      </c>
      <c r="C9" s="168">
        <v>1800</v>
      </c>
      <c r="D9" s="137" t="s">
        <v>172</v>
      </c>
      <c r="T9" s="180">
        <f>T8+1</f>
        <v>1</v>
      </c>
      <c r="V9" s="182">
        <f t="shared" si="1"/>
        <v>0.36</v>
      </c>
      <c r="W9" s="183">
        <f t="shared" si="2"/>
        <v>220.69416270796373</v>
      </c>
      <c r="X9" s="183">
        <f t="shared" si="2"/>
        <v>392.20355554119323</v>
      </c>
      <c r="Y9" s="183">
        <f t="shared" si="2"/>
        <v>552.99100781396226</v>
      </c>
      <c r="Z9" s="205">
        <f t="shared" si="3"/>
        <v>225</v>
      </c>
      <c r="AB9" s="182">
        <f>$V9</f>
        <v>0.36</v>
      </c>
      <c r="AC9" s="192">
        <f t="shared" si="4"/>
        <v>80.952647361751971</v>
      </c>
      <c r="AD9" s="193">
        <f t="shared" si="4"/>
        <v>146.14088839257818</v>
      </c>
      <c r="AE9" s="194">
        <f t="shared" si="4"/>
        <v>209.33091060098369</v>
      </c>
      <c r="AF9" s="192">
        <f t="shared" si="5"/>
        <v>1800</v>
      </c>
      <c r="AG9" s="184">
        <f t="shared" si="6"/>
        <v>2207.6</v>
      </c>
      <c r="AI9" s="211">
        <f t="shared" si="7"/>
        <v>22.076000000000001</v>
      </c>
      <c r="AJ9" s="213">
        <f t="shared" si="8"/>
        <v>0.26454545454545458</v>
      </c>
      <c r="AK9" s="214">
        <f t="shared" ref="AK9:AK40" si="11">($E$7/($AI9/$C$8))*1000</f>
        <v>26.19</v>
      </c>
      <c r="AL9" s="217">
        <f t="shared" si="9"/>
        <v>1000000</v>
      </c>
      <c r="AN9" s="207">
        <f>$V9</f>
        <v>0.36</v>
      </c>
      <c r="AO9" s="222">
        <f t="shared" ref="AO9:AQ53" si="12">$C$4+($E$7/(1-(AO$7*$AN9)/$C$8))*AO$7</f>
        <v>2.1761523897174619</v>
      </c>
      <c r="AP9" s="223">
        <f t="shared" si="12"/>
        <v>2.1885676120963229</v>
      </c>
      <c r="AQ9" s="224">
        <f t="shared" si="12"/>
        <v>2.2011719876798646</v>
      </c>
      <c r="AR9" s="222">
        <f t="shared" ref="AR9:AR72" si="13">$C$5</f>
        <v>2.25</v>
      </c>
      <c r="AS9" s="228">
        <v>2.37</v>
      </c>
      <c r="AT9" s="229">
        <v>2.83</v>
      </c>
    </row>
    <row r="10" spans="2:46" ht="15" customHeight="1" x14ac:dyDescent="0.25">
      <c r="B10" s="136" t="s">
        <v>174</v>
      </c>
      <c r="C10" s="172">
        <v>8</v>
      </c>
      <c r="D10" s="137" t="s">
        <v>175</v>
      </c>
      <c r="T10" s="180">
        <f t="shared" ref="T10:T73" si="14">T9+1</f>
        <v>2</v>
      </c>
      <c r="V10" s="182">
        <f t="shared" si="1"/>
        <v>0.72</v>
      </c>
      <c r="W10" s="183">
        <f t="shared" si="2"/>
        <v>212.60131222395626</v>
      </c>
      <c r="X10" s="183">
        <f t="shared" si="2"/>
        <v>366.24007663309493</v>
      </c>
      <c r="Y10" s="183">
        <f t="shared" si="2"/>
        <v>500.55482769987799</v>
      </c>
      <c r="Z10" s="205">
        <f t="shared" si="3"/>
        <v>225</v>
      </c>
      <c r="AB10" s="182">
        <f t="shared" ref="AB10:AB73" si="15">$V10</f>
        <v>0.72</v>
      </c>
      <c r="AC10" s="192">
        <f t="shared" si="4"/>
        <v>158.93676278163204</v>
      </c>
      <c r="AD10" s="193">
        <f t="shared" si="4"/>
        <v>282.60739770372322</v>
      </c>
      <c r="AE10" s="194">
        <f t="shared" si="4"/>
        <v>398.81246890397995</v>
      </c>
      <c r="AF10" s="192">
        <f t="shared" si="5"/>
        <v>1800</v>
      </c>
      <c r="AG10" s="184">
        <f t="shared" si="6"/>
        <v>2207.6</v>
      </c>
      <c r="AI10" s="211">
        <f t="shared" si="7"/>
        <v>44.152000000000001</v>
      </c>
      <c r="AJ10" s="213">
        <f t="shared" si="8"/>
        <v>0.26724489795918371</v>
      </c>
      <c r="AK10" s="214">
        <f t="shared" si="11"/>
        <v>13.095000000000001</v>
      </c>
      <c r="AL10" s="217">
        <f t="shared" si="9"/>
        <v>1000000</v>
      </c>
      <c r="AN10" s="207">
        <f t="shared" ref="AN10:AN73" si="16">$V10</f>
        <v>0.72</v>
      </c>
      <c r="AO10" s="222">
        <f t="shared" si="12"/>
        <v>2.1769849362206219</v>
      </c>
      <c r="AP10" s="223">
        <f t="shared" si="12"/>
        <v>2.1900821362848895</v>
      </c>
      <c r="AQ10" s="224">
        <f t="shared" si="12"/>
        <v>2.203594226143919</v>
      </c>
      <c r="AR10" s="222">
        <f t="shared" si="13"/>
        <v>2.25</v>
      </c>
      <c r="AS10" s="228">
        <v>2.37</v>
      </c>
      <c r="AT10" s="229">
        <v>2.83</v>
      </c>
    </row>
    <row r="11" spans="2:46" ht="15" customHeight="1" x14ac:dyDescent="0.25">
      <c r="B11" s="136" t="s">
        <v>176</v>
      </c>
      <c r="C11" s="172">
        <f>C9/C10</f>
        <v>225</v>
      </c>
      <c r="D11" s="137" t="s">
        <v>177</v>
      </c>
      <c r="T11" s="180">
        <f t="shared" si="14"/>
        <v>3</v>
      </c>
      <c r="V11" s="182">
        <f t="shared" si="1"/>
        <v>1.08</v>
      </c>
      <c r="W11" s="183">
        <f t="shared" si="2"/>
        <v>204.80522640355778</v>
      </c>
      <c r="X11" s="183">
        <f t="shared" si="2"/>
        <v>341.99535378288363</v>
      </c>
      <c r="Y11" s="183">
        <f t="shared" si="2"/>
        <v>453.09079531713928</v>
      </c>
      <c r="Z11" s="205">
        <f t="shared" si="3"/>
        <v>225</v>
      </c>
      <c r="AB11" s="182">
        <f t="shared" si="15"/>
        <v>1.08</v>
      </c>
      <c r="AC11" s="192">
        <f t="shared" si="4"/>
        <v>234.06120226592444</v>
      </c>
      <c r="AD11" s="193">
        <f t="shared" si="4"/>
        <v>410.03996204903882</v>
      </c>
      <c r="AE11" s="194">
        <f t="shared" si="4"/>
        <v>570.32684694711941</v>
      </c>
      <c r="AF11" s="192">
        <f t="shared" si="5"/>
        <v>1800</v>
      </c>
      <c r="AG11" s="184">
        <f t="shared" si="6"/>
        <v>2207.6</v>
      </c>
      <c r="AI11" s="211">
        <f t="shared" si="7"/>
        <v>66.227999999999994</v>
      </c>
      <c r="AJ11" s="213">
        <f t="shared" si="8"/>
        <v>0.27000000000000007</v>
      </c>
      <c r="AK11" s="214">
        <f t="shared" si="11"/>
        <v>8.7300000000000022</v>
      </c>
      <c r="AL11" s="217">
        <f t="shared" si="9"/>
        <v>1000000</v>
      </c>
      <c r="AN11" s="207">
        <f t="shared" si="16"/>
        <v>1.08</v>
      </c>
      <c r="AO11" s="222">
        <f t="shared" si="12"/>
        <v>2.1778567316907558</v>
      </c>
      <c r="AP11" s="223">
        <f t="shared" si="12"/>
        <v>2.1916941581561695</v>
      </c>
      <c r="AQ11" s="224">
        <f t="shared" si="12"/>
        <v>2.2062162012623436</v>
      </c>
      <c r="AR11" s="222">
        <f t="shared" si="13"/>
        <v>2.25</v>
      </c>
      <c r="AS11" s="228">
        <v>2.37</v>
      </c>
      <c r="AT11" s="229">
        <v>2.83</v>
      </c>
    </row>
    <row r="12" spans="2:46" ht="15" customHeight="1" x14ac:dyDescent="0.25">
      <c r="B12" s="136" t="s">
        <v>178</v>
      </c>
      <c r="C12" s="172">
        <v>36</v>
      </c>
      <c r="D12" s="137" t="s">
        <v>175</v>
      </c>
      <c r="T12" s="180">
        <f t="shared" si="14"/>
        <v>4</v>
      </c>
      <c r="U12" t="s">
        <v>436</v>
      </c>
      <c r="V12" s="182">
        <f t="shared" si="1"/>
        <v>1.44</v>
      </c>
      <c r="W12" s="183">
        <f t="shared" si="2"/>
        <v>197.29502289255447</v>
      </c>
      <c r="X12" s="183">
        <f t="shared" si="2"/>
        <v>319.35560707697465</v>
      </c>
      <c r="Y12" s="183">
        <f t="shared" si="2"/>
        <v>410.12743747665161</v>
      </c>
      <c r="Z12" s="205">
        <f t="shared" si="3"/>
        <v>225</v>
      </c>
      <c r="AB12" s="182">
        <f t="shared" si="15"/>
        <v>1.44</v>
      </c>
      <c r="AC12" s="192">
        <f t="shared" si="4"/>
        <v>306.43083007336338</v>
      </c>
      <c r="AD12" s="193">
        <f t="shared" si="4"/>
        <v>529.03661945307476</v>
      </c>
      <c r="AE12" s="194">
        <f t="shared" si="4"/>
        <v>725.57774386282131</v>
      </c>
      <c r="AF12" s="192">
        <f t="shared" si="5"/>
        <v>1800</v>
      </c>
      <c r="AG12" s="184">
        <f t="shared" si="6"/>
        <v>2207.6</v>
      </c>
      <c r="AI12" s="211">
        <f t="shared" si="7"/>
        <v>88.304000000000002</v>
      </c>
      <c r="AJ12" s="213">
        <f t="shared" si="8"/>
        <v>0.27281250000000007</v>
      </c>
      <c r="AK12" s="214">
        <f t="shared" si="11"/>
        <v>6.5475000000000003</v>
      </c>
      <c r="AL12" s="217">
        <f t="shared" si="9"/>
        <v>1000000</v>
      </c>
      <c r="AN12" s="207">
        <f t="shared" si="16"/>
        <v>1.44</v>
      </c>
      <c r="AO12" s="222">
        <f t="shared" si="12"/>
        <v>2.178770618617127</v>
      </c>
      <c r="AP12" s="223">
        <f t="shared" si="12"/>
        <v>2.1934134054608911</v>
      </c>
      <c r="AQ12" s="224">
        <f t="shared" si="12"/>
        <v>2.2090636807177746</v>
      </c>
      <c r="AR12" s="222">
        <f t="shared" si="13"/>
        <v>2.25</v>
      </c>
      <c r="AS12" s="228">
        <v>2.37</v>
      </c>
      <c r="AT12" s="229">
        <v>2.83</v>
      </c>
    </row>
    <row r="13" spans="2:46" ht="15" customHeight="1" x14ac:dyDescent="0.25">
      <c r="T13" s="180">
        <f t="shared" si="14"/>
        <v>5</v>
      </c>
      <c r="V13" s="182">
        <f t="shared" si="1"/>
        <v>1.8</v>
      </c>
      <c r="W13" s="183">
        <f t="shared" si="2"/>
        <v>190.06021839244133</v>
      </c>
      <c r="X13" s="183">
        <f t="shared" si="2"/>
        <v>298.21458871704522</v>
      </c>
      <c r="Y13" s="183">
        <f t="shared" si="2"/>
        <v>371.23798741801988</v>
      </c>
      <c r="Z13" s="205">
        <f t="shared" si="3"/>
        <v>225</v>
      </c>
      <c r="AB13" s="182">
        <f t="shared" si="15"/>
        <v>1.8</v>
      </c>
      <c r="AC13" s="192">
        <f t="shared" si="4"/>
        <v>376.14666509243659</v>
      </c>
      <c r="AD13" s="193">
        <f t="shared" si="4"/>
        <v>640.15581842769745</v>
      </c>
      <c r="AE13" s="194">
        <f t="shared" si="4"/>
        <v>866.10730918630361</v>
      </c>
      <c r="AF13" s="192">
        <f t="shared" si="5"/>
        <v>1800</v>
      </c>
      <c r="AG13" s="184">
        <f t="shared" si="6"/>
        <v>2207.6</v>
      </c>
      <c r="AI13" s="211">
        <f t="shared" si="7"/>
        <v>110.38</v>
      </c>
      <c r="AJ13" s="213">
        <f t="shared" si="8"/>
        <v>0.27568421052631581</v>
      </c>
      <c r="AK13" s="214">
        <f t="shared" si="11"/>
        <v>5.2380000000000004</v>
      </c>
      <c r="AL13" s="217">
        <f t="shared" si="9"/>
        <v>1000000</v>
      </c>
      <c r="AN13" s="207">
        <f t="shared" si="16"/>
        <v>1.8</v>
      </c>
      <c r="AO13" s="222">
        <f t="shared" si="12"/>
        <v>2.1797297207574062</v>
      </c>
      <c r="AP13" s="223">
        <f t="shared" si="12"/>
        <v>2.1952509445742199</v>
      </c>
      <c r="AQ13" s="224">
        <f t="shared" si="12"/>
        <v>2.2121670636857873</v>
      </c>
      <c r="AR13" s="222">
        <f t="shared" si="13"/>
        <v>2.25</v>
      </c>
      <c r="AS13" s="228">
        <v>2.37</v>
      </c>
      <c r="AT13" s="229">
        <v>2.83</v>
      </c>
    </row>
    <row r="14" spans="2:46" ht="15" customHeight="1" x14ac:dyDescent="0.25">
      <c r="B14" s="136" t="s">
        <v>179</v>
      </c>
      <c r="C14" s="204">
        <f>C9/C8</f>
        <v>0.81536510237361848</v>
      </c>
      <c r="J14" s="167"/>
      <c r="T14" s="180">
        <f t="shared" si="14"/>
        <v>6</v>
      </c>
      <c r="V14" s="182">
        <f t="shared" si="1"/>
        <v>2.16</v>
      </c>
      <c r="W14" s="183">
        <f t="shared" si="2"/>
        <v>183.09071402705771</v>
      </c>
      <c r="X14" s="183">
        <f t="shared" si="2"/>
        <v>278.47308440161834</v>
      </c>
      <c r="Y14" s="183">
        <f t="shared" si="2"/>
        <v>336.03614561883035</v>
      </c>
      <c r="Z14" s="205">
        <f t="shared" si="3"/>
        <v>225</v>
      </c>
      <c r="AB14" s="182">
        <f t="shared" si="15"/>
        <v>2.16</v>
      </c>
      <c r="AC14" s="192">
        <f t="shared" si="4"/>
        <v>443.30602185103254</v>
      </c>
      <c r="AD14" s="193">
        <f t="shared" si="4"/>
        <v>743.91903875780895</v>
      </c>
      <c r="AE14" s="194">
        <f t="shared" si="4"/>
        <v>993.31146144785248</v>
      </c>
      <c r="AF14" s="192">
        <f t="shared" si="5"/>
        <v>1800</v>
      </c>
      <c r="AG14" s="184">
        <f t="shared" si="6"/>
        <v>2207.6</v>
      </c>
      <c r="AI14" s="211">
        <f t="shared" si="7"/>
        <v>132.45599999999999</v>
      </c>
      <c r="AJ14" s="213">
        <f t="shared" si="8"/>
        <v>0.27861702127659577</v>
      </c>
      <c r="AK14" s="214">
        <f t="shared" si="11"/>
        <v>4.3650000000000011</v>
      </c>
      <c r="AL14" s="217">
        <f t="shared" si="9"/>
        <v>1000000</v>
      </c>
      <c r="AN14" s="207">
        <f t="shared" si="16"/>
        <v>2.16</v>
      </c>
      <c r="AO14" s="222">
        <f t="shared" si="12"/>
        <v>2.1807374788100211</v>
      </c>
      <c r="AP14" s="223">
        <f t="shared" si="12"/>
        <v>2.1972194189575545</v>
      </c>
      <c r="AQ14" s="224">
        <f t="shared" si="12"/>
        <v>2.2155624703763941</v>
      </c>
      <c r="AR14" s="222">
        <f t="shared" si="13"/>
        <v>2.25</v>
      </c>
      <c r="AS14" s="228">
        <v>2.37</v>
      </c>
      <c r="AT14" s="229">
        <v>2.83</v>
      </c>
    </row>
    <row r="15" spans="2:46" ht="15" customHeight="1" x14ac:dyDescent="0.25">
      <c r="T15" s="180">
        <f t="shared" si="14"/>
        <v>7</v>
      </c>
      <c r="V15" s="182">
        <f t="shared" si="1"/>
        <v>2.5200000000000005</v>
      </c>
      <c r="W15" s="183">
        <f t="shared" si="2"/>
        <v>176.37678124582749</v>
      </c>
      <c r="X15" s="183">
        <f t="shared" si="2"/>
        <v>260.03844771568157</v>
      </c>
      <c r="Y15" s="183">
        <f t="shared" si="2"/>
        <v>304.17224257605335</v>
      </c>
      <c r="Z15" s="205">
        <f t="shared" si="3"/>
        <v>225</v>
      </c>
      <c r="AB15" s="182">
        <f t="shared" si="15"/>
        <v>2.5200000000000005</v>
      </c>
      <c r="AC15" s="192">
        <f t="shared" si="4"/>
        <v>508.00264635527077</v>
      </c>
      <c r="AD15" s="193">
        <f t="shared" si="4"/>
        <v>840.81323879370177</v>
      </c>
      <c r="AE15" s="194">
        <f t="shared" si="4"/>
        <v>1108.4537542126009</v>
      </c>
      <c r="AF15" s="192">
        <f t="shared" si="5"/>
        <v>1800</v>
      </c>
      <c r="AG15" s="184">
        <f t="shared" si="6"/>
        <v>2207.6</v>
      </c>
      <c r="AI15" s="211">
        <f t="shared" si="7"/>
        <v>154.53200000000001</v>
      </c>
      <c r="AJ15" s="213">
        <f t="shared" si="8"/>
        <v>0.28161290322580645</v>
      </c>
      <c r="AK15" s="214">
        <f t="shared" si="11"/>
        <v>3.7414285714285715</v>
      </c>
      <c r="AL15" s="217">
        <f t="shared" si="9"/>
        <v>1000000</v>
      </c>
      <c r="AN15" s="207">
        <f t="shared" si="16"/>
        <v>2.5200000000000005</v>
      </c>
      <c r="AO15" s="222">
        <f t="shared" si="12"/>
        <v>2.1817976916568491</v>
      </c>
      <c r="AP15" s="223">
        <f t="shared" si="12"/>
        <v>2.1993333404789053</v>
      </c>
      <c r="AQ15" s="224">
        <f t="shared" si="12"/>
        <v>2.2192931543337804</v>
      </c>
      <c r="AR15" s="222">
        <f t="shared" si="13"/>
        <v>2.25</v>
      </c>
      <c r="AS15" s="228">
        <v>2.37</v>
      </c>
      <c r="AT15" s="229">
        <v>2.83</v>
      </c>
    </row>
    <row r="16" spans="2:46" ht="15" customHeight="1" x14ac:dyDescent="0.25">
      <c r="B16" s="136" t="s">
        <v>180</v>
      </c>
      <c r="C16" s="167">
        <v>0</v>
      </c>
      <c r="D16" s="170" t="s">
        <v>157</v>
      </c>
      <c r="E16" s="173">
        <f>C16/1000</f>
        <v>0</v>
      </c>
      <c r="F16" s="170" t="s">
        <v>158</v>
      </c>
      <c r="T16" s="180">
        <f t="shared" si="14"/>
        <v>8</v>
      </c>
      <c r="V16" s="182">
        <f t="shared" si="1"/>
        <v>2.88</v>
      </c>
      <c r="W16" s="183">
        <f t="shared" si="2"/>
        <v>169.90904824392757</v>
      </c>
      <c r="X16" s="183">
        <f t="shared" si="2"/>
        <v>242.8241653432425</v>
      </c>
      <c r="Y16" s="183">
        <f t="shared" si="2"/>
        <v>275.32976544342591</v>
      </c>
      <c r="Z16" s="205">
        <f t="shared" si="3"/>
        <v>225</v>
      </c>
      <c r="AB16" s="182">
        <f t="shared" si="15"/>
        <v>2.88</v>
      </c>
      <c r="AC16" s="192">
        <f t="shared" si="4"/>
        <v>570.32684694712066</v>
      </c>
      <c r="AD16" s="193">
        <f t="shared" si="4"/>
        <v>931.2931407351324</v>
      </c>
      <c r="AE16" s="194">
        <f t="shared" si="4"/>
        <v>1212.6779273029833</v>
      </c>
      <c r="AF16" s="192">
        <f t="shared" si="5"/>
        <v>1800</v>
      </c>
      <c r="AG16" s="184">
        <f t="shared" si="6"/>
        <v>2207.6</v>
      </c>
      <c r="AI16" s="211">
        <f t="shared" si="7"/>
        <v>176.608</v>
      </c>
      <c r="AJ16" s="213">
        <f t="shared" si="8"/>
        <v>0.28467391304347828</v>
      </c>
      <c r="AK16" s="214">
        <f t="shared" si="11"/>
        <v>3.2737500000000002</v>
      </c>
      <c r="AL16" s="217">
        <f t="shared" si="9"/>
        <v>1000000</v>
      </c>
      <c r="AN16" s="207">
        <f t="shared" si="16"/>
        <v>2.88</v>
      </c>
      <c r="AO16" s="222">
        <f t="shared" si="12"/>
        <v>2.1829145642181658</v>
      </c>
      <c r="AP16" s="223">
        <f t="shared" si="12"/>
        <v>2.2016094477859345</v>
      </c>
      <c r="AQ16" s="224">
        <f t="shared" si="12"/>
        <v>2.2234113548345729</v>
      </c>
      <c r="AR16" s="222">
        <f t="shared" si="13"/>
        <v>2.25</v>
      </c>
      <c r="AS16" s="228">
        <v>2.37</v>
      </c>
      <c r="AT16" s="229">
        <v>2.83</v>
      </c>
    </row>
    <row r="17" spans="20:46" ht="15" customHeight="1" x14ac:dyDescent="0.25">
      <c r="T17" s="180">
        <f t="shared" si="14"/>
        <v>9</v>
      </c>
      <c r="V17" s="182">
        <f t="shared" si="1"/>
        <v>3.2399999999999998</v>
      </c>
      <c r="W17" s="183">
        <f t="shared" si="2"/>
        <v>163.67848688042804</v>
      </c>
      <c r="X17" s="183">
        <f t="shared" si="2"/>
        <v>226.74945106237286</v>
      </c>
      <c r="Y17" s="183">
        <f t="shared" si="2"/>
        <v>249.22221402295679</v>
      </c>
      <c r="Z17" s="205">
        <f t="shared" si="3"/>
        <v>225</v>
      </c>
      <c r="AB17" s="182">
        <f t="shared" si="15"/>
        <v>3.2399999999999998</v>
      </c>
      <c r="AC17" s="192">
        <f t="shared" si="4"/>
        <v>630.36562036347948</v>
      </c>
      <c r="AD17" s="193">
        <f t="shared" si="4"/>
        <v>1015.7833646319024</v>
      </c>
      <c r="AE17" s="194">
        <f t="shared" si="4"/>
        <v>1307.0192678785786</v>
      </c>
      <c r="AF17" s="192">
        <f t="shared" si="5"/>
        <v>1800</v>
      </c>
      <c r="AG17" s="184">
        <f t="shared" si="6"/>
        <v>2207.6</v>
      </c>
      <c r="AI17" s="211">
        <f t="shared" si="7"/>
        <v>198.684</v>
      </c>
      <c r="AJ17" s="213">
        <f t="shared" si="8"/>
        <v>0.28780219780219785</v>
      </c>
      <c r="AK17" s="214">
        <f t="shared" si="11"/>
        <v>2.91</v>
      </c>
      <c r="AL17" s="217">
        <f t="shared" si="9"/>
        <v>1000000</v>
      </c>
      <c r="AN17" s="207">
        <f t="shared" si="16"/>
        <v>3.2399999999999998</v>
      </c>
      <c r="AO17" s="222">
        <f t="shared" si="12"/>
        <v>2.1840927631906002</v>
      </c>
      <c r="AP17" s="223">
        <f t="shared" si="12"/>
        <v>2.2040671504555531</v>
      </c>
      <c r="AQ17" s="224">
        <f t="shared" si="12"/>
        <v>2.2279807581496009</v>
      </c>
      <c r="AR17" s="222">
        <f t="shared" si="13"/>
        <v>2.25</v>
      </c>
      <c r="AS17" s="228">
        <v>2.37</v>
      </c>
      <c r="AT17" s="229">
        <v>2.83</v>
      </c>
    </row>
    <row r="18" spans="20:46" ht="15" customHeight="1" x14ac:dyDescent="0.25">
      <c r="T18" s="180">
        <f t="shared" si="14"/>
        <v>10</v>
      </c>
      <c r="V18" s="182">
        <f t="shared" si="1"/>
        <v>3.6</v>
      </c>
      <c r="W18" s="183">
        <f t="shared" si="2"/>
        <v>157.67640007614443</v>
      </c>
      <c r="X18" s="183">
        <f t="shared" si="2"/>
        <v>211.73886661737168</v>
      </c>
      <c r="Y18" s="183">
        <f t="shared" si="2"/>
        <v>225.59025488025935</v>
      </c>
      <c r="Z18" s="205">
        <f t="shared" si="3"/>
        <v>225</v>
      </c>
      <c r="AB18" s="182">
        <f t="shared" si="15"/>
        <v>3.6</v>
      </c>
      <c r="AC18" s="192">
        <f t="shared" si="4"/>
        <v>688.20277317266005</v>
      </c>
      <c r="AD18" s="193">
        <f t="shared" si="4"/>
        <v>1094.6804211157523</v>
      </c>
      <c r="AE18" s="194">
        <f t="shared" si="4"/>
        <v>1392.4148942260501</v>
      </c>
      <c r="AF18" s="192">
        <f t="shared" si="5"/>
        <v>1800</v>
      </c>
      <c r="AG18" s="184">
        <f t="shared" si="6"/>
        <v>2207.6</v>
      </c>
      <c r="AI18" s="211">
        <f t="shared" si="7"/>
        <v>220.76</v>
      </c>
      <c r="AJ18" s="213">
        <f t="shared" si="8"/>
        <v>0.29100000000000004</v>
      </c>
      <c r="AK18" s="214">
        <f t="shared" si="11"/>
        <v>2.6190000000000002</v>
      </c>
      <c r="AL18" s="217">
        <f t="shared" si="9"/>
        <v>1000000</v>
      </c>
      <c r="AN18" s="207">
        <f t="shared" si="16"/>
        <v>3.6</v>
      </c>
      <c r="AO18" s="222">
        <f t="shared" si="12"/>
        <v>2.1853374822258367</v>
      </c>
      <c r="AP18" s="223">
        <f t="shared" si="12"/>
        <v>2.2067290838676583</v>
      </c>
      <c r="AQ18" s="224">
        <f t="shared" si="12"/>
        <v>2.2330798146823128</v>
      </c>
      <c r="AR18" s="222">
        <f t="shared" si="13"/>
        <v>2.25</v>
      </c>
      <c r="AS18" s="228">
        <v>2.37</v>
      </c>
      <c r="AT18" s="229">
        <v>2.83</v>
      </c>
    </row>
    <row r="19" spans="20:46" ht="15" customHeight="1" x14ac:dyDescent="0.25">
      <c r="T19" s="180">
        <f t="shared" si="14"/>
        <v>11</v>
      </c>
      <c r="V19" s="182">
        <f t="shared" si="1"/>
        <v>3.96</v>
      </c>
      <c r="W19" s="183">
        <f t="shared" si="2"/>
        <v>151.89440967361017</v>
      </c>
      <c r="X19" s="183">
        <f t="shared" si="2"/>
        <v>197.72196768880659</v>
      </c>
      <c r="Y19" s="183">
        <f t="shared" si="2"/>
        <v>204.19914531476167</v>
      </c>
      <c r="Z19" s="205">
        <f t="shared" si="3"/>
        <v>225</v>
      </c>
      <c r="AB19" s="182">
        <f t="shared" si="15"/>
        <v>3.96</v>
      </c>
      <c r="AC19" s="192">
        <f t="shared" si="4"/>
        <v>743.9190387578102</v>
      </c>
      <c r="AD19" s="193">
        <f t="shared" si="4"/>
        <v>1168.3545722154252</v>
      </c>
      <c r="AE19" s="194">
        <f t="shared" si="4"/>
        <v>1469.7130644108754</v>
      </c>
      <c r="AF19" s="192">
        <f t="shared" si="5"/>
        <v>1800</v>
      </c>
      <c r="AG19" s="184">
        <f t="shared" si="6"/>
        <v>2207.6</v>
      </c>
      <c r="AI19" s="211">
        <f t="shared" si="7"/>
        <v>242.83599999999998</v>
      </c>
      <c r="AJ19" s="213">
        <f t="shared" si="8"/>
        <v>0.29426966292134837</v>
      </c>
      <c r="AK19" s="214">
        <f t="shared" si="11"/>
        <v>2.3809090909090909</v>
      </c>
      <c r="AL19" s="217">
        <f t="shared" si="9"/>
        <v>1000000</v>
      </c>
      <c r="AN19" s="207">
        <f t="shared" si="16"/>
        <v>3.96</v>
      </c>
      <c r="AO19" s="222">
        <f t="shared" si="12"/>
        <v>2.186654518469815</v>
      </c>
      <c r="AP19" s="223">
        <f t="shared" si="12"/>
        <v>2.2096218084024621</v>
      </c>
      <c r="AQ19" s="224">
        <f t="shared" si="12"/>
        <v>2.2388062805711684</v>
      </c>
      <c r="AR19" s="222">
        <f t="shared" si="13"/>
        <v>2.25</v>
      </c>
      <c r="AS19" s="228">
        <v>2.37</v>
      </c>
      <c r="AT19" s="229">
        <v>2.83</v>
      </c>
    </row>
    <row r="20" spans="20:46" ht="15" customHeight="1" x14ac:dyDescent="0.25">
      <c r="T20" s="180">
        <f t="shared" si="14"/>
        <v>12</v>
      </c>
      <c r="V20" s="182">
        <f t="shared" si="1"/>
        <v>4.32</v>
      </c>
      <c r="W20" s="183">
        <f t="shared" si="2"/>
        <v>146.32444474222351</v>
      </c>
      <c r="X20" s="183">
        <f t="shared" si="2"/>
        <v>184.63297329998122</v>
      </c>
      <c r="Y20" s="183">
        <f t="shared" si="2"/>
        <v>184.83640159638801</v>
      </c>
      <c r="Z20" s="205">
        <f t="shared" si="3"/>
        <v>225</v>
      </c>
      <c r="AB20" s="182">
        <f t="shared" si="15"/>
        <v>4.32</v>
      </c>
      <c r="AC20" s="192">
        <f t="shared" si="4"/>
        <v>797.59219001055033</v>
      </c>
      <c r="AD20" s="193">
        <f t="shared" si="4"/>
        <v>1237.1515689876496</v>
      </c>
      <c r="AE20" s="194">
        <f t="shared" si="4"/>
        <v>1539.6816022562464</v>
      </c>
      <c r="AF20" s="192">
        <f t="shared" si="5"/>
        <v>1800</v>
      </c>
      <c r="AG20" s="184">
        <f t="shared" si="6"/>
        <v>2207.6</v>
      </c>
      <c r="AI20" s="211">
        <f t="shared" si="7"/>
        <v>264.91199999999998</v>
      </c>
      <c r="AJ20" s="213">
        <f t="shared" si="8"/>
        <v>0.29761363636363636</v>
      </c>
      <c r="AK20" s="214">
        <f t="shared" si="11"/>
        <v>2.1825000000000006</v>
      </c>
      <c r="AL20" s="217">
        <f t="shared" si="9"/>
        <v>1000000</v>
      </c>
      <c r="AN20" s="207">
        <f t="shared" si="16"/>
        <v>4.32</v>
      </c>
      <c r="AO20" s="222">
        <f t="shared" si="12"/>
        <v>2.1880503628416648</v>
      </c>
      <c r="AP20" s="223">
        <f t="shared" si="12"/>
        <v>2.2127766987412589</v>
      </c>
      <c r="AQ20" s="224">
        <f t="shared" si="12"/>
        <v>2.2452835456458402</v>
      </c>
      <c r="AR20" s="222">
        <f t="shared" si="13"/>
        <v>2.25</v>
      </c>
      <c r="AS20" s="228">
        <v>2.37</v>
      </c>
      <c r="AT20" s="229">
        <v>2.83</v>
      </c>
    </row>
    <row r="21" spans="20:46" ht="15" customHeight="1" x14ac:dyDescent="0.25">
      <c r="T21" s="180">
        <f t="shared" si="14"/>
        <v>13</v>
      </c>
      <c r="V21" s="182">
        <f t="shared" si="1"/>
        <v>4.68</v>
      </c>
      <c r="W21" s="183">
        <f t="shared" si="2"/>
        <v>140.95873031224463</v>
      </c>
      <c r="X21" s="183">
        <f t="shared" si="2"/>
        <v>172.4104571083603</v>
      </c>
      <c r="Y21" s="183">
        <f t="shared" si="2"/>
        <v>167.30968830667027</v>
      </c>
      <c r="Z21" s="205">
        <f t="shared" si="3"/>
        <v>225</v>
      </c>
      <c r="AB21" s="182">
        <f t="shared" si="15"/>
        <v>4.68</v>
      </c>
      <c r="AC21" s="192">
        <f t="shared" si="4"/>
        <v>849.29714789213756</v>
      </c>
      <c r="AD21" s="193">
        <f t="shared" si="4"/>
        <v>1301.3942741187097</v>
      </c>
      <c r="AE21" s="194">
        <f t="shared" si="4"/>
        <v>1603.0155243466838</v>
      </c>
      <c r="AF21" s="192">
        <f t="shared" si="5"/>
        <v>1800</v>
      </c>
      <c r="AG21" s="184">
        <f t="shared" si="6"/>
        <v>2207.6</v>
      </c>
      <c r="AI21" s="211">
        <f t="shared" si="7"/>
        <v>286.988</v>
      </c>
      <c r="AJ21" s="213">
        <f t="shared" si="8"/>
        <v>0.30103448275862071</v>
      </c>
      <c r="AK21" s="214">
        <f t="shared" si="11"/>
        <v>2.0146153846153845</v>
      </c>
      <c r="AL21" s="217">
        <f t="shared" si="9"/>
        <v>1000000</v>
      </c>
      <c r="AN21" s="207">
        <f t="shared" si="16"/>
        <v>4.68</v>
      </c>
      <c r="AO21" s="222">
        <f t="shared" si="12"/>
        <v>2.1895323070186574</v>
      </c>
      <c r="AP21" s="223">
        <f t="shared" si="12"/>
        <v>2.2162310864342221</v>
      </c>
      <c r="AQ21" s="224">
        <f t="shared" si="12"/>
        <v>2.2526696249783478</v>
      </c>
      <c r="AR21" s="222">
        <f t="shared" si="13"/>
        <v>2.25</v>
      </c>
      <c r="AS21" s="228">
        <v>2.37</v>
      </c>
      <c r="AT21" s="229">
        <v>2.83</v>
      </c>
    </row>
    <row r="22" spans="20:46" ht="15" customHeight="1" x14ac:dyDescent="0.25">
      <c r="T22" s="180">
        <f t="shared" si="14"/>
        <v>14</v>
      </c>
      <c r="V22" s="182">
        <f t="shared" si="1"/>
        <v>5.0400000000000009</v>
      </c>
      <c r="W22" s="183">
        <f t="shared" si="2"/>
        <v>135.78977652191691</v>
      </c>
      <c r="X22" s="183">
        <f t="shared" si="2"/>
        <v>160.99705913318982</v>
      </c>
      <c r="Y22" s="183">
        <f t="shared" si="2"/>
        <v>151.44490781853739</v>
      </c>
      <c r="Z22" s="205">
        <f t="shared" si="3"/>
        <v>225</v>
      </c>
      <c r="AB22" s="182">
        <f t="shared" si="15"/>
        <v>5.0400000000000009</v>
      </c>
      <c r="AC22" s="192">
        <f t="shared" si="4"/>
        <v>899.10608601369495</v>
      </c>
      <c r="AD22" s="193">
        <f t="shared" si="4"/>
        <v>1361.3841771114321</v>
      </c>
      <c r="AE22" s="194">
        <f t="shared" si="4"/>
        <v>1660.3439438174789</v>
      </c>
      <c r="AF22" s="192">
        <f t="shared" si="5"/>
        <v>1800</v>
      </c>
      <c r="AG22" s="184">
        <f t="shared" si="6"/>
        <v>2207.6</v>
      </c>
      <c r="AI22" s="211">
        <f t="shared" si="7"/>
        <v>309.06400000000002</v>
      </c>
      <c r="AJ22" s="213">
        <f t="shared" si="8"/>
        <v>0.30453488372093029</v>
      </c>
      <c r="AK22" s="214">
        <f t="shared" si="11"/>
        <v>1.8707142857142858</v>
      </c>
      <c r="AL22" s="217">
        <f t="shared" si="9"/>
        <v>1000000</v>
      </c>
      <c r="AN22" s="207">
        <f t="shared" si="16"/>
        <v>5.0400000000000009</v>
      </c>
      <c r="AO22" s="222">
        <f t="shared" si="12"/>
        <v>2.1911085708486118</v>
      </c>
      <c r="AP22" s="223">
        <f t="shared" si="12"/>
        <v>2.2200297440787451</v>
      </c>
      <c r="AQ22" s="224">
        <f t="shared" si="12"/>
        <v>2.2611702207526081</v>
      </c>
      <c r="AR22" s="222">
        <f t="shared" si="13"/>
        <v>2.25</v>
      </c>
      <c r="AS22" s="228">
        <v>2.37</v>
      </c>
      <c r="AT22" s="229">
        <v>2.83</v>
      </c>
    </row>
    <row r="23" spans="20:46" ht="15" customHeight="1" x14ac:dyDescent="0.25">
      <c r="T23" s="180">
        <f t="shared" si="14"/>
        <v>15</v>
      </c>
      <c r="V23" s="182">
        <f t="shared" si="1"/>
        <v>5.3999999999999995</v>
      </c>
      <c r="W23" s="183">
        <f t="shared" si="2"/>
        <v>130.81036816256295</v>
      </c>
      <c r="X23" s="183">
        <f t="shared" si="2"/>
        <v>150.33921656645819</v>
      </c>
      <c r="Y23" s="183">
        <f t="shared" si="2"/>
        <v>137.08447093706596</v>
      </c>
      <c r="Z23" s="205">
        <f t="shared" si="3"/>
        <v>225</v>
      </c>
      <c r="AB23" s="182">
        <f t="shared" si="15"/>
        <v>5.3999999999999995</v>
      </c>
      <c r="AC23" s="192">
        <f t="shared" si="4"/>
        <v>947.08853138148402</v>
      </c>
      <c r="AD23" s="193">
        <f t="shared" si="4"/>
        <v>1417.4028091683226</v>
      </c>
      <c r="AE23" s="194">
        <f t="shared" si="4"/>
        <v>1712.2363195071823</v>
      </c>
      <c r="AF23" s="192">
        <f t="shared" si="5"/>
        <v>1800</v>
      </c>
      <c r="AG23" s="184">
        <f t="shared" si="6"/>
        <v>2207.6</v>
      </c>
      <c r="AI23" s="211">
        <f t="shared" si="7"/>
        <v>331.14</v>
      </c>
      <c r="AJ23" s="213">
        <f t="shared" si="8"/>
        <v>0.30811764705882355</v>
      </c>
      <c r="AK23" s="214">
        <f t="shared" si="11"/>
        <v>1.7460000000000002</v>
      </c>
      <c r="AL23" s="217">
        <f t="shared" si="9"/>
        <v>1000000</v>
      </c>
      <c r="AN23" s="207">
        <f t="shared" si="16"/>
        <v>5.3999999999999995</v>
      </c>
      <c r="AO23" s="222">
        <f t="shared" si="12"/>
        <v>2.1927884548897607</v>
      </c>
      <c r="AP23" s="223">
        <f t="shared" si="12"/>
        <v>2.2242268365166722</v>
      </c>
      <c r="AQ23" s="224">
        <f t="shared" si="12"/>
        <v>2.2710581795285112</v>
      </c>
      <c r="AR23" s="222">
        <f t="shared" si="13"/>
        <v>2.25</v>
      </c>
      <c r="AS23" s="228">
        <v>2.37</v>
      </c>
      <c r="AT23" s="229">
        <v>2.83</v>
      </c>
    </row>
    <row r="24" spans="20:46" ht="15" customHeight="1" x14ac:dyDescent="0.25">
      <c r="T24" s="180">
        <f t="shared" si="14"/>
        <v>16</v>
      </c>
      <c r="V24" s="182">
        <f t="shared" si="1"/>
        <v>5.76</v>
      </c>
      <c r="W24" s="183">
        <f t="shared" si="2"/>
        <v>126.01355460706155</v>
      </c>
      <c r="X24" s="183">
        <f t="shared" si="2"/>
        <v>140.38691240389866</v>
      </c>
      <c r="Y24" s="183">
        <f t="shared" si="2"/>
        <v>124.08573152299179</v>
      </c>
      <c r="Z24" s="205">
        <f t="shared" si="3"/>
        <v>225</v>
      </c>
      <c r="AB24" s="182">
        <f t="shared" si="15"/>
        <v>5.76</v>
      </c>
      <c r="AC24" s="192">
        <f t="shared" si="4"/>
        <v>993.31146144785419</v>
      </c>
      <c r="AD24" s="193">
        <f t="shared" si="4"/>
        <v>1469.7130644108759</v>
      </c>
      <c r="AE24" s="194">
        <f t="shared" si="4"/>
        <v>1759.2081125476864</v>
      </c>
      <c r="AF24" s="192">
        <f t="shared" si="5"/>
        <v>1800</v>
      </c>
      <c r="AG24" s="184">
        <f t="shared" si="6"/>
        <v>2207.6</v>
      </c>
      <c r="AI24" s="211">
        <f t="shared" si="7"/>
        <v>353.21600000000001</v>
      </c>
      <c r="AJ24" s="213">
        <f t="shared" si="8"/>
        <v>0.31178571428571433</v>
      </c>
      <c r="AK24" s="214">
        <f t="shared" si="11"/>
        <v>1.6368750000000001</v>
      </c>
      <c r="AL24" s="217">
        <f t="shared" si="9"/>
        <v>1000000</v>
      </c>
      <c r="AN24" s="207">
        <f t="shared" si="16"/>
        <v>5.76</v>
      </c>
      <c r="AO24" s="222">
        <f t="shared" si="12"/>
        <v>2.194582524055944</v>
      </c>
      <c r="AP24" s="223">
        <f t="shared" si="12"/>
        <v>2.2288885199863344</v>
      </c>
      <c r="AQ24" s="224">
        <f t="shared" si="12"/>
        <v>2.2827033227292675</v>
      </c>
      <c r="AR24" s="222">
        <f t="shared" si="13"/>
        <v>2.25</v>
      </c>
      <c r="AS24" s="228">
        <v>2.37</v>
      </c>
      <c r="AT24" s="229">
        <v>2.83</v>
      </c>
    </row>
    <row r="25" spans="20:46" ht="15" customHeight="1" x14ac:dyDescent="0.25">
      <c r="T25" s="180">
        <f t="shared" si="14"/>
        <v>17</v>
      </c>
      <c r="V25" s="182">
        <f t="shared" si="1"/>
        <v>6.12</v>
      </c>
      <c r="W25" s="183">
        <f t="shared" si="2"/>
        <v>121.39264010764754</v>
      </c>
      <c r="X25" s="183">
        <f t="shared" si="2"/>
        <v>131.09344071636613</v>
      </c>
      <c r="Y25" s="183">
        <f t="shared" si="2"/>
        <v>112.31956954967367</v>
      </c>
      <c r="Z25" s="205">
        <f t="shared" si="3"/>
        <v>225</v>
      </c>
      <c r="AB25" s="182">
        <f t="shared" si="15"/>
        <v>6.12</v>
      </c>
      <c r="AC25" s="192">
        <f t="shared" si="4"/>
        <v>1037.8393976033303</v>
      </c>
      <c r="AD25" s="193">
        <f t="shared" si="4"/>
        <v>1518.5604336354961</v>
      </c>
      <c r="AE25" s="194">
        <f t="shared" si="4"/>
        <v>1801.7259065803403</v>
      </c>
      <c r="AF25" s="192">
        <f t="shared" si="5"/>
        <v>1800</v>
      </c>
      <c r="AG25" s="184">
        <f t="shared" si="6"/>
        <v>2207.6</v>
      </c>
      <c r="AI25" s="211">
        <f t="shared" si="7"/>
        <v>375.29200000000003</v>
      </c>
      <c r="AJ25" s="213">
        <f t="shared" si="8"/>
        <v>0.31554216867469886</v>
      </c>
      <c r="AK25" s="214">
        <f t="shared" si="11"/>
        <v>1.5405882352941176</v>
      </c>
      <c r="AL25" s="217">
        <f t="shared" si="9"/>
        <v>1000000</v>
      </c>
      <c r="AN25" s="207">
        <f t="shared" si="16"/>
        <v>6.12</v>
      </c>
      <c r="AO25" s="222">
        <f t="shared" si="12"/>
        <v>2.1965028300275082</v>
      </c>
      <c r="AP25" s="223">
        <f t="shared" si="12"/>
        <v>2.2340964549728755</v>
      </c>
      <c r="AQ25" s="224">
        <f t="shared" si="12"/>
        <v>2.2966197315193839</v>
      </c>
      <c r="AR25" s="222">
        <f t="shared" si="13"/>
        <v>2.25</v>
      </c>
      <c r="AS25" s="228">
        <v>2.37</v>
      </c>
      <c r="AT25" s="229">
        <v>2.83</v>
      </c>
    </row>
    <row r="26" spans="20:46" ht="15" customHeight="1" x14ac:dyDescent="0.25">
      <c r="T26" s="180">
        <f t="shared" si="14"/>
        <v>18</v>
      </c>
      <c r="V26" s="182">
        <f t="shared" si="1"/>
        <v>6.4799999999999995</v>
      </c>
      <c r="W26" s="183">
        <f t="shared" si="2"/>
        <v>116.94117444949097</v>
      </c>
      <c r="X26" s="183">
        <f t="shared" si="2"/>
        <v>122.41518746001103</v>
      </c>
      <c r="Y26" s="183">
        <f t="shared" si="2"/>
        <v>101.66910851862471</v>
      </c>
      <c r="Z26" s="205">
        <f t="shared" si="3"/>
        <v>225</v>
      </c>
      <c r="AB26" s="182">
        <f t="shared" si="15"/>
        <v>6.4799999999999995</v>
      </c>
      <c r="AC26" s="192">
        <f t="shared" si="4"/>
        <v>1080.7344952403516</v>
      </c>
      <c r="AD26" s="193">
        <f t="shared" si="4"/>
        <v>1564.1741563960261</v>
      </c>
      <c r="AE26" s="194">
        <f t="shared" si="4"/>
        <v>1840.212042458618</v>
      </c>
      <c r="AF26" s="192">
        <f t="shared" si="5"/>
        <v>1800</v>
      </c>
      <c r="AG26" s="184">
        <f t="shared" si="6"/>
        <v>2207.6</v>
      </c>
      <c r="AI26" s="211">
        <f t="shared" si="7"/>
        <v>397.36799999999999</v>
      </c>
      <c r="AJ26" s="213">
        <f t="shared" si="8"/>
        <v>0.31939024390243903</v>
      </c>
      <c r="AK26" s="214">
        <f t="shared" si="11"/>
        <v>1.4550000000000001</v>
      </c>
      <c r="AL26" s="217">
        <f t="shared" si="9"/>
        <v>1000000</v>
      </c>
      <c r="AN26" s="207">
        <f t="shared" si="16"/>
        <v>6.4799999999999995</v>
      </c>
      <c r="AO26" s="222">
        <f t="shared" si="12"/>
        <v>2.1985631823229292</v>
      </c>
      <c r="AP26" s="223">
        <f t="shared" si="12"/>
        <v>2.2399526308106035</v>
      </c>
      <c r="AQ26" s="224">
        <f t="shared" si="12"/>
        <v>2.3135436886339384</v>
      </c>
      <c r="AR26" s="222">
        <f t="shared" si="13"/>
        <v>2.25</v>
      </c>
      <c r="AS26" s="228">
        <v>2.37</v>
      </c>
      <c r="AT26" s="229">
        <v>2.83</v>
      </c>
    </row>
    <row r="27" spans="20:46" ht="15" customHeight="1" x14ac:dyDescent="0.25">
      <c r="T27" s="180">
        <f t="shared" si="14"/>
        <v>19</v>
      </c>
      <c r="V27" s="182">
        <f t="shared" si="1"/>
        <v>6.84</v>
      </c>
      <c r="W27" s="183">
        <f t="shared" si="2"/>
        <v>112.65294394700919</v>
      </c>
      <c r="X27" s="183">
        <f t="shared" si="2"/>
        <v>114.31142579659827</v>
      </c>
      <c r="Y27" s="183">
        <f t="shared" si="2"/>
        <v>92.028554493351123</v>
      </c>
      <c r="Z27" s="205">
        <f t="shared" si="3"/>
        <v>225</v>
      </c>
      <c r="AB27" s="182">
        <f t="shared" si="15"/>
        <v>6.84</v>
      </c>
      <c r="AC27" s="192">
        <f t="shared" si="4"/>
        <v>1122.0566305143736</v>
      </c>
      <c r="AD27" s="193">
        <f t="shared" si="4"/>
        <v>1606.7682968195759</v>
      </c>
      <c r="AE27" s="194">
        <f t="shared" si="4"/>
        <v>1875.0488134750944</v>
      </c>
      <c r="AF27" s="192">
        <f t="shared" si="5"/>
        <v>1800</v>
      </c>
      <c r="AG27" s="184">
        <f t="shared" si="6"/>
        <v>2207.6</v>
      </c>
      <c r="AI27" s="211">
        <f t="shared" si="7"/>
        <v>419.44399999999996</v>
      </c>
      <c r="AJ27" s="213">
        <f t="shared" si="8"/>
        <v>0.32333333333333336</v>
      </c>
      <c r="AK27" s="214">
        <f t="shared" si="11"/>
        <v>1.3784210526315792</v>
      </c>
      <c r="AL27" s="217">
        <f t="shared" si="9"/>
        <v>1000000</v>
      </c>
      <c r="AN27" s="207">
        <f t="shared" si="16"/>
        <v>6.84</v>
      </c>
      <c r="AO27" s="222">
        <f t="shared" si="12"/>
        <v>2.200779480921975</v>
      </c>
      <c r="AP27" s="223">
        <f t="shared" si="12"/>
        <v>2.2465861114297421</v>
      </c>
      <c r="AQ27" s="224">
        <f t="shared" si="12"/>
        <v>2.3345682755010473</v>
      </c>
      <c r="AR27" s="222">
        <f t="shared" si="13"/>
        <v>2.25</v>
      </c>
      <c r="AS27" s="228">
        <v>2.37</v>
      </c>
      <c r="AT27" s="229">
        <v>2.83</v>
      </c>
    </row>
    <row r="28" spans="20:46" ht="15" customHeight="1" x14ac:dyDescent="0.25">
      <c r="T28" s="180">
        <f t="shared" si="14"/>
        <v>20</v>
      </c>
      <c r="V28" s="182">
        <f t="shared" si="1"/>
        <v>7.2</v>
      </c>
      <c r="W28" s="183">
        <f t="shared" ref="W28:Y47" si="17">W$6*EXP(-(W$6)/($C$8)*$V28)</f>
        <v>108.52196277034429</v>
      </c>
      <c r="X28" s="183">
        <f t="shared" si="17"/>
        <v>106.74412496341418</v>
      </c>
      <c r="Y28" s="183">
        <f t="shared" si="17"/>
        <v>83.30214521930445</v>
      </c>
      <c r="Z28" s="205">
        <f t="shared" si="3"/>
        <v>225</v>
      </c>
      <c r="AB28" s="182">
        <f t="shared" si="15"/>
        <v>7.2</v>
      </c>
      <c r="AC28" s="192">
        <f t="shared" ref="AC28:AE47" si="18">$C$8*(1-EXP(-(AC$6/$C$8)*$AB28))</f>
        <v>1161.8634839234412</v>
      </c>
      <c r="AD28" s="193">
        <f t="shared" si="18"/>
        <v>1646.5427482044342</v>
      </c>
      <c r="AE28" s="194">
        <f t="shared" si="18"/>
        <v>1906.5822627850671</v>
      </c>
      <c r="AF28" s="192">
        <f t="shared" si="5"/>
        <v>1800</v>
      </c>
      <c r="AG28" s="184">
        <f t="shared" si="6"/>
        <v>2207.6</v>
      </c>
      <c r="AI28" s="211">
        <f t="shared" si="7"/>
        <v>441.52</v>
      </c>
      <c r="AJ28" s="213">
        <f t="shared" si="8"/>
        <v>0.32737500000000003</v>
      </c>
      <c r="AK28" s="214">
        <f t="shared" si="11"/>
        <v>1.3095000000000001</v>
      </c>
      <c r="AL28" s="217">
        <f t="shared" si="9"/>
        <v>1000000</v>
      </c>
      <c r="AN28" s="207">
        <f t="shared" si="16"/>
        <v>7.2</v>
      </c>
      <c r="AO28" s="222">
        <f t="shared" si="12"/>
        <v>2.2031701273875042</v>
      </c>
      <c r="AP28" s="223">
        <f t="shared" si="12"/>
        <v>2.254162658183414</v>
      </c>
      <c r="AQ28" s="224">
        <f t="shared" si="12"/>
        <v>2.3613892937372363</v>
      </c>
      <c r="AR28" s="222">
        <f t="shared" si="13"/>
        <v>2.25</v>
      </c>
      <c r="AS28" s="228">
        <v>2.37</v>
      </c>
      <c r="AT28" s="229">
        <v>2.83</v>
      </c>
    </row>
    <row r="29" spans="20:46" ht="15" customHeight="1" x14ac:dyDescent="0.25">
      <c r="T29" s="180">
        <f t="shared" si="14"/>
        <v>21</v>
      </c>
      <c r="V29" s="182">
        <f t="shared" si="1"/>
        <v>7.56</v>
      </c>
      <c r="W29" s="183">
        <f t="shared" si="17"/>
        <v>104.54246458989819</v>
      </c>
      <c r="X29" s="183">
        <f t="shared" si="17"/>
        <v>99.677771795792466</v>
      </c>
      <c r="Y29" s="183">
        <f t="shared" si="17"/>
        <v>75.403198891268431</v>
      </c>
      <c r="Z29" s="205">
        <f t="shared" si="3"/>
        <v>225</v>
      </c>
      <c r="AB29" s="182">
        <f t="shared" si="15"/>
        <v>7.56</v>
      </c>
      <c r="AC29" s="192">
        <f t="shared" si="18"/>
        <v>1200.2106208229031</v>
      </c>
      <c r="AD29" s="193">
        <f t="shared" si="18"/>
        <v>1683.6841711146092</v>
      </c>
      <c r="AE29" s="194">
        <f t="shared" si="18"/>
        <v>1935.1256207476731</v>
      </c>
      <c r="AF29" s="192">
        <f t="shared" si="5"/>
        <v>1800</v>
      </c>
      <c r="AG29" s="184">
        <f t="shared" si="6"/>
        <v>2207.6</v>
      </c>
      <c r="AI29" s="211">
        <f t="shared" si="7"/>
        <v>463.59599999999995</v>
      </c>
      <c r="AJ29" s="213">
        <f t="shared" si="8"/>
        <v>0.33151898734177221</v>
      </c>
      <c r="AK29" s="214">
        <f t="shared" si="11"/>
        <v>1.2471428571428573</v>
      </c>
      <c r="AL29" s="217">
        <f t="shared" si="9"/>
        <v>1000000</v>
      </c>
      <c r="AN29" s="207">
        <f t="shared" si="16"/>
        <v>7.56</v>
      </c>
      <c r="AO29" s="222">
        <f t="shared" si="12"/>
        <v>2.2057565369839933</v>
      </c>
      <c r="AP29" s="223">
        <f t="shared" si="12"/>
        <v>2.2628987709022201</v>
      </c>
      <c r="AQ29" s="224">
        <f t="shared" si="12"/>
        <v>2.3967871081721279</v>
      </c>
      <c r="AR29" s="222">
        <f t="shared" si="13"/>
        <v>2.25</v>
      </c>
      <c r="AS29" s="228">
        <v>2.37</v>
      </c>
      <c r="AT29" s="229">
        <v>2.83</v>
      </c>
    </row>
    <row r="30" spans="20:46" ht="15" customHeight="1" x14ac:dyDescent="0.25">
      <c r="T30" s="180">
        <f t="shared" si="14"/>
        <v>22</v>
      </c>
      <c r="V30" s="182">
        <f t="shared" si="1"/>
        <v>7.92</v>
      </c>
      <c r="W30" s="183">
        <f t="shared" si="17"/>
        <v>100.70889452726252</v>
      </c>
      <c r="X30" s="183">
        <f t="shared" si="17"/>
        <v>93.079204064668261</v>
      </c>
      <c r="Y30" s="183">
        <f t="shared" si="17"/>
        <v>68.253253119327709</v>
      </c>
      <c r="Z30" s="205">
        <f t="shared" si="3"/>
        <v>225</v>
      </c>
      <c r="AB30" s="182">
        <f t="shared" si="15"/>
        <v>7.92</v>
      </c>
      <c r="AC30" s="192">
        <f t="shared" si="18"/>
        <v>1237.1515689876512</v>
      </c>
      <c r="AD30" s="193">
        <f t="shared" si="18"/>
        <v>1718.3668693734626</v>
      </c>
      <c r="AE30" s="194">
        <f t="shared" si="18"/>
        <v>1960.9624163285428</v>
      </c>
      <c r="AF30" s="192">
        <f t="shared" si="5"/>
        <v>1800</v>
      </c>
      <c r="AG30" s="184">
        <f t="shared" si="6"/>
        <v>2207.6</v>
      </c>
      <c r="AI30" s="211">
        <f t="shared" si="7"/>
        <v>485.67199999999997</v>
      </c>
      <c r="AJ30" s="213">
        <f t="shared" si="8"/>
        <v>0.33576923076923082</v>
      </c>
      <c r="AK30" s="214">
        <f t="shared" si="11"/>
        <v>1.1904545454545454</v>
      </c>
      <c r="AL30" s="217">
        <f t="shared" si="9"/>
        <v>1000000</v>
      </c>
      <c r="AN30" s="207">
        <f t="shared" si="16"/>
        <v>7.92</v>
      </c>
      <c r="AO30" s="222">
        <f t="shared" si="12"/>
        <v>2.2085637819747013</v>
      </c>
      <c r="AP30" s="223">
        <f t="shared" si="12"/>
        <v>2.2730827099744246</v>
      </c>
      <c r="AQ30" s="224">
        <f t="shared" si="12"/>
        <v>2.4456587147556395</v>
      </c>
      <c r="AR30" s="222">
        <f t="shared" si="13"/>
        <v>2.25</v>
      </c>
      <c r="AS30" s="228">
        <v>2.37</v>
      </c>
      <c r="AT30" s="229">
        <v>2.83</v>
      </c>
    </row>
    <row r="31" spans="20:46" ht="15" customHeight="1" x14ac:dyDescent="0.25">
      <c r="T31" s="180">
        <f t="shared" si="14"/>
        <v>23</v>
      </c>
      <c r="V31" s="182">
        <f t="shared" si="1"/>
        <v>8.2800000000000011</v>
      </c>
      <c r="W31" s="183">
        <f t="shared" si="17"/>
        <v>97.015901401307914</v>
      </c>
      <c r="X31" s="183">
        <f t="shared" si="17"/>
        <v>86.917454847017993</v>
      </c>
      <c r="Y31" s="183">
        <f t="shared" si="17"/>
        <v>61.781285540532473</v>
      </c>
      <c r="Z31" s="205">
        <f t="shared" si="3"/>
        <v>225</v>
      </c>
      <c r="AB31" s="182">
        <f t="shared" si="15"/>
        <v>8.2800000000000011</v>
      </c>
      <c r="AC31" s="192">
        <f t="shared" si="18"/>
        <v>1272.7378933301538</v>
      </c>
      <c r="AD31" s="193">
        <f t="shared" si="18"/>
        <v>1750.753608067449</v>
      </c>
      <c r="AE31" s="194">
        <f t="shared" si="18"/>
        <v>1984.3492934704041</v>
      </c>
      <c r="AF31" s="192">
        <f t="shared" si="5"/>
        <v>1800</v>
      </c>
      <c r="AG31" s="184">
        <f t="shared" si="6"/>
        <v>2207.6</v>
      </c>
      <c r="AI31" s="211">
        <f t="shared" si="7"/>
        <v>507.74799999999999</v>
      </c>
      <c r="AJ31" s="213">
        <f t="shared" si="8"/>
        <v>0.34012987012987017</v>
      </c>
      <c r="AK31" s="214">
        <f t="shared" si="11"/>
        <v>1.1386956521739131</v>
      </c>
      <c r="AL31" s="217">
        <f t="shared" si="9"/>
        <v>1000000</v>
      </c>
      <c r="AN31" s="207">
        <f t="shared" si="16"/>
        <v>8.2800000000000011</v>
      </c>
      <c r="AO31" s="222">
        <f t="shared" si="12"/>
        <v>2.2116214070471649</v>
      </c>
      <c r="AP31" s="223">
        <f t="shared" si="12"/>
        <v>2.285106914668154</v>
      </c>
      <c r="AQ31" s="224">
        <f t="shared" si="12"/>
        <v>2.5175053656413238</v>
      </c>
      <c r="AR31" s="222">
        <f t="shared" si="13"/>
        <v>2.25</v>
      </c>
      <c r="AS31" s="228">
        <v>2.37</v>
      </c>
      <c r="AT31" s="229">
        <v>2.83</v>
      </c>
    </row>
    <row r="32" spans="20:46" ht="15" customHeight="1" x14ac:dyDescent="0.25">
      <c r="T32" s="180">
        <f t="shared" si="14"/>
        <v>24</v>
      </c>
      <c r="V32" s="182">
        <f t="shared" si="1"/>
        <v>8.64</v>
      </c>
      <c r="W32" s="183">
        <f t="shared" si="17"/>
        <v>93.458330258608797</v>
      </c>
      <c r="X32" s="183">
        <f t="shared" si="17"/>
        <v>81.163607198818596</v>
      </c>
      <c r="Y32" s="183">
        <f t="shared" si="17"/>
        <v>55.923008334381443</v>
      </c>
      <c r="Z32" s="205">
        <f t="shared" si="3"/>
        <v>225</v>
      </c>
      <c r="AB32" s="182">
        <f t="shared" si="15"/>
        <v>8.64</v>
      </c>
      <c r="AC32" s="192">
        <f t="shared" si="18"/>
        <v>1307.0192678785811</v>
      </c>
      <c r="AD32" s="193">
        <f t="shared" si="18"/>
        <v>1780.9963773988347</v>
      </c>
      <c r="AE32" s="194">
        <f t="shared" si="18"/>
        <v>2005.5185604074184</v>
      </c>
      <c r="AF32" s="192">
        <f t="shared" si="5"/>
        <v>1800</v>
      </c>
      <c r="AG32" s="184">
        <f t="shared" si="6"/>
        <v>2207.6</v>
      </c>
      <c r="AI32" s="211">
        <f t="shared" si="7"/>
        <v>529.82399999999996</v>
      </c>
      <c r="AJ32" s="213">
        <f t="shared" si="8"/>
        <v>0.3446052631578948</v>
      </c>
      <c r="AK32" s="214">
        <f t="shared" si="11"/>
        <v>1.0912500000000003</v>
      </c>
      <c r="AL32" s="217">
        <f t="shared" si="9"/>
        <v>1000000</v>
      </c>
      <c r="AN32" s="207">
        <f t="shared" si="16"/>
        <v>8.64</v>
      </c>
      <c r="AO32" s="222">
        <f t="shared" si="12"/>
        <v>2.2149644731079525</v>
      </c>
      <c r="AP32" s="223">
        <f t="shared" si="12"/>
        <v>2.2995197412630288</v>
      </c>
      <c r="AQ32" s="224">
        <f t="shared" si="12"/>
        <v>2.6335066350531116</v>
      </c>
      <c r="AR32" s="222">
        <f t="shared" si="13"/>
        <v>2.25</v>
      </c>
      <c r="AS32" s="228">
        <v>2.37</v>
      </c>
      <c r="AT32" s="229">
        <v>2.83</v>
      </c>
    </row>
    <row r="33" spans="20:46" ht="15" customHeight="1" x14ac:dyDescent="0.25">
      <c r="T33" s="180">
        <f t="shared" si="14"/>
        <v>25</v>
      </c>
      <c r="V33" s="182">
        <f t="shared" si="1"/>
        <v>9</v>
      </c>
      <c r="W33" s="183">
        <f t="shared" si="17"/>
        <v>90.031215177777455</v>
      </c>
      <c r="X33" s="183">
        <f t="shared" si="17"/>
        <v>75.790658448509845</v>
      </c>
      <c r="Y33" s="183">
        <f t="shared" si="17"/>
        <v>50.620229634353144</v>
      </c>
      <c r="Z33" s="205">
        <f t="shared" si="3"/>
        <v>225</v>
      </c>
      <c r="AB33" s="182">
        <f t="shared" si="15"/>
        <v>9</v>
      </c>
      <c r="AC33" s="192">
        <f t="shared" si="18"/>
        <v>1340.043545115496</v>
      </c>
      <c r="AD33" s="193">
        <f t="shared" si="18"/>
        <v>1809.2371059721388</v>
      </c>
      <c r="AE33" s="194">
        <f t="shared" si="18"/>
        <v>2024.6804972462808</v>
      </c>
      <c r="AF33" s="192">
        <f t="shared" si="5"/>
        <v>1800</v>
      </c>
      <c r="AG33" s="184">
        <f t="shared" si="6"/>
        <v>2207.6</v>
      </c>
      <c r="AI33" s="211">
        <f t="shared" si="7"/>
        <v>551.9</v>
      </c>
      <c r="AJ33" s="213">
        <f t="shared" si="8"/>
        <v>0.34920000000000001</v>
      </c>
      <c r="AK33" s="214">
        <f t="shared" si="11"/>
        <v>1.0476000000000001</v>
      </c>
      <c r="AL33" s="217">
        <f t="shared" si="9"/>
        <v>1000000</v>
      </c>
      <c r="AN33" s="207">
        <f t="shared" si="16"/>
        <v>9</v>
      </c>
      <c r="AO33" s="222">
        <f t="shared" si="12"/>
        <v>2.2186349077171066</v>
      </c>
      <c r="AP33" s="223">
        <f t="shared" si="12"/>
        <v>2.3171114349897892</v>
      </c>
      <c r="AQ33" s="224">
        <f t="shared" si="12"/>
        <v>2.852422502738226</v>
      </c>
      <c r="AR33" s="222">
        <f t="shared" si="13"/>
        <v>2.25</v>
      </c>
      <c r="AS33" s="228">
        <v>2.37</v>
      </c>
      <c r="AT33" s="229">
        <v>2.83</v>
      </c>
    </row>
    <row r="34" spans="20:46" ht="15" customHeight="1" x14ac:dyDescent="0.25">
      <c r="T34" s="180">
        <f t="shared" si="14"/>
        <v>26</v>
      </c>
      <c r="V34" s="182">
        <f t="shared" si="1"/>
        <v>9.36</v>
      </c>
      <c r="W34" s="183">
        <f t="shared" si="17"/>
        <v>86.729772337663022</v>
      </c>
      <c r="X34" s="183">
        <f t="shared" si="17"/>
        <v>70.773393474092529</v>
      </c>
      <c r="Y34" s="183">
        <f t="shared" si="17"/>
        <v>45.820275492212375</v>
      </c>
      <c r="Z34" s="205">
        <f t="shared" si="3"/>
        <v>225</v>
      </c>
      <c r="AB34" s="182">
        <f t="shared" si="15"/>
        <v>9.36</v>
      </c>
      <c r="AC34" s="192">
        <f t="shared" si="18"/>
        <v>1371.8568227738931</v>
      </c>
      <c r="AD34" s="193">
        <f t="shared" si="18"/>
        <v>1835.608326861734</v>
      </c>
      <c r="AE34" s="194">
        <f t="shared" si="18"/>
        <v>2042.0254447359141</v>
      </c>
      <c r="AF34" s="192">
        <f t="shared" si="5"/>
        <v>1800</v>
      </c>
      <c r="AG34" s="184">
        <f t="shared" si="6"/>
        <v>2207.6</v>
      </c>
      <c r="AI34" s="211">
        <f t="shared" si="7"/>
        <v>573.976</v>
      </c>
      <c r="AJ34" s="213">
        <f t="shared" si="8"/>
        <v>0.35391891891891897</v>
      </c>
      <c r="AK34" s="214">
        <f t="shared" si="11"/>
        <v>1.0073076923076922</v>
      </c>
      <c r="AL34" s="217">
        <f t="shared" si="9"/>
        <v>1000000</v>
      </c>
      <c r="AN34" s="207">
        <f t="shared" si="16"/>
        <v>9.36</v>
      </c>
      <c r="AO34" s="222">
        <f t="shared" si="12"/>
        <v>2.2226832726694918</v>
      </c>
      <c r="AP34" s="223">
        <f t="shared" si="12"/>
        <v>2.3390640382555472</v>
      </c>
      <c r="AQ34" s="224">
        <f t="shared" si="12"/>
        <v>3.420397135826772</v>
      </c>
      <c r="AR34" s="222">
        <f t="shared" si="13"/>
        <v>2.25</v>
      </c>
      <c r="AS34" s="228">
        <v>2.37</v>
      </c>
      <c r="AT34" s="229">
        <v>2.83</v>
      </c>
    </row>
    <row r="35" spans="20:46" ht="15" customHeight="1" x14ac:dyDescent="0.25">
      <c r="T35" s="180">
        <f t="shared" si="14"/>
        <v>27</v>
      </c>
      <c r="V35" s="182">
        <f t="shared" si="1"/>
        <v>9.7200000000000006</v>
      </c>
      <c r="W35" s="183">
        <f t="shared" si="17"/>
        <v>83.549393339739524</v>
      </c>
      <c r="X35" s="183">
        <f t="shared" si="17"/>
        <v>66.088266369154397</v>
      </c>
      <c r="Y35" s="183">
        <f t="shared" si="17"/>
        <v>41.475466653304601</v>
      </c>
      <c r="Z35" s="205">
        <f t="shared" si="3"/>
        <v>225</v>
      </c>
      <c r="AB35" s="182">
        <f t="shared" si="15"/>
        <v>9.7200000000000006</v>
      </c>
      <c r="AC35" s="192">
        <f t="shared" si="18"/>
        <v>1402.5035081838296</v>
      </c>
      <c r="AD35" s="193">
        <f t="shared" si="18"/>
        <v>1860.2337995864432</v>
      </c>
      <c r="AE35" s="194">
        <f t="shared" si="18"/>
        <v>2057.7256949740845</v>
      </c>
      <c r="AF35" s="192">
        <f t="shared" si="5"/>
        <v>1800</v>
      </c>
      <c r="AG35" s="184">
        <f t="shared" si="6"/>
        <v>2207.6</v>
      </c>
      <c r="AI35" s="211">
        <f t="shared" si="7"/>
        <v>596.05200000000002</v>
      </c>
      <c r="AJ35" s="213">
        <f t="shared" si="8"/>
        <v>0.35876712328767124</v>
      </c>
      <c r="AK35" s="214">
        <f t="shared" si="11"/>
        <v>0.97000000000000008</v>
      </c>
      <c r="AL35" s="217">
        <f t="shared" si="9"/>
        <v>1000000</v>
      </c>
      <c r="AN35" s="207">
        <f t="shared" si="16"/>
        <v>9.7200000000000006</v>
      </c>
      <c r="AO35" s="222">
        <f t="shared" si="12"/>
        <v>2.2271711072146529</v>
      </c>
      <c r="AP35" s="223">
        <f t="shared" si="12"/>
        <v>2.3672285572052405</v>
      </c>
      <c r="AQ35" s="224">
        <f t="shared" si="12"/>
        <v>8.4549683980582468</v>
      </c>
      <c r="AR35" s="222">
        <f t="shared" si="13"/>
        <v>2.25</v>
      </c>
      <c r="AS35" s="228">
        <v>2.37</v>
      </c>
      <c r="AT35" s="229">
        <v>2.83</v>
      </c>
    </row>
    <row r="36" spans="20:46" ht="15" customHeight="1" x14ac:dyDescent="0.25">
      <c r="T36" s="180">
        <f t="shared" si="14"/>
        <v>28</v>
      </c>
      <c r="V36" s="182">
        <f t="shared" si="1"/>
        <v>10.080000000000002</v>
      </c>
      <c r="W36" s="183">
        <f t="shared" si="17"/>
        <v>80.485638775361807</v>
      </c>
      <c r="X36" s="183">
        <f t="shared" si="17"/>
        <v>61.713289942485794</v>
      </c>
      <c r="Y36" s="183">
        <f t="shared" si="17"/>
        <v>37.542644945505629</v>
      </c>
      <c r="Z36" s="205">
        <f t="shared" si="3"/>
        <v>225</v>
      </c>
      <c r="AB36" s="182">
        <f t="shared" si="15"/>
        <v>10.080000000000002</v>
      </c>
      <c r="AC36" s="192">
        <f t="shared" si="18"/>
        <v>1432.0263802594675</v>
      </c>
      <c r="AD36" s="193">
        <f t="shared" si="18"/>
        <v>1883.2290909100489</v>
      </c>
      <c r="AE36" s="194">
        <f t="shared" si="18"/>
        <v>2071.9372028318321</v>
      </c>
      <c r="AF36" s="192">
        <f t="shared" si="5"/>
        <v>1800</v>
      </c>
      <c r="AG36" s="184">
        <f t="shared" si="6"/>
        <v>2207.6</v>
      </c>
      <c r="AI36" s="211">
        <f t="shared" si="7"/>
        <v>618.12800000000004</v>
      </c>
      <c r="AJ36" s="213">
        <f t="shared" si="8"/>
        <v>0.36375000000000002</v>
      </c>
      <c r="AK36" s="214">
        <f t="shared" si="11"/>
        <v>0.93535714285714289</v>
      </c>
      <c r="AL36" s="217">
        <f t="shared" si="9"/>
        <v>1000000</v>
      </c>
      <c r="AN36" s="207">
        <f t="shared" si="16"/>
        <v>10.080000000000002</v>
      </c>
      <c r="AO36" s="222">
        <f t="shared" si="12"/>
        <v>2.2321740781766652</v>
      </c>
      <c r="AP36" s="223">
        <f t="shared" si="12"/>
        <v>2.40467619328586</v>
      </c>
      <c r="AQ36" s="224"/>
      <c r="AR36" s="222">
        <f t="shared" si="13"/>
        <v>2.25</v>
      </c>
      <c r="AS36" s="228">
        <v>2.37</v>
      </c>
      <c r="AT36" s="229">
        <v>2.83</v>
      </c>
    </row>
    <row r="37" spans="20:46" ht="15" customHeight="1" x14ac:dyDescent="0.25">
      <c r="T37" s="180">
        <f t="shared" si="14"/>
        <v>29</v>
      </c>
      <c r="V37" s="182">
        <f t="shared" si="1"/>
        <v>10.44</v>
      </c>
      <c r="W37" s="183">
        <f t="shared" si="17"/>
        <v>77.534232028909926</v>
      </c>
      <c r="X37" s="183">
        <f t="shared" si="17"/>
        <v>57.627932532708861</v>
      </c>
      <c r="Y37" s="183">
        <f t="shared" si="17"/>
        <v>33.982744577317519</v>
      </c>
      <c r="Z37" s="205">
        <f t="shared" si="3"/>
        <v>225</v>
      </c>
      <c r="AB37" s="182">
        <f t="shared" si="15"/>
        <v>10.44</v>
      </c>
      <c r="AC37" s="192">
        <f t="shared" si="18"/>
        <v>1460.4666492130514</v>
      </c>
      <c r="AD37" s="193">
        <f t="shared" si="18"/>
        <v>1904.7021171933941</v>
      </c>
      <c r="AE37" s="194">
        <f t="shared" si="18"/>
        <v>2084.801135095779</v>
      </c>
      <c r="AF37" s="192">
        <f t="shared" si="5"/>
        <v>1800</v>
      </c>
      <c r="AG37" s="184">
        <f t="shared" si="6"/>
        <v>2207.6</v>
      </c>
      <c r="AI37" s="211">
        <f t="shared" si="7"/>
        <v>640.20399999999995</v>
      </c>
      <c r="AJ37" s="213">
        <f t="shared" si="8"/>
        <v>0.36887323943661976</v>
      </c>
      <c r="AK37" s="214">
        <f t="shared" si="11"/>
        <v>0.9031034482758622</v>
      </c>
      <c r="AL37" s="217">
        <f t="shared" si="9"/>
        <v>1000000</v>
      </c>
      <c r="AN37" s="207">
        <f t="shared" si="16"/>
        <v>10.44</v>
      </c>
      <c r="AO37" s="222">
        <f t="shared" si="12"/>
        <v>2.2377862808819846</v>
      </c>
      <c r="AP37" s="223">
        <f t="shared" si="12"/>
        <v>2.4569021900121806</v>
      </c>
      <c r="AQ37" s="224"/>
      <c r="AR37" s="222">
        <f t="shared" si="13"/>
        <v>2.25</v>
      </c>
      <c r="AS37" s="228">
        <v>2.37</v>
      </c>
      <c r="AT37" s="229">
        <v>2.83</v>
      </c>
    </row>
    <row r="38" spans="20:46" ht="15" customHeight="1" x14ac:dyDescent="0.25">
      <c r="T38" s="180">
        <f t="shared" si="14"/>
        <v>30</v>
      </c>
      <c r="V38" s="182">
        <f t="shared" si="1"/>
        <v>10.799999999999999</v>
      </c>
      <c r="W38" s="183">
        <f t="shared" si="17"/>
        <v>74.691053308172201</v>
      </c>
      <c r="X38" s="183">
        <f t="shared" si="17"/>
        <v>53.813021653673864</v>
      </c>
      <c r="Y38" s="183">
        <f t="shared" si="17"/>
        <v>30.760404086698522</v>
      </c>
      <c r="Z38" s="205">
        <f t="shared" si="3"/>
        <v>225</v>
      </c>
      <c r="AB38" s="182">
        <f t="shared" si="15"/>
        <v>10.799999999999999</v>
      </c>
      <c r="AC38" s="192">
        <f t="shared" si="18"/>
        <v>1487.8640140791774</v>
      </c>
      <c r="AD38" s="193">
        <f t="shared" si="18"/>
        <v>1924.7536508433254</v>
      </c>
      <c r="AE38" s="194">
        <f t="shared" si="18"/>
        <v>2096.445272716348</v>
      </c>
      <c r="AF38" s="192">
        <f t="shared" si="5"/>
        <v>1800</v>
      </c>
      <c r="AG38" s="184">
        <f t="shared" si="6"/>
        <v>2207.6</v>
      </c>
      <c r="AI38" s="211">
        <f t="shared" si="7"/>
        <v>662.28</v>
      </c>
      <c r="AJ38" s="213">
        <f t="shared" si="8"/>
        <v>0.37414285714285717</v>
      </c>
      <c r="AK38" s="214">
        <f t="shared" si="11"/>
        <v>0.87300000000000011</v>
      </c>
      <c r="AL38" s="217">
        <f t="shared" si="9"/>
        <v>1000000</v>
      </c>
      <c r="AN38" s="207">
        <f t="shared" si="16"/>
        <v>10.799999999999999</v>
      </c>
      <c r="AO38" s="222">
        <f t="shared" si="12"/>
        <v>2.2441262131803628</v>
      </c>
      <c r="AP38" s="223">
        <f t="shared" si="12"/>
        <v>2.5348053080424884</v>
      </c>
      <c r="AQ38" s="224"/>
      <c r="AR38" s="222">
        <f t="shared" si="13"/>
        <v>2.25</v>
      </c>
      <c r="AS38" s="228">
        <v>2.37</v>
      </c>
      <c r="AT38" s="229">
        <v>2.83</v>
      </c>
    </row>
    <row r="39" spans="20:46" ht="15" customHeight="1" x14ac:dyDescent="0.25">
      <c r="T39" s="180">
        <f t="shared" si="14"/>
        <v>31</v>
      </c>
      <c r="V39" s="182">
        <f t="shared" si="1"/>
        <v>11.16</v>
      </c>
      <c r="W39" s="183">
        <f t="shared" si="17"/>
        <v>71.952133893634112</v>
      </c>
      <c r="X39" s="183">
        <f t="shared" si="17"/>
        <v>50.250654018433352</v>
      </c>
      <c r="Y39" s="183">
        <f t="shared" si="17"/>
        <v>27.843615086008704</v>
      </c>
      <c r="Z39" s="205">
        <f t="shared" si="3"/>
        <v>225</v>
      </c>
      <c r="AB39" s="182">
        <f t="shared" si="15"/>
        <v>11.16</v>
      </c>
      <c r="AC39" s="192">
        <f t="shared" si="18"/>
        <v>1514.2567181296447</v>
      </c>
      <c r="AD39" s="193">
        <f t="shared" si="18"/>
        <v>1943.4777932352235</v>
      </c>
      <c r="AE39" s="194">
        <f t="shared" si="18"/>
        <v>2106.9852800908229</v>
      </c>
      <c r="AF39" s="192">
        <f t="shared" si="5"/>
        <v>1800</v>
      </c>
      <c r="AG39" s="184">
        <f t="shared" si="6"/>
        <v>2207.6</v>
      </c>
      <c r="AI39" s="211">
        <f t="shared" si="7"/>
        <v>684.35599999999999</v>
      </c>
      <c r="AJ39" s="213">
        <f t="shared" si="8"/>
        <v>0.37956521739130439</v>
      </c>
      <c r="AK39" s="214">
        <f t="shared" si="11"/>
        <v>0.84483870967741947</v>
      </c>
      <c r="AL39" s="217">
        <f t="shared" si="9"/>
        <v>1000000</v>
      </c>
      <c r="AN39" s="207">
        <f t="shared" si="16"/>
        <v>11.16</v>
      </c>
      <c r="AO39" s="222">
        <f t="shared" si="12"/>
        <v>2.2513452345221112</v>
      </c>
      <c r="AP39" s="223">
        <f t="shared" si="12"/>
        <v>2.6634943621730387</v>
      </c>
      <c r="AQ39" s="224"/>
      <c r="AR39" s="222">
        <f t="shared" si="13"/>
        <v>2.25</v>
      </c>
      <c r="AS39" s="228">
        <v>2.37</v>
      </c>
      <c r="AT39" s="229">
        <v>2.83</v>
      </c>
    </row>
    <row r="40" spans="20:46" ht="15" customHeight="1" x14ac:dyDescent="0.25">
      <c r="T40" s="180">
        <f t="shared" si="14"/>
        <v>32</v>
      </c>
      <c r="V40" s="182">
        <f t="shared" ref="V40:V71" si="19">(T40/$T$108)*$C$12</f>
        <v>11.52</v>
      </c>
      <c r="W40" s="183">
        <f t="shared" si="17"/>
        <v>69.313650598645481</v>
      </c>
      <c r="X40" s="183">
        <f t="shared" si="17"/>
        <v>46.924111519537767</v>
      </c>
      <c r="Y40" s="183">
        <f t="shared" si="17"/>
        <v>25.20340431395875</v>
      </c>
      <c r="Z40" s="205">
        <f t="shared" ref="Z40:Z71" si="20">$C$11</f>
        <v>225</v>
      </c>
      <c r="AB40" s="182">
        <f t="shared" si="15"/>
        <v>11.52</v>
      </c>
      <c r="AC40" s="192">
        <f t="shared" si="18"/>
        <v>1539.6816022562487</v>
      </c>
      <c r="AD40" s="193">
        <f t="shared" si="18"/>
        <v>1960.962416328543</v>
      </c>
      <c r="AE40" s="194">
        <f t="shared" si="18"/>
        <v>2116.5258539893784</v>
      </c>
      <c r="AF40" s="192">
        <f t="shared" ref="AF40:AF71" si="21">$C$9</f>
        <v>1800</v>
      </c>
      <c r="AG40" s="184">
        <f t="shared" ref="AG40:AG71" si="22">$C$8</f>
        <v>2207.6</v>
      </c>
      <c r="AI40" s="211">
        <f t="shared" ref="AI40:AI71" si="23">($T40/$T$108)*$C$8</f>
        <v>706.43200000000002</v>
      </c>
      <c r="AJ40" s="213">
        <f t="shared" ref="AJ40:AJ71" si="24">($E$7/(1-$AI40/$C$8))*1000</f>
        <v>0.38514705882352951</v>
      </c>
      <c r="AK40" s="214">
        <f t="shared" si="11"/>
        <v>0.81843750000000004</v>
      </c>
      <c r="AL40" s="217">
        <f t="shared" ref="AL40:AL71" si="25">IF(AI40&lt;$C$8,1000000,-1000000)</f>
        <v>1000000</v>
      </c>
      <c r="AN40" s="207">
        <f t="shared" si="16"/>
        <v>11.52</v>
      </c>
      <c r="AO40" s="222">
        <f t="shared" si="12"/>
        <v>2.2596398059472715</v>
      </c>
      <c r="AP40" s="223">
        <f t="shared" si="12"/>
        <v>2.9166468597014932</v>
      </c>
      <c r="AQ40" s="224"/>
      <c r="AR40" s="222">
        <f t="shared" si="13"/>
        <v>2.25</v>
      </c>
      <c r="AS40" s="228">
        <v>2.37</v>
      </c>
      <c r="AT40" s="229">
        <v>2.83</v>
      </c>
    </row>
    <row r="41" spans="20:46" ht="15" customHeight="1" x14ac:dyDescent="0.25">
      <c r="T41" s="180">
        <f t="shared" si="14"/>
        <v>33</v>
      </c>
      <c r="V41" s="182">
        <f t="shared" si="19"/>
        <v>11.88</v>
      </c>
      <c r="W41" s="183">
        <f t="shared" si="17"/>
        <v>66.771920432733239</v>
      </c>
      <c r="X41" s="183">
        <f t="shared" si="17"/>
        <v>43.817782771350728</v>
      </c>
      <c r="Y41" s="183">
        <f t="shared" si="17"/>
        <v>22.813545836297145</v>
      </c>
      <c r="Z41" s="205">
        <f t="shared" si="20"/>
        <v>225</v>
      </c>
      <c r="AB41" s="182">
        <f t="shared" si="15"/>
        <v>11.88</v>
      </c>
      <c r="AC41" s="192">
        <f t="shared" si="18"/>
        <v>1564.1741563960275</v>
      </c>
      <c r="AD41" s="193">
        <f t="shared" si="18"/>
        <v>1977.2895750478517</v>
      </c>
      <c r="AE41" s="194">
        <f t="shared" si="18"/>
        <v>2125.1617635366742</v>
      </c>
      <c r="AF41" s="192">
        <f t="shared" si="21"/>
        <v>1800</v>
      </c>
      <c r="AG41" s="184">
        <f t="shared" si="22"/>
        <v>2207.6</v>
      </c>
      <c r="AI41" s="211">
        <f t="shared" si="23"/>
        <v>728.50800000000004</v>
      </c>
      <c r="AJ41" s="213">
        <f t="shared" si="24"/>
        <v>0.3908955223880598</v>
      </c>
      <c r="AK41" s="214">
        <f t="shared" ref="AK41:AK72" si="26">($E$7/($AI41/$C$8))*1000</f>
        <v>0.7936363636363637</v>
      </c>
      <c r="AL41" s="217">
        <f t="shared" si="25"/>
        <v>1000000</v>
      </c>
      <c r="AN41" s="207">
        <f t="shared" si="16"/>
        <v>11.88</v>
      </c>
      <c r="AO41" s="222">
        <f t="shared" si="12"/>
        <v>2.2692696412719444</v>
      </c>
      <c r="AP41" s="223">
        <f t="shared" si="12"/>
        <v>3.6439115491329512</v>
      </c>
      <c r="AQ41" s="224"/>
      <c r="AR41" s="222">
        <f t="shared" si="13"/>
        <v>2.25</v>
      </c>
      <c r="AS41" s="228">
        <v>2.37</v>
      </c>
      <c r="AT41" s="229">
        <v>2.83</v>
      </c>
    </row>
    <row r="42" spans="20:46" ht="15" customHeight="1" x14ac:dyDescent="0.25">
      <c r="T42" s="180">
        <f t="shared" si="14"/>
        <v>34</v>
      </c>
      <c r="V42" s="182">
        <f t="shared" si="19"/>
        <v>12.24</v>
      </c>
      <c r="W42" s="183">
        <f t="shared" si="17"/>
        <v>64.32339546061057</v>
      </c>
      <c r="X42" s="183">
        <f t="shared" si="17"/>
        <v>40.917089846183956</v>
      </c>
      <c r="Y42" s="183">
        <f t="shared" si="17"/>
        <v>20.650300536446917</v>
      </c>
      <c r="Z42" s="205">
        <f t="shared" si="20"/>
        <v>225</v>
      </c>
      <c r="AB42" s="182">
        <f t="shared" si="15"/>
        <v>12.24</v>
      </c>
      <c r="AC42" s="192">
        <f t="shared" si="18"/>
        <v>1587.7685690707469</v>
      </c>
      <c r="AD42" s="193">
        <f t="shared" si="18"/>
        <v>1992.535892364657</v>
      </c>
      <c r="AE42" s="194">
        <f t="shared" si="18"/>
        <v>2132.9787915794391</v>
      </c>
      <c r="AF42" s="192">
        <f t="shared" si="21"/>
        <v>1800</v>
      </c>
      <c r="AG42" s="184">
        <f t="shared" si="22"/>
        <v>2207.6</v>
      </c>
      <c r="AI42" s="211">
        <f t="shared" si="23"/>
        <v>750.58400000000006</v>
      </c>
      <c r="AJ42" s="213">
        <f t="shared" si="24"/>
        <v>0.3968181818181819</v>
      </c>
      <c r="AK42" s="214">
        <f t="shared" si="26"/>
        <v>0.7702941176470588</v>
      </c>
      <c r="AL42" s="217">
        <f t="shared" si="25"/>
        <v>1000000</v>
      </c>
      <c r="AN42" s="207">
        <f t="shared" si="16"/>
        <v>12.24</v>
      </c>
      <c r="AO42" s="222">
        <f t="shared" si="12"/>
        <v>2.2805853915706056</v>
      </c>
      <c r="AP42" s="223">
        <f t="shared" si="12"/>
        <v>25.792427090908699</v>
      </c>
      <c r="AQ42" s="224"/>
      <c r="AR42" s="222">
        <f t="shared" si="13"/>
        <v>2.25</v>
      </c>
      <c r="AS42" s="228">
        <v>2.37</v>
      </c>
      <c r="AT42" s="229">
        <v>2.83</v>
      </c>
    </row>
    <row r="43" spans="20:46" ht="15" customHeight="1" x14ac:dyDescent="0.25">
      <c r="T43" s="180">
        <f t="shared" si="14"/>
        <v>35</v>
      </c>
      <c r="V43" s="182">
        <f t="shared" si="19"/>
        <v>12.6</v>
      </c>
      <c r="W43" s="183">
        <f t="shared" si="17"/>
        <v>61.964657849705837</v>
      </c>
      <c r="X43" s="183">
        <f t="shared" si="17"/>
        <v>38.208419860425536</v>
      </c>
      <c r="Y43" s="183">
        <f t="shared" si="17"/>
        <v>18.692180308380962</v>
      </c>
      <c r="Z43" s="205">
        <f t="shared" si="20"/>
        <v>225</v>
      </c>
      <c r="AB43" s="182">
        <f t="shared" si="15"/>
        <v>12.6</v>
      </c>
      <c r="AC43" s="192">
        <f t="shared" si="18"/>
        <v>1610.4977751097692</v>
      </c>
      <c r="AD43" s="193">
        <f t="shared" si="18"/>
        <v>2006.772918887209</v>
      </c>
      <c r="AE43" s="194">
        <f t="shared" si="18"/>
        <v>2140.0545867909</v>
      </c>
      <c r="AF43" s="192">
        <f t="shared" si="21"/>
        <v>1800</v>
      </c>
      <c r="AG43" s="184">
        <f t="shared" si="22"/>
        <v>2207.6</v>
      </c>
      <c r="AI43" s="211">
        <f t="shared" si="23"/>
        <v>772.66</v>
      </c>
      <c r="AJ43" s="213">
        <f t="shared" si="24"/>
        <v>0.40292307692307694</v>
      </c>
      <c r="AK43" s="214">
        <f t="shared" si="26"/>
        <v>0.74828571428571433</v>
      </c>
      <c r="AL43" s="217">
        <f t="shared" si="25"/>
        <v>1000000</v>
      </c>
      <c r="AN43" s="207">
        <f t="shared" si="16"/>
        <v>12.6</v>
      </c>
      <c r="AO43" s="222">
        <f t="shared" si="12"/>
        <v>2.294072264903277</v>
      </c>
      <c r="AP43" s="223"/>
      <c r="AQ43" s="224"/>
      <c r="AR43" s="222">
        <f t="shared" si="13"/>
        <v>2.25</v>
      </c>
      <c r="AS43" s="228">
        <v>2.37</v>
      </c>
      <c r="AT43" s="229">
        <v>2.83</v>
      </c>
    </row>
    <row r="44" spans="20:46" ht="15" customHeight="1" x14ac:dyDescent="0.25">
      <c r="T44" s="180">
        <f t="shared" si="14"/>
        <v>36</v>
      </c>
      <c r="V44" s="182">
        <f t="shared" si="19"/>
        <v>12.959999999999999</v>
      </c>
      <c r="W44" s="183">
        <f t="shared" si="17"/>
        <v>59.692415099298664</v>
      </c>
      <c r="X44" s="183">
        <f t="shared" si="17"/>
        <v>35.679061089597852</v>
      </c>
      <c r="Y44" s="183">
        <f t="shared" si="17"/>
        <v>16.919734609399644</v>
      </c>
      <c r="Z44" s="205">
        <f t="shared" si="20"/>
        <v>225</v>
      </c>
      <c r="AB44" s="182">
        <f t="shared" si="15"/>
        <v>12.959999999999999</v>
      </c>
      <c r="AC44" s="192">
        <f t="shared" si="18"/>
        <v>1632.3935016229311</v>
      </c>
      <c r="AD44" s="193">
        <f t="shared" si="18"/>
        <v>2020.0674686458208</v>
      </c>
      <c r="AE44" s="194">
        <f t="shared" si="18"/>
        <v>2146.459434976251</v>
      </c>
      <c r="AF44" s="192">
        <f t="shared" si="21"/>
        <v>1800</v>
      </c>
      <c r="AG44" s="184">
        <f t="shared" si="22"/>
        <v>2207.6</v>
      </c>
      <c r="AI44" s="211">
        <f t="shared" si="23"/>
        <v>794.73599999999999</v>
      </c>
      <c r="AJ44" s="213">
        <f t="shared" si="24"/>
        <v>0.40921875000000002</v>
      </c>
      <c r="AK44" s="214">
        <f t="shared" si="26"/>
        <v>0.72750000000000004</v>
      </c>
      <c r="AL44" s="217">
        <f t="shared" si="25"/>
        <v>1000000</v>
      </c>
      <c r="AN44" s="207">
        <f t="shared" si="16"/>
        <v>12.959999999999999</v>
      </c>
      <c r="AO44" s="222">
        <f t="shared" si="12"/>
        <v>2.3104214179039304</v>
      </c>
      <c r="AP44" s="223"/>
      <c r="AQ44" s="224"/>
      <c r="AR44" s="222">
        <f t="shared" si="13"/>
        <v>2.25</v>
      </c>
      <c r="AS44" s="228">
        <v>2.37</v>
      </c>
      <c r="AT44" s="229">
        <v>2.83</v>
      </c>
    </row>
    <row r="45" spans="20:46" ht="15" customHeight="1" x14ac:dyDescent="0.25">
      <c r="T45" s="180">
        <f t="shared" si="14"/>
        <v>37</v>
      </c>
      <c r="V45" s="182">
        <f t="shared" si="19"/>
        <v>13.32</v>
      </c>
      <c r="W45" s="183">
        <f t="shared" si="17"/>
        <v>57.503495444603587</v>
      </c>
      <c r="X45" s="183">
        <f t="shared" si="17"/>
        <v>33.317143312533652</v>
      </c>
      <c r="Y45" s="183">
        <f t="shared" si="17"/>
        <v>15.3153572525811</v>
      </c>
      <c r="Z45" s="205">
        <f t="shared" si="20"/>
        <v>225</v>
      </c>
      <c r="AB45" s="182">
        <f t="shared" si="15"/>
        <v>13.32</v>
      </c>
      <c r="AC45" s="192">
        <f t="shared" si="18"/>
        <v>1653.4863122875929</v>
      </c>
      <c r="AD45" s="193">
        <f t="shared" si="18"/>
        <v>2032.4819326495392</v>
      </c>
      <c r="AE45" s="194">
        <f t="shared" si="18"/>
        <v>2152.2569572407374</v>
      </c>
      <c r="AF45" s="192">
        <f t="shared" si="21"/>
        <v>1800</v>
      </c>
      <c r="AG45" s="184">
        <f t="shared" si="22"/>
        <v>2207.6</v>
      </c>
      <c r="AI45" s="211">
        <f t="shared" si="23"/>
        <v>816.81200000000001</v>
      </c>
      <c r="AJ45" s="213">
        <f t="shared" si="24"/>
        <v>0.41571428571428576</v>
      </c>
      <c r="AK45" s="214">
        <f t="shared" si="26"/>
        <v>0.70783783783783794</v>
      </c>
      <c r="AL45" s="217">
        <f t="shared" si="25"/>
        <v>1000000</v>
      </c>
      <c r="AN45" s="207">
        <f t="shared" si="16"/>
        <v>13.32</v>
      </c>
      <c r="AO45" s="222">
        <f t="shared" si="12"/>
        <v>2.3306521968734737</v>
      </c>
      <c r="AP45" s="223"/>
      <c r="AQ45" s="224"/>
      <c r="AR45" s="222">
        <f t="shared" si="13"/>
        <v>2.25</v>
      </c>
      <c r="AS45" s="228">
        <v>2.37</v>
      </c>
      <c r="AT45" s="229">
        <v>2.83</v>
      </c>
    </row>
    <row r="46" spans="20:46" ht="15" customHeight="1" x14ac:dyDescent="0.25">
      <c r="T46" s="180">
        <f t="shared" si="14"/>
        <v>38</v>
      </c>
      <c r="V46" s="182">
        <f t="shared" si="19"/>
        <v>13.68</v>
      </c>
      <c r="W46" s="183">
        <f t="shared" si="17"/>
        <v>55.394843429385659</v>
      </c>
      <c r="X46" s="183">
        <f t="shared" si="17"/>
        <v>31.111582104707733</v>
      </c>
      <c r="Y46" s="183">
        <f t="shared" si="17"/>
        <v>13.863111519720899</v>
      </c>
      <c r="Z46" s="205">
        <f t="shared" si="20"/>
        <v>225</v>
      </c>
      <c r="AB46" s="182">
        <f t="shared" si="15"/>
        <v>13.68</v>
      </c>
      <c r="AC46" s="192">
        <f t="shared" si="18"/>
        <v>1673.8056500116834</v>
      </c>
      <c r="AD46" s="193">
        <f t="shared" si="18"/>
        <v>2044.0745716856816</v>
      </c>
      <c r="AE46" s="194">
        <f t="shared" si="18"/>
        <v>2157.5047419554617</v>
      </c>
      <c r="AF46" s="192">
        <f t="shared" si="21"/>
        <v>1800</v>
      </c>
      <c r="AG46" s="184">
        <f t="shared" si="22"/>
        <v>2207.6</v>
      </c>
      <c r="AI46" s="211">
        <f t="shared" si="23"/>
        <v>838.88799999999992</v>
      </c>
      <c r="AJ46" s="213">
        <f t="shared" si="24"/>
        <v>0.42241935483870974</v>
      </c>
      <c r="AK46" s="214">
        <f t="shared" si="26"/>
        <v>0.68921052631578961</v>
      </c>
      <c r="AL46" s="217">
        <f t="shared" si="25"/>
        <v>1000000</v>
      </c>
      <c r="AN46" s="207">
        <f t="shared" si="16"/>
        <v>13.68</v>
      </c>
      <c r="AO46" s="222">
        <f t="shared" si="12"/>
        <v>2.3563331746119736</v>
      </c>
      <c r="AP46" s="223"/>
      <c r="AQ46" s="224"/>
      <c r="AR46" s="222">
        <f t="shared" si="13"/>
        <v>2.25</v>
      </c>
      <c r="AS46" s="228">
        <v>2.37</v>
      </c>
      <c r="AT46" s="229">
        <v>2.83</v>
      </c>
    </row>
    <row r="47" spans="20:46" ht="15" customHeight="1" x14ac:dyDescent="0.25">
      <c r="T47" s="180">
        <f t="shared" si="14"/>
        <v>39</v>
      </c>
      <c r="V47" s="182">
        <f t="shared" si="19"/>
        <v>14.040000000000001</v>
      </c>
      <c r="W47" s="183">
        <f t="shared" si="17"/>
        <v>53.36351564092827</v>
      </c>
      <c r="X47" s="183">
        <f t="shared" si="17"/>
        <v>29.052026819293424</v>
      </c>
      <c r="Y47" s="183">
        <f t="shared" si="17"/>
        <v>12.548571857560106</v>
      </c>
      <c r="Z47" s="205">
        <f t="shared" si="20"/>
        <v>225</v>
      </c>
      <c r="AB47" s="182">
        <f t="shared" si="15"/>
        <v>14.040000000000001</v>
      </c>
      <c r="AC47" s="192">
        <f t="shared" si="18"/>
        <v>1693.3798780322938</v>
      </c>
      <c r="AD47" s="193">
        <f t="shared" si="18"/>
        <v>2054.8997897363392</v>
      </c>
      <c r="AE47" s="194">
        <f t="shared" si="18"/>
        <v>2162.254916798393</v>
      </c>
      <c r="AF47" s="192">
        <f t="shared" si="21"/>
        <v>1800</v>
      </c>
      <c r="AG47" s="184">
        <f t="shared" si="22"/>
        <v>2207.6</v>
      </c>
      <c r="AI47" s="211">
        <f t="shared" si="23"/>
        <v>860.96399999999994</v>
      </c>
      <c r="AJ47" s="213">
        <f t="shared" si="24"/>
        <v>0.42934426229508199</v>
      </c>
      <c r="AK47" s="214">
        <f t="shared" si="26"/>
        <v>0.67153846153846164</v>
      </c>
      <c r="AL47" s="217">
        <f t="shared" si="25"/>
        <v>1000000</v>
      </c>
      <c r="AN47" s="207">
        <f t="shared" si="16"/>
        <v>14.040000000000001</v>
      </c>
      <c r="AO47" s="222">
        <f t="shared" si="12"/>
        <v>2.3900096393337606</v>
      </c>
      <c r="AP47" s="223"/>
      <c r="AQ47" s="224"/>
      <c r="AR47" s="222">
        <f t="shared" si="13"/>
        <v>2.25</v>
      </c>
      <c r="AS47" s="228">
        <v>2.37</v>
      </c>
      <c r="AT47" s="229">
        <v>2.83</v>
      </c>
    </row>
    <row r="48" spans="20:46" ht="15" customHeight="1" x14ac:dyDescent="0.25">
      <c r="T48" s="180">
        <f t="shared" si="14"/>
        <v>40</v>
      </c>
      <c r="V48" s="182">
        <f t="shared" si="19"/>
        <v>14.4</v>
      </c>
      <c r="W48" s="183">
        <f t="shared" ref="W48:Y67" si="27">W$6*EXP(-(W$6)/($C$8)*$V48)</f>
        <v>51.406676601399646</v>
      </c>
      <c r="X48" s="183">
        <f t="shared" si="27"/>
        <v>27.128812011820806</v>
      </c>
      <c r="Y48" s="183">
        <f t="shared" si="27"/>
        <v>11.358680584827304</v>
      </c>
      <c r="Z48" s="205">
        <f t="shared" si="20"/>
        <v>225</v>
      </c>
      <c r="AB48" s="182">
        <f t="shared" si="15"/>
        <v>14.4</v>
      </c>
      <c r="AC48" s="192">
        <f t="shared" ref="AC48:AE67" si="28">$C$8*(1-EXP(-(AC$6/$C$8)*$AB48))</f>
        <v>1712.2363195071848</v>
      </c>
      <c r="AD48" s="193">
        <f t="shared" si="28"/>
        <v>2065.0083892949842</v>
      </c>
      <c r="AE48" s="194">
        <f t="shared" si="28"/>
        <v>2166.5546665528182</v>
      </c>
      <c r="AF48" s="192">
        <f t="shared" si="21"/>
        <v>1800</v>
      </c>
      <c r="AG48" s="184">
        <f t="shared" si="22"/>
        <v>2207.6</v>
      </c>
      <c r="AI48" s="211">
        <f t="shared" si="23"/>
        <v>883.04</v>
      </c>
      <c r="AJ48" s="213">
        <f t="shared" si="24"/>
        <v>0.43650000000000005</v>
      </c>
      <c r="AK48" s="214">
        <f t="shared" si="26"/>
        <v>0.65475000000000005</v>
      </c>
      <c r="AL48" s="217">
        <f t="shared" si="25"/>
        <v>1000000</v>
      </c>
      <c r="AN48" s="207">
        <f t="shared" si="16"/>
        <v>14.4</v>
      </c>
      <c r="AO48" s="222">
        <f t="shared" si="12"/>
        <v>2.4361039810318665</v>
      </c>
      <c r="AP48" s="223"/>
      <c r="AQ48" s="224"/>
      <c r="AR48" s="222">
        <f t="shared" si="13"/>
        <v>2.25</v>
      </c>
      <c r="AS48" s="228">
        <v>2.37</v>
      </c>
      <c r="AT48" s="229">
        <v>2.83</v>
      </c>
    </row>
    <row r="49" spans="20:46" ht="15" customHeight="1" x14ac:dyDescent="0.25">
      <c r="T49" s="180">
        <f t="shared" si="14"/>
        <v>41</v>
      </c>
      <c r="V49" s="182">
        <f t="shared" si="19"/>
        <v>14.76</v>
      </c>
      <c r="W49" s="183">
        <f t="shared" si="27"/>
        <v>49.521594809882735</v>
      </c>
      <c r="X49" s="183">
        <f t="shared" si="27"/>
        <v>25.332912080473314</v>
      </c>
      <c r="Y49" s="183">
        <f t="shared" si="27"/>
        <v>10.281618186726377</v>
      </c>
      <c r="Z49" s="205">
        <f t="shared" si="20"/>
        <v>225</v>
      </c>
      <c r="AB49" s="182">
        <f t="shared" si="15"/>
        <v>14.76</v>
      </c>
      <c r="AC49" s="192">
        <f t="shared" si="28"/>
        <v>1730.4012956544734</v>
      </c>
      <c r="AD49" s="193">
        <f t="shared" si="28"/>
        <v>2074.4478097813762</v>
      </c>
      <c r="AE49" s="194">
        <f t="shared" si="28"/>
        <v>2170.4467018066775</v>
      </c>
      <c r="AF49" s="192">
        <f t="shared" si="21"/>
        <v>1800</v>
      </c>
      <c r="AG49" s="184">
        <f t="shared" si="22"/>
        <v>2207.6</v>
      </c>
      <c r="AI49" s="211">
        <f t="shared" si="23"/>
        <v>905.11599999999987</v>
      </c>
      <c r="AJ49" s="213">
        <f t="shared" si="24"/>
        <v>0.44389830508474576</v>
      </c>
      <c r="AK49" s="214">
        <f t="shared" si="26"/>
        <v>0.63878048780487817</v>
      </c>
      <c r="AL49" s="217">
        <f t="shared" si="25"/>
        <v>1000000</v>
      </c>
      <c r="AN49" s="207">
        <f t="shared" si="16"/>
        <v>14.76</v>
      </c>
      <c r="AO49" s="222">
        <f t="shared" si="12"/>
        <v>2.5030372530232556</v>
      </c>
      <c r="AP49" s="223"/>
      <c r="AQ49" s="224"/>
      <c r="AR49" s="222">
        <f t="shared" si="13"/>
        <v>2.25</v>
      </c>
      <c r="AS49" s="228">
        <v>2.37</v>
      </c>
      <c r="AT49" s="229">
        <v>2.83</v>
      </c>
    </row>
    <row r="50" spans="20:46" ht="15" customHeight="1" x14ac:dyDescent="0.25">
      <c r="T50" s="180">
        <f t="shared" si="14"/>
        <v>42</v>
      </c>
      <c r="V50" s="182">
        <f t="shared" si="19"/>
        <v>15.12</v>
      </c>
      <c r="W50" s="183">
        <f t="shared" si="27"/>
        <v>47.705638929543916</v>
      </c>
      <c r="X50" s="183">
        <f t="shared" si="27"/>
        <v>23.655898909150856</v>
      </c>
      <c r="Y50" s="183">
        <f t="shared" si="27"/>
        <v>9.3066859084698716</v>
      </c>
      <c r="Z50" s="205">
        <f t="shared" si="20"/>
        <v>225</v>
      </c>
      <c r="AB50" s="182">
        <f t="shared" si="15"/>
        <v>15.12</v>
      </c>
      <c r="AC50" s="192">
        <f t="shared" si="28"/>
        <v>1747.9001624937416</v>
      </c>
      <c r="AD50" s="193">
        <f t="shared" si="28"/>
        <v>2083.262350173643</v>
      </c>
      <c r="AE50" s="194">
        <f t="shared" si="28"/>
        <v>2173.9696832084883</v>
      </c>
      <c r="AF50" s="192">
        <f t="shared" si="21"/>
        <v>1800</v>
      </c>
      <c r="AG50" s="184">
        <f t="shared" si="22"/>
        <v>2207.6</v>
      </c>
      <c r="AI50" s="211">
        <f t="shared" si="23"/>
        <v>927.19199999999989</v>
      </c>
      <c r="AJ50" s="213">
        <f t="shared" si="24"/>
        <v>0.45155172413793099</v>
      </c>
      <c r="AK50" s="214">
        <f t="shared" si="26"/>
        <v>0.62357142857142867</v>
      </c>
      <c r="AL50" s="217">
        <f t="shared" si="25"/>
        <v>1000000</v>
      </c>
      <c r="AN50" s="207">
        <f t="shared" si="16"/>
        <v>15.12</v>
      </c>
      <c r="AO50" s="222">
        <f t="shared" si="12"/>
        <v>2.6090685661057691</v>
      </c>
      <c r="AP50" s="223"/>
      <c r="AQ50" s="224"/>
      <c r="AR50" s="222">
        <f t="shared" si="13"/>
        <v>2.25</v>
      </c>
      <c r="AS50" s="228">
        <v>2.37</v>
      </c>
      <c r="AT50" s="229">
        <v>2.83</v>
      </c>
    </row>
    <row r="51" spans="20:46" ht="15" customHeight="1" x14ac:dyDescent="0.25">
      <c r="T51" s="180">
        <f t="shared" si="14"/>
        <v>43</v>
      </c>
      <c r="V51" s="182">
        <f t="shared" si="19"/>
        <v>15.48</v>
      </c>
      <c r="W51" s="183">
        <f t="shared" si="27"/>
        <v>45.956274114618004</v>
      </c>
      <c r="X51" s="183">
        <f t="shared" si="27"/>
        <v>22.089902314519431</v>
      </c>
      <c r="Y51" s="183">
        <f t="shared" si="27"/>
        <v>8.4241994816274435</v>
      </c>
      <c r="Z51" s="205">
        <f t="shared" si="20"/>
        <v>225</v>
      </c>
      <c r="AB51" s="182">
        <f t="shared" si="15"/>
        <v>15.48</v>
      </c>
      <c r="AC51" s="192">
        <f t="shared" si="28"/>
        <v>1764.7573462398452</v>
      </c>
      <c r="AD51" s="193">
        <f t="shared" si="28"/>
        <v>2091.4933769023387</v>
      </c>
      <c r="AE51" s="194">
        <f t="shared" si="28"/>
        <v>2177.1586054941231</v>
      </c>
      <c r="AF51" s="192">
        <f t="shared" si="21"/>
        <v>1800</v>
      </c>
      <c r="AG51" s="184">
        <f t="shared" si="22"/>
        <v>2207.6</v>
      </c>
      <c r="AI51" s="211">
        <f t="shared" si="23"/>
        <v>949.26799999999992</v>
      </c>
      <c r="AJ51" s="213">
        <f t="shared" si="24"/>
        <v>0.45947368421052631</v>
      </c>
      <c r="AK51" s="214">
        <f t="shared" si="26"/>
        <v>0.60906976744186059</v>
      </c>
      <c r="AL51" s="217">
        <f t="shared" si="25"/>
        <v>1000000</v>
      </c>
      <c r="AN51" s="207">
        <f t="shared" si="16"/>
        <v>15.48</v>
      </c>
      <c r="AO51" s="222">
        <f t="shared" si="12"/>
        <v>2.8025892139219035</v>
      </c>
      <c r="AP51" s="223"/>
      <c r="AQ51" s="224"/>
      <c r="AR51" s="222">
        <f t="shared" si="13"/>
        <v>2.25</v>
      </c>
      <c r="AS51" s="228">
        <v>2.37</v>
      </c>
      <c r="AT51" s="229">
        <v>2.83</v>
      </c>
    </row>
    <row r="52" spans="20:46" ht="15" customHeight="1" x14ac:dyDescent="0.25">
      <c r="T52" s="180">
        <f t="shared" si="14"/>
        <v>44</v>
      </c>
      <c r="V52" s="182">
        <f t="shared" si="19"/>
        <v>15.84</v>
      </c>
      <c r="W52" s="183">
        <f t="shared" si="27"/>
        <v>44.271058472082814</v>
      </c>
      <c r="X52" s="183">
        <f t="shared" si="27"/>
        <v>20.627573111425971</v>
      </c>
      <c r="Y52" s="183">
        <f t="shared" si="27"/>
        <v>7.6253929276441976</v>
      </c>
      <c r="Z52" s="205">
        <f t="shared" si="20"/>
        <v>225</v>
      </c>
      <c r="AB52" s="182">
        <f t="shared" si="15"/>
        <v>15.84</v>
      </c>
      <c r="AC52" s="192">
        <f t="shared" si="28"/>
        <v>1780.9963773988361</v>
      </c>
      <c r="AD52" s="193">
        <f t="shared" si="28"/>
        <v>2099.1795179821333</v>
      </c>
      <c r="AE52" s="194">
        <f t="shared" si="28"/>
        <v>2180.045145099069</v>
      </c>
      <c r="AF52" s="192">
        <f t="shared" si="21"/>
        <v>1800</v>
      </c>
      <c r="AG52" s="184">
        <f t="shared" si="22"/>
        <v>2207.6</v>
      </c>
      <c r="AI52" s="211">
        <f t="shared" si="23"/>
        <v>971.34399999999994</v>
      </c>
      <c r="AJ52" s="213">
        <f t="shared" si="24"/>
        <v>0.46767857142857144</v>
      </c>
      <c r="AK52" s="214">
        <f t="shared" si="26"/>
        <v>0.59522727272727272</v>
      </c>
      <c r="AL52" s="217">
        <f t="shared" si="25"/>
        <v>1000000</v>
      </c>
      <c r="AN52" s="207">
        <f t="shared" si="16"/>
        <v>15.84</v>
      </c>
      <c r="AO52" s="222">
        <f t="shared" si="12"/>
        <v>3.2679336618497135</v>
      </c>
      <c r="AP52" s="223"/>
      <c r="AQ52" s="224"/>
      <c r="AR52" s="222">
        <f t="shared" si="13"/>
        <v>2.25</v>
      </c>
      <c r="AS52" s="228">
        <v>2.37</v>
      </c>
      <c r="AT52" s="229">
        <v>2.83</v>
      </c>
    </row>
    <row r="53" spans="20:46" ht="15" customHeight="1" x14ac:dyDescent="0.25">
      <c r="T53" s="180">
        <f t="shared" si="14"/>
        <v>45</v>
      </c>
      <c r="V53" s="182">
        <f t="shared" si="19"/>
        <v>16.2</v>
      </c>
      <c r="W53" s="183">
        <f t="shared" si="27"/>
        <v>42.6476396530839</v>
      </c>
      <c r="X53" s="183">
        <f t="shared" si="27"/>
        <v>19.262048623345407</v>
      </c>
      <c r="Y53" s="183">
        <f t="shared" si="27"/>
        <v>6.9023314829830031</v>
      </c>
      <c r="Z53" s="205">
        <f t="shared" si="20"/>
        <v>225</v>
      </c>
      <c r="AB53" s="182">
        <f t="shared" si="15"/>
        <v>16.2</v>
      </c>
      <c r="AC53" s="192">
        <f t="shared" si="28"/>
        <v>1796.6399236135842</v>
      </c>
      <c r="AD53" s="193">
        <f t="shared" si="28"/>
        <v>2106.3568442921724</v>
      </c>
      <c r="AE53" s="194">
        <f t="shared" si="28"/>
        <v>2182.6579748091112</v>
      </c>
      <c r="AF53" s="192">
        <f t="shared" si="21"/>
        <v>1800</v>
      </c>
      <c r="AG53" s="184">
        <f t="shared" si="22"/>
        <v>2207.6</v>
      </c>
      <c r="AI53" s="211">
        <f t="shared" si="23"/>
        <v>993.42</v>
      </c>
      <c r="AJ53" s="213">
        <f t="shared" si="24"/>
        <v>0.47618181818181821</v>
      </c>
      <c r="AK53" s="214">
        <f t="shared" si="26"/>
        <v>0.58200000000000007</v>
      </c>
      <c r="AL53" s="217">
        <f t="shared" si="25"/>
        <v>1000000</v>
      </c>
      <c r="AN53" s="207">
        <f t="shared" si="16"/>
        <v>16.2</v>
      </c>
      <c r="AO53" s="222">
        <f t="shared" si="12"/>
        <v>5.928981038834948</v>
      </c>
      <c r="AP53" s="223"/>
      <c r="AQ53" s="224"/>
      <c r="AR53" s="222">
        <f t="shared" si="13"/>
        <v>2.25</v>
      </c>
      <c r="AS53" s="228">
        <v>2.37</v>
      </c>
      <c r="AT53" s="229">
        <v>2.83</v>
      </c>
    </row>
    <row r="54" spans="20:46" ht="15" customHeight="1" x14ac:dyDescent="0.25">
      <c r="T54" s="180">
        <f t="shared" si="14"/>
        <v>46</v>
      </c>
      <c r="V54" s="182">
        <f t="shared" si="19"/>
        <v>16.560000000000002</v>
      </c>
      <c r="W54" s="183">
        <f t="shared" si="27"/>
        <v>41.083751569351698</v>
      </c>
      <c r="X54" s="183">
        <f t="shared" si="27"/>
        <v>17.986920476001341</v>
      </c>
      <c r="Y54" s="183">
        <f t="shared" si="27"/>
        <v>6.2478327809524332</v>
      </c>
      <c r="Z54" s="205">
        <f t="shared" si="20"/>
        <v>225</v>
      </c>
      <c r="AB54" s="182">
        <f t="shared" si="15"/>
        <v>16.560000000000002</v>
      </c>
      <c r="AC54" s="192">
        <f t="shared" si="28"/>
        <v>1811.7098213049542</v>
      </c>
      <c r="AD54" s="193">
        <f t="shared" si="28"/>
        <v>2113.0590388558662</v>
      </c>
      <c r="AE54" s="194">
        <f t="shared" si="28"/>
        <v>2185.0230485749394</v>
      </c>
      <c r="AF54" s="192">
        <f t="shared" si="21"/>
        <v>1800</v>
      </c>
      <c r="AG54" s="184">
        <f t="shared" si="22"/>
        <v>2207.6</v>
      </c>
      <c r="AI54" s="211">
        <f t="shared" si="23"/>
        <v>1015.496</v>
      </c>
      <c r="AJ54" s="213">
        <f t="shared" si="24"/>
        <v>0.48500000000000004</v>
      </c>
      <c r="AK54" s="214">
        <f t="shared" si="26"/>
        <v>0.56934782608695655</v>
      </c>
      <c r="AL54" s="217">
        <f t="shared" si="25"/>
        <v>1000000</v>
      </c>
      <c r="AN54" s="207">
        <f t="shared" si="16"/>
        <v>16.560000000000002</v>
      </c>
      <c r="AO54" s="222"/>
      <c r="AP54" s="223"/>
      <c r="AQ54" s="224"/>
      <c r="AR54" s="222">
        <f t="shared" si="13"/>
        <v>2.25</v>
      </c>
      <c r="AS54" s="228">
        <v>2.37</v>
      </c>
      <c r="AT54" s="229">
        <v>2.83</v>
      </c>
    </row>
    <row r="55" spans="20:46" ht="15" customHeight="1" x14ac:dyDescent="0.25">
      <c r="T55" s="180">
        <f t="shared" si="14"/>
        <v>47</v>
      </c>
      <c r="V55" s="182">
        <f t="shared" si="19"/>
        <v>16.919999999999998</v>
      </c>
      <c r="W55" s="183">
        <f t="shared" si="27"/>
        <v>39.577211230027764</v>
      </c>
      <c r="X55" s="183">
        <f t="shared" si="27"/>
        <v>16.796204523016442</v>
      </c>
      <c r="Y55" s="183">
        <f t="shared" si="27"/>
        <v>5.655395507298044</v>
      </c>
      <c r="Z55" s="205">
        <f t="shared" si="20"/>
        <v>225</v>
      </c>
      <c r="AB55" s="182">
        <f t="shared" si="15"/>
        <v>16.919999999999998</v>
      </c>
      <c r="AC55" s="192">
        <f t="shared" si="28"/>
        <v>1826.2271061526988</v>
      </c>
      <c r="AD55" s="193">
        <f t="shared" si="28"/>
        <v>2119.3175549145235</v>
      </c>
      <c r="AE55" s="194">
        <f t="shared" si="28"/>
        <v>2187.1638593198218</v>
      </c>
      <c r="AF55" s="192">
        <f t="shared" si="21"/>
        <v>1800</v>
      </c>
      <c r="AG55" s="184">
        <f t="shared" si="22"/>
        <v>2207.6</v>
      </c>
      <c r="AI55" s="211">
        <f t="shared" si="23"/>
        <v>1037.5719999999999</v>
      </c>
      <c r="AJ55" s="213">
        <f t="shared" si="24"/>
        <v>0.49415094339622645</v>
      </c>
      <c r="AK55" s="214">
        <f t="shared" si="26"/>
        <v>0.55723404255319153</v>
      </c>
      <c r="AL55" s="217">
        <f t="shared" si="25"/>
        <v>1000000</v>
      </c>
      <c r="AN55" s="207">
        <f t="shared" si="16"/>
        <v>16.919999999999998</v>
      </c>
      <c r="AO55" s="222"/>
      <c r="AP55" s="223"/>
      <c r="AQ55" s="224"/>
      <c r="AR55" s="222">
        <f t="shared" si="13"/>
        <v>2.25</v>
      </c>
      <c r="AS55" s="228">
        <v>2.37</v>
      </c>
      <c r="AT55" s="229">
        <v>2.83</v>
      </c>
    </row>
    <row r="56" spans="20:46" ht="15" customHeight="1" x14ac:dyDescent="0.25">
      <c r="T56" s="180">
        <f t="shared" si="14"/>
        <v>48</v>
      </c>
      <c r="V56" s="182">
        <f t="shared" si="19"/>
        <v>17.28</v>
      </c>
      <c r="W56" s="183">
        <f t="shared" si="27"/>
        <v>38.125915694484171</v>
      </c>
      <c r="X56" s="183">
        <f t="shared" si="27"/>
        <v>15.684312762454255</v>
      </c>
      <c r="Y56" s="183">
        <f t="shared" si="27"/>
        <v>5.119134820873227</v>
      </c>
      <c r="Z56" s="205">
        <f t="shared" si="20"/>
        <v>225</v>
      </c>
      <c r="AB56" s="182">
        <f t="shared" si="15"/>
        <v>17.28</v>
      </c>
      <c r="AC56" s="192">
        <f t="shared" si="28"/>
        <v>1840.2120424586201</v>
      </c>
      <c r="AD56" s="193">
        <f t="shared" si="28"/>
        <v>2125.1617635366742</v>
      </c>
      <c r="AE56" s="194">
        <f t="shared" si="28"/>
        <v>2189.1016723012276</v>
      </c>
      <c r="AF56" s="192">
        <f t="shared" si="21"/>
        <v>1800</v>
      </c>
      <c r="AG56" s="184">
        <f t="shared" si="22"/>
        <v>2207.6</v>
      </c>
      <c r="AI56" s="211">
        <f t="shared" si="23"/>
        <v>1059.6479999999999</v>
      </c>
      <c r="AJ56" s="213">
        <f t="shared" si="24"/>
        <v>0.50365384615384612</v>
      </c>
      <c r="AK56" s="214">
        <f t="shared" si="26"/>
        <v>0.54562500000000014</v>
      </c>
      <c r="AL56" s="217">
        <f t="shared" si="25"/>
        <v>1000000</v>
      </c>
      <c r="AN56" s="207">
        <f t="shared" si="16"/>
        <v>17.28</v>
      </c>
      <c r="AO56" s="222"/>
      <c r="AP56" s="223"/>
      <c r="AQ56" s="224"/>
      <c r="AR56" s="222">
        <f t="shared" si="13"/>
        <v>2.25</v>
      </c>
      <c r="AS56" s="228">
        <v>2.37</v>
      </c>
      <c r="AT56" s="229">
        <v>2.83</v>
      </c>
    </row>
    <row r="57" spans="20:46" ht="15" customHeight="1" x14ac:dyDescent="0.25">
      <c r="T57" s="180">
        <f t="shared" si="14"/>
        <v>49</v>
      </c>
      <c r="V57" s="182">
        <f t="shared" si="19"/>
        <v>17.64</v>
      </c>
      <c r="W57" s="183">
        <f t="shared" si="27"/>
        <v>36.727839136883397</v>
      </c>
      <c r="X57" s="183">
        <f t="shared" si="27"/>
        <v>14.646027112457826</v>
      </c>
      <c r="Y57" s="183">
        <f t="shared" si="27"/>
        <v>4.633723897905937</v>
      </c>
      <c r="Z57" s="205">
        <f t="shared" si="20"/>
        <v>225</v>
      </c>
      <c r="AB57" s="182">
        <f t="shared" si="15"/>
        <v>17.64</v>
      </c>
      <c r="AC57" s="192">
        <f t="shared" si="28"/>
        <v>1853.6841514329819</v>
      </c>
      <c r="AD57" s="193">
        <f t="shared" si="28"/>
        <v>2130.6190914558028</v>
      </c>
      <c r="AE57" s="194">
        <f t="shared" si="28"/>
        <v>2190.8557363444324</v>
      </c>
      <c r="AF57" s="192">
        <f t="shared" si="21"/>
        <v>1800</v>
      </c>
      <c r="AG57" s="184">
        <f t="shared" si="22"/>
        <v>2207.6</v>
      </c>
      <c r="AI57" s="211">
        <f t="shared" si="23"/>
        <v>1081.7239999999999</v>
      </c>
      <c r="AJ57" s="213">
        <f t="shared" si="24"/>
        <v>0.51352941176470601</v>
      </c>
      <c r="AK57" s="214">
        <f t="shared" si="26"/>
        <v>0.53448979591836743</v>
      </c>
      <c r="AL57" s="217">
        <f t="shared" si="25"/>
        <v>1000000</v>
      </c>
      <c r="AN57" s="207">
        <f t="shared" si="16"/>
        <v>17.64</v>
      </c>
      <c r="AO57" s="222"/>
      <c r="AP57" s="223"/>
      <c r="AQ57" s="224"/>
      <c r="AR57" s="222">
        <f t="shared" si="13"/>
        <v>2.25</v>
      </c>
      <c r="AS57" s="228">
        <v>2.37</v>
      </c>
      <c r="AT57" s="229">
        <v>2.83</v>
      </c>
    </row>
    <row r="58" spans="20:46" ht="15" customHeight="1" x14ac:dyDescent="0.25">
      <c r="T58" s="180">
        <f t="shared" si="14"/>
        <v>50</v>
      </c>
      <c r="V58" s="182">
        <f t="shared" si="19"/>
        <v>18</v>
      </c>
      <c r="W58" s="183">
        <f t="shared" si="27"/>
        <v>35.381030018380379</v>
      </c>
      <c r="X58" s="183">
        <f t="shared" si="27"/>
        <v>13.676474922914265</v>
      </c>
      <c r="Y58" s="183">
        <f t="shared" si="27"/>
        <v>4.1943410192040922</v>
      </c>
      <c r="Z58" s="205">
        <f t="shared" si="20"/>
        <v>225</v>
      </c>
      <c r="AB58" s="182">
        <f t="shared" si="15"/>
        <v>18</v>
      </c>
      <c r="AC58" s="192">
        <f t="shared" si="28"/>
        <v>1866.6622384436637</v>
      </c>
      <c r="AD58" s="193">
        <f t="shared" si="28"/>
        <v>2135.7151497833606</v>
      </c>
      <c r="AE58" s="194">
        <f t="shared" si="28"/>
        <v>2192.4434750463543</v>
      </c>
      <c r="AF58" s="192">
        <f t="shared" si="21"/>
        <v>1800</v>
      </c>
      <c r="AG58" s="184">
        <f t="shared" si="22"/>
        <v>2207.6</v>
      </c>
      <c r="AI58" s="211">
        <f t="shared" si="23"/>
        <v>1103.8</v>
      </c>
      <c r="AJ58" s="213">
        <f t="shared" si="24"/>
        <v>0.52380000000000004</v>
      </c>
      <c r="AK58" s="214">
        <f t="shared" si="26"/>
        <v>0.52380000000000004</v>
      </c>
      <c r="AL58" s="217">
        <f t="shared" si="25"/>
        <v>1000000</v>
      </c>
      <c r="AN58" s="207">
        <f t="shared" si="16"/>
        <v>18</v>
      </c>
      <c r="AO58" s="222"/>
      <c r="AP58" s="223"/>
      <c r="AQ58" s="224"/>
      <c r="AR58" s="222">
        <f t="shared" si="13"/>
        <v>2.25</v>
      </c>
      <c r="AS58" s="228">
        <v>2.37</v>
      </c>
      <c r="AT58" s="229">
        <v>2.83</v>
      </c>
    </row>
    <row r="59" spans="20:46" ht="15" customHeight="1" x14ac:dyDescent="0.25">
      <c r="T59" s="180">
        <f t="shared" si="14"/>
        <v>51</v>
      </c>
      <c r="V59" s="182">
        <f t="shared" si="19"/>
        <v>18.36</v>
      </c>
      <c r="W59" s="183">
        <f t="shared" si="27"/>
        <v>34.083608363020033</v>
      </c>
      <c r="X59" s="183">
        <f t="shared" si="27"/>
        <v>12.771106108222519</v>
      </c>
      <c r="Y59" s="183">
        <f t="shared" si="27"/>
        <v>3.7966216747028025</v>
      </c>
      <c r="Z59" s="205">
        <f t="shared" si="20"/>
        <v>225</v>
      </c>
      <c r="AB59" s="182">
        <f t="shared" si="15"/>
        <v>18.36</v>
      </c>
      <c r="AC59" s="192">
        <f t="shared" si="28"/>
        <v>1879.164419266084</v>
      </c>
      <c r="AD59" s="193">
        <f t="shared" si="28"/>
        <v>2140.4738542011119</v>
      </c>
      <c r="AE59" s="194">
        <f t="shared" si="28"/>
        <v>2193.8806598488968</v>
      </c>
      <c r="AF59" s="192">
        <f t="shared" si="21"/>
        <v>1800</v>
      </c>
      <c r="AG59" s="184">
        <f t="shared" si="22"/>
        <v>2207.6</v>
      </c>
      <c r="AI59" s="211">
        <f t="shared" si="23"/>
        <v>1125.876</v>
      </c>
      <c r="AJ59" s="213">
        <f t="shared" si="24"/>
        <v>0.53448979591836743</v>
      </c>
      <c r="AK59" s="214">
        <f t="shared" si="26"/>
        <v>0.51352941176470601</v>
      </c>
      <c r="AL59" s="217">
        <f t="shared" si="25"/>
        <v>1000000</v>
      </c>
      <c r="AN59" s="207">
        <f t="shared" si="16"/>
        <v>18.36</v>
      </c>
      <c r="AO59" s="222"/>
      <c r="AP59" s="223"/>
      <c r="AQ59" s="224"/>
      <c r="AR59" s="222">
        <f t="shared" si="13"/>
        <v>2.25</v>
      </c>
      <c r="AS59" s="228">
        <v>2.37</v>
      </c>
      <c r="AT59" s="229">
        <v>2.83</v>
      </c>
    </row>
    <row r="60" spans="20:46" ht="15" customHeight="1" x14ac:dyDescent="0.25">
      <c r="T60" s="180">
        <f t="shared" si="14"/>
        <v>52</v>
      </c>
      <c r="V60" s="182">
        <f t="shared" si="19"/>
        <v>18.72</v>
      </c>
      <c r="W60" s="183">
        <f t="shared" si="27"/>
        <v>32.833763133527547</v>
      </c>
      <c r="X60" s="183">
        <f t="shared" si="27"/>
        <v>11.925671793848753</v>
      </c>
      <c r="Y60" s="183">
        <f t="shared" si="27"/>
        <v>3.4366152095945561</v>
      </c>
      <c r="Z60" s="205">
        <f t="shared" si="20"/>
        <v>225</v>
      </c>
      <c r="AB60" s="182">
        <f t="shared" si="15"/>
        <v>18.72</v>
      </c>
      <c r="AC60" s="192">
        <f t="shared" si="28"/>
        <v>1891.2081453705434</v>
      </c>
      <c r="AD60" s="193">
        <f t="shared" si="28"/>
        <v>2144.9175371968622</v>
      </c>
      <c r="AE60" s="194">
        <f t="shared" si="28"/>
        <v>2195.1815667009873</v>
      </c>
      <c r="AF60" s="192">
        <f t="shared" si="21"/>
        <v>1800</v>
      </c>
      <c r="AG60" s="184">
        <f t="shared" si="22"/>
        <v>2207.6</v>
      </c>
      <c r="AI60" s="211">
        <f t="shared" si="23"/>
        <v>1147.952</v>
      </c>
      <c r="AJ60" s="213">
        <f t="shared" si="24"/>
        <v>0.54562500000000014</v>
      </c>
      <c r="AK60" s="214">
        <f t="shared" si="26"/>
        <v>0.50365384615384612</v>
      </c>
      <c r="AL60" s="217">
        <f t="shared" si="25"/>
        <v>1000000</v>
      </c>
      <c r="AN60" s="207">
        <f t="shared" si="16"/>
        <v>18.72</v>
      </c>
      <c r="AO60" s="222"/>
      <c r="AP60" s="223"/>
      <c r="AQ60" s="224"/>
      <c r="AR60" s="222">
        <f t="shared" si="13"/>
        <v>2.25</v>
      </c>
      <c r="AS60" s="228">
        <v>2.37</v>
      </c>
      <c r="AT60" s="229">
        <v>2.83</v>
      </c>
    </row>
    <row r="61" spans="20:46" ht="15" customHeight="1" x14ac:dyDescent="0.25">
      <c r="T61" s="180">
        <f t="shared" si="14"/>
        <v>53</v>
      </c>
      <c r="V61" s="182">
        <f t="shared" si="19"/>
        <v>19.080000000000002</v>
      </c>
      <c r="W61" s="183">
        <f t="shared" si="27"/>
        <v>31.629749703328343</v>
      </c>
      <c r="X61" s="183">
        <f t="shared" si="27"/>
        <v>11.136204376458203</v>
      </c>
      <c r="Y61" s="183">
        <f t="shared" si="27"/>
        <v>3.110745581396682</v>
      </c>
      <c r="Z61" s="205">
        <f t="shared" si="20"/>
        <v>225</v>
      </c>
      <c r="AB61" s="182">
        <f t="shared" si="15"/>
        <v>19.080000000000002</v>
      </c>
      <c r="AC61" s="192">
        <f t="shared" si="28"/>
        <v>1902.8102282822797</v>
      </c>
      <c r="AD61" s="193">
        <f t="shared" si="28"/>
        <v>2149.0670528703017</v>
      </c>
      <c r="AE61" s="194">
        <f t="shared" si="28"/>
        <v>2196.3591178654738</v>
      </c>
      <c r="AF61" s="192">
        <f t="shared" si="21"/>
        <v>1800</v>
      </c>
      <c r="AG61" s="184">
        <f t="shared" si="22"/>
        <v>2207.6</v>
      </c>
      <c r="AI61" s="211">
        <f t="shared" si="23"/>
        <v>1170.028</v>
      </c>
      <c r="AJ61" s="213">
        <f t="shared" si="24"/>
        <v>0.55723404255319153</v>
      </c>
      <c r="AK61" s="214">
        <f t="shared" si="26"/>
        <v>0.49415094339622645</v>
      </c>
      <c r="AL61" s="217">
        <f t="shared" si="25"/>
        <v>1000000</v>
      </c>
      <c r="AN61" s="207">
        <f t="shared" si="16"/>
        <v>19.080000000000002</v>
      </c>
      <c r="AO61" s="222"/>
      <c r="AP61" s="223"/>
      <c r="AQ61" s="224"/>
      <c r="AR61" s="222">
        <f t="shared" si="13"/>
        <v>2.25</v>
      </c>
      <c r="AS61" s="228">
        <v>2.37</v>
      </c>
      <c r="AT61" s="229">
        <v>2.83</v>
      </c>
    </row>
    <row r="62" spans="20:46" ht="15" customHeight="1" x14ac:dyDescent="0.25">
      <c r="T62" s="180">
        <f t="shared" si="14"/>
        <v>54</v>
      </c>
      <c r="V62" s="182">
        <f t="shared" si="19"/>
        <v>19.440000000000001</v>
      </c>
      <c r="W62" s="183">
        <f t="shared" si="27"/>
        <v>30.469887421269078</v>
      </c>
      <c r="X62" s="183">
        <f t="shared" si="27"/>
        <v>10.398998904046117</v>
      </c>
      <c r="Y62" s="183">
        <f t="shared" si="27"/>
        <v>2.8157758381453002</v>
      </c>
      <c r="Z62" s="205">
        <f t="shared" si="20"/>
        <v>225</v>
      </c>
      <c r="AB62" s="182">
        <f t="shared" si="15"/>
        <v>19.440000000000001</v>
      </c>
      <c r="AC62" s="192">
        <f t="shared" si="28"/>
        <v>1913.9868630482399</v>
      </c>
      <c r="AD62" s="193">
        <f t="shared" si="28"/>
        <v>2152.9418748008011</v>
      </c>
      <c r="AE62" s="194">
        <f t="shared" si="28"/>
        <v>2197.4250102794886</v>
      </c>
      <c r="AF62" s="192">
        <f t="shared" si="21"/>
        <v>1800</v>
      </c>
      <c r="AG62" s="184">
        <f t="shared" si="22"/>
        <v>2207.6</v>
      </c>
      <c r="AI62" s="211">
        <f t="shared" si="23"/>
        <v>1192.104</v>
      </c>
      <c r="AJ62" s="213">
        <f t="shared" si="24"/>
        <v>0.56934782608695667</v>
      </c>
      <c r="AK62" s="214">
        <f t="shared" si="26"/>
        <v>0.48500000000000004</v>
      </c>
      <c r="AL62" s="217">
        <f t="shared" si="25"/>
        <v>1000000</v>
      </c>
      <c r="AN62" s="207">
        <f t="shared" si="16"/>
        <v>19.440000000000001</v>
      </c>
      <c r="AO62" s="222"/>
      <c r="AP62" s="223"/>
      <c r="AQ62" s="224"/>
      <c r="AR62" s="222">
        <f t="shared" si="13"/>
        <v>2.25</v>
      </c>
      <c r="AS62" s="228">
        <v>2.37</v>
      </c>
      <c r="AT62" s="229">
        <v>2.83</v>
      </c>
    </row>
    <row r="63" spans="20:46" ht="15" customHeight="1" x14ac:dyDescent="0.25">
      <c r="T63" s="180">
        <f t="shared" si="14"/>
        <v>55</v>
      </c>
      <c r="V63" s="182">
        <f t="shared" si="19"/>
        <v>19.8</v>
      </c>
      <c r="W63" s="183">
        <f t="shared" si="27"/>
        <v>29.352557265640218</v>
      </c>
      <c r="X63" s="183">
        <f t="shared" si="27"/>
        <v>9.7105956886852081</v>
      </c>
      <c r="Y63" s="183">
        <f t="shared" si="27"/>
        <v>2.5487759648678927</v>
      </c>
      <c r="Z63" s="205">
        <f t="shared" si="20"/>
        <v>225</v>
      </c>
      <c r="AB63" s="182">
        <f t="shared" si="15"/>
        <v>19.8</v>
      </c>
      <c r="AC63" s="192">
        <f t="shared" si="28"/>
        <v>1924.7536508433268</v>
      </c>
      <c r="AD63" s="193">
        <f t="shared" si="28"/>
        <v>2156.5601874364615</v>
      </c>
      <c r="AE63" s="194">
        <f t="shared" si="28"/>
        <v>2198.3898317433182</v>
      </c>
      <c r="AF63" s="192">
        <f t="shared" si="21"/>
        <v>1800</v>
      </c>
      <c r="AG63" s="184">
        <f t="shared" si="22"/>
        <v>2207.6</v>
      </c>
      <c r="AI63" s="211">
        <f t="shared" si="23"/>
        <v>1214.18</v>
      </c>
      <c r="AJ63" s="213">
        <f t="shared" si="24"/>
        <v>0.58200000000000018</v>
      </c>
      <c r="AK63" s="214">
        <f t="shared" si="26"/>
        <v>0.47618181818181821</v>
      </c>
      <c r="AL63" s="217">
        <f t="shared" si="25"/>
        <v>1000000</v>
      </c>
      <c r="AN63" s="207">
        <f t="shared" si="16"/>
        <v>19.8</v>
      </c>
      <c r="AO63" s="222"/>
      <c r="AP63" s="223"/>
      <c r="AQ63" s="224"/>
      <c r="AR63" s="222">
        <f t="shared" si="13"/>
        <v>2.25</v>
      </c>
      <c r="AS63" s="228">
        <v>2.37</v>
      </c>
      <c r="AT63" s="229">
        <v>2.83</v>
      </c>
    </row>
    <row r="64" spans="20:46" ht="15" customHeight="1" x14ac:dyDescent="0.25">
      <c r="T64" s="180">
        <f t="shared" si="14"/>
        <v>56</v>
      </c>
      <c r="V64" s="182">
        <f t="shared" si="19"/>
        <v>20.160000000000004</v>
      </c>
      <c r="W64" s="183">
        <f t="shared" si="27"/>
        <v>28.276199584225552</v>
      </c>
      <c r="X64" s="183">
        <f t="shared" si="27"/>
        <v>9.0677640702916555</v>
      </c>
      <c r="Y64" s="183">
        <f t="shared" si="27"/>
        <v>2.3070937789448549</v>
      </c>
      <c r="Z64" s="205">
        <f t="shared" si="20"/>
        <v>225</v>
      </c>
      <c r="AB64" s="182">
        <f t="shared" si="15"/>
        <v>20.160000000000004</v>
      </c>
      <c r="AC64" s="192">
        <f t="shared" si="28"/>
        <v>1935.1256207476752</v>
      </c>
      <c r="AD64" s="193">
        <f t="shared" si="28"/>
        <v>2159.9389714333024</v>
      </c>
      <c r="AE64" s="194">
        <f t="shared" si="28"/>
        <v>2199.2631660919137</v>
      </c>
      <c r="AF64" s="192">
        <f t="shared" si="21"/>
        <v>1800</v>
      </c>
      <c r="AG64" s="184">
        <f t="shared" si="22"/>
        <v>2207.6</v>
      </c>
      <c r="AI64" s="211">
        <f t="shared" si="23"/>
        <v>1236.2560000000001</v>
      </c>
      <c r="AJ64" s="213">
        <f t="shared" si="24"/>
        <v>0.59522727272727283</v>
      </c>
      <c r="AK64" s="214">
        <f t="shared" si="26"/>
        <v>0.46767857142857144</v>
      </c>
      <c r="AL64" s="217">
        <f t="shared" si="25"/>
        <v>1000000</v>
      </c>
      <c r="AN64" s="207">
        <f t="shared" si="16"/>
        <v>20.160000000000004</v>
      </c>
      <c r="AO64" s="222"/>
      <c r="AP64" s="223"/>
      <c r="AQ64" s="224"/>
      <c r="AR64" s="222">
        <f t="shared" si="13"/>
        <v>2.25</v>
      </c>
      <c r="AS64" s="228">
        <v>2.37</v>
      </c>
      <c r="AT64" s="229">
        <v>2.83</v>
      </c>
    </row>
    <row r="65" spans="20:46" ht="15" customHeight="1" x14ac:dyDescent="0.25">
      <c r="T65" s="180">
        <f t="shared" si="14"/>
        <v>57</v>
      </c>
      <c r="V65" s="182">
        <f t="shared" si="19"/>
        <v>20.52</v>
      </c>
      <c r="W65" s="183">
        <f t="shared" si="27"/>
        <v>27.23931191722415</v>
      </c>
      <c r="X65" s="183">
        <f t="shared" si="27"/>
        <v>8.4674872552134222</v>
      </c>
      <c r="Y65" s="183">
        <f t="shared" si="27"/>
        <v>2.0883285852556051</v>
      </c>
      <c r="Z65" s="205">
        <f t="shared" si="20"/>
        <v>225</v>
      </c>
      <c r="AB65" s="182">
        <f t="shared" si="15"/>
        <v>20.52</v>
      </c>
      <c r="AC65" s="192">
        <f t="shared" si="28"/>
        <v>1945.1172507253546</v>
      </c>
      <c r="AD65" s="193">
        <f t="shared" si="28"/>
        <v>2163.0940833450804</v>
      </c>
      <c r="AE65" s="194">
        <f t="shared" si="28"/>
        <v>2200.0536883937384</v>
      </c>
      <c r="AF65" s="192">
        <f t="shared" si="21"/>
        <v>1800</v>
      </c>
      <c r="AG65" s="184">
        <f t="shared" si="22"/>
        <v>2207.6</v>
      </c>
      <c r="AI65" s="211">
        <f t="shared" si="23"/>
        <v>1258.3319999999999</v>
      </c>
      <c r="AJ65" s="213">
        <f t="shared" si="24"/>
        <v>0.60906976744186048</v>
      </c>
      <c r="AK65" s="214">
        <f t="shared" si="26"/>
        <v>0.45947368421052642</v>
      </c>
      <c r="AL65" s="217">
        <f t="shared" si="25"/>
        <v>1000000</v>
      </c>
      <c r="AN65" s="207">
        <f t="shared" si="16"/>
        <v>20.52</v>
      </c>
      <c r="AO65" s="222"/>
      <c r="AP65" s="223"/>
      <c r="AQ65" s="224"/>
      <c r="AR65" s="222">
        <f t="shared" si="13"/>
        <v>2.25</v>
      </c>
      <c r="AS65" s="228">
        <v>2.37</v>
      </c>
      <c r="AT65" s="229">
        <v>2.83</v>
      </c>
    </row>
    <row r="66" spans="20:46" ht="15" customHeight="1" x14ac:dyDescent="0.25">
      <c r="T66" s="180">
        <f t="shared" si="14"/>
        <v>58</v>
      </c>
      <c r="V66" s="182">
        <f t="shared" si="19"/>
        <v>20.88</v>
      </c>
      <c r="W66" s="183">
        <f t="shared" si="27"/>
        <v>26.240446900005534</v>
      </c>
      <c r="X66" s="183">
        <f t="shared" si="27"/>
        <v>7.906948158488599</v>
      </c>
      <c r="Y66" s="183">
        <f t="shared" si="27"/>
        <v>1.8903073294186699</v>
      </c>
      <c r="Z66" s="205">
        <f t="shared" si="20"/>
        <v>225</v>
      </c>
      <c r="AB66" s="182">
        <f t="shared" si="15"/>
        <v>20.88</v>
      </c>
      <c r="AC66" s="192">
        <f t="shared" si="28"/>
        <v>1954.7424878337863</v>
      </c>
      <c r="AD66" s="193">
        <f t="shared" si="28"/>
        <v>2166.0403300377225</v>
      </c>
      <c r="AE66" s="194">
        <f t="shared" si="28"/>
        <v>2200.7692511225923</v>
      </c>
      <c r="AF66" s="192">
        <f t="shared" si="21"/>
        <v>1800</v>
      </c>
      <c r="AG66" s="184">
        <f t="shared" si="22"/>
        <v>2207.6</v>
      </c>
      <c r="AI66" s="211">
        <f t="shared" si="23"/>
        <v>1280.4079999999999</v>
      </c>
      <c r="AJ66" s="213">
        <f t="shared" si="24"/>
        <v>0.62357142857142855</v>
      </c>
      <c r="AK66" s="214">
        <f t="shared" si="26"/>
        <v>0.4515517241379311</v>
      </c>
      <c r="AL66" s="217">
        <f t="shared" si="25"/>
        <v>1000000</v>
      </c>
      <c r="AN66" s="207">
        <f t="shared" si="16"/>
        <v>20.88</v>
      </c>
      <c r="AO66" s="222"/>
      <c r="AP66" s="223"/>
      <c r="AQ66" s="224"/>
      <c r="AR66" s="222">
        <f t="shared" si="13"/>
        <v>2.25</v>
      </c>
      <c r="AS66" s="228">
        <v>2.37</v>
      </c>
      <c r="AT66" s="229">
        <v>2.83</v>
      </c>
    </row>
    <row r="67" spans="20:46" ht="15" customHeight="1" x14ac:dyDescent="0.25">
      <c r="T67" s="180">
        <f t="shared" si="14"/>
        <v>59</v>
      </c>
      <c r="V67" s="182">
        <f t="shared" si="19"/>
        <v>21.24</v>
      </c>
      <c r="W67" s="183">
        <f t="shared" si="27"/>
        <v>25.278210242771021</v>
      </c>
      <c r="X67" s="183">
        <f t="shared" si="27"/>
        <v>7.3835161833320582</v>
      </c>
      <c r="Y67" s="183">
        <f t="shared" si="27"/>
        <v>1.7110630122493797</v>
      </c>
      <c r="Z67" s="205">
        <f t="shared" si="20"/>
        <v>225</v>
      </c>
      <c r="AB67" s="182">
        <f t="shared" si="15"/>
        <v>21.24</v>
      </c>
      <c r="AC67" s="192">
        <f t="shared" si="28"/>
        <v>1964.0147676920762</v>
      </c>
      <c r="AD67" s="193">
        <f t="shared" si="28"/>
        <v>2168.7915381775979</v>
      </c>
      <c r="AE67" s="194">
        <f t="shared" si="28"/>
        <v>2201.4169621583751</v>
      </c>
      <c r="AF67" s="192">
        <f t="shared" si="21"/>
        <v>1800</v>
      </c>
      <c r="AG67" s="184">
        <f t="shared" si="22"/>
        <v>2207.6</v>
      </c>
      <c r="AI67" s="211">
        <f t="shared" si="23"/>
        <v>1302.4839999999999</v>
      </c>
      <c r="AJ67" s="213">
        <f t="shared" si="24"/>
        <v>0.63878048780487806</v>
      </c>
      <c r="AK67" s="214">
        <f t="shared" si="26"/>
        <v>0.44389830508474587</v>
      </c>
      <c r="AL67" s="217">
        <f t="shared" si="25"/>
        <v>1000000</v>
      </c>
      <c r="AN67" s="207">
        <f t="shared" si="16"/>
        <v>21.24</v>
      </c>
      <c r="AO67" s="222"/>
      <c r="AP67" s="223"/>
      <c r="AQ67" s="224"/>
      <c r="AR67" s="222">
        <f t="shared" si="13"/>
        <v>2.25</v>
      </c>
      <c r="AS67" s="228">
        <v>2.37</v>
      </c>
      <c r="AT67" s="229">
        <v>2.83</v>
      </c>
    </row>
    <row r="68" spans="20:46" ht="15" customHeight="1" x14ac:dyDescent="0.25">
      <c r="T68" s="180">
        <f t="shared" si="14"/>
        <v>60</v>
      </c>
      <c r="V68" s="182">
        <f t="shared" si="19"/>
        <v>21.599999999999998</v>
      </c>
      <c r="W68" s="183">
        <f t="shared" ref="W68:Y87" si="29">W$6*EXP(-(W$6)/($C$8)*$V68)</f>
        <v>24.351258784300615</v>
      </c>
      <c r="X68" s="183">
        <f t="shared" si="29"/>
        <v>6.8947348758066314</v>
      </c>
      <c r="Y68" s="183">
        <f t="shared" si="29"/>
        <v>1.5488151510200705</v>
      </c>
      <c r="Z68" s="205">
        <f t="shared" si="20"/>
        <v>225</v>
      </c>
      <c r="AB68" s="182">
        <f t="shared" si="15"/>
        <v>21.599999999999998</v>
      </c>
      <c r="AC68" s="192">
        <f t="shared" ref="AC68:AE87" si="30">$C$8*(1-EXP(-(AC$6/$C$8)*$AB68))</f>
        <v>1972.9470332354508</v>
      </c>
      <c r="AD68" s="193">
        <f t="shared" si="30"/>
        <v>2171.3606191197409</v>
      </c>
      <c r="AE68" s="194">
        <f t="shared" si="30"/>
        <v>2202.0032553916003</v>
      </c>
      <c r="AF68" s="192">
        <f t="shared" si="21"/>
        <v>1800</v>
      </c>
      <c r="AG68" s="184">
        <f t="shared" si="22"/>
        <v>2207.6</v>
      </c>
      <c r="AI68" s="211">
        <f t="shared" si="23"/>
        <v>1324.56</v>
      </c>
      <c r="AJ68" s="213">
        <f t="shared" si="24"/>
        <v>0.65475000000000005</v>
      </c>
      <c r="AK68" s="214">
        <f t="shared" si="26"/>
        <v>0.43650000000000005</v>
      </c>
      <c r="AL68" s="217">
        <f t="shared" si="25"/>
        <v>1000000</v>
      </c>
      <c r="AN68" s="207">
        <f t="shared" si="16"/>
        <v>21.599999999999998</v>
      </c>
      <c r="AO68" s="222"/>
      <c r="AP68" s="223"/>
      <c r="AQ68" s="224"/>
      <c r="AR68" s="222">
        <f t="shared" si="13"/>
        <v>2.25</v>
      </c>
      <c r="AS68" s="228">
        <v>2.37</v>
      </c>
      <c r="AT68" s="229">
        <v>2.83</v>
      </c>
    </row>
    <row r="69" spans="20:46" ht="15" customHeight="1" x14ac:dyDescent="0.25">
      <c r="T69" s="180">
        <f t="shared" si="14"/>
        <v>61</v>
      </c>
      <c r="V69" s="182">
        <f t="shared" si="19"/>
        <v>21.96</v>
      </c>
      <c r="W69" s="183">
        <f t="shared" si="29"/>
        <v>23.458298617069108</v>
      </c>
      <c r="X69" s="183">
        <f t="shared" si="29"/>
        <v>6.4383103967426338</v>
      </c>
      <c r="Y69" s="183">
        <f t="shared" si="29"/>
        <v>1.4019520934391525</v>
      </c>
      <c r="Z69" s="205">
        <f t="shared" si="20"/>
        <v>225</v>
      </c>
      <c r="AB69" s="182">
        <f t="shared" si="15"/>
        <v>21.96</v>
      </c>
      <c r="AC69" s="192">
        <f t="shared" si="30"/>
        <v>1981.5517527819627</v>
      </c>
      <c r="AD69" s="193">
        <f t="shared" si="30"/>
        <v>2173.7596295005337</v>
      </c>
      <c r="AE69" s="194">
        <f t="shared" si="30"/>
        <v>2202.5339546329833</v>
      </c>
      <c r="AF69" s="192">
        <f t="shared" si="21"/>
        <v>1800</v>
      </c>
      <c r="AG69" s="184">
        <f t="shared" si="22"/>
        <v>2207.6</v>
      </c>
      <c r="AI69" s="211">
        <f t="shared" si="23"/>
        <v>1346.636</v>
      </c>
      <c r="AJ69" s="213">
        <f t="shared" si="24"/>
        <v>0.67153846153846164</v>
      </c>
      <c r="AK69" s="214">
        <f t="shared" si="26"/>
        <v>0.42934426229508199</v>
      </c>
      <c r="AL69" s="217">
        <f t="shared" si="25"/>
        <v>1000000</v>
      </c>
      <c r="AN69" s="207">
        <f t="shared" si="16"/>
        <v>21.96</v>
      </c>
      <c r="AO69" s="222"/>
      <c r="AP69" s="223"/>
      <c r="AQ69" s="224"/>
      <c r="AR69" s="222">
        <f t="shared" si="13"/>
        <v>2.25</v>
      </c>
      <c r="AS69" s="228">
        <v>2.37</v>
      </c>
      <c r="AT69" s="229">
        <v>2.83</v>
      </c>
    </row>
    <row r="70" spans="20:46" ht="15" customHeight="1" x14ac:dyDescent="0.25">
      <c r="T70" s="180">
        <f t="shared" si="14"/>
        <v>62</v>
      </c>
      <c r="V70" s="182">
        <f t="shared" si="19"/>
        <v>22.32</v>
      </c>
      <c r="W70" s="183">
        <f t="shared" si="29"/>
        <v>22.598083281114107</v>
      </c>
      <c r="X70" s="183">
        <f t="shared" si="29"/>
        <v>6.0121007568046299</v>
      </c>
      <c r="Y70" s="183">
        <f t="shared" si="29"/>
        <v>1.2690150086690075</v>
      </c>
      <c r="Z70" s="205">
        <f t="shared" si="20"/>
        <v>225</v>
      </c>
      <c r="AB70" s="182">
        <f t="shared" si="15"/>
        <v>22.32</v>
      </c>
      <c r="AC70" s="192">
        <f t="shared" si="30"/>
        <v>1989.8409374366936</v>
      </c>
      <c r="AD70" s="193">
        <f t="shared" si="30"/>
        <v>2175.9998278192174</v>
      </c>
      <c r="AE70" s="194">
        <f t="shared" si="30"/>
        <v>2203.0143314629454</v>
      </c>
      <c r="AF70" s="192">
        <f t="shared" si="21"/>
        <v>1800</v>
      </c>
      <c r="AG70" s="184">
        <f t="shared" si="22"/>
        <v>2207.6</v>
      </c>
      <c r="AI70" s="211">
        <f t="shared" si="23"/>
        <v>1368.712</v>
      </c>
      <c r="AJ70" s="213">
        <f t="shared" si="24"/>
        <v>0.68921052631578961</v>
      </c>
      <c r="AK70" s="214">
        <f t="shared" si="26"/>
        <v>0.42241935483870974</v>
      </c>
      <c r="AL70" s="217">
        <f t="shared" si="25"/>
        <v>1000000</v>
      </c>
      <c r="AN70" s="207">
        <f t="shared" si="16"/>
        <v>22.32</v>
      </c>
      <c r="AO70" s="222"/>
      <c r="AP70" s="223"/>
      <c r="AQ70" s="224"/>
      <c r="AR70" s="222">
        <f t="shared" si="13"/>
        <v>2.25</v>
      </c>
      <c r="AS70" s="228">
        <v>2.37</v>
      </c>
      <c r="AT70" s="229">
        <v>2.83</v>
      </c>
    </row>
    <row r="71" spans="20:46" ht="15" customHeight="1" x14ac:dyDescent="0.25">
      <c r="T71" s="180">
        <f t="shared" si="14"/>
        <v>63</v>
      </c>
      <c r="V71" s="182">
        <f t="shared" si="19"/>
        <v>22.68</v>
      </c>
      <c r="W71" s="183">
        <f t="shared" si="29"/>
        <v>21.769412024134795</v>
      </c>
      <c r="X71" s="183">
        <f t="shared" si="29"/>
        <v>5.6141057641858962</v>
      </c>
      <c r="Y71" s="183">
        <f t="shared" si="29"/>
        <v>1.1486833963610716</v>
      </c>
      <c r="Z71" s="205">
        <f t="shared" si="20"/>
        <v>225</v>
      </c>
      <c r="AB71" s="182">
        <f t="shared" si="15"/>
        <v>22.68</v>
      </c>
      <c r="AC71" s="192">
        <f t="shared" si="30"/>
        <v>1997.8261578577451</v>
      </c>
      <c r="AD71" s="193">
        <f t="shared" si="30"/>
        <v>2178.0917272737643</v>
      </c>
      <c r="AE71" s="194">
        <f t="shared" si="30"/>
        <v>2203.4491575956577</v>
      </c>
      <c r="AF71" s="192">
        <f t="shared" si="21"/>
        <v>1800</v>
      </c>
      <c r="AG71" s="184">
        <f t="shared" si="22"/>
        <v>2207.6</v>
      </c>
      <c r="AI71" s="211">
        <f t="shared" si="23"/>
        <v>1390.788</v>
      </c>
      <c r="AJ71" s="213">
        <f t="shared" si="24"/>
        <v>0.70783783783783794</v>
      </c>
      <c r="AK71" s="214">
        <f t="shared" si="26"/>
        <v>0.41571428571428576</v>
      </c>
      <c r="AL71" s="217">
        <f t="shared" si="25"/>
        <v>1000000</v>
      </c>
      <c r="AN71" s="207">
        <f t="shared" si="16"/>
        <v>22.68</v>
      </c>
      <c r="AO71" s="222"/>
      <c r="AP71" s="223"/>
      <c r="AQ71" s="224"/>
      <c r="AR71" s="222">
        <f t="shared" si="13"/>
        <v>2.25</v>
      </c>
      <c r="AS71" s="228">
        <v>2.37</v>
      </c>
      <c r="AT71" s="229">
        <v>2.83</v>
      </c>
    </row>
    <row r="72" spans="20:46" ht="15" customHeight="1" x14ac:dyDescent="0.25">
      <c r="T72" s="180">
        <f t="shared" si="14"/>
        <v>64</v>
      </c>
      <c r="V72" s="182">
        <f t="shared" ref="V72:V108" si="31">(T72/$T$108)*$C$12</f>
        <v>23.04</v>
      </c>
      <c r="W72" s="183">
        <f t="shared" si="29"/>
        <v>20.971128125392966</v>
      </c>
      <c r="X72" s="183">
        <f t="shared" si="29"/>
        <v>5.2424576377553764</v>
      </c>
      <c r="Y72" s="183">
        <f t="shared" si="29"/>
        <v>1.039761969765451</v>
      </c>
      <c r="Z72" s="205">
        <f t="shared" ref="Z72:Z108" si="32">$C$11</f>
        <v>225</v>
      </c>
      <c r="AB72" s="182">
        <f t="shared" si="15"/>
        <v>23.04</v>
      </c>
      <c r="AC72" s="192">
        <f t="shared" si="30"/>
        <v>2005.5185604074195</v>
      </c>
      <c r="AD72" s="193">
        <f t="shared" si="30"/>
        <v>2180.045145099069</v>
      </c>
      <c r="AE72" s="194">
        <f t="shared" si="30"/>
        <v>2203.8427522777838</v>
      </c>
      <c r="AF72" s="192">
        <f t="shared" ref="AF72:AF108" si="33">$C$9</f>
        <v>1800</v>
      </c>
      <c r="AG72" s="184">
        <f t="shared" ref="AG72:AG108" si="34">$C$8</f>
        <v>2207.6</v>
      </c>
      <c r="AI72" s="211">
        <f t="shared" ref="AI72:AI108" si="35">($T72/$T$108)*$C$8</f>
        <v>1412.864</v>
      </c>
      <c r="AJ72" s="213">
        <f t="shared" ref="AJ72:AJ107" si="36">($E$7/(1-$AI72/$C$8))*1000</f>
        <v>0.72750000000000004</v>
      </c>
      <c r="AK72" s="214">
        <f t="shared" si="26"/>
        <v>0.40921875000000002</v>
      </c>
      <c r="AL72" s="217">
        <f t="shared" ref="AL72:AL108" si="37">IF(AI72&lt;$C$8,1000000,-1000000)</f>
        <v>1000000</v>
      </c>
      <c r="AN72" s="207">
        <f t="shared" si="16"/>
        <v>23.04</v>
      </c>
      <c r="AO72" s="222"/>
      <c r="AP72" s="223"/>
      <c r="AQ72" s="224"/>
      <c r="AR72" s="222">
        <f t="shared" si="13"/>
        <v>2.25</v>
      </c>
      <c r="AS72" s="228">
        <v>2.37</v>
      </c>
      <c r="AT72" s="229">
        <v>2.83</v>
      </c>
    </row>
    <row r="73" spans="20:46" ht="15" customHeight="1" x14ac:dyDescent="0.25">
      <c r="T73" s="180">
        <f t="shared" si="14"/>
        <v>65</v>
      </c>
      <c r="V73" s="182">
        <f t="shared" si="31"/>
        <v>23.400000000000002</v>
      </c>
      <c r="W73" s="183">
        <f t="shared" si="29"/>
        <v>20.202117281076482</v>
      </c>
      <c r="X73" s="183">
        <f t="shared" si="29"/>
        <v>4.8954122416047854</v>
      </c>
      <c r="Y73" s="183">
        <f t="shared" si="29"/>
        <v>0.94116878262136838</v>
      </c>
      <c r="Z73" s="205">
        <f t="shared" si="32"/>
        <v>225</v>
      </c>
      <c r="AB73" s="182">
        <f t="shared" si="15"/>
        <v>23.400000000000002</v>
      </c>
      <c r="AC73" s="192">
        <f t="shared" si="30"/>
        <v>2012.9288827111402</v>
      </c>
      <c r="AD73" s="193">
        <f t="shared" si="30"/>
        <v>2181.8692486389996</v>
      </c>
      <c r="AE73" s="194">
        <f t="shared" si="30"/>
        <v>2204.1990251927346</v>
      </c>
      <c r="AF73" s="192">
        <f t="shared" si="33"/>
        <v>1800</v>
      </c>
      <c r="AG73" s="184">
        <f t="shared" si="34"/>
        <v>2207.6</v>
      </c>
      <c r="AI73" s="211">
        <f t="shared" si="35"/>
        <v>1434.94</v>
      </c>
      <c r="AJ73" s="213">
        <f t="shared" si="36"/>
        <v>0.74828571428571433</v>
      </c>
      <c r="AK73" s="214">
        <f t="shared" ref="AK73:AK108" si="38">($E$7/($AI73/$C$8))*1000</f>
        <v>0.40292307692307694</v>
      </c>
      <c r="AL73" s="217">
        <f t="shared" si="37"/>
        <v>1000000</v>
      </c>
      <c r="AN73" s="207">
        <f t="shared" si="16"/>
        <v>23.400000000000002</v>
      </c>
      <c r="AO73" s="222"/>
      <c r="AP73" s="223"/>
      <c r="AQ73" s="224"/>
      <c r="AR73" s="222">
        <f t="shared" ref="AR73:AR108" si="39">$C$5</f>
        <v>2.25</v>
      </c>
      <c r="AS73" s="228">
        <v>2.37</v>
      </c>
      <c r="AT73" s="229">
        <v>2.83</v>
      </c>
    </row>
    <row r="74" spans="20:46" ht="15" customHeight="1" x14ac:dyDescent="0.25">
      <c r="T74" s="180">
        <f t="shared" ref="T74:T108" si="40">T73+1</f>
        <v>66</v>
      </c>
      <c r="V74" s="182">
        <f t="shared" si="31"/>
        <v>23.76</v>
      </c>
      <c r="W74" s="183">
        <f t="shared" si="29"/>
        <v>19.461306048871492</v>
      </c>
      <c r="X74" s="183">
        <f t="shared" si="29"/>
        <v>4.5713408998598934</v>
      </c>
      <c r="Y74" s="183">
        <f t="shared" si="29"/>
        <v>0.85192448188964653</v>
      </c>
      <c r="Z74" s="205">
        <f t="shared" si="32"/>
        <v>225</v>
      </c>
      <c r="AB74" s="182">
        <f t="shared" ref="AB74:AB108" si="41">$V74</f>
        <v>23.76</v>
      </c>
      <c r="AC74" s="192">
        <f t="shared" si="30"/>
        <v>2020.0674686458219</v>
      </c>
      <c r="AD74" s="193">
        <f t="shared" si="30"/>
        <v>2183.5725983685275</v>
      </c>
      <c r="AE74" s="194">
        <f t="shared" si="30"/>
        <v>2204.5215152966193</v>
      </c>
      <c r="AF74" s="192">
        <f t="shared" si="33"/>
        <v>1800</v>
      </c>
      <c r="AG74" s="184">
        <f t="shared" si="34"/>
        <v>2207.6</v>
      </c>
      <c r="AI74" s="211">
        <f t="shared" si="35"/>
        <v>1457.0160000000001</v>
      </c>
      <c r="AJ74" s="213">
        <f t="shared" si="36"/>
        <v>0.77029411764705902</v>
      </c>
      <c r="AK74" s="214">
        <f t="shared" si="38"/>
        <v>0.39681818181818185</v>
      </c>
      <c r="AL74" s="217">
        <f t="shared" si="37"/>
        <v>1000000</v>
      </c>
      <c r="AN74" s="207">
        <f t="shared" ref="AN74:AN108" si="42">$V74</f>
        <v>23.76</v>
      </c>
      <c r="AO74" s="222"/>
      <c r="AP74" s="223"/>
      <c r="AQ74" s="224"/>
      <c r="AR74" s="222">
        <f t="shared" si="39"/>
        <v>2.25</v>
      </c>
      <c r="AS74" s="228">
        <v>2.37</v>
      </c>
      <c r="AT74" s="229">
        <v>2.83</v>
      </c>
    </row>
    <row r="75" spans="20:46" ht="15" customHeight="1" x14ac:dyDescent="0.25">
      <c r="T75" s="180">
        <f t="shared" si="40"/>
        <v>67</v>
      </c>
      <c r="V75" s="182">
        <f t="shared" si="31"/>
        <v>24.12</v>
      </c>
      <c r="W75" s="183">
        <f t="shared" si="29"/>
        <v>18.747660349572062</v>
      </c>
      <c r="X75" s="183">
        <f t="shared" si="29"/>
        <v>4.2687227533429297</v>
      </c>
      <c r="Y75" s="183">
        <f t="shared" si="29"/>
        <v>0.77114257957163979</v>
      </c>
      <c r="Z75" s="205">
        <f t="shared" si="32"/>
        <v>225</v>
      </c>
      <c r="AB75" s="182">
        <f t="shared" si="41"/>
        <v>24.12</v>
      </c>
      <c r="AC75" s="192">
        <f t="shared" si="30"/>
        <v>2026.9442827786229</v>
      </c>
      <c r="AD75" s="193">
        <f t="shared" si="30"/>
        <v>2185.1631880678337</v>
      </c>
      <c r="AE75" s="194">
        <f t="shared" si="30"/>
        <v>2204.8134259716644</v>
      </c>
      <c r="AF75" s="192">
        <f t="shared" si="33"/>
        <v>1800</v>
      </c>
      <c r="AG75" s="184">
        <f t="shared" si="34"/>
        <v>2207.6</v>
      </c>
      <c r="AI75" s="211">
        <f t="shared" si="35"/>
        <v>1479.0920000000001</v>
      </c>
      <c r="AJ75" s="213">
        <f t="shared" si="36"/>
        <v>0.79363636363636381</v>
      </c>
      <c r="AK75" s="214">
        <f t="shared" si="38"/>
        <v>0.39089552238805975</v>
      </c>
      <c r="AL75" s="217">
        <f t="shared" si="37"/>
        <v>1000000</v>
      </c>
      <c r="AN75" s="207">
        <f t="shared" si="42"/>
        <v>24.12</v>
      </c>
      <c r="AO75" s="222"/>
      <c r="AP75" s="223"/>
      <c r="AQ75" s="224"/>
      <c r="AR75" s="222">
        <f t="shared" si="39"/>
        <v>2.25</v>
      </c>
      <c r="AS75" s="228">
        <v>2.37</v>
      </c>
      <c r="AT75" s="229">
        <v>2.83</v>
      </c>
    </row>
    <row r="76" spans="20:46" ht="15" customHeight="1" x14ac:dyDescent="0.25">
      <c r="T76" s="180">
        <f t="shared" si="40"/>
        <v>68</v>
      </c>
      <c r="V76" s="182">
        <f t="shared" si="31"/>
        <v>24.48</v>
      </c>
      <c r="W76" s="183">
        <f t="shared" si="29"/>
        <v>18.060184023635841</v>
      </c>
      <c r="X76" s="183">
        <f t="shared" si="29"/>
        <v>3.9861376222163019</v>
      </c>
      <c r="Y76" s="183">
        <f t="shared" si="29"/>
        <v>0.69802064698198496</v>
      </c>
      <c r="Z76" s="205">
        <f t="shared" si="32"/>
        <v>225</v>
      </c>
      <c r="AB76" s="182">
        <f t="shared" si="41"/>
        <v>24.48</v>
      </c>
      <c r="AC76" s="192">
        <f t="shared" si="30"/>
        <v>2033.5689242762251</v>
      </c>
      <c r="AD76" s="193">
        <f t="shared" si="30"/>
        <v>2186.6484823369333</v>
      </c>
      <c r="AE76" s="194">
        <f t="shared" si="30"/>
        <v>2205.0776568462834</v>
      </c>
      <c r="AF76" s="192">
        <f t="shared" si="33"/>
        <v>1800</v>
      </c>
      <c r="AG76" s="184">
        <f t="shared" si="34"/>
        <v>2207.6</v>
      </c>
      <c r="AI76" s="211">
        <f t="shared" si="35"/>
        <v>1501.1680000000001</v>
      </c>
      <c r="AJ76" s="213">
        <f t="shared" si="36"/>
        <v>0.81843750000000015</v>
      </c>
      <c r="AK76" s="214">
        <f t="shared" si="38"/>
        <v>0.3851470588235294</v>
      </c>
      <c r="AL76" s="217">
        <f t="shared" si="37"/>
        <v>1000000</v>
      </c>
      <c r="AN76" s="207">
        <f t="shared" si="42"/>
        <v>24.48</v>
      </c>
      <c r="AO76" s="222"/>
      <c r="AP76" s="223"/>
      <c r="AQ76" s="224"/>
      <c r="AR76" s="222">
        <f t="shared" si="39"/>
        <v>2.25</v>
      </c>
      <c r="AS76" s="228">
        <v>2.37</v>
      </c>
      <c r="AT76" s="229">
        <v>2.83</v>
      </c>
    </row>
    <row r="77" spans="20:46" ht="15" customHeight="1" x14ac:dyDescent="0.25">
      <c r="T77" s="180">
        <f t="shared" si="40"/>
        <v>69</v>
      </c>
      <c r="V77" s="182">
        <f t="shared" si="31"/>
        <v>24.839999999999996</v>
      </c>
      <c r="W77" s="183">
        <f t="shared" si="29"/>
        <v>17.397917440670749</v>
      </c>
      <c r="X77" s="183">
        <f t="shared" si="29"/>
        <v>3.7222593411120402</v>
      </c>
      <c r="Y77" s="183">
        <f t="shared" si="29"/>
        <v>0.6318323440054382</v>
      </c>
      <c r="Z77" s="205">
        <f t="shared" si="32"/>
        <v>225</v>
      </c>
      <c r="AB77" s="182">
        <f t="shared" si="41"/>
        <v>24.839999999999996</v>
      </c>
      <c r="AC77" s="192">
        <f t="shared" si="30"/>
        <v>2039.9506403040621</v>
      </c>
      <c r="AD77" s="193">
        <f t="shared" si="30"/>
        <v>2188.0354516268649</v>
      </c>
      <c r="AE77" s="194">
        <f t="shared" si="30"/>
        <v>2205.3168325978759</v>
      </c>
      <c r="AF77" s="192">
        <f t="shared" si="33"/>
        <v>1800</v>
      </c>
      <c r="AG77" s="184">
        <f t="shared" si="34"/>
        <v>2207.6</v>
      </c>
      <c r="AI77" s="211">
        <f t="shared" si="35"/>
        <v>1523.2439999999999</v>
      </c>
      <c r="AJ77" s="213">
        <f t="shared" si="36"/>
        <v>0.84483870967741925</v>
      </c>
      <c r="AK77" s="214">
        <f t="shared" si="38"/>
        <v>0.37956521739130439</v>
      </c>
      <c r="AL77" s="217">
        <f t="shared" si="37"/>
        <v>1000000</v>
      </c>
      <c r="AN77" s="207">
        <f t="shared" si="42"/>
        <v>24.839999999999996</v>
      </c>
      <c r="AO77" s="222"/>
      <c r="AP77" s="223"/>
      <c r="AQ77" s="224"/>
      <c r="AR77" s="222">
        <f t="shared" si="39"/>
        <v>2.25</v>
      </c>
      <c r="AS77" s="228">
        <v>2.37</v>
      </c>
      <c r="AT77" s="229">
        <v>2.83</v>
      </c>
    </row>
    <row r="78" spans="20:46" ht="15" customHeight="1" x14ac:dyDescent="0.25">
      <c r="T78" s="180">
        <f t="shared" si="40"/>
        <v>70</v>
      </c>
      <c r="V78" s="182">
        <f t="shared" si="31"/>
        <v>25.2</v>
      </c>
      <c r="W78" s="183">
        <f t="shared" si="29"/>
        <v>16.759936159911785</v>
      </c>
      <c r="X78" s="183">
        <f t="shared" si="29"/>
        <v>3.475849535468948</v>
      </c>
      <c r="Y78" s="183">
        <f t="shared" si="29"/>
        <v>0.57192020416225386</v>
      </c>
      <c r="Z78" s="205">
        <f t="shared" si="32"/>
        <v>225</v>
      </c>
      <c r="AB78" s="182">
        <f t="shared" si="41"/>
        <v>25.2</v>
      </c>
      <c r="AC78" s="192">
        <f t="shared" si="30"/>
        <v>2046.0983389341982</v>
      </c>
      <c r="AD78" s="193">
        <f t="shared" si="30"/>
        <v>2189.3306049518555</v>
      </c>
      <c r="AE78" s="194">
        <f t="shared" si="30"/>
        <v>2205.5333290244662</v>
      </c>
      <c r="AF78" s="192">
        <f t="shared" si="33"/>
        <v>1800</v>
      </c>
      <c r="AG78" s="184">
        <f t="shared" si="34"/>
        <v>2207.6</v>
      </c>
      <c r="AI78" s="211">
        <f t="shared" si="35"/>
        <v>1545.32</v>
      </c>
      <c r="AJ78" s="213">
        <f t="shared" si="36"/>
        <v>0.873</v>
      </c>
      <c r="AK78" s="214">
        <f t="shared" si="38"/>
        <v>0.37414285714285717</v>
      </c>
      <c r="AL78" s="217">
        <f t="shared" si="37"/>
        <v>1000000</v>
      </c>
      <c r="AN78" s="207">
        <f t="shared" si="42"/>
        <v>25.2</v>
      </c>
      <c r="AO78" s="222"/>
      <c r="AP78" s="223"/>
      <c r="AQ78" s="224"/>
      <c r="AR78" s="222">
        <f t="shared" si="39"/>
        <v>2.25</v>
      </c>
      <c r="AS78" s="228">
        <v>2.37</v>
      </c>
      <c r="AT78" s="229">
        <v>2.83</v>
      </c>
    </row>
    <row r="79" spans="20:46" ht="15" customHeight="1" x14ac:dyDescent="0.25">
      <c r="T79" s="180">
        <f t="shared" si="40"/>
        <v>71</v>
      </c>
      <c r="V79" s="182">
        <f t="shared" si="31"/>
        <v>25.56</v>
      </c>
      <c r="W79" s="183">
        <f t="shared" si="29"/>
        <v>16.145349639818097</v>
      </c>
      <c r="X79" s="183">
        <f t="shared" si="29"/>
        <v>3.2457518098699447</v>
      </c>
      <c r="Y79" s="183">
        <f t="shared" si="29"/>
        <v>0.51768910381419053</v>
      </c>
      <c r="Z79" s="205">
        <f t="shared" si="32"/>
        <v>225</v>
      </c>
      <c r="AB79" s="182">
        <f t="shared" si="41"/>
        <v>25.56</v>
      </c>
      <c r="AC79" s="192">
        <f t="shared" si="30"/>
        <v>2052.0206015798753</v>
      </c>
      <c r="AD79" s="193">
        <f t="shared" si="30"/>
        <v>2190.5400204359698</v>
      </c>
      <c r="AE79" s="194">
        <f t="shared" si="30"/>
        <v>2205.7292966441532</v>
      </c>
      <c r="AF79" s="192">
        <f t="shared" si="33"/>
        <v>1800</v>
      </c>
      <c r="AG79" s="184">
        <f t="shared" si="34"/>
        <v>2207.6</v>
      </c>
      <c r="AI79" s="211">
        <f t="shared" si="35"/>
        <v>1567.396</v>
      </c>
      <c r="AJ79" s="213">
        <f t="shared" si="36"/>
        <v>0.90310344827586198</v>
      </c>
      <c r="AK79" s="214">
        <f t="shared" si="38"/>
        <v>0.36887323943661976</v>
      </c>
      <c r="AL79" s="217">
        <f t="shared" si="37"/>
        <v>1000000</v>
      </c>
      <c r="AN79" s="207">
        <f t="shared" si="42"/>
        <v>25.56</v>
      </c>
      <c r="AO79" s="222"/>
      <c r="AP79" s="223"/>
      <c r="AQ79" s="224"/>
      <c r="AR79" s="222">
        <f t="shared" si="39"/>
        <v>2.25</v>
      </c>
      <c r="AS79" s="228">
        <v>2.37</v>
      </c>
      <c r="AT79" s="229">
        <v>2.83</v>
      </c>
    </row>
    <row r="80" spans="20:46" ht="15" customHeight="1" x14ac:dyDescent="0.25">
      <c r="T80" s="180">
        <f t="shared" si="40"/>
        <v>72</v>
      </c>
      <c r="V80" s="182">
        <f t="shared" si="31"/>
        <v>25.919999999999998</v>
      </c>
      <c r="W80" s="183">
        <f t="shared" si="29"/>
        <v>15.55329999498915</v>
      </c>
      <c r="X80" s="183">
        <f t="shared" si="29"/>
        <v>3.0308863211055805</v>
      </c>
      <c r="Y80" s="183">
        <f t="shared" si="29"/>
        <v>0.46860035063896316</v>
      </c>
      <c r="Z80" s="205">
        <f t="shared" si="32"/>
        <v>225</v>
      </c>
      <c r="AB80" s="182">
        <f t="shared" si="41"/>
        <v>25.919999999999998</v>
      </c>
      <c r="AC80" s="192">
        <f t="shared" si="30"/>
        <v>2057.7256949740854</v>
      </c>
      <c r="AD80" s="193">
        <f t="shared" si="30"/>
        <v>2191.6693738376039</v>
      </c>
      <c r="AE80" s="194">
        <f t="shared" si="30"/>
        <v>2205.9066820567932</v>
      </c>
      <c r="AF80" s="192">
        <f t="shared" si="33"/>
        <v>1800</v>
      </c>
      <c r="AG80" s="184">
        <f t="shared" si="34"/>
        <v>2207.6</v>
      </c>
      <c r="AI80" s="211">
        <f t="shared" si="35"/>
        <v>1589.472</v>
      </c>
      <c r="AJ80" s="213">
        <f t="shared" si="36"/>
        <v>0.93535714285714289</v>
      </c>
      <c r="AK80" s="214">
        <f t="shared" si="38"/>
        <v>0.36375000000000002</v>
      </c>
      <c r="AL80" s="217">
        <f t="shared" si="37"/>
        <v>1000000</v>
      </c>
      <c r="AN80" s="207">
        <f t="shared" si="42"/>
        <v>25.919999999999998</v>
      </c>
      <c r="AO80" s="222"/>
      <c r="AP80" s="223"/>
      <c r="AQ80" s="224"/>
      <c r="AR80" s="222">
        <f t="shared" si="39"/>
        <v>2.25</v>
      </c>
      <c r="AS80" s="228">
        <v>2.37</v>
      </c>
      <c r="AT80" s="229">
        <v>2.83</v>
      </c>
    </row>
    <row r="81" spans="20:46" ht="15" customHeight="1" x14ac:dyDescent="0.25">
      <c r="T81" s="180">
        <f t="shared" si="40"/>
        <v>73</v>
      </c>
      <c r="V81" s="182">
        <f t="shared" si="31"/>
        <v>26.28</v>
      </c>
      <c r="W81" s="183">
        <f t="shared" si="29"/>
        <v>14.982960798664678</v>
      </c>
      <c r="X81" s="183">
        <f t="shared" si="29"/>
        <v>2.8302447104952861</v>
      </c>
      <c r="Y81" s="183">
        <f t="shared" si="29"/>
        <v>0.4241663326523738</v>
      </c>
      <c r="Z81" s="205">
        <f t="shared" si="32"/>
        <v>225</v>
      </c>
      <c r="AB81" s="182">
        <f t="shared" si="41"/>
        <v>26.28</v>
      </c>
      <c r="AC81" s="192">
        <f t="shared" si="30"/>
        <v>2063.221582708888</v>
      </c>
      <c r="AD81" s="193">
        <f t="shared" si="30"/>
        <v>2192.7239651856844</v>
      </c>
      <c r="AE81" s="194">
        <f t="shared" si="30"/>
        <v>2206.0672472801075</v>
      </c>
      <c r="AF81" s="192">
        <f t="shared" si="33"/>
        <v>1800</v>
      </c>
      <c r="AG81" s="184">
        <f t="shared" si="34"/>
        <v>2207.6</v>
      </c>
      <c r="AI81" s="211">
        <f t="shared" si="35"/>
        <v>1611.548</v>
      </c>
      <c r="AJ81" s="213">
        <f t="shared" si="36"/>
        <v>0.97000000000000008</v>
      </c>
      <c r="AK81" s="214">
        <f t="shared" si="38"/>
        <v>0.35876712328767124</v>
      </c>
      <c r="AL81" s="217">
        <f t="shared" si="37"/>
        <v>1000000</v>
      </c>
      <c r="AN81" s="207">
        <f t="shared" si="42"/>
        <v>26.28</v>
      </c>
      <c r="AO81" s="222"/>
      <c r="AP81" s="223"/>
      <c r="AQ81" s="224"/>
      <c r="AR81" s="222">
        <f t="shared" si="39"/>
        <v>2.25</v>
      </c>
      <c r="AS81" s="228">
        <v>2.37</v>
      </c>
      <c r="AT81" s="229">
        <v>2.83</v>
      </c>
    </row>
    <row r="82" spans="20:46" ht="15" customHeight="1" x14ac:dyDescent="0.25">
      <c r="T82" s="180">
        <f t="shared" si="40"/>
        <v>74</v>
      </c>
      <c r="V82" s="182">
        <f t="shared" si="31"/>
        <v>26.64</v>
      </c>
      <c r="W82" s="183">
        <f t="shared" si="29"/>
        <v>14.433535929137024</v>
      </c>
      <c r="X82" s="183">
        <f t="shared" si="29"/>
        <v>2.6428853716838256</v>
      </c>
      <c r="Y82" s="183">
        <f t="shared" si="29"/>
        <v>0.38394567462537549</v>
      </c>
      <c r="Z82" s="205">
        <f t="shared" si="32"/>
        <v>225</v>
      </c>
      <c r="AB82" s="182">
        <f t="shared" si="41"/>
        <v>26.64</v>
      </c>
      <c r="AC82" s="192">
        <f t="shared" si="30"/>
        <v>2068.5159363515841</v>
      </c>
      <c r="AD82" s="193">
        <f t="shared" si="30"/>
        <v>2193.7087436525817</v>
      </c>
      <c r="AE82" s="194">
        <f t="shared" si="30"/>
        <v>2206.2125872522861</v>
      </c>
      <c r="AF82" s="192">
        <f t="shared" si="33"/>
        <v>1800</v>
      </c>
      <c r="AG82" s="184">
        <f t="shared" si="34"/>
        <v>2207.6</v>
      </c>
      <c r="AI82" s="211">
        <f t="shared" si="35"/>
        <v>1633.624</v>
      </c>
      <c r="AJ82" s="213">
        <f t="shared" si="36"/>
        <v>1.0073076923076922</v>
      </c>
      <c r="AK82" s="214">
        <f t="shared" si="38"/>
        <v>0.35391891891891897</v>
      </c>
      <c r="AL82" s="217">
        <f t="shared" si="37"/>
        <v>1000000</v>
      </c>
      <c r="AN82" s="207">
        <f t="shared" si="42"/>
        <v>26.64</v>
      </c>
      <c r="AO82" s="222"/>
      <c r="AP82" s="223"/>
      <c r="AQ82" s="224"/>
      <c r="AR82" s="222">
        <f t="shared" si="39"/>
        <v>2.25</v>
      </c>
      <c r="AS82" s="228">
        <v>2.37</v>
      </c>
      <c r="AT82" s="229">
        <v>2.83</v>
      </c>
    </row>
    <row r="83" spans="20:46" ht="15" customHeight="1" x14ac:dyDescent="0.25">
      <c r="T83" s="180">
        <f t="shared" si="40"/>
        <v>75</v>
      </c>
      <c r="V83" s="182">
        <f t="shared" si="31"/>
        <v>27</v>
      </c>
      <c r="W83" s="183">
        <f t="shared" si="29"/>
        <v>13.904258458465433</v>
      </c>
      <c r="X83" s="183">
        <f t="shared" si="29"/>
        <v>2.4679290317048341</v>
      </c>
      <c r="Y83" s="183">
        <f t="shared" si="29"/>
        <v>0.34753885378344834</v>
      </c>
      <c r="Z83" s="205">
        <f t="shared" si="32"/>
        <v>225</v>
      </c>
      <c r="AB83" s="182">
        <f t="shared" si="41"/>
        <v>27</v>
      </c>
      <c r="AC83" s="192">
        <f t="shared" si="30"/>
        <v>2073.6161461532556</v>
      </c>
      <c r="AD83" s="193">
        <f t="shared" si="30"/>
        <v>2194.6283307804583</v>
      </c>
      <c r="AE83" s="194">
        <f t="shared" si="30"/>
        <v>2206.3441456749433</v>
      </c>
      <c r="AF83" s="192">
        <f t="shared" si="33"/>
        <v>1800</v>
      </c>
      <c r="AG83" s="184">
        <f t="shared" si="34"/>
        <v>2207.6</v>
      </c>
      <c r="AI83" s="211">
        <f t="shared" si="35"/>
        <v>1655.6999999999998</v>
      </c>
      <c r="AJ83" s="213">
        <f t="shared" si="36"/>
        <v>1.0476000000000001</v>
      </c>
      <c r="AK83" s="214">
        <f t="shared" si="38"/>
        <v>0.34920000000000001</v>
      </c>
      <c r="AL83" s="217">
        <f t="shared" si="37"/>
        <v>1000000</v>
      </c>
      <c r="AN83" s="207">
        <f t="shared" si="42"/>
        <v>27</v>
      </c>
      <c r="AO83" s="222"/>
      <c r="AP83" s="223"/>
      <c r="AQ83" s="224"/>
      <c r="AR83" s="222">
        <f t="shared" si="39"/>
        <v>2.25</v>
      </c>
      <c r="AS83" s="228">
        <v>2.37</v>
      </c>
      <c r="AT83" s="229">
        <v>2.83</v>
      </c>
    </row>
    <row r="84" spans="20:46" ht="15" customHeight="1" x14ac:dyDescent="0.25">
      <c r="T84" s="180">
        <f t="shared" si="40"/>
        <v>76</v>
      </c>
      <c r="V84" s="182">
        <f t="shared" si="31"/>
        <v>27.36</v>
      </c>
      <c r="W84" s="183">
        <f t="shared" si="29"/>
        <v>13.39438958194124</v>
      </c>
      <c r="X84" s="183">
        <f t="shared" si="29"/>
        <v>2.30455462457348</v>
      </c>
      <c r="Y84" s="183">
        <f t="shared" si="29"/>
        <v>0.31458423123782792</v>
      </c>
      <c r="Z84" s="205">
        <f t="shared" si="32"/>
        <v>225</v>
      </c>
      <c r="AB84" s="182">
        <f t="shared" si="41"/>
        <v>27.36</v>
      </c>
      <c r="AC84" s="192">
        <f t="shared" si="30"/>
        <v>2078.5293313646271</v>
      </c>
      <c r="AD84" s="193">
        <f t="shared" si="30"/>
        <v>2195.4870421700571</v>
      </c>
      <c r="AE84" s="194">
        <f t="shared" si="30"/>
        <v>2206.4632293538011</v>
      </c>
      <c r="AF84" s="192">
        <f t="shared" si="33"/>
        <v>1800</v>
      </c>
      <c r="AG84" s="184">
        <f t="shared" si="34"/>
        <v>2207.6</v>
      </c>
      <c r="AI84" s="211">
        <f t="shared" si="35"/>
        <v>1677.7759999999998</v>
      </c>
      <c r="AJ84" s="213">
        <f t="shared" si="36"/>
        <v>1.0912500000000003</v>
      </c>
      <c r="AK84" s="214">
        <f t="shared" si="38"/>
        <v>0.3446052631578948</v>
      </c>
      <c r="AL84" s="217">
        <f t="shared" si="37"/>
        <v>1000000</v>
      </c>
      <c r="AN84" s="207">
        <f t="shared" si="42"/>
        <v>27.36</v>
      </c>
      <c r="AO84" s="222"/>
      <c r="AP84" s="223"/>
      <c r="AQ84" s="224"/>
      <c r="AR84" s="222">
        <f t="shared" si="39"/>
        <v>2.25</v>
      </c>
      <c r="AS84" s="228">
        <v>2.37</v>
      </c>
      <c r="AT84" s="229">
        <v>2.83</v>
      </c>
    </row>
    <row r="85" spans="20:46" ht="15" customHeight="1" x14ac:dyDescent="0.25">
      <c r="T85" s="180">
        <f t="shared" si="40"/>
        <v>77</v>
      </c>
      <c r="V85" s="182">
        <f t="shared" si="31"/>
        <v>27.72</v>
      </c>
      <c r="W85" s="183">
        <f t="shared" si="29"/>
        <v>12.903217586809509</v>
      </c>
      <c r="X85" s="183">
        <f t="shared" si="29"/>
        <v>2.1519954380431341</v>
      </c>
      <c r="Y85" s="183">
        <f t="shared" si="29"/>
        <v>0.28475445972771535</v>
      </c>
      <c r="Z85" s="205">
        <f t="shared" si="32"/>
        <v>225</v>
      </c>
      <c r="AB85" s="182">
        <f t="shared" si="41"/>
        <v>27.72</v>
      </c>
      <c r="AC85" s="192">
        <f t="shared" si="30"/>
        <v>2083.2623501736434</v>
      </c>
      <c r="AD85" s="193">
        <f t="shared" si="30"/>
        <v>2196.2889077337145</v>
      </c>
      <c r="AE85" s="194">
        <f t="shared" si="30"/>
        <v>2206.5710211795454</v>
      </c>
      <c r="AF85" s="192">
        <f t="shared" si="33"/>
        <v>1800</v>
      </c>
      <c r="AG85" s="184">
        <f t="shared" si="34"/>
        <v>2207.6</v>
      </c>
      <c r="AI85" s="211">
        <f t="shared" si="35"/>
        <v>1699.8519999999999</v>
      </c>
      <c r="AJ85" s="213">
        <f t="shared" si="36"/>
        <v>1.1386956521739133</v>
      </c>
      <c r="AK85" s="214">
        <f t="shared" si="38"/>
        <v>0.34012987012987017</v>
      </c>
      <c r="AL85" s="217">
        <f t="shared" si="37"/>
        <v>1000000</v>
      </c>
      <c r="AN85" s="207">
        <f t="shared" si="42"/>
        <v>27.72</v>
      </c>
      <c r="AO85" s="222"/>
      <c r="AP85" s="223"/>
      <c r="AQ85" s="224"/>
      <c r="AR85" s="222">
        <f t="shared" si="39"/>
        <v>2.25</v>
      </c>
      <c r="AS85" s="228">
        <v>2.37</v>
      </c>
      <c r="AT85" s="229">
        <v>2.83</v>
      </c>
    </row>
    <row r="86" spans="20:46" ht="15" customHeight="1" x14ac:dyDescent="0.25">
      <c r="T86" s="180">
        <f t="shared" si="40"/>
        <v>78</v>
      </c>
      <c r="V86" s="182">
        <f t="shared" si="31"/>
        <v>28.080000000000002</v>
      </c>
      <c r="W86" s="183">
        <f t="shared" si="29"/>
        <v>12.430056858807626</v>
      </c>
      <c r="X86" s="183">
        <f t="shared" si="29"/>
        <v>2.0095355154428431</v>
      </c>
      <c r="Y86" s="183">
        <f t="shared" si="29"/>
        <v>0.25775323199058248</v>
      </c>
      <c r="Z86" s="205">
        <f t="shared" si="32"/>
        <v>225</v>
      </c>
      <c r="AB86" s="182">
        <f t="shared" si="41"/>
        <v>28.080000000000002</v>
      </c>
      <c r="AC86" s="192">
        <f t="shared" si="30"/>
        <v>2087.8218092786365</v>
      </c>
      <c r="AD86" s="193">
        <f t="shared" si="30"/>
        <v>2197.0376906076435</v>
      </c>
      <c r="AE86" s="194">
        <f t="shared" si="30"/>
        <v>2206.6685918778035</v>
      </c>
      <c r="AF86" s="192">
        <f t="shared" si="33"/>
        <v>1800</v>
      </c>
      <c r="AG86" s="184">
        <f t="shared" si="34"/>
        <v>2207.6</v>
      </c>
      <c r="AI86" s="211">
        <f t="shared" si="35"/>
        <v>1721.9279999999999</v>
      </c>
      <c r="AJ86" s="213">
        <f t="shared" si="36"/>
        <v>1.1904545454545457</v>
      </c>
      <c r="AK86" s="214">
        <f t="shared" si="38"/>
        <v>0.33576923076923082</v>
      </c>
      <c r="AL86" s="217">
        <f t="shared" si="37"/>
        <v>1000000</v>
      </c>
      <c r="AN86" s="207">
        <f t="shared" si="42"/>
        <v>28.080000000000002</v>
      </c>
      <c r="AO86" s="222"/>
      <c r="AP86" s="223"/>
      <c r="AQ86" s="224"/>
      <c r="AR86" s="222">
        <f t="shared" si="39"/>
        <v>2.25</v>
      </c>
      <c r="AS86" s="228">
        <v>2.37</v>
      </c>
      <c r="AT86" s="229">
        <v>2.83</v>
      </c>
    </row>
    <row r="87" spans="20:46" ht="15" customHeight="1" x14ac:dyDescent="0.25">
      <c r="T87" s="180">
        <f t="shared" si="40"/>
        <v>79</v>
      </c>
      <c r="V87" s="182">
        <f t="shared" si="31"/>
        <v>28.44</v>
      </c>
      <c r="W87" s="183">
        <f t="shared" si="29"/>
        <v>11.974246925134146</v>
      </c>
      <c r="X87" s="183">
        <f t="shared" si="29"/>
        <v>1.8765062957095326</v>
      </c>
      <c r="Y87" s="183">
        <f t="shared" si="29"/>
        <v>0.23331233746125885</v>
      </c>
      <c r="Z87" s="205">
        <f t="shared" si="32"/>
        <v>225</v>
      </c>
      <c r="AB87" s="182">
        <f t="shared" si="41"/>
        <v>28.44</v>
      </c>
      <c r="AC87" s="192">
        <f t="shared" si="30"/>
        <v>2092.2140731104423</v>
      </c>
      <c r="AD87" s="193">
        <f t="shared" si="30"/>
        <v>2197.7369048122441</v>
      </c>
      <c r="AE87" s="194">
        <f t="shared" si="30"/>
        <v>2206.7569106449537</v>
      </c>
      <c r="AF87" s="192">
        <f t="shared" si="33"/>
        <v>1800</v>
      </c>
      <c r="AG87" s="184">
        <f t="shared" si="34"/>
        <v>2207.6</v>
      </c>
      <c r="AI87" s="211">
        <f t="shared" si="35"/>
        <v>1744.0039999999999</v>
      </c>
      <c r="AJ87" s="213">
        <f t="shared" si="36"/>
        <v>1.2471428571428576</v>
      </c>
      <c r="AK87" s="214">
        <f t="shared" si="38"/>
        <v>0.33151898734177221</v>
      </c>
      <c r="AL87" s="217">
        <f t="shared" si="37"/>
        <v>1000000</v>
      </c>
      <c r="AN87" s="207">
        <f t="shared" si="42"/>
        <v>28.44</v>
      </c>
      <c r="AO87" s="222"/>
      <c r="AP87" s="223"/>
      <c r="AQ87" s="224"/>
      <c r="AR87" s="222">
        <f t="shared" si="39"/>
        <v>2.25</v>
      </c>
      <c r="AS87" s="228">
        <v>2.37</v>
      </c>
      <c r="AT87" s="229">
        <v>2.83</v>
      </c>
    </row>
    <row r="88" spans="20:46" ht="15" customHeight="1" x14ac:dyDescent="0.25">
      <c r="T88" s="180">
        <f t="shared" si="40"/>
        <v>80</v>
      </c>
      <c r="V88" s="182">
        <f t="shared" si="31"/>
        <v>28.8</v>
      </c>
      <c r="W88" s="183">
        <f t="shared" ref="W88:Y108" si="43">W$6*EXP(-(W$6)/($C$8)*$V88)</f>
        <v>11.535151532511875</v>
      </c>
      <c r="X88" s="183">
        <f t="shared" si="43"/>
        <v>1.7522834758466699</v>
      </c>
      <c r="Y88" s="183">
        <f t="shared" si="43"/>
        <v>0.21118899806317518</v>
      </c>
      <c r="Z88" s="205">
        <f t="shared" si="32"/>
        <v>225</v>
      </c>
      <c r="AB88" s="182">
        <f t="shared" si="41"/>
        <v>28.8</v>
      </c>
      <c r="AC88" s="192">
        <f t="shared" ref="AC88:AE108" si="44">$C$8*(1-EXP(-(AC$6/$C$8)*$AB88))</f>
        <v>2096.4452727163489</v>
      </c>
      <c r="AD88" s="193">
        <f t="shared" si="44"/>
        <v>2198.3898317433182</v>
      </c>
      <c r="AE88" s="194">
        <f t="shared" si="44"/>
        <v>2206.8368547754167</v>
      </c>
      <c r="AF88" s="192">
        <f t="shared" si="33"/>
        <v>1800</v>
      </c>
      <c r="AG88" s="184">
        <f t="shared" si="34"/>
        <v>2207.6</v>
      </c>
      <c r="AI88" s="211">
        <f t="shared" si="35"/>
        <v>1766.08</v>
      </c>
      <c r="AJ88" s="213">
        <f t="shared" si="36"/>
        <v>1.3095000000000003</v>
      </c>
      <c r="AK88" s="214">
        <f t="shared" si="38"/>
        <v>0.32737500000000003</v>
      </c>
      <c r="AL88" s="217">
        <f t="shared" si="37"/>
        <v>1000000</v>
      </c>
      <c r="AN88" s="207">
        <f t="shared" si="42"/>
        <v>28.8</v>
      </c>
      <c r="AO88" s="222"/>
      <c r="AP88" s="223"/>
      <c r="AQ88" s="224"/>
      <c r="AR88" s="222">
        <f t="shared" si="39"/>
        <v>2.25</v>
      </c>
      <c r="AS88" s="228">
        <v>2.37</v>
      </c>
      <c r="AT88" s="229">
        <v>2.83</v>
      </c>
    </row>
    <row r="89" spans="20:46" ht="15" customHeight="1" x14ac:dyDescent="0.25">
      <c r="T89" s="180">
        <f t="shared" si="40"/>
        <v>81</v>
      </c>
      <c r="V89" s="182">
        <f t="shared" si="31"/>
        <v>29.160000000000004</v>
      </c>
      <c r="W89" s="183">
        <f t="shared" si="43"/>
        <v>11.112157759058434</v>
      </c>
      <c r="X89" s="183">
        <f t="shared" si="43"/>
        <v>1.636284081084997</v>
      </c>
      <c r="Y89" s="183">
        <f t="shared" si="43"/>
        <v>0.19116345662746492</v>
      </c>
      <c r="Z89" s="205">
        <f t="shared" si="32"/>
        <v>225</v>
      </c>
      <c r="AB89" s="182">
        <f t="shared" si="41"/>
        <v>29.160000000000004</v>
      </c>
      <c r="AC89" s="192">
        <f t="shared" si="44"/>
        <v>2100.5213143182627</v>
      </c>
      <c r="AD89" s="193">
        <f t="shared" si="44"/>
        <v>2198.9995355715823</v>
      </c>
      <c r="AE89" s="194">
        <f t="shared" si="44"/>
        <v>2206.9092183760613</v>
      </c>
      <c r="AF89" s="192">
        <f t="shared" si="33"/>
        <v>1800</v>
      </c>
      <c r="AG89" s="184">
        <f t="shared" si="34"/>
        <v>2207.6</v>
      </c>
      <c r="AI89" s="211">
        <f t="shared" si="35"/>
        <v>1788.1559999999999</v>
      </c>
      <c r="AJ89" s="213">
        <f t="shared" si="36"/>
        <v>1.3784210526315797</v>
      </c>
      <c r="AK89" s="214">
        <f t="shared" si="38"/>
        <v>0.32333333333333336</v>
      </c>
      <c r="AL89" s="217">
        <f t="shared" si="37"/>
        <v>1000000</v>
      </c>
      <c r="AN89" s="207">
        <f t="shared" si="42"/>
        <v>29.160000000000004</v>
      </c>
      <c r="AO89" s="222"/>
      <c r="AP89" s="223"/>
      <c r="AQ89" s="224"/>
      <c r="AR89" s="222">
        <f t="shared" si="39"/>
        <v>2.25</v>
      </c>
      <c r="AS89" s="228">
        <v>2.37</v>
      </c>
      <c r="AT89" s="229">
        <v>2.83</v>
      </c>
    </row>
    <row r="90" spans="20:46" ht="15" customHeight="1" x14ac:dyDescent="0.25">
      <c r="T90" s="180">
        <f t="shared" si="40"/>
        <v>82</v>
      </c>
      <c r="V90" s="182">
        <f t="shared" si="31"/>
        <v>29.52</v>
      </c>
      <c r="W90" s="183">
        <f t="shared" si="43"/>
        <v>10.704675158724497</v>
      </c>
      <c r="X90" s="183">
        <f t="shared" si="43"/>
        <v>1.5279637289956733</v>
      </c>
      <c r="Y90" s="183">
        <f t="shared" si="43"/>
        <v>0.17303679398502125</v>
      </c>
      <c r="Z90" s="205">
        <f t="shared" si="32"/>
        <v>225</v>
      </c>
      <c r="AB90" s="182">
        <f t="shared" si="41"/>
        <v>29.52</v>
      </c>
      <c r="AC90" s="192">
        <f t="shared" si="44"/>
        <v>2104.447887557053</v>
      </c>
      <c r="AD90" s="193">
        <f t="shared" si="44"/>
        <v>2199.5688776227503</v>
      </c>
      <c r="AE90" s="194">
        <f t="shared" si="44"/>
        <v>2206.974720254284</v>
      </c>
      <c r="AF90" s="192">
        <f t="shared" si="33"/>
        <v>1800</v>
      </c>
      <c r="AG90" s="184">
        <f t="shared" si="34"/>
        <v>2207.6</v>
      </c>
      <c r="AI90" s="211">
        <f t="shared" si="35"/>
        <v>1810.2319999999997</v>
      </c>
      <c r="AJ90" s="213">
        <f t="shared" si="36"/>
        <v>1.4549999999999996</v>
      </c>
      <c r="AK90" s="214">
        <f t="shared" si="38"/>
        <v>0.31939024390243909</v>
      </c>
      <c r="AL90" s="217">
        <f t="shared" si="37"/>
        <v>1000000</v>
      </c>
      <c r="AN90" s="207">
        <f t="shared" si="42"/>
        <v>29.52</v>
      </c>
      <c r="AO90" s="222"/>
      <c r="AP90" s="223"/>
      <c r="AQ90" s="224"/>
      <c r="AR90" s="222">
        <f t="shared" si="39"/>
        <v>2.25</v>
      </c>
      <c r="AS90" s="228">
        <v>2.37</v>
      </c>
      <c r="AT90" s="229">
        <v>2.83</v>
      </c>
    </row>
    <row r="91" spans="20:46" ht="15" customHeight="1" x14ac:dyDescent="0.25">
      <c r="T91" s="180">
        <f t="shared" si="40"/>
        <v>83</v>
      </c>
      <c r="V91" s="182">
        <f t="shared" si="31"/>
        <v>29.88</v>
      </c>
      <c r="W91" s="183">
        <f t="shared" si="43"/>
        <v>10.312134937105396</v>
      </c>
      <c r="X91" s="183">
        <f t="shared" si="43"/>
        <v>1.4268140747163367</v>
      </c>
      <c r="Y91" s="183">
        <f t="shared" si="43"/>
        <v>0.15662895304809468</v>
      </c>
      <c r="Z91" s="205">
        <f t="shared" si="32"/>
        <v>225</v>
      </c>
      <c r="AB91" s="182">
        <f t="shared" si="41"/>
        <v>29.88</v>
      </c>
      <c r="AC91" s="192">
        <f t="shared" si="44"/>
        <v>2108.2304734345735</v>
      </c>
      <c r="AD91" s="193">
        <f t="shared" si="44"/>
        <v>2200.1005298056643</v>
      </c>
      <c r="AE91" s="194">
        <f t="shared" si="44"/>
        <v>2207.0340110581215</v>
      </c>
      <c r="AF91" s="192">
        <f t="shared" si="33"/>
        <v>1800</v>
      </c>
      <c r="AG91" s="184">
        <f t="shared" si="34"/>
        <v>2207.6</v>
      </c>
      <c r="AI91" s="211">
        <f t="shared" si="35"/>
        <v>1832.3079999999998</v>
      </c>
      <c r="AJ91" s="213">
        <f t="shared" si="36"/>
        <v>1.5405882352941174</v>
      </c>
      <c r="AK91" s="214">
        <f t="shared" si="38"/>
        <v>0.31554216867469886</v>
      </c>
      <c r="AL91" s="217">
        <f t="shared" si="37"/>
        <v>1000000</v>
      </c>
      <c r="AN91" s="207">
        <f t="shared" si="42"/>
        <v>29.88</v>
      </c>
      <c r="AO91" s="222"/>
      <c r="AP91" s="223"/>
      <c r="AQ91" s="224"/>
      <c r="AR91" s="222">
        <f t="shared" si="39"/>
        <v>2.25</v>
      </c>
      <c r="AS91" s="228">
        <v>2.37</v>
      </c>
      <c r="AT91" s="229">
        <v>2.83</v>
      </c>
    </row>
    <row r="92" spans="20:46" ht="15" customHeight="1" x14ac:dyDescent="0.25">
      <c r="T92" s="180">
        <f t="shared" si="40"/>
        <v>84</v>
      </c>
      <c r="V92" s="182">
        <f t="shared" si="31"/>
        <v>30.24</v>
      </c>
      <c r="W92" s="183">
        <f t="shared" si="43"/>
        <v>9.9339891574758017</v>
      </c>
      <c r="X92" s="183">
        <f t="shared" si="43"/>
        <v>1.3323604253006447</v>
      </c>
      <c r="Y92" s="183">
        <f t="shared" si="43"/>
        <v>0.14177695025409384</v>
      </c>
      <c r="Z92" s="205">
        <f t="shared" si="32"/>
        <v>225</v>
      </c>
      <c r="AB92" s="182">
        <f t="shared" si="41"/>
        <v>30.24</v>
      </c>
      <c r="AC92" s="192">
        <f t="shared" si="44"/>
        <v>2111.8743519644499</v>
      </c>
      <c r="AD92" s="193">
        <f t="shared" si="44"/>
        <v>2200.5969871515031</v>
      </c>
      <c r="AE92" s="194">
        <f t="shared" si="44"/>
        <v>2207.0876797393107</v>
      </c>
      <c r="AF92" s="192">
        <f t="shared" si="33"/>
        <v>1800</v>
      </c>
      <c r="AG92" s="184">
        <f t="shared" si="34"/>
        <v>2207.6</v>
      </c>
      <c r="AI92" s="211">
        <f t="shared" si="35"/>
        <v>1854.3839999999998</v>
      </c>
      <c r="AJ92" s="213">
        <f t="shared" si="36"/>
        <v>1.6368749999999999</v>
      </c>
      <c r="AK92" s="214">
        <f t="shared" si="38"/>
        <v>0.31178571428571433</v>
      </c>
      <c r="AL92" s="217">
        <f t="shared" si="37"/>
        <v>1000000</v>
      </c>
      <c r="AN92" s="207">
        <f t="shared" si="42"/>
        <v>30.24</v>
      </c>
      <c r="AO92" s="222"/>
      <c r="AP92" s="223"/>
      <c r="AQ92" s="224"/>
      <c r="AR92" s="222">
        <f t="shared" si="39"/>
        <v>2.25</v>
      </c>
      <c r="AS92" s="228">
        <v>2.37</v>
      </c>
      <c r="AT92" s="229">
        <v>2.83</v>
      </c>
    </row>
    <row r="93" spans="20:46" ht="15" customHeight="1" x14ac:dyDescent="0.25">
      <c r="T93" s="180">
        <f t="shared" si="40"/>
        <v>85</v>
      </c>
      <c r="V93" s="182">
        <f t="shared" si="31"/>
        <v>30.599999999999998</v>
      </c>
      <c r="W93" s="183">
        <f t="shared" si="43"/>
        <v>9.5697099759390163</v>
      </c>
      <c r="X93" s="183">
        <f t="shared" si="43"/>
        <v>1.2441595119954498</v>
      </c>
      <c r="Y93" s="183">
        <f t="shared" si="43"/>
        <v>0.1283332566053714</v>
      </c>
      <c r="Z93" s="205">
        <f t="shared" si="32"/>
        <v>225</v>
      </c>
      <c r="AB93" s="182">
        <f t="shared" si="41"/>
        <v>30.599999999999998</v>
      </c>
      <c r="AC93" s="192">
        <f t="shared" si="44"/>
        <v>2115.384609542316</v>
      </c>
      <c r="AD93" s="193">
        <f t="shared" si="44"/>
        <v>2201.0605795229035</v>
      </c>
      <c r="AE93" s="194">
        <f t="shared" si="44"/>
        <v>2207.1362594035113</v>
      </c>
      <c r="AF93" s="192">
        <f t="shared" si="33"/>
        <v>1800</v>
      </c>
      <c r="AG93" s="184">
        <f t="shared" si="34"/>
        <v>2207.6</v>
      </c>
      <c r="AI93" s="211">
        <f t="shared" si="35"/>
        <v>1876.4599999999998</v>
      </c>
      <c r="AJ93" s="213">
        <f t="shared" si="36"/>
        <v>1.746</v>
      </c>
      <c r="AK93" s="214">
        <f t="shared" si="38"/>
        <v>0.30811764705882355</v>
      </c>
      <c r="AL93" s="217">
        <f t="shared" si="37"/>
        <v>1000000</v>
      </c>
      <c r="AN93" s="207">
        <f t="shared" si="42"/>
        <v>30.599999999999998</v>
      </c>
      <c r="AO93" s="222"/>
      <c r="AP93" s="223"/>
      <c r="AQ93" s="224"/>
      <c r="AR93" s="222">
        <f t="shared" si="39"/>
        <v>2.25</v>
      </c>
      <c r="AS93" s="228">
        <v>2.37</v>
      </c>
      <c r="AT93" s="229">
        <v>2.83</v>
      </c>
    </row>
    <row r="94" spans="20:46" ht="15" customHeight="1" x14ac:dyDescent="0.25">
      <c r="T94" s="180">
        <f t="shared" si="40"/>
        <v>86</v>
      </c>
      <c r="V94" s="182">
        <f t="shared" si="31"/>
        <v>30.96</v>
      </c>
      <c r="W94" s="183">
        <f t="shared" si="43"/>
        <v>9.2187889046233629</v>
      </c>
      <c r="X94" s="183">
        <f t="shared" si="43"/>
        <v>1.1617974099909683</v>
      </c>
      <c r="Y94" s="183">
        <f t="shared" si="43"/>
        <v>0.1161643322234216</v>
      </c>
      <c r="Z94" s="205">
        <f t="shared" si="32"/>
        <v>225</v>
      </c>
      <c r="AB94" s="182">
        <f t="shared" si="41"/>
        <v>30.96</v>
      </c>
      <c r="AC94" s="192">
        <f t="shared" si="44"/>
        <v>2118.7661460457798</v>
      </c>
      <c r="AD94" s="193">
        <f t="shared" si="44"/>
        <v>2201.4934825479513</v>
      </c>
      <c r="AE94" s="194">
        <f t="shared" si="44"/>
        <v>2207.1802326057878</v>
      </c>
      <c r="AF94" s="192">
        <f t="shared" si="33"/>
        <v>1800</v>
      </c>
      <c r="AG94" s="184">
        <f t="shared" si="34"/>
        <v>2207.6</v>
      </c>
      <c r="AI94" s="211">
        <f t="shared" si="35"/>
        <v>1898.5359999999998</v>
      </c>
      <c r="AJ94" s="213">
        <f t="shared" si="36"/>
        <v>1.8707142857142858</v>
      </c>
      <c r="AK94" s="214">
        <f t="shared" si="38"/>
        <v>0.30453488372093029</v>
      </c>
      <c r="AL94" s="217">
        <f t="shared" si="37"/>
        <v>1000000</v>
      </c>
      <c r="AN94" s="207">
        <f t="shared" si="42"/>
        <v>30.96</v>
      </c>
      <c r="AO94" s="222"/>
      <c r="AP94" s="223"/>
      <c r="AQ94" s="224"/>
      <c r="AR94" s="222">
        <f t="shared" si="39"/>
        <v>2.25</v>
      </c>
      <c r="AS94" s="228">
        <v>2.37</v>
      </c>
      <c r="AT94" s="229">
        <v>2.83</v>
      </c>
    </row>
    <row r="95" spans="20:46" ht="15" customHeight="1" x14ac:dyDescent="0.25">
      <c r="T95" s="180">
        <f t="shared" si="40"/>
        <v>87</v>
      </c>
      <c r="V95" s="182">
        <f t="shared" si="31"/>
        <v>31.32</v>
      </c>
      <c r="W95" s="183">
        <f t="shared" si="43"/>
        <v>8.880736101897142</v>
      </c>
      <c r="X95" s="183">
        <f t="shared" si="43"/>
        <v>1.0848875958814033</v>
      </c>
      <c r="Y95" s="183">
        <f t="shared" si="43"/>
        <v>0.10514929986081792</v>
      </c>
      <c r="Z95" s="205">
        <f t="shared" si="32"/>
        <v>225</v>
      </c>
      <c r="AB95" s="182">
        <f t="shared" si="41"/>
        <v>31.32</v>
      </c>
      <c r="AC95" s="192">
        <f t="shared" si="44"/>
        <v>2122.0236816740376</v>
      </c>
      <c r="AD95" s="193">
        <f t="shared" si="44"/>
        <v>2201.8977278303519</v>
      </c>
      <c r="AE95" s="194">
        <f t="shared" si="44"/>
        <v>2207.2200361439614</v>
      </c>
      <c r="AF95" s="192">
        <f t="shared" si="33"/>
        <v>1800</v>
      </c>
      <c r="AG95" s="184">
        <f t="shared" si="34"/>
        <v>2207.6</v>
      </c>
      <c r="AI95" s="211">
        <f t="shared" si="35"/>
        <v>1920.6119999999999</v>
      </c>
      <c r="AJ95" s="213">
        <f t="shared" si="36"/>
        <v>2.0146153846153845</v>
      </c>
      <c r="AK95" s="214">
        <f t="shared" si="38"/>
        <v>0.30103448275862071</v>
      </c>
      <c r="AL95" s="217">
        <f t="shared" si="37"/>
        <v>1000000</v>
      </c>
      <c r="AN95" s="207">
        <f t="shared" si="42"/>
        <v>31.32</v>
      </c>
      <c r="AO95" s="222"/>
      <c r="AP95" s="223"/>
      <c r="AQ95" s="224"/>
      <c r="AR95" s="222">
        <f t="shared" si="39"/>
        <v>2.25</v>
      </c>
      <c r="AS95" s="228">
        <v>2.37</v>
      </c>
      <c r="AT95" s="229">
        <v>2.83</v>
      </c>
    </row>
    <row r="96" spans="20:46" ht="15" customHeight="1" x14ac:dyDescent="0.25">
      <c r="T96" s="180">
        <f t="shared" si="40"/>
        <v>88</v>
      </c>
      <c r="V96" s="182">
        <f t="shared" si="31"/>
        <v>31.68</v>
      </c>
      <c r="W96" s="183">
        <f t="shared" si="43"/>
        <v>8.5550796886113751</v>
      </c>
      <c r="X96" s="183">
        <f t="shared" si="43"/>
        <v>1.0130691337196911</v>
      </c>
      <c r="Y96" s="183">
        <f t="shared" si="43"/>
        <v>9.5178744194519146E-2</v>
      </c>
      <c r="Z96" s="205">
        <f t="shared" si="32"/>
        <v>225</v>
      </c>
      <c r="AB96" s="182">
        <f t="shared" si="41"/>
        <v>31.68</v>
      </c>
      <c r="AC96" s="192">
        <f t="shared" si="44"/>
        <v>2125.1617635366747</v>
      </c>
      <c r="AD96" s="193">
        <f t="shared" si="44"/>
        <v>2202.2752124836989</v>
      </c>
      <c r="AE96" s="194">
        <f t="shared" si="44"/>
        <v>2207.2560653974401</v>
      </c>
      <c r="AF96" s="192">
        <f t="shared" si="33"/>
        <v>1800</v>
      </c>
      <c r="AG96" s="184">
        <f t="shared" si="34"/>
        <v>2207.6</v>
      </c>
      <c r="AI96" s="211">
        <f t="shared" si="35"/>
        <v>1942.6879999999999</v>
      </c>
      <c r="AJ96" s="213">
        <f t="shared" si="36"/>
        <v>2.1825000000000006</v>
      </c>
      <c r="AK96" s="214">
        <f t="shared" si="38"/>
        <v>0.29761363636363636</v>
      </c>
      <c r="AL96" s="217">
        <f t="shared" si="37"/>
        <v>1000000</v>
      </c>
      <c r="AN96" s="207">
        <f t="shared" si="42"/>
        <v>31.68</v>
      </c>
      <c r="AO96" s="222"/>
      <c r="AP96" s="223"/>
      <c r="AQ96" s="224"/>
      <c r="AR96" s="222">
        <f t="shared" si="39"/>
        <v>2.25</v>
      </c>
      <c r="AS96" s="228">
        <v>2.37</v>
      </c>
      <c r="AT96" s="229">
        <v>2.83</v>
      </c>
    </row>
    <row r="97" spans="20:46" ht="15" customHeight="1" x14ac:dyDescent="0.25">
      <c r="T97" s="180">
        <f t="shared" si="40"/>
        <v>89</v>
      </c>
      <c r="V97" s="182">
        <f t="shared" si="31"/>
        <v>32.04</v>
      </c>
      <c r="W97" s="183">
        <f t="shared" si="43"/>
        <v>8.2413650894159414</v>
      </c>
      <c r="X97" s="183">
        <f t="shared" si="43"/>
        <v>0.94600498115360288</v>
      </c>
      <c r="Y97" s="183">
        <f t="shared" si="43"/>
        <v>8.6153624973602003E-2</v>
      </c>
      <c r="Z97" s="205">
        <f t="shared" si="32"/>
        <v>225</v>
      </c>
      <c r="AB97" s="182">
        <f t="shared" si="41"/>
        <v>32.04</v>
      </c>
      <c r="AC97" s="192">
        <f t="shared" si="44"/>
        <v>2128.1847720008623</v>
      </c>
      <c r="AD97" s="193">
        <f t="shared" si="44"/>
        <v>2202.627708034584</v>
      </c>
      <c r="AE97" s="194">
        <f t="shared" si="44"/>
        <v>2207.2886782546339</v>
      </c>
      <c r="AF97" s="192">
        <f t="shared" si="33"/>
        <v>1800</v>
      </c>
      <c r="AG97" s="184">
        <f t="shared" si="34"/>
        <v>2207.6</v>
      </c>
      <c r="AI97" s="211">
        <f t="shared" si="35"/>
        <v>1964.7639999999999</v>
      </c>
      <c r="AJ97" s="213">
        <f t="shared" si="36"/>
        <v>2.3809090909090913</v>
      </c>
      <c r="AK97" s="214">
        <f t="shared" si="38"/>
        <v>0.29426966292134837</v>
      </c>
      <c r="AL97" s="217">
        <f t="shared" si="37"/>
        <v>1000000</v>
      </c>
      <c r="AN97" s="207">
        <f t="shared" si="42"/>
        <v>32.04</v>
      </c>
      <c r="AO97" s="222"/>
      <c r="AP97" s="223"/>
      <c r="AQ97" s="224"/>
      <c r="AR97" s="222">
        <f t="shared" si="39"/>
        <v>2.25</v>
      </c>
      <c r="AS97" s="228">
        <v>2.37</v>
      </c>
      <c r="AT97" s="229">
        <v>2.83</v>
      </c>
    </row>
    <row r="98" spans="20:46" ht="15" customHeight="1" x14ac:dyDescent="0.25">
      <c r="T98" s="180">
        <f t="shared" si="40"/>
        <v>90</v>
      </c>
      <c r="V98" s="182">
        <f t="shared" si="31"/>
        <v>32.4</v>
      </c>
      <c r="W98" s="183">
        <f t="shared" si="43"/>
        <v>7.9391543982296122</v>
      </c>
      <c r="X98" s="183">
        <f t="shared" si="43"/>
        <v>0.88338040769392223</v>
      </c>
      <c r="Y98" s="183">
        <f t="shared" si="43"/>
        <v>7.7984293225414086E-2</v>
      </c>
      <c r="Z98" s="205">
        <f t="shared" si="32"/>
        <v>225</v>
      </c>
      <c r="AB98" s="182">
        <f t="shared" si="41"/>
        <v>32.4</v>
      </c>
      <c r="AC98" s="192">
        <f t="shared" si="44"/>
        <v>2131.0969268057943</v>
      </c>
      <c r="AD98" s="193">
        <f t="shared" si="44"/>
        <v>2202.9568687363289</v>
      </c>
      <c r="AE98" s="194">
        <f t="shared" si="44"/>
        <v>2207.3181986679547</v>
      </c>
      <c r="AF98" s="192">
        <f t="shared" si="33"/>
        <v>1800</v>
      </c>
      <c r="AG98" s="184">
        <f t="shared" si="34"/>
        <v>2207.6</v>
      </c>
      <c r="AI98" s="211">
        <f t="shared" si="35"/>
        <v>1986.84</v>
      </c>
      <c r="AJ98" s="213">
        <f t="shared" si="36"/>
        <v>2.6190000000000007</v>
      </c>
      <c r="AK98" s="214">
        <f t="shared" si="38"/>
        <v>0.29100000000000004</v>
      </c>
      <c r="AL98" s="217">
        <f t="shared" si="37"/>
        <v>1000000</v>
      </c>
      <c r="AN98" s="207">
        <f t="shared" si="42"/>
        <v>32.4</v>
      </c>
      <c r="AO98" s="222"/>
      <c r="AP98" s="223"/>
      <c r="AQ98" s="224"/>
      <c r="AR98" s="222">
        <f t="shared" si="39"/>
        <v>2.25</v>
      </c>
      <c r="AS98" s="228">
        <v>2.37</v>
      </c>
      <c r="AT98" s="229">
        <v>2.83</v>
      </c>
    </row>
    <row r="99" spans="20:46" ht="15" customHeight="1" x14ac:dyDescent="0.25">
      <c r="T99" s="180">
        <f t="shared" si="40"/>
        <v>91</v>
      </c>
      <c r="V99" s="182">
        <f t="shared" si="31"/>
        <v>32.76</v>
      </c>
      <c r="W99" s="183">
        <f t="shared" si="43"/>
        <v>7.6480257669783036</v>
      </c>
      <c r="X99" s="183">
        <f t="shared" si="43"/>
        <v>0.82490151769166298</v>
      </c>
      <c r="Y99" s="183">
        <f t="shared" si="43"/>
        <v>7.0589600747859291E-2</v>
      </c>
      <c r="Z99" s="205">
        <f t="shared" si="32"/>
        <v>225</v>
      </c>
      <c r="AB99" s="182">
        <f t="shared" si="41"/>
        <v>32.76</v>
      </c>
      <c r="AC99" s="192">
        <f t="shared" si="44"/>
        <v>2133.9022929529137</v>
      </c>
      <c r="AD99" s="193">
        <f t="shared" si="44"/>
        <v>2203.2642393323595</v>
      </c>
      <c r="AE99" s="194">
        <f t="shared" si="44"/>
        <v>2207.3449198717262</v>
      </c>
      <c r="AF99" s="192">
        <f t="shared" si="33"/>
        <v>1800</v>
      </c>
      <c r="AG99" s="184">
        <f t="shared" si="34"/>
        <v>2207.6</v>
      </c>
      <c r="AI99" s="211">
        <f t="shared" si="35"/>
        <v>2008.9159999999999</v>
      </c>
      <c r="AJ99" s="213">
        <f t="shared" si="36"/>
        <v>2.910000000000001</v>
      </c>
      <c r="AK99" s="214">
        <f t="shared" si="38"/>
        <v>0.28780219780219785</v>
      </c>
      <c r="AL99" s="217">
        <f t="shared" si="37"/>
        <v>1000000</v>
      </c>
      <c r="AN99" s="207">
        <f t="shared" si="42"/>
        <v>32.76</v>
      </c>
      <c r="AO99" s="222"/>
      <c r="AP99" s="223"/>
      <c r="AQ99" s="224"/>
      <c r="AR99" s="222">
        <f t="shared" si="39"/>
        <v>2.25</v>
      </c>
      <c r="AS99" s="228">
        <v>2.37</v>
      </c>
      <c r="AT99" s="229">
        <v>2.83</v>
      </c>
    </row>
    <row r="100" spans="20:46" ht="15" customHeight="1" x14ac:dyDescent="0.25">
      <c r="T100" s="180">
        <f t="shared" si="40"/>
        <v>92</v>
      </c>
      <c r="V100" s="182">
        <f t="shared" si="31"/>
        <v>33.120000000000005</v>
      </c>
      <c r="W100" s="183">
        <f t="shared" si="43"/>
        <v>7.3675728167482832</v>
      </c>
      <c r="X100" s="183">
        <f t="shared" si="43"/>
        <v>0.7702938710927103</v>
      </c>
      <c r="Y100" s="183">
        <f t="shared" si="43"/>
        <v>6.3896094042156404E-2</v>
      </c>
      <c r="Z100" s="205">
        <f t="shared" si="32"/>
        <v>225</v>
      </c>
      <c r="AB100" s="182">
        <f t="shared" si="41"/>
        <v>33.120000000000005</v>
      </c>
      <c r="AC100" s="192">
        <f t="shared" si="44"/>
        <v>2136.6047863801432</v>
      </c>
      <c r="AD100" s="193">
        <f t="shared" si="44"/>
        <v>2203.5512623056457</v>
      </c>
      <c r="AE100" s="194">
        <f t="shared" si="44"/>
        <v>2207.3691072949587</v>
      </c>
      <c r="AF100" s="192">
        <f t="shared" si="33"/>
        <v>1800</v>
      </c>
      <c r="AG100" s="184">
        <f t="shared" si="34"/>
        <v>2207.6</v>
      </c>
      <c r="AI100" s="211">
        <f t="shared" si="35"/>
        <v>2030.992</v>
      </c>
      <c r="AJ100" s="213">
        <f t="shared" si="36"/>
        <v>3.2737500000000019</v>
      </c>
      <c r="AK100" s="214">
        <f t="shared" si="38"/>
        <v>0.28467391304347828</v>
      </c>
      <c r="AL100" s="217">
        <f t="shared" si="37"/>
        <v>1000000</v>
      </c>
      <c r="AN100" s="207">
        <f t="shared" si="42"/>
        <v>33.120000000000005</v>
      </c>
      <c r="AO100" s="222"/>
      <c r="AP100" s="223"/>
      <c r="AQ100" s="224"/>
      <c r="AR100" s="222">
        <f t="shared" si="39"/>
        <v>2.25</v>
      </c>
      <c r="AS100" s="228">
        <v>2.37</v>
      </c>
      <c r="AT100" s="229">
        <v>2.83</v>
      </c>
    </row>
    <row r="101" spans="20:46" ht="15" customHeight="1" x14ac:dyDescent="0.25">
      <c r="T101" s="180">
        <f t="shared" si="40"/>
        <v>93</v>
      </c>
      <c r="V101" s="182">
        <f t="shared" si="31"/>
        <v>33.480000000000004</v>
      </c>
      <c r="W101" s="183">
        <f t="shared" si="43"/>
        <v>7.0974040705323693</v>
      </c>
      <c r="X101" s="183">
        <f t="shared" si="43"/>
        <v>0.71930119549711047</v>
      </c>
      <c r="Y101" s="183">
        <f t="shared" si="43"/>
        <v>5.7837284679187292E-2</v>
      </c>
      <c r="Z101" s="205">
        <f t="shared" si="32"/>
        <v>225</v>
      </c>
      <c r="AB101" s="182">
        <f t="shared" si="41"/>
        <v>33.480000000000004</v>
      </c>
      <c r="AC101" s="192">
        <f t="shared" si="44"/>
        <v>2139.2081794280416</v>
      </c>
      <c r="AD101" s="193">
        <f t="shared" si="44"/>
        <v>2203.8192846482448</v>
      </c>
      <c r="AE101" s="194">
        <f t="shared" si="44"/>
        <v>2207.3910011979287</v>
      </c>
      <c r="AF101" s="192">
        <f t="shared" si="33"/>
        <v>1800</v>
      </c>
      <c r="AG101" s="184">
        <f t="shared" si="34"/>
        <v>2207.6</v>
      </c>
      <c r="AI101" s="211">
        <f t="shared" si="35"/>
        <v>2053.0680000000002</v>
      </c>
      <c r="AJ101" s="213">
        <f t="shared" si="36"/>
        <v>3.7414285714285804</v>
      </c>
      <c r="AK101" s="214">
        <f t="shared" si="38"/>
        <v>0.2816129032258064</v>
      </c>
      <c r="AL101" s="217">
        <f t="shared" si="37"/>
        <v>1000000</v>
      </c>
      <c r="AN101" s="207">
        <f t="shared" si="42"/>
        <v>33.480000000000004</v>
      </c>
      <c r="AO101" s="222"/>
      <c r="AP101" s="223"/>
      <c r="AQ101" s="224"/>
      <c r="AR101" s="222">
        <f t="shared" si="39"/>
        <v>2.25</v>
      </c>
      <c r="AS101" s="228">
        <v>2.37</v>
      </c>
      <c r="AT101" s="229">
        <v>2.83</v>
      </c>
    </row>
    <row r="102" spans="20:46" ht="15" customHeight="1" x14ac:dyDescent="0.25">
      <c r="T102" s="180">
        <f t="shared" si="40"/>
        <v>94</v>
      </c>
      <c r="V102" s="182">
        <f t="shared" si="31"/>
        <v>33.839999999999996</v>
      </c>
      <c r="W102" s="183">
        <f t="shared" si="43"/>
        <v>6.8371424067773132</v>
      </c>
      <c r="X102" s="183">
        <f t="shared" si="43"/>
        <v>0.67168418347872416</v>
      </c>
      <c r="Y102" s="183">
        <f t="shared" si="43"/>
        <v>5.2352988851780913E-2</v>
      </c>
      <c r="Z102" s="205">
        <f t="shared" si="32"/>
        <v>225</v>
      </c>
      <c r="AB102" s="182">
        <f t="shared" si="41"/>
        <v>33.839999999999996</v>
      </c>
      <c r="AC102" s="192">
        <f t="shared" si="44"/>
        <v>2141.7161061055149</v>
      </c>
      <c r="AD102" s="193">
        <f t="shared" si="44"/>
        <v>2204.0695641827006</v>
      </c>
      <c r="AE102" s="194">
        <f t="shared" si="44"/>
        <v>2207.4108190587513</v>
      </c>
      <c r="AF102" s="192">
        <f t="shared" si="33"/>
        <v>1800</v>
      </c>
      <c r="AG102" s="184">
        <f t="shared" si="34"/>
        <v>2207.6</v>
      </c>
      <c r="AI102" s="211">
        <f t="shared" si="35"/>
        <v>2075.1439999999998</v>
      </c>
      <c r="AJ102" s="213">
        <f t="shared" si="36"/>
        <v>4.3649999999999967</v>
      </c>
      <c r="AK102" s="214">
        <f t="shared" si="38"/>
        <v>0.27861702127659577</v>
      </c>
      <c r="AL102" s="217">
        <f t="shared" si="37"/>
        <v>1000000</v>
      </c>
      <c r="AN102" s="207">
        <f t="shared" si="42"/>
        <v>33.839999999999996</v>
      </c>
      <c r="AO102" s="222"/>
      <c r="AP102" s="223"/>
      <c r="AQ102" s="224"/>
      <c r="AR102" s="222">
        <f t="shared" si="39"/>
        <v>2.25</v>
      </c>
      <c r="AS102" s="228">
        <v>2.37</v>
      </c>
      <c r="AT102" s="229">
        <v>2.83</v>
      </c>
    </row>
    <row r="103" spans="20:46" ht="15" customHeight="1" x14ac:dyDescent="0.25">
      <c r="T103" s="180">
        <f t="shared" si="40"/>
        <v>95</v>
      </c>
      <c r="V103" s="182">
        <f t="shared" si="31"/>
        <v>34.199999999999996</v>
      </c>
      <c r="W103" s="183">
        <f t="shared" si="43"/>
        <v>6.586424532969593</v>
      </c>
      <c r="X103" s="183">
        <f t="shared" si="43"/>
        <v>0.62721936952111235</v>
      </c>
      <c r="Y103" s="183">
        <f t="shared" si="43"/>
        <v>4.7388729552529964E-2</v>
      </c>
      <c r="Z103" s="205">
        <f t="shared" si="32"/>
        <v>225</v>
      </c>
      <c r="AB103" s="182">
        <f t="shared" si="41"/>
        <v>34.199999999999996</v>
      </c>
      <c r="AC103" s="192">
        <f t="shared" si="44"/>
        <v>2144.1320671624362</v>
      </c>
      <c r="AD103" s="193">
        <f t="shared" si="44"/>
        <v>2204.3032754649767</v>
      </c>
      <c r="AE103" s="194">
        <f t="shared" si="44"/>
        <v>2207.4287577336472</v>
      </c>
      <c r="AF103" s="192">
        <f t="shared" si="33"/>
        <v>1800</v>
      </c>
      <c r="AG103" s="184">
        <f t="shared" si="34"/>
        <v>2207.6</v>
      </c>
      <c r="AI103" s="211">
        <f t="shared" si="35"/>
        <v>2097.2199999999998</v>
      </c>
      <c r="AJ103" s="213">
        <f t="shared" si="36"/>
        <v>5.237999999999996</v>
      </c>
      <c r="AK103" s="214">
        <f t="shared" si="38"/>
        <v>0.27568421052631581</v>
      </c>
      <c r="AL103" s="217">
        <f t="shared" si="37"/>
        <v>1000000</v>
      </c>
      <c r="AN103" s="207">
        <f t="shared" si="42"/>
        <v>34.199999999999996</v>
      </c>
      <c r="AO103" s="222"/>
      <c r="AP103" s="223"/>
      <c r="AQ103" s="224"/>
      <c r="AR103" s="222">
        <f t="shared" si="39"/>
        <v>2.25</v>
      </c>
      <c r="AS103" s="228">
        <v>2.37</v>
      </c>
      <c r="AT103" s="229">
        <v>2.83</v>
      </c>
    </row>
    <row r="104" spans="20:46" ht="15" customHeight="1" x14ac:dyDescent="0.25">
      <c r="T104" s="180">
        <f t="shared" si="40"/>
        <v>96</v>
      </c>
      <c r="V104" s="182">
        <f t="shared" si="31"/>
        <v>34.56</v>
      </c>
      <c r="W104" s="183">
        <f t="shared" si="43"/>
        <v>6.3449004785248153</v>
      </c>
      <c r="X104" s="183">
        <f t="shared" si="43"/>
        <v>0.58569808129912926</v>
      </c>
      <c r="Y104" s="183">
        <f t="shared" si="43"/>
        <v>4.2895195438806863E-2</v>
      </c>
      <c r="Z104" s="205">
        <f t="shared" si="32"/>
        <v>225</v>
      </c>
      <c r="AB104" s="182">
        <f t="shared" si="41"/>
        <v>34.56</v>
      </c>
      <c r="AC104" s="192">
        <f t="shared" si="44"/>
        <v>2146.4594349762515</v>
      </c>
      <c r="AD104" s="193">
        <f t="shared" si="44"/>
        <v>2204.5215152966193</v>
      </c>
      <c r="AE104" s="194">
        <f t="shared" si="44"/>
        <v>2207.4449954123702</v>
      </c>
      <c r="AF104" s="192">
        <f t="shared" si="33"/>
        <v>1800</v>
      </c>
      <c r="AG104" s="184">
        <f t="shared" si="34"/>
        <v>2207.6</v>
      </c>
      <c r="AI104" s="211">
        <f t="shared" si="35"/>
        <v>2119.2959999999998</v>
      </c>
      <c r="AJ104" s="213">
        <f t="shared" si="36"/>
        <v>6.547499999999995</v>
      </c>
      <c r="AK104" s="214">
        <f t="shared" si="38"/>
        <v>0.27281250000000007</v>
      </c>
      <c r="AL104" s="217">
        <f t="shared" si="37"/>
        <v>1000000</v>
      </c>
      <c r="AN104" s="207">
        <f t="shared" si="42"/>
        <v>34.56</v>
      </c>
      <c r="AO104" s="222"/>
      <c r="AP104" s="223"/>
      <c r="AQ104" s="224"/>
      <c r="AR104" s="222">
        <f t="shared" si="39"/>
        <v>2.25</v>
      </c>
      <c r="AS104" s="228">
        <v>2.37</v>
      </c>
      <c r="AT104" s="229">
        <v>2.83</v>
      </c>
    </row>
    <row r="105" spans="20:46" ht="15" customHeight="1" x14ac:dyDescent="0.25">
      <c r="T105" s="180">
        <f t="shared" si="40"/>
        <v>97</v>
      </c>
      <c r="V105" s="182">
        <f t="shared" si="31"/>
        <v>34.92</v>
      </c>
      <c r="W105" s="183">
        <f t="shared" si="43"/>
        <v>6.1122331062728552</v>
      </c>
      <c r="X105" s="183">
        <f t="shared" si="43"/>
        <v>0.54692546038461443</v>
      </c>
      <c r="Y105" s="183">
        <f t="shared" si="43"/>
        <v>3.882775100973794E-2</v>
      </c>
      <c r="Z105" s="205">
        <f t="shared" si="32"/>
        <v>225</v>
      </c>
      <c r="AB105" s="182">
        <f t="shared" si="41"/>
        <v>34.92</v>
      </c>
      <c r="AC105" s="192">
        <f t="shared" si="44"/>
        <v>2148.7014582593943</v>
      </c>
      <c r="AD105" s="193">
        <f t="shared" si="44"/>
        <v>2204.72530787202</v>
      </c>
      <c r="AE105" s="194">
        <f t="shared" si="44"/>
        <v>2207.4596933882153</v>
      </c>
      <c r="AF105" s="192">
        <f t="shared" si="33"/>
        <v>1800</v>
      </c>
      <c r="AG105" s="184">
        <f t="shared" si="34"/>
        <v>2207.6</v>
      </c>
      <c r="AI105" s="211">
        <f t="shared" si="35"/>
        <v>2141.3719999999998</v>
      </c>
      <c r="AJ105" s="213">
        <f t="shared" si="36"/>
        <v>8.7299999999999933</v>
      </c>
      <c r="AK105" s="214">
        <f t="shared" si="38"/>
        <v>0.27000000000000007</v>
      </c>
      <c r="AL105" s="217">
        <f t="shared" si="37"/>
        <v>1000000</v>
      </c>
      <c r="AN105" s="207">
        <f t="shared" si="42"/>
        <v>34.92</v>
      </c>
      <c r="AO105" s="222"/>
      <c r="AP105" s="223"/>
      <c r="AQ105" s="224"/>
      <c r="AR105" s="222">
        <f t="shared" si="39"/>
        <v>2.25</v>
      </c>
      <c r="AS105" s="228">
        <v>2.37</v>
      </c>
      <c r="AT105" s="229">
        <v>2.83</v>
      </c>
    </row>
    <row r="106" spans="20:46" ht="15" customHeight="1" x14ac:dyDescent="0.25">
      <c r="T106" s="180">
        <f t="shared" si="40"/>
        <v>98</v>
      </c>
      <c r="V106" s="182">
        <f t="shared" si="31"/>
        <v>35.28</v>
      </c>
      <c r="W106" s="183">
        <f t="shared" si="43"/>
        <v>5.8880976418567776</v>
      </c>
      <c r="X106" s="183">
        <f t="shared" si="43"/>
        <v>0.51071954778037087</v>
      </c>
      <c r="Y106" s="183">
        <f t="shared" si="43"/>
        <v>3.5145993229589063E-2</v>
      </c>
      <c r="Z106" s="205">
        <f t="shared" si="32"/>
        <v>225</v>
      </c>
      <c r="AB106" s="182">
        <f t="shared" si="41"/>
        <v>35.28</v>
      </c>
      <c r="AC106" s="192">
        <f t="shared" si="44"/>
        <v>2150.8612665940782</v>
      </c>
      <c r="AD106" s="193">
        <f t="shared" si="44"/>
        <v>2204.9156095849385</v>
      </c>
      <c r="AE106" s="194">
        <f t="shared" si="44"/>
        <v>2207.4729976601889</v>
      </c>
      <c r="AF106" s="192">
        <f t="shared" si="33"/>
        <v>1800</v>
      </c>
      <c r="AG106" s="184">
        <f t="shared" si="34"/>
        <v>2207.6</v>
      </c>
      <c r="AI106" s="211">
        <f t="shared" si="35"/>
        <v>2163.4479999999999</v>
      </c>
      <c r="AJ106" s="213">
        <f t="shared" si="36"/>
        <v>13.09499999999999</v>
      </c>
      <c r="AK106" s="214">
        <f t="shared" si="38"/>
        <v>0.26724489795918371</v>
      </c>
      <c r="AL106" s="217">
        <f t="shared" si="37"/>
        <v>1000000</v>
      </c>
      <c r="AN106" s="207">
        <f t="shared" si="42"/>
        <v>35.28</v>
      </c>
      <c r="AO106" s="222"/>
      <c r="AP106" s="223"/>
      <c r="AQ106" s="224"/>
      <c r="AR106" s="222">
        <f t="shared" si="39"/>
        <v>2.25</v>
      </c>
      <c r="AS106" s="228">
        <v>2.37</v>
      </c>
      <c r="AT106" s="229">
        <v>2.83</v>
      </c>
    </row>
    <row r="107" spans="20:46" ht="15" customHeight="1" x14ac:dyDescent="0.25">
      <c r="T107" s="180">
        <f t="shared" si="40"/>
        <v>99</v>
      </c>
      <c r="V107" s="182">
        <f t="shared" si="31"/>
        <v>35.64</v>
      </c>
      <c r="W107" s="183">
        <f t="shared" si="43"/>
        <v>5.6721812203887607</v>
      </c>
      <c r="X107" s="183">
        <f t="shared" si="43"/>
        <v>0.47691042999088062</v>
      </c>
      <c r="Y107" s="183">
        <f t="shared" si="43"/>
        <v>3.1813350193384202E-2</v>
      </c>
      <c r="Z107" s="205">
        <f t="shared" si="32"/>
        <v>225</v>
      </c>
      <c r="AB107" s="182">
        <f t="shared" si="41"/>
        <v>35.64</v>
      </c>
      <c r="AC107" s="192">
        <f t="shared" si="44"/>
        <v>2152.9418748008015</v>
      </c>
      <c r="AD107" s="193">
        <f t="shared" si="44"/>
        <v>2205.0933135168325</v>
      </c>
      <c r="AE107" s="194">
        <f t="shared" si="44"/>
        <v>2207.4850403832552</v>
      </c>
      <c r="AF107" s="192">
        <f t="shared" si="33"/>
        <v>1800</v>
      </c>
      <c r="AG107" s="184">
        <f t="shared" si="34"/>
        <v>2207.6</v>
      </c>
      <c r="AI107" s="211">
        <f t="shared" si="35"/>
        <v>2185.5239999999999</v>
      </c>
      <c r="AJ107" s="213">
        <f t="shared" si="36"/>
        <v>26.18999999999998</v>
      </c>
      <c r="AK107" s="214">
        <f t="shared" si="38"/>
        <v>0.26454545454545458</v>
      </c>
      <c r="AL107" s="217">
        <f t="shared" si="37"/>
        <v>1000000</v>
      </c>
      <c r="AN107" s="207">
        <f t="shared" si="42"/>
        <v>35.64</v>
      </c>
      <c r="AO107" s="222"/>
      <c r="AP107" s="223"/>
      <c r="AQ107" s="224"/>
      <c r="AR107" s="222">
        <f t="shared" si="39"/>
        <v>2.25</v>
      </c>
      <c r="AS107" s="228">
        <v>2.37</v>
      </c>
      <c r="AT107" s="229">
        <v>2.83</v>
      </c>
    </row>
    <row r="108" spans="20:46" ht="15" customHeight="1" x14ac:dyDescent="0.25">
      <c r="T108" s="181">
        <f t="shared" si="40"/>
        <v>100</v>
      </c>
      <c r="V108" s="185">
        <f t="shared" si="31"/>
        <v>36</v>
      </c>
      <c r="W108" s="186">
        <f t="shared" si="43"/>
        <v>5.4641824497300897</v>
      </c>
      <c r="X108" s="186">
        <f t="shared" si="43"/>
        <v>0.44533944162226607</v>
      </c>
      <c r="Y108" s="186">
        <f t="shared" si="43"/>
        <v>2.8796717848190705E-2</v>
      </c>
      <c r="Z108" s="206">
        <f t="shared" si="32"/>
        <v>225</v>
      </c>
      <c r="AB108" s="185">
        <f t="shared" si="41"/>
        <v>36</v>
      </c>
      <c r="AC108" s="195">
        <f t="shared" si="44"/>
        <v>2154.9461871466547</v>
      </c>
      <c r="AD108" s="196">
        <f t="shared" si="44"/>
        <v>2205.2592536280717</v>
      </c>
      <c r="AE108" s="197">
        <f t="shared" si="44"/>
        <v>2207.4959411810696</v>
      </c>
      <c r="AF108" s="195">
        <f t="shared" si="33"/>
        <v>1800</v>
      </c>
      <c r="AG108" s="187">
        <f t="shared" si="34"/>
        <v>2207.6</v>
      </c>
      <c r="AI108" s="212">
        <f t="shared" si="35"/>
        <v>2207.6</v>
      </c>
      <c r="AJ108" s="215"/>
      <c r="AK108" s="216">
        <f t="shared" si="38"/>
        <v>0.26190000000000002</v>
      </c>
      <c r="AL108" s="218">
        <f t="shared" si="37"/>
        <v>-1000000</v>
      </c>
      <c r="AN108" s="191">
        <f t="shared" si="42"/>
        <v>36</v>
      </c>
      <c r="AO108" s="222"/>
      <c r="AP108" s="223"/>
      <c r="AQ108" s="224"/>
      <c r="AR108" s="225">
        <f t="shared" si="39"/>
        <v>2.25</v>
      </c>
      <c r="AS108" s="230">
        <v>2.37</v>
      </c>
      <c r="AT108" s="231">
        <v>2.83</v>
      </c>
    </row>
    <row r="119" spans="2:2" ht="15" customHeight="1" x14ac:dyDescent="0.25">
      <c r="B119" s="138"/>
    </row>
    <row r="120" spans="2:2" ht="15" customHeight="1" x14ac:dyDescent="0.25">
      <c r="B120" s="138"/>
    </row>
    <row r="121" spans="2:2" ht="15" customHeight="1" x14ac:dyDescent="0.25">
      <c r="B121" s="138"/>
    </row>
    <row r="122" spans="2:2" ht="15" customHeight="1" x14ac:dyDescent="0.25">
      <c r="B122" s="138"/>
    </row>
    <row r="123" spans="2:2" ht="15" customHeight="1" x14ac:dyDescent="0.25">
      <c r="B123" s="138"/>
    </row>
    <row r="124" spans="2:2" ht="15" customHeight="1" x14ac:dyDescent="0.25">
      <c r="B124" s="138"/>
    </row>
    <row r="125" spans="2:2" ht="15" customHeight="1" x14ac:dyDescent="0.25">
      <c r="B125" s="138"/>
    </row>
    <row r="126" spans="2:2" ht="15" customHeight="1" x14ac:dyDescent="0.25">
      <c r="B126" s="138"/>
    </row>
    <row r="127" spans="2:2" ht="15" customHeight="1" x14ac:dyDescent="0.25">
      <c r="B127" s="138"/>
    </row>
    <row r="128" spans="2:2" ht="15" customHeight="1" x14ac:dyDescent="0.25">
      <c r="B128" s="138"/>
    </row>
    <row r="129" spans="2:2" ht="15" customHeight="1" x14ac:dyDescent="0.25">
      <c r="B129" s="138"/>
    </row>
    <row r="130" spans="2:2" ht="15" customHeight="1" x14ac:dyDescent="0.25">
      <c r="B130" s="138"/>
    </row>
    <row r="131" spans="2:2" ht="15" customHeight="1" x14ac:dyDescent="0.25">
      <c r="B131" s="138"/>
    </row>
    <row r="132" spans="2:2" ht="15" customHeight="1" x14ac:dyDescent="0.25">
      <c r="B132" s="138"/>
    </row>
  </sheetData>
  <mergeCells count="2">
    <mergeCell ref="W7:Y7"/>
    <mergeCell ref="AC7:AE7"/>
  </mergeCells>
  <pageMargins left="0.7" right="0.7" top="0.75" bottom="0.75" header="0.3" footer="0.3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BB129"/>
  <sheetViews>
    <sheetView zoomScale="25" zoomScaleNormal="25" workbookViewId="0">
      <selection activeCell="N74" sqref="N74"/>
    </sheetView>
  </sheetViews>
  <sheetFormatPr baseColWidth="10" defaultColWidth="6.7109375" defaultRowHeight="15" customHeight="1" x14ac:dyDescent="0.25"/>
  <cols>
    <col min="1" max="3" width="6.7109375" style="235"/>
    <col min="4" max="4" width="6.7109375" style="235" customWidth="1"/>
    <col min="5" max="5" width="6.7109375" style="235"/>
    <col min="6" max="6" width="6.7109375" style="235" customWidth="1"/>
    <col min="7" max="32" width="6.7109375" style="235"/>
    <col min="33" max="37" width="6.7109375" style="235" customWidth="1"/>
    <col min="38" max="38" width="6.7109375" style="235"/>
    <col min="39" max="40" width="6.7109375" style="235" customWidth="1"/>
    <col min="41" max="42" width="6.7109375" style="235"/>
    <col min="43" max="43" width="6.7109375" style="235" customWidth="1"/>
    <col min="44" max="50" width="6.7109375" style="235"/>
    <col min="51" max="51" width="6.7109375" style="235" customWidth="1"/>
    <col min="52" max="16384" width="6.7109375" style="235"/>
  </cols>
  <sheetData>
    <row r="1" spans="2:54" ht="15" customHeight="1" x14ac:dyDescent="0.25">
      <c r="D1" s="236" t="s">
        <v>181</v>
      </c>
      <c r="E1" s="237" t="s">
        <v>182</v>
      </c>
    </row>
    <row r="2" spans="2:54" ht="15" customHeight="1" x14ac:dyDescent="0.25">
      <c r="B2" s="238" t="s">
        <v>153</v>
      </c>
      <c r="C2" s="239">
        <v>4.2</v>
      </c>
      <c r="D2" s="240" t="s">
        <v>152</v>
      </c>
    </row>
    <row r="3" spans="2:54" ht="15" customHeight="1" x14ac:dyDescent="0.25">
      <c r="B3" s="238" t="s">
        <v>183</v>
      </c>
      <c r="C3" s="239">
        <v>4.0999999999999996</v>
      </c>
      <c r="D3" s="240" t="s">
        <v>152</v>
      </c>
    </row>
    <row r="4" spans="2:54" ht="15" customHeight="1" x14ac:dyDescent="0.25">
      <c r="B4" s="238" t="s">
        <v>151</v>
      </c>
      <c r="C4" s="301">
        <v>3.87</v>
      </c>
      <c r="D4" s="240" t="s">
        <v>152</v>
      </c>
    </row>
    <row r="5" spans="2:54" ht="15" customHeight="1" x14ac:dyDescent="0.25">
      <c r="B5" s="238" t="s">
        <v>184</v>
      </c>
      <c r="C5" s="239">
        <v>3.7</v>
      </c>
      <c r="D5" s="240" t="s">
        <v>152</v>
      </c>
    </row>
    <row r="6" spans="2:54" ht="15" customHeight="1" x14ac:dyDescent="0.25">
      <c r="B6" s="238" t="s">
        <v>185</v>
      </c>
      <c r="C6" s="239">
        <v>3</v>
      </c>
      <c r="D6" s="240" t="s">
        <v>152</v>
      </c>
      <c r="V6" s="241" t="s">
        <v>154</v>
      </c>
      <c r="W6" s="242">
        <v>4.1500000000000004</v>
      </c>
      <c r="X6" s="243">
        <f>$C$2</f>
        <v>4.2</v>
      </c>
      <c r="Y6" s="244">
        <v>4.25</v>
      </c>
      <c r="Z6" s="245"/>
      <c r="AA6" s="245"/>
      <c r="AB6" s="245"/>
      <c r="AC6" s="245"/>
      <c r="AD6" s="245"/>
      <c r="AE6" s="246" t="s">
        <v>154</v>
      </c>
      <c r="AF6" s="247">
        <f>$W$6</f>
        <v>4.1500000000000004</v>
      </c>
      <c r="AG6" s="242">
        <f>$X$6</f>
        <v>4.2</v>
      </c>
      <c r="AH6" s="248">
        <f>$Y$6</f>
        <v>4.25</v>
      </c>
      <c r="AK6" s="247">
        <f>$W$6</f>
        <v>4.1500000000000004</v>
      </c>
      <c r="AL6" s="242">
        <f>$X$6</f>
        <v>4.2</v>
      </c>
      <c r="AM6" s="248">
        <f>$Y$6</f>
        <v>4.25</v>
      </c>
      <c r="AN6" s="247">
        <f>$W$6</f>
        <v>4.1500000000000004</v>
      </c>
      <c r="AO6" s="242">
        <f>$X$6</f>
        <v>4.2</v>
      </c>
      <c r="AP6" s="248">
        <f>$Y$6</f>
        <v>4.25</v>
      </c>
    </row>
    <row r="7" spans="2:54" ht="15" customHeight="1" x14ac:dyDescent="0.25">
      <c r="B7" s="249" t="s">
        <v>171</v>
      </c>
      <c r="C7" s="306">
        <v>8.4909999999999997</v>
      </c>
      <c r="D7" s="240" t="s">
        <v>172</v>
      </c>
      <c r="T7" s="251"/>
      <c r="V7" s="241" t="s">
        <v>155</v>
      </c>
      <c r="W7" s="252">
        <f>(W$6-$C$4)/($E$16)</f>
        <v>22.399999999999899</v>
      </c>
      <c r="X7" s="252">
        <f>(X$6-$C$4)/($E$16)</f>
        <v>26.399999999999864</v>
      </c>
      <c r="Y7" s="253">
        <f>(Y$6-$C$4)/($E$16)</f>
        <v>30.399999999999828</v>
      </c>
      <c r="Z7" s="254"/>
      <c r="AA7" s="254"/>
      <c r="AB7" s="254"/>
      <c r="AC7" s="254"/>
      <c r="AD7" s="254"/>
      <c r="AE7" s="241" t="s">
        <v>155</v>
      </c>
      <c r="AF7" s="255">
        <f>W7</f>
        <v>22.399999999999899</v>
      </c>
      <c r="AG7" s="252">
        <f>X7</f>
        <v>26.399999999999864</v>
      </c>
      <c r="AH7" s="253">
        <f>Y7</f>
        <v>30.399999999999828</v>
      </c>
      <c r="AK7" s="256"/>
      <c r="AL7" s="257"/>
      <c r="AM7" s="253"/>
      <c r="AN7" s="257"/>
      <c r="AO7" s="257"/>
      <c r="AP7" s="258"/>
      <c r="AQ7" s="259"/>
      <c r="AS7" s="260"/>
      <c r="AY7" s="261">
        <f>AZ7/2</f>
        <v>7.4999999999999997E-2</v>
      </c>
      <c r="AZ7" s="261">
        <f>BA7/2</f>
        <v>0.15</v>
      </c>
      <c r="BA7" s="261">
        <v>0.3</v>
      </c>
    </row>
    <row r="8" spans="2:54" ht="15" customHeight="1" x14ac:dyDescent="0.25">
      <c r="B8" s="249" t="s">
        <v>173</v>
      </c>
      <c r="C8" s="307">
        <v>8</v>
      </c>
      <c r="D8" s="240" t="s">
        <v>172</v>
      </c>
      <c r="T8" s="262" t="s">
        <v>159</v>
      </c>
      <c r="V8" s="263" t="s">
        <v>160</v>
      </c>
      <c r="W8" s="1230" t="s">
        <v>161</v>
      </c>
      <c r="X8" s="1231"/>
      <c r="Y8" s="1232"/>
      <c r="Z8" s="263" t="s">
        <v>162</v>
      </c>
      <c r="AA8" s="421"/>
      <c r="AB8" s="421"/>
      <c r="AC8" s="421"/>
      <c r="AD8" s="421"/>
      <c r="AE8" s="262" t="s">
        <v>160</v>
      </c>
      <c r="AF8" s="1233" t="s">
        <v>186</v>
      </c>
      <c r="AG8" s="1234"/>
      <c r="AH8" s="1235"/>
      <c r="AI8" s="264" t="s">
        <v>164</v>
      </c>
      <c r="AJ8" s="420" t="s">
        <v>165</v>
      </c>
      <c r="AK8" s="1233" t="s">
        <v>187</v>
      </c>
      <c r="AL8" s="1234"/>
      <c r="AM8" s="1235"/>
      <c r="AN8" s="1227" t="s">
        <v>188</v>
      </c>
      <c r="AO8" s="1228"/>
      <c r="AP8" s="1229"/>
      <c r="AQ8" s="265" t="s">
        <v>189</v>
      </c>
      <c r="AR8" s="266" t="s">
        <v>190</v>
      </c>
      <c r="AS8" s="266" t="s">
        <v>191</v>
      </c>
      <c r="AT8" s="419" t="s">
        <v>192</v>
      </c>
      <c r="AU8" s="419" t="s">
        <v>193</v>
      </c>
      <c r="AV8" s="420" t="s">
        <v>194</v>
      </c>
      <c r="AX8" s="263" t="s">
        <v>160</v>
      </c>
      <c r="AY8" s="267">
        <f>$C$15*AY$7</f>
        <v>0.6</v>
      </c>
      <c r="AZ8" s="267">
        <f>$C$15*AZ$7</f>
        <v>1.2</v>
      </c>
      <c r="BA8" s="267">
        <f>$C$15*BA$7</f>
        <v>2.4</v>
      </c>
      <c r="BB8" s="263" t="s">
        <v>195</v>
      </c>
    </row>
    <row r="9" spans="2:54" ht="15" customHeight="1" x14ac:dyDescent="0.25">
      <c r="B9" s="249" t="s">
        <v>196</v>
      </c>
      <c r="C9" s="306">
        <v>2.6259999999999999</v>
      </c>
      <c r="D9" s="240" t="s">
        <v>172</v>
      </c>
      <c r="T9" s="268">
        <v>0</v>
      </c>
      <c r="V9" s="269">
        <f t="shared" ref="V9:V40" si="0">(T9/$T$109)*$C$20</f>
        <v>0</v>
      </c>
      <c r="W9" s="270">
        <f t="shared" ref="W9:Y28" si="1">W$7*EXP(-(W$7)/($C$7)*$V9)</f>
        <v>22.399999999999899</v>
      </c>
      <c r="X9" s="270">
        <f t="shared" si="1"/>
        <v>26.399999999999864</v>
      </c>
      <c r="Y9" s="271">
        <f t="shared" si="1"/>
        <v>30.399999999999828</v>
      </c>
      <c r="Z9" s="272">
        <f t="shared" ref="Z9:Z40" si="2">$C$15</f>
        <v>8</v>
      </c>
      <c r="AA9" s="273">
        <f>W9</f>
        <v>22.399999999999899</v>
      </c>
      <c r="AB9" s="274">
        <f t="shared" ref="AB9:AC9" si="3">X9</f>
        <v>26.399999999999864</v>
      </c>
      <c r="AC9" s="275">
        <f t="shared" si="3"/>
        <v>30.399999999999828</v>
      </c>
      <c r="AD9" s="270"/>
      <c r="AE9" s="247">
        <f>$V9</f>
        <v>0</v>
      </c>
      <c r="AF9" s="247">
        <f t="shared" ref="AF9:AH28" si="4">($C$7-(AF$6-$C$4)*$C$12)*(1-EXP(-(AF$7/$C$7)*$AE9))</f>
        <v>0</v>
      </c>
      <c r="AG9" s="242">
        <f t="shared" si="4"/>
        <v>0</v>
      </c>
      <c r="AH9" s="248">
        <f t="shared" si="4"/>
        <v>0</v>
      </c>
      <c r="AI9" s="242">
        <f t="shared" ref="AI9:AI40" si="5">$C$8</f>
        <v>8</v>
      </c>
      <c r="AJ9" s="248">
        <f t="shared" ref="AJ9:AJ40" si="6">$C$7</f>
        <v>8.4909999999999997</v>
      </c>
      <c r="AK9" s="247">
        <f t="shared" ref="AK9:AK40" si="7">($C$12*(AK$6-$C$4))*(1-EXP(-AT9/($E$17*$C$12)))</f>
        <v>0</v>
      </c>
      <c r="AL9" s="242">
        <f t="shared" ref="AL9:AL40" si="8">($C$12*(AL$6-$C$4))*(1-EXP(-AU9/($E$17*$C$12)))</f>
        <v>0</v>
      </c>
      <c r="AM9" s="248">
        <f t="shared" ref="AM9:AM40" si="9">($C$12*(AM$6-$C$4))*(1-EXP(-AV9/($E$17*$C$12)))</f>
        <v>0</v>
      </c>
      <c r="AN9" s="247">
        <f t="shared" ref="AN9:AN40" si="10">AF9+AK9</f>
        <v>0</v>
      </c>
      <c r="AO9" s="242">
        <f t="shared" ref="AO9:AO40" si="11">AG9+AL9</f>
        <v>0</v>
      </c>
      <c r="AP9" s="242">
        <f t="shared" ref="AP9:AP40" si="12">AH9+AM9</f>
        <v>0</v>
      </c>
      <c r="AQ9" s="276">
        <f t="shared" ref="AQ9:AQ40" si="13">IF(AF9&lt;($C$10*$C$21),0,1)</f>
        <v>0</v>
      </c>
      <c r="AR9" s="277">
        <f t="shared" ref="AR9:AR40" si="14">IF(AG9&lt;($C$10*$C$21),0,1)</f>
        <v>0</v>
      </c>
      <c r="AS9" s="278">
        <f t="shared" ref="AS9:AS40" si="15">IF(AH9&lt;($C$10*$C$21),0,1)</f>
        <v>0</v>
      </c>
      <c r="AT9" s="242">
        <f t="shared" ref="AT9:AT40" si="16">(AQ9/$T$109)*$C$20</f>
        <v>0</v>
      </c>
      <c r="AU9" s="242">
        <f t="shared" ref="AU9:AU40" si="17">(AR9/$T$109)*$C$20</f>
        <v>0</v>
      </c>
      <c r="AV9" s="248">
        <f t="shared" ref="AV9:AV40" si="18">(AS9/$T$109)*$C$20</f>
        <v>0</v>
      </c>
      <c r="AX9" s="279">
        <f>$V9</f>
        <v>0</v>
      </c>
      <c r="AY9" s="247">
        <f t="shared" ref="AY9:BA28" si="19">($C$4+$E$17*AY$8)+(($E$18/(1-(AY$8*$AX9)/($C$7)))+($AX9/$C$12))*AY$8</f>
        <v>3.8775000000000004</v>
      </c>
      <c r="AZ9" s="242">
        <f t="shared" si="19"/>
        <v>3.8849999999999998</v>
      </c>
      <c r="BA9" s="248">
        <f t="shared" si="19"/>
        <v>3.9000000000000004</v>
      </c>
      <c r="BB9" s="280">
        <f>$C$2</f>
        <v>4.2</v>
      </c>
    </row>
    <row r="10" spans="2:54" ht="15" customHeight="1" x14ac:dyDescent="0.25">
      <c r="B10" s="249" t="s">
        <v>197</v>
      </c>
      <c r="C10" s="303">
        <f>C7-C9</f>
        <v>5.8650000000000002</v>
      </c>
      <c r="D10" s="240" t="s">
        <v>172</v>
      </c>
      <c r="T10" s="268">
        <f>T9+1</f>
        <v>1</v>
      </c>
      <c r="V10" s="269">
        <f t="shared" si="0"/>
        <v>0.48</v>
      </c>
      <c r="W10" s="270">
        <f t="shared" si="1"/>
        <v>6.3140607607714649</v>
      </c>
      <c r="X10" s="270">
        <f t="shared" si="1"/>
        <v>5.9355535268964683</v>
      </c>
      <c r="Y10" s="271">
        <f t="shared" si="1"/>
        <v>5.4516434344619125</v>
      </c>
      <c r="Z10" s="272">
        <f t="shared" si="2"/>
        <v>8</v>
      </c>
      <c r="AA10" s="282">
        <f>((AN10-AN9)/2)/($V10-$V9)</f>
        <v>4.6849092096573317</v>
      </c>
      <c r="AB10" s="254">
        <f t="shared" ref="AB10:AB73" si="20">((AO10-AO9)/2)/($V10-$V9)</f>
        <v>4.73579460877336</v>
      </c>
      <c r="AC10" s="280">
        <f t="shared" ref="AC10:AC73" si="21">((AP10-AP9)/2)/($V10-$V9)</f>
        <v>4.6736461549827526</v>
      </c>
      <c r="AD10" s="270"/>
      <c r="AE10" s="282">
        <f t="shared" ref="AE10:AE73" si="22">$V10</f>
        <v>0.48</v>
      </c>
      <c r="AF10" s="282">
        <f t="shared" si="4"/>
        <v>4.4975128412710381</v>
      </c>
      <c r="AG10" s="254">
        <f t="shared" si="4"/>
        <v>4.5463628244224257</v>
      </c>
      <c r="AH10" s="280">
        <f t="shared" si="4"/>
        <v>4.4867003087834423</v>
      </c>
      <c r="AI10" s="254">
        <f t="shared" si="5"/>
        <v>8</v>
      </c>
      <c r="AJ10" s="280">
        <f t="shared" si="6"/>
        <v>8.4909999999999997</v>
      </c>
      <c r="AK10" s="282">
        <f t="shared" si="7"/>
        <v>0</v>
      </c>
      <c r="AL10" s="254">
        <f t="shared" si="8"/>
        <v>0</v>
      </c>
      <c r="AM10" s="280">
        <f t="shared" si="9"/>
        <v>0</v>
      </c>
      <c r="AN10" s="282">
        <f t="shared" si="10"/>
        <v>4.4975128412710381</v>
      </c>
      <c r="AO10" s="254">
        <f t="shared" si="11"/>
        <v>4.5463628244224257</v>
      </c>
      <c r="AP10" s="254">
        <f t="shared" si="12"/>
        <v>4.4867003087834423</v>
      </c>
      <c r="AQ10" s="283">
        <f t="shared" si="13"/>
        <v>0</v>
      </c>
      <c r="AR10" s="284">
        <f t="shared" si="14"/>
        <v>0</v>
      </c>
      <c r="AS10" s="285">
        <f t="shared" si="15"/>
        <v>0</v>
      </c>
      <c r="AT10" s="254">
        <f t="shared" si="16"/>
        <v>0</v>
      </c>
      <c r="AU10" s="254">
        <f t="shared" si="17"/>
        <v>0</v>
      </c>
      <c r="AV10" s="280">
        <f t="shared" si="18"/>
        <v>0</v>
      </c>
      <c r="AX10" s="269">
        <f t="shared" ref="AX10:AX73" si="23">$V10</f>
        <v>0.48</v>
      </c>
      <c r="AY10" s="282">
        <f t="shared" si="19"/>
        <v>3.9137972542042698</v>
      </c>
      <c r="AZ10" s="254">
        <f t="shared" si="19"/>
        <v>3.9578204930624752</v>
      </c>
      <c r="BA10" s="280">
        <f t="shared" si="19"/>
        <v>4.0466513429126518</v>
      </c>
      <c r="BB10" s="280">
        <f t="shared" ref="BB10:BB73" si="24">$C$2</f>
        <v>4.2</v>
      </c>
    </row>
    <row r="11" spans="2:54" ht="15" customHeight="1" x14ac:dyDescent="0.25">
      <c r="B11" s="249" t="s">
        <v>179</v>
      </c>
      <c r="C11" s="304">
        <f>C8/C7</f>
        <v>0.9421740666588152</v>
      </c>
      <c r="J11" s="286"/>
      <c r="T11" s="268">
        <f t="shared" ref="T11:T74" si="25">T10+1</f>
        <v>2</v>
      </c>
      <c r="V11" s="269">
        <f t="shared" si="0"/>
        <v>0.96</v>
      </c>
      <c r="W11" s="270">
        <f t="shared" si="1"/>
        <v>1.7797930040497369</v>
      </c>
      <c r="X11" s="270">
        <f t="shared" si="1"/>
        <v>1.3344998360095941</v>
      </c>
      <c r="Y11" s="271">
        <f t="shared" si="1"/>
        <v>0.97764526764841586</v>
      </c>
      <c r="Z11" s="272">
        <f t="shared" si="2"/>
        <v>8</v>
      </c>
      <c r="AA11" s="282">
        <f t="shared" ref="AA11:AA74" si="26">((AN11-AN10)/2)/($V11-$V10)</f>
        <v>3.6407850014219352</v>
      </c>
      <c r="AB11" s="254">
        <f t="shared" si="20"/>
        <v>3.7992935022796384</v>
      </c>
      <c r="AC11" s="280">
        <f t="shared" si="21"/>
        <v>3.9869879149935952</v>
      </c>
      <c r="AD11" s="270"/>
      <c r="AE11" s="282">
        <f t="shared" si="22"/>
        <v>0.96</v>
      </c>
      <c r="AF11" s="282">
        <f t="shared" si="4"/>
        <v>5.7652614730627958</v>
      </c>
      <c r="AG11" s="254">
        <f t="shared" si="4"/>
        <v>5.5685287296137762</v>
      </c>
      <c r="AH11" s="280">
        <f t="shared" si="4"/>
        <v>5.2913019627563909</v>
      </c>
      <c r="AI11" s="254">
        <f t="shared" si="5"/>
        <v>8</v>
      </c>
      <c r="AJ11" s="280">
        <f t="shared" si="6"/>
        <v>8.4909999999999997</v>
      </c>
      <c r="AK11" s="282">
        <f t="shared" si="7"/>
        <v>2.2274049695732998</v>
      </c>
      <c r="AL11" s="254">
        <f t="shared" si="8"/>
        <v>2.6251558569971016</v>
      </c>
      <c r="AM11" s="280">
        <f t="shared" si="9"/>
        <v>3.0229067444209035</v>
      </c>
      <c r="AN11" s="282">
        <f t="shared" si="10"/>
        <v>7.9926664426360956</v>
      </c>
      <c r="AO11" s="254">
        <f t="shared" si="11"/>
        <v>8.1936845866108783</v>
      </c>
      <c r="AP11" s="254">
        <f t="shared" si="12"/>
        <v>8.3142087071772934</v>
      </c>
      <c r="AQ11" s="283">
        <f t="shared" si="13"/>
        <v>1</v>
      </c>
      <c r="AR11" s="284">
        <f t="shared" si="14"/>
        <v>1</v>
      </c>
      <c r="AS11" s="285">
        <f t="shared" si="15"/>
        <v>1</v>
      </c>
      <c r="AT11" s="254">
        <f t="shared" si="16"/>
        <v>0.48</v>
      </c>
      <c r="AU11" s="254">
        <f t="shared" si="17"/>
        <v>0.48</v>
      </c>
      <c r="AV11" s="280">
        <f t="shared" si="18"/>
        <v>0.48</v>
      </c>
      <c r="AX11" s="269">
        <f t="shared" si="23"/>
        <v>0.96</v>
      </c>
      <c r="AY11" s="282">
        <f t="shared" si="19"/>
        <v>3.950102173416234</v>
      </c>
      <c r="AZ11" s="254">
        <f t="shared" si="19"/>
        <v>4.0307095252263183</v>
      </c>
      <c r="BA11" s="280">
        <f t="shared" si="19"/>
        <v>4.1940041398254042</v>
      </c>
      <c r="BB11" s="280">
        <f t="shared" si="24"/>
        <v>4.2</v>
      </c>
    </row>
    <row r="12" spans="2:54" ht="15" customHeight="1" x14ac:dyDescent="0.25">
      <c r="B12" s="1226" t="s">
        <v>198</v>
      </c>
      <c r="C12" s="250">
        <f>C9/(C2-C4)</f>
        <v>7.9575757575757553</v>
      </c>
      <c r="D12" s="240" t="s">
        <v>199</v>
      </c>
      <c r="T12" s="268">
        <f t="shared" si="25"/>
        <v>3</v>
      </c>
      <c r="V12" s="269">
        <f t="shared" si="0"/>
        <v>1.44</v>
      </c>
      <c r="W12" s="270">
        <f t="shared" si="1"/>
        <v>0.50168398076634224</v>
      </c>
      <c r="X12" s="270">
        <f t="shared" si="1"/>
        <v>0.30003769728293739</v>
      </c>
      <c r="Y12" s="271">
        <f t="shared" si="1"/>
        <v>0.17532149357264065</v>
      </c>
      <c r="Z12" s="272">
        <f t="shared" si="2"/>
        <v>8</v>
      </c>
      <c r="AA12" s="282">
        <f t="shared" si="26"/>
        <v>0.3722396712480508</v>
      </c>
      <c r="AB12" s="254">
        <f t="shared" si="20"/>
        <v>0.23939080033269686</v>
      </c>
      <c r="AC12" s="280">
        <f t="shared" si="21"/>
        <v>0.15030158046323017</v>
      </c>
      <c r="AD12" s="270"/>
      <c r="AE12" s="282">
        <f t="shared" si="22"/>
        <v>1.44</v>
      </c>
      <c r="AF12" s="282">
        <f t="shared" si="4"/>
        <v>6.1226115574609237</v>
      </c>
      <c r="AG12" s="254">
        <f t="shared" si="4"/>
        <v>5.7983438979331652</v>
      </c>
      <c r="AH12" s="280">
        <f t="shared" si="4"/>
        <v>5.43559148000109</v>
      </c>
      <c r="AI12" s="254">
        <f t="shared" si="5"/>
        <v>8</v>
      </c>
      <c r="AJ12" s="280">
        <f t="shared" si="6"/>
        <v>8.4909999999999997</v>
      </c>
      <c r="AK12" s="282">
        <f t="shared" si="7"/>
        <v>2.2274049695732998</v>
      </c>
      <c r="AL12" s="254">
        <f t="shared" si="8"/>
        <v>2.6251558569971016</v>
      </c>
      <c r="AM12" s="280">
        <f t="shared" si="9"/>
        <v>3.0229067444209035</v>
      </c>
      <c r="AN12" s="282">
        <f t="shared" si="10"/>
        <v>8.3500165270342244</v>
      </c>
      <c r="AO12" s="254">
        <f t="shared" si="11"/>
        <v>8.4234997549302673</v>
      </c>
      <c r="AP12" s="254">
        <f t="shared" si="12"/>
        <v>8.4584982244219944</v>
      </c>
      <c r="AQ12" s="283">
        <f t="shared" si="13"/>
        <v>1</v>
      </c>
      <c r="AR12" s="284">
        <f t="shared" si="14"/>
        <v>1</v>
      </c>
      <c r="AS12" s="285">
        <f t="shared" si="15"/>
        <v>1</v>
      </c>
      <c r="AT12" s="254">
        <f t="shared" si="16"/>
        <v>0.48</v>
      </c>
      <c r="AU12" s="254">
        <f t="shared" si="17"/>
        <v>0.48</v>
      </c>
      <c r="AV12" s="280">
        <f t="shared" si="18"/>
        <v>0.48</v>
      </c>
      <c r="AX12" s="269">
        <f t="shared" si="23"/>
        <v>1.44</v>
      </c>
      <c r="AY12" s="282">
        <f t="shared" si="19"/>
        <v>3.9864156259414711</v>
      </c>
      <c r="AZ12" s="254">
        <f t="shared" si="19"/>
        <v>4.1036846087741203</v>
      </c>
      <c r="BA12" s="280">
        <f t="shared" si="19"/>
        <v>4.3425398654203518</v>
      </c>
      <c r="BB12" s="280">
        <f t="shared" si="24"/>
        <v>4.2</v>
      </c>
    </row>
    <row r="13" spans="2:54" ht="15" customHeight="1" x14ac:dyDescent="0.25">
      <c r="B13" s="1226"/>
      <c r="C13" s="290">
        <f>C12*60*60</f>
        <v>28647.272727272721</v>
      </c>
      <c r="D13" s="240" t="s">
        <v>200</v>
      </c>
      <c r="T13" s="268">
        <f t="shared" si="25"/>
        <v>4</v>
      </c>
      <c r="V13" s="269">
        <f t="shared" si="0"/>
        <v>1.92</v>
      </c>
      <c r="W13" s="270">
        <f t="shared" si="1"/>
        <v>0.14141353291358935</v>
      </c>
      <c r="X13" s="270">
        <f t="shared" si="1"/>
        <v>6.7457947435971319E-2</v>
      </c>
      <c r="Y13" s="271">
        <f t="shared" si="1"/>
        <v>3.1440469386689089E-2</v>
      </c>
      <c r="Z13" s="272">
        <f t="shared" si="2"/>
        <v>8</v>
      </c>
      <c r="AA13" s="282">
        <f t="shared" si="26"/>
        <v>0.10492606704597396</v>
      </c>
      <c r="AB13" s="254">
        <f t="shared" si="20"/>
        <v>5.3822610197777163E-2</v>
      </c>
      <c r="AC13" s="280">
        <f t="shared" si="21"/>
        <v>2.6953638957945746E-2</v>
      </c>
      <c r="AD13" s="270"/>
      <c r="AE13" s="282">
        <f t="shared" si="22"/>
        <v>1.92</v>
      </c>
      <c r="AF13" s="282">
        <f t="shared" si="4"/>
        <v>6.2233405818250587</v>
      </c>
      <c r="AG13" s="254">
        <f t="shared" si="4"/>
        <v>5.8500136037230313</v>
      </c>
      <c r="AH13" s="280">
        <f t="shared" si="4"/>
        <v>5.4614669734007197</v>
      </c>
      <c r="AI13" s="254">
        <f t="shared" si="5"/>
        <v>8</v>
      </c>
      <c r="AJ13" s="280">
        <f t="shared" si="6"/>
        <v>8.4909999999999997</v>
      </c>
      <c r="AK13" s="282">
        <f t="shared" si="7"/>
        <v>2.2274049695732998</v>
      </c>
      <c r="AL13" s="254">
        <f t="shared" si="8"/>
        <v>2.6251558569971016</v>
      </c>
      <c r="AM13" s="280">
        <f t="shared" si="9"/>
        <v>3.0229067444209035</v>
      </c>
      <c r="AN13" s="282">
        <f t="shared" si="10"/>
        <v>8.4507455513983594</v>
      </c>
      <c r="AO13" s="254">
        <f t="shared" si="11"/>
        <v>8.4751694607201333</v>
      </c>
      <c r="AP13" s="254">
        <f t="shared" si="12"/>
        <v>8.4843737178216223</v>
      </c>
      <c r="AQ13" s="283">
        <f t="shared" si="13"/>
        <v>1</v>
      </c>
      <c r="AR13" s="284">
        <f t="shared" si="14"/>
        <v>1</v>
      </c>
      <c r="AS13" s="285">
        <f t="shared" si="15"/>
        <v>1</v>
      </c>
      <c r="AT13" s="254">
        <f t="shared" si="16"/>
        <v>0.48</v>
      </c>
      <c r="AU13" s="254">
        <f t="shared" si="17"/>
        <v>0.48</v>
      </c>
      <c r="AV13" s="280">
        <f t="shared" si="18"/>
        <v>0.48</v>
      </c>
      <c r="AX13" s="269">
        <f t="shared" si="23"/>
        <v>1.92</v>
      </c>
      <c r="AY13" s="282">
        <f t="shared" si="19"/>
        <v>4.022738616383152</v>
      </c>
      <c r="AZ13" s="254">
        <f t="shared" si="19"/>
        <v>4.1767697774526864</v>
      </c>
      <c r="BA13" s="280">
        <f t="shared" si="19"/>
        <v>4.4933113658282373</v>
      </c>
      <c r="BB13" s="280">
        <f t="shared" si="24"/>
        <v>4.2</v>
      </c>
    </row>
    <row r="14" spans="2:54" ht="15" customHeight="1" x14ac:dyDescent="0.25">
      <c r="B14" s="249" t="s">
        <v>174</v>
      </c>
      <c r="C14" s="281">
        <v>1</v>
      </c>
      <c r="D14" s="240" t="s">
        <v>175</v>
      </c>
      <c r="T14" s="268">
        <f t="shared" si="25"/>
        <v>5</v>
      </c>
      <c r="V14" s="269">
        <f t="shared" si="0"/>
        <v>2.4000000000000004</v>
      </c>
      <c r="W14" s="270">
        <f t="shared" si="1"/>
        <v>3.9861323179096492E-2</v>
      </c>
      <c r="X14" s="270">
        <f t="shared" si="1"/>
        <v>1.5166676432605209E-2</v>
      </c>
      <c r="Y14" s="271">
        <f t="shared" si="1"/>
        <v>5.6382312009324058E-3</v>
      </c>
      <c r="Z14" s="272">
        <f t="shared" si="2"/>
        <v>8</v>
      </c>
      <c r="AA14" s="282">
        <f t="shared" si="26"/>
        <v>2.9576319764153695E-2</v>
      </c>
      <c r="AB14" s="254">
        <f t="shared" si="20"/>
        <v>1.2101022113112729E-2</v>
      </c>
      <c r="AC14" s="280">
        <f t="shared" si="21"/>
        <v>4.8336062124990972E-3</v>
      </c>
      <c r="AD14" s="270"/>
      <c r="AE14" s="282">
        <f t="shared" si="22"/>
        <v>2.4000000000000004</v>
      </c>
      <c r="AF14" s="282">
        <f t="shared" si="4"/>
        <v>6.2517338487986462</v>
      </c>
      <c r="AG14" s="254">
        <f t="shared" si="4"/>
        <v>5.8616305849516204</v>
      </c>
      <c r="AH14" s="280">
        <f t="shared" si="4"/>
        <v>5.466107235364718</v>
      </c>
      <c r="AI14" s="254">
        <f t="shared" si="5"/>
        <v>8</v>
      </c>
      <c r="AJ14" s="280">
        <f t="shared" si="6"/>
        <v>8.4909999999999997</v>
      </c>
      <c r="AK14" s="282">
        <f t="shared" si="7"/>
        <v>2.2274049695732998</v>
      </c>
      <c r="AL14" s="254">
        <f t="shared" si="8"/>
        <v>2.6251558569971016</v>
      </c>
      <c r="AM14" s="280">
        <f t="shared" si="9"/>
        <v>3.0229067444209035</v>
      </c>
      <c r="AN14" s="282">
        <f t="shared" si="10"/>
        <v>8.4791388183719469</v>
      </c>
      <c r="AO14" s="254">
        <f t="shared" si="11"/>
        <v>8.4867864419487216</v>
      </c>
      <c r="AP14" s="254">
        <f t="shared" si="12"/>
        <v>8.4890139797856214</v>
      </c>
      <c r="AQ14" s="283">
        <f t="shared" si="13"/>
        <v>1</v>
      </c>
      <c r="AR14" s="284">
        <f t="shared" si="14"/>
        <v>1</v>
      </c>
      <c r="AS14" s="285">
        <f t="shared" si="15"/>
        <v>1</v>
      </c>
      <c r="AT14" s="254">
        <f t="shared" si="16"/>
        <v>0.48</v>
      </c>
      <c r="AU14" s="254">
        <f t="shared" si="17"/>
        <v>0.48</v>
      </c>
      <c r="AV14" s="280">
        <f t="shared" si="18"/>
        <v>0.48</v>
      </c>
      <c r="AX14" s="269">
        <f t="shared" si="23"/>
        <v>2.4000000000000004</v>
      </c>
      <c r="AY14" s="282">
        <f t="shared" si="19"/>
        <v>4.0590723134775981</v>
      </c>
      <c r="AZ14" s="254">
        <f t="shared" si="19"/>
        <v>4.2499989337938224</v>
      </c>
      <c r="BA14" s="280">
        <f t="shared" si="19"/>
        <v>4.6491479481722786</v>
      </c>
      <c r="BB14" s="280">
        <f t="shared" si="24"/>
        <v>4.2</v>
      </c>
    </row>
    <row r="15" spans="2:54" ht="15" customHeight="1" x14ac:dyDescent="0.25">
      <c r="B15" s="249" t="s">
        <v>176</v>
      </c>
      <c r="C15" s="305">
        <f>C8/C14</f>
        <v>8</v>
      </c>
      <c r="D15" s="240" t="s">
        <v>177</v>
      </c>
      <c r="T15" s="268">
        <f t="shared" si="25"/>
        <v>6</v>
      </c>
      <c r="V15" s="269">
        <f t="shared" si="0"/>
        <v>2.88</v>
      </c>
      <c r="W15" s="270">
        <f t="shared" si="1"/>
        <v>1.1236018596319852E-2</v>
      </c>
      <c r="X15" s="270">
        <f t="shared" si="1"/>
        <v>3.4099477193503041E-3</v>
      </c>
      <c r="Y15" s="271">
        <f t="shared" si="1"/>
        <v>1.0111061219915019E-3</v>
      </c>
      <c r="Z15" s="272">
        <f t="shared" si="2"/>
        <v>8</v>
      </c>
      <c r="AA15" s="282">
        <f t="shared" si="26"/>
        <v>8.3369053603066321E-3</v>
      </c>
      <c r="AB15" s="254">
        <f t="shared" si="20"/>
        <v>2.7206918364608449E-3</v>
      </c>
      <c r="AC15" s="280">
        <f t="shared" si="21"/>
        <v>8.6681242016939473E-4</v>
      </c>
      <c r="AD15" s="270"/>
      <c r="AE15" s="282">
        <f t="shared" si="22"/>
        <v>2.88</v>
      </c>
      <c r="AF15" s="282">
        <f t="shared" si="4"/>
        <v>6.2597372779445415</v>
      </c>
      <c r="AG15" s="254">
        <f t="shared" si="4"/>
        <v>5.8642424491146219</v>
      </c>
      <c r="AH15" s="280">
        <f t="shared" si="4"/>
        <v>5.4669393752880806</v>
      </c>
      <c r="AI15" s="254">
        <f t="shared" si="5"/>
        <v>8</v>
      </c>
      <c r="AJ15" s="280">
        <f t="shared" si="6"/>
        <v>8.4909999999999997</v>
      </c>
      <c r="AK15" s="282">
        <f t="shared" si="7"/>
        <v>2.2274049695732998</v>
      </c>
      <c r="AL15" s="254">
        <f t="shared" si="8"/>
        <v>2.6251558569971016</v>
      </c>
      <c r="AM15" s="280">
        <f t="shared" si="9"/>
        <v>3.0229067444209035</v>
      </c>
      <c r="AN15" s="282">
        <f t="shared" si="10"/>
        <v>8.4871422475178413</v>
      </c>
      <c r="AO15" s="254">
        <f t="shared" si="11"/>
        <v>8.489398306111724</v>
      </c>
      <c r="AP15" s="254">
        <f t="shared" si="12"/>
        <v>8.4898461197089841</v>
      </c>
      <c r="AQ15" s="283">
        <f t="shared" si="13"/>
        <v>1</v>
      </c>
      <c r="AR15" s="284">
        <f t="shared" si="14"/>
        <v>1</v>
      </c>
      <c r="AS15" s="285">
        <f t="shared" si="15"/>
        <v>1</v>
      </c>
      <c r="AT15" s="254">
        <f t="shared" si="16"/>
        <v>0.48</v>
      </c>
      <c r="AU15" s="254">
        <f t="shared" si="17"/>
        <v>0.48</v>
      </c>
      <c r="AV15" s="280">
        <f t="shared" si="18"/>
        <v>0.48</v>
      </c>
      <c r="AX15" s="269">
        <f t="shared" si="23"/>
        <v>2.88</v>
      </c>
      <c r="AY15" s="282">
        <f t="shared" si="19"/>
        <v>4.0954180850420494</v>
      </c>
      <c r="AZ15" s="254">
        <f t="shared" si="19"/>
        <v>4.3234214940201534</v>
      </c>
      <c r="BA15" s="280">
        <f t="shared" si="19"/>
        <v>4.8211356942582757</v>
      </c>
      <c r="BB15" s="280">
        <f t="shared" si="24"/>
        <v>4.2</v>
      </c>
    </row>
    <row r="16" spans="2:54" ht="15" customHeight="1" x14ac:dyDescent="0.25">
      <c r="B16" s="249" t="s">
        <v>201</v>
      </c>
      <c r="C16" s="304">
        <f>E16*1000</f>
        <v>12.500000000000068</v>
      </c>
      <c r="D16" s="288" t="s">
        <v>157</v>
      </c>
      <c r="E16" s="289">
        <f>(C2-C3)/C8</f>
        <v>1.2500000000000067E-2</v>
      </c>
      <c r="F16" s="288" t="s">
        <v>158</v>
      </c>
      <c r="T16" s="268">
        <f t="shared" si="25"/>
        <v>7</v>
      </c>
      <c r="V16" s="269">
        <f t="shared" si="0"/>
        <v>3.3600000000000003</v>
      </c>
      <c r="W16" s="270">
        <f t="shared" si="1"/>
        <v>3.1671832199250843E-3</v>
      </c>
      <c r="X16" s="270">
        <f t="shared" si="1"/>
        <v>7.6666390955008835E-4</v>
      </c>
      <c r="Y16" s="271">
        <f t="shared" si="1"/>
        <v>1.8132204116773825E-4</v>
      </c>
      <c r="Z16" s="272">
        <f t="shared" si="2"/>
        <v>8</v>
      </c>
      <c r="AA16" s="282">
        <f t="shared" si="26"/>
        <v>2.349987812579518E-3</v>
      </c>
      <c r="AB16" s="254">
        <f t="shared" si="20"/>
        <v>6.1169742520868621E-4</v>
      </c>
      <c r="AC16" s="280">
        <f t="shared" si="21"/>
        <v>1.5544579734701642E-4</v>
      </c>
      <c r="AD16" s="270"/>
      <c r="AE16" s="282">
        <f t="shared" si="22"/>
        <v>3.3600000000000003</v>
      </c>
      <c r="AF16" s="282">
        <f t="shared" si="4"/>
        <v>6.2619932662446178</v>
      </c>
      <c r="AG16" s="254">
        <f t="shared" si="4"/>
        <v>5.8648296786428222</v>
      </c>
      <c r="AH16" s="280">
        <f t="shared" si="4"/>
        <v>5.4670886032535329</v>
      </c>
      <c r="AI16" s="254">
        <f t="shared" si="5"/>
        <v>8</v>
      </c>
      <c r="AJ16" s="280">
        <f t="shared" si="6"/>
        <v>8.4909999999999997</v>
      </c>
      <c r="AK16" s="282">
        <f t="shared" si="7"/>
        <v>2.2274049695732998</v>
      </c>
      <c r="AL16" s="254">
        <f t="shared" si="8"/>
        <v>2.6251558569971016</v>
      </c>
      <c r="AM16" s="280">
        <f t="shared" si="9"/>
        <v>3.0229067444209035</v>
      </c>
      <c r="AN16" s="282">
        <f t="shared" si="10"/>
        <v>8.4893982358179176</v>
      </c>
      <c r="AO16" s="254">
        <f t="shared" si="11"/>
        <v>8.4899855356399243</v>
      </c>
      <c r="AP16" s="254">
        <f t="shared" si="12"/>
        <v>8.4899953476744372</v>
      </c>
      <c r="AQ16" s="283">
        <f t="shared" si="13"/>
        <v>1</v>
      </c>
      <c r="AR16" s="284">
        <f t="shared" si="14"/>
        <v>1</v>
      </c>
      <c r="AS16" s="285">
        <f t="shared" si="15"/>
        <v>1</v>
      </c>
      <c r="AT16" s="254">
        <f t="shared" si="16"/>
        <v>0.48</v>
      </c>
      <c r="AU16" s="254">
        <f t="shared" si="17"/>
        <v>0.48</v>
      </c>
      <c r="AV16" s="280">
        <f t="shared" si="18"/>
        <v>0.48</v>
      </c>
      <c r="AX16" s="269">
        <f t="shared" si="23"/>
        <v>3.3600000000000003</v>
      </c>
      <c r="AY16" s="282">
        <f t="shared" si="19"/>
        <v>4.1317775422490275</v>
      </c>
      <c r="AZ16" s="254">
        <f t="shared" si="19"/>
        <v>4.3971124081010924</v>
      </c>
      <c r="BA16" s="280">
        <f t="shared" si="19"/>
        <v>5.1399969035995667</v>
      </c>
      <c r="BB16" s="280">
        <f t="shared" si="24"/>
        <v>4.2</v>
      </c>
    </row>
    <row r="17" spans="2:54" ht="15" customHeight="1" x14ac:dyDescent="0.25">
      <c r="B17" s="249" t="s">
        <v>180</v>
      </c>
      <c r="C17" s="287">
        <f>C16-C18</f>
        <v>7.5000000000000675</v>
      </c>
      <c r="D17" s="288" t="s">
        <v>157</v>
      </c>
      <c r="E17" s="289">
        <f>C17/1000</f>
        <v>7.5000000000000674E-3</v>
      </c>
      <c r="F17" s="288" t="s">
        <v>158</v>
      </c>
      <c r="T17" s="268">
        <f t="shared" si="25"/>
        <v>8</v>
      </c>
      <c r="V17" s="269">
        <f t="shared" si="0"/>
        <v>3.84</v>
      </c>
      <c r="W17" s="270">
        <f t="shared" si="1"/>
        <v>8.9275836120995139E-4</v>
      </c>
      <c r="X17" s="270">
        <f t="shared" si="1"/>
        <v>1.7237025273766264E-4</v>
      </c>
      <c r="Y17" s="271">
        <f t="shared" si="1"/>
        <v>3.2516549843925631E-5</v>
      </c>
      <c r="Z17" s="272">
        <f t="shared" si="2"/>
        <v>8</v>
      </c>
      <c r="AA17" s="282">
        <f t="shared" si="26"/>
        <v>6.6240918909499301E-4</v>
      </c>
      <c r="AB17" s="254">
        <f t="shared" si="20"/>
        <v>1.3752889430063156E-4</v>
      </c>
      <c r="AC17" s="280">
        <f t="shared" si="21"/>
        <v>2.7876153306053818E-5</v>
      </c>
      <c r="AD17" s="270"/>
      <c r="AE17" s="282">
        <f t="shared" si="22"/>
        <v>3.84</v>
      </c>
      <c r="AF17" s="282">
        <f t="shared" si="4"/>
        <v>6.2626291790661481</v>
      </c>
      <c r="AG17" s="254">
        <f t="shared" si="4"/>
        <v>5.8649617063813517</v>
      </c>
      <c r="AH17" s="280">
        <f t="shared" si="4"/>
        <v>5.4671153643607076</v>
      </c>
      <c r="AI17" s="254">
        <f t="shared" si="5"/>
        <v>8</v>
      </c>
      <c r="AJ17" s="280">
        <f t="shared" si="6"/>
        <v>8.4909999999999997</v>
      </c>
      <c r="AK17" s="282">
        <f t="shared" si="7"/>
        <v>2.2274049695732998</v>
      </c>
      <c r="AL17" s="254">
        <f t="shared" si="8"/>
        <v>2.6251558569971016</v>
      </c>
      <c r="AM17" s="280">
        <f t="shared" si="9"/>
        <v>3.0229067444209035</v>
      </c>
      <c r="AN17" s="282">
        <f t="shared" si="10"/>
        <v>8.4900341486394488</v>
      </c>
      <c r="AO17" s="254">
        <f t="shared" si="11"/>
        <v>8.4901175633784529</v>
      </c>
      <c r="AP17" s="254">
        <f t="shared" si="12"/>
        <v>8.490022108781611</v>
      </c>
      <c r="AQ17" s="283">
        <f t="shared" si="13"/>
        <v>1</v>
      </c>
      <c r="AR17" s="284">
        <f t="shared" si="14"/>
        <v>1</v>
      </c>
      <c r="AS17" s="285">
        <f t="shared" si="15"/>
        <v>1</v>
      </c>
      <c r="AT17" s="254">
        <f t="shared" si="16"/>
        <v>0.48</v>
      </c>
      <c r="AU17" s="254">
        <f t="shared" si="17"/>
        <v>0.48</v>
      </c>
      <c r="AV17" s="280">
        <f t="shared" si="18"/>
        <v>0.48</v>
      </c>
      <c r="AX17" s="269">
        <f t="shared" si="23"/>
        <v>3.84</v>
      </c>
      <c r="AY17" s="282">
        <f t="shared" si="19"/>
        <v>4.1681525962663279</v>
      </c>
      <c r="AZ17" s="254">
        <f t="shared" si="19"/>
        <v>4.4711910979940885</v>
      </c>
      <c r="BA17" s="280">
        <f t="shared" si="19"/>
        <v>4.9056009706647057</v>
      </c>
      <c r="BB17" s="280">
        <f t="shared" si="24"/>
        <v>4.2</v>
      </c>
    </row>
    <row r="18" spans="2:54" ht="15" customHeight="1" x14ac:dyDescent="0.25">
      <c r="B18" s="249" t="s">
        <v>156</v>
      </c>
      <c r="C18" s="302">
        <v>5</v>
      </c>
      <c r="D18" s="288" t="s">
        <v>157</v>
      </c>
      <c r="E18" s="289">
        <f>C18/1000</f>
        <v>5.0000000000000001E-3</v>
      </c>
      <c r="F18" s="288" t="s">
        <v>158</v>
      </c>
      <c r="T18" s="268">
        <f t="shared" si="25"/>
        <v>9</v>
      </c>
      <c r="V18" s="269">
        <f t="shared" si="0"/>
        <v>4.32</v>
      </c>
      <c r="W18" s="270">
        <f t="shared" si="1"/>
        <v>2.5164868470385778E-4</v>
      </c>
      <c r="X18" s="270">
        <f t="shared" si="1"/>
        <v>3.8754275059434575E-5</v>
      </c>
      <c r="Y18" s="271">
        <f t="shared" si="1"/>
        <v>5.8312051140786698E-6</v>
      </c>
      <c r="Z18" s="272">
        <f t="shared" si="2"/>
        <v>8</v>
      </c>
      <c r="AA18" s="282">
        <f t="shared" si="26"/>
        <v>1.8671838698155089E-4</v>
      </c>
      <c r="AB18" s="254">
        <f t="shared" si="20"/>
        <v>3.0920837638485418E-5</v>
      </c>
      <c r="AC18" s="280">
        <f t="shared" si="21"/>
        <v>4.9990410570336696E-6</v>
      </c>
      <c r="AD18" s="270"/>
      <c r="AE18" s="282">
        <f t="shared" si="22"/>
        <v>4.32</v>
      </c>
      <c r="AF18" s="282">
        <f t="shared" si="4"/>
        <v>6.2628084287176513</v>
      </c>
      <c r="AG18" s="254">
        <f t="shared" si="4"/>
        <v>5.8649913903854838</v>
      </c>
      <c r="AH18" s="280">
        <f t="shared" si="4"/>
        <v>5.4671201634401223</v>
      </c>
      <c r="AI18" s="254">
        <f t="shared" si="5"/>
        <v>8</v>
      </c>
      <c r="AJ18" s="280">
        <f t="shared" si="6"/>
        <v>8.4909999999999997</v>
      </c>
      <c r="AK18" s="282">
        <f t="shared" si="7"/>
        <v>2.2274049695732998</v>
      </c>
      <c r="AL18" s="254">
        <f t="shared" si="8"/>
        <v>2.6251558569971016</v>
      </c>
      <c r="AM18" s="280">
        <f t="shared" si="9"/>
        <v>3.0229067444209035</v>
      </c>
      <c r="AN18" s="282">
        <f t="shared" si="10"/>
        <v>8.4902133982909511</v>
      </c>
      <c r="AO18" s="254">
        <f t="shared" si="11"/>
        <v>8.4901472473825859</v>
      </c>
      <c r="AP18" s="254">
        <f t="shared" si="12"/>
        <v>8.4900269078610258</v>
      </c>
      <c r="AQ18" s="283">
        <f t="shared" si="13"/>
        <v>1</v>
      </c>
      <c r="AR18" s="284">
        <f t="shared" si="14"/>
        <v>1</v>
      </c>
      <c r="AS18" s="285">
        <f t="shared" si="15"/>
        <v>1</v>
      </c>
      <c r="AT18" s="254">
        <f t="shared" si="16"/>
        <v>0.48</v>
      </c>
      <c r="AU18" s="254">
        <f t="shared" si="17"/>
        <v>0.48</v>
      </c>
      <c r="AV18" s="280">
        <f t="shared" si="18"/>
        <v>0.48</v>
      </c>
      <c r="AX18" s="269">
        <f t="shared" si="23"/>
        <v>4.32</v>
      </c>
      <c r="AY18" s="282">
        <f t="shared" si="19"/>
        <v>4.2045455314886144</v>
      </c>
      <c r="AZ18" s="254">
        <f t="shared" si="19"/>
        <v>4.5458601874074036</v>
      </c>
      <c r="BA18" s="280">
        <f t="shared" si="19"/>
        <v>5.1366248713228364</v>
      </c>
      <c r="BB18" s="280">
        <f t="shared" si="24"/>
        <v>4.2</v>
      </c>
    </row>
    <row r="19" spans="2:54" ht="15" customHeight="1" x14ac:dyDescent="0.25">
      <c r="T19" s="268">
        <f t="shared" si="25"/>
        <v>10</v>
      </c>
      <c r="V19" s="269">
        <f t="shared" si="0"/>
        <v>4.8000000000000007</v>
      </c>
      <c r="W19" s="270">
        <f t="shared" si="1"/>
        <v>7.0934155606624234E-5</v>
      </c>
      <c r="X19" s="270">
        <f t="shared" si="1"/>
        <v>8.7131846216417993E-6</v>
      </c>
      <c r="Y19" s="271">
        <f t="shared" si="1"/>
        <v>1.0457122064199954E-6</v>
      </c>
      <c r="Z19" s="272">
        <f t="shared" si="2"/>
        <v>8</v>
      </c>
      <c r="AA19" s="282">
        <f t="shared" si="26"/>
        <v>5.2631751812359748E-5</v>
      </c>
      <c r="AB19" s="254">
        <f t="shared" si="20"/>
        <v>6.9519805634410344E-6</v>
      </c>
      <c r="AC19" s="280">
        <f t="shared" si="21"/>
        <v>8.9647991252661456E-7</v>
      </c>
      <c r="AD19" s="270"/>
      <c r="AE19" s="282">
        <f t="shared" si="22"/>
        <v>4.8000000000000007</v>
      </c>
      <c r="AF19" s="282">
        <f t="shared" si="4"/>
        <v>6.2628589551993903</v>
      </c>
      <c r="AG19" s="254">
        <f t="shared" si="4"/>
        <v>5.8649980642868256</v>
      </c>
      <c r="AH19" s="280">
        <f t="shared" si="4"/>
        <v>5.4671210240608392</v>
      </c>
      <c r="AI19" s="254">
        <f t="shared" si="5"/>
        <v>8</v>
      </c>
      <c r="AJ19" s="280">
        <f t="shared" si="6"/>
        <v>8.4909999999999997</v>
      </c>
      <c r="AK19" s="282">
        <f t="shared" si="7"/>
        <v>2.2274049695732998</v>
      </c>
      <c r="AL19" s="254">
        <f t="shared" si="8"/>
        <v>2.6251558569971016</v>
      </c>
      <c r="AM19" s="280">
        <f t="shared" si="9"/>
        <v>3.0229067444209035</v>
      </c>
      <c r="AN19" s="282">
        <f t="shared" si="10"/>
        <v>8.490263924772691</v>
      </c>
      <c r="AO19" s="254">
        <f t="shared" si="11"/>
        <v>8.4901539212839268</v>
      </c>
      <c r="AP19" s="254">
        <f t="shared" si="12"/>
        <v>8.4900277684817418</v>
      </c>
      <c r="AQ19" s="283">
        <f t="shared" si="13"/>
        <v>1</v>
      </c>
      <c r="AR19" s="284">
        <f t="shared" si="14"/>
        <v>1</v>
      </c>
      <c r="AS19" s="285">
        <f t="shared" si="15"/>
        <v>1</v>
      </c>
      <c r="AT19" s="254">
        <f t="shared" si="16"/>
        <v>0.48</v>
      </c>
      <c r="AU19" s="254">
        <f t="shared" si="17"/>
        <v>0.48</v>
      </c>
      <c r="AV19" s="280">
        <f t="shared" si="18"/>
        <v>0.48</v>
      </c>
      <c r="AX19" s="269">
        <f t="shared" si="23"/>
        <v>4.8000000000000007</v>
      </c>
      <c r="AY19" s="282">
        <f t="shared" si="19"/>
        <v>4.2409591013218924</v>
      </c>
      <c r="AZ19" s="254">
        <f t="shared" si="19"/>
        <v>4.6214932429361015</v>
      </c>
      <c r="BA19" s="280">
        <f t="shared" si="19"/>
        <v>5.3020382507052295</v>
      </c>
      <c r="BB19" s="280">
        <f t="shared" si="24"/>
        <v>4.2</v>
      </c>
    </row>
    <row r="20" spans="2:54" ht="15" customHeight="1" x14ac:dyDescent="0.25">
      <c r="B20" s="249" t="s">
        <v>178</v>
      </c>
      <c r="C20" s="233">
        <v>48</v>
      </c>
      <c r="D20" s="240" t="s">
        <v>175</v>
      </c>
      <c r="T20" s="268">
        <f t="shared" si="25"/>
        <v>11</v>
      </c>
      <c r="V20" s="269">
        <f t="shared" si="0"/>
        <v>5.28</v>
      </c>
      <c r="W20" s="270">
        <f t="shared" si="1"/>
        <v>1.9994757522957406E-5</v>
      </c>
      <c r="X20" s="270">
        <f t="shared" si="1"/>
        <v>1.95899900422297E-6</v>
      </c>
      <c r="Y20" s="271">
        <f t="shared" si="1"/>
        <v>1.8752796330481167E-7</v>
      </c>
      <c r="Z20" s="272">
        <f t="shared" si="2"/>
        <v>8</v>
      </c>
      <c r="AA20" s="282">
        <f t="shared" si="26"/>
        <v>1.4835717806101689E-5</v>
      </c>
      <c r="AB20" s="254">
        <f t="shared" si="20"/>
        <v>1.5630247263143119E-6</v>
      </c>
      <c r="AC20" s="280">
        <f t="shared" si="21"/>
        <v>1.6076608192842453E-7</v>
      </c>
      <c r="AD20" s="270"/>
      <c r="AE20" s="282">
        <f t="shared" si="22"/>
        <v>5.28</v>
      </c>
      <c r="AF20" s="282">
        <f t="shared" si="4"/>
        <v>6.262873197488485</v>
      </c>
      <c r="AG20" s="254">
        <f t="shared" si="4"/>
        <v>5.8649995647905619</v>
      </c>
      <c r="AH20" s="280">
        <f t="shared" si="4"/>
        <v>5.4671211783962761</v>
      </c>
      <c r="AI20" s="254">
        <f t="shared" si="5"/>
        <v>8</v>
      </c>
      <c r="AJ20" s="280">
        <f t="shared" si="6"/>
        <v>8.4909999999999997</v>
      </c>
      <c r="AK20" s="282">
        <f t="shared" si="7"/>
        <v>2.2274049695732998</v>
      </c>
      <c r="AL20" s="254">
        <f t="shared" si="8"/>
        <v>2.6251558569971016</v>
      </c>
      <c r="AM20" s="280">
        <f t="shared" si="9"/>
        <v>3.0229067444209035</v>
      </c>
      <c r="AN20" s="282">
        <f t="shared" si="10"/>
        <v>8.4902781670617848</v>
      </c>
      <c r="AO20" s="254">
        <f t="shared" si="11"/>
        <v>8.490155421787664</v>
      </c>
      <c r="AP20" s="254">
        <f t="shared" si="12"/>
        <v>8.4900279228171804</v>
      </c>
      <c r="AQ20" s="283">
        <f t="shared" si="13"/>
        <v>1</v>
      </c>
      <c r="AR20" s="284">
        <f t="shared" si="14"/>
        <v>1</v>
      </c>
      <c r="AS20" s="285">
        <f t="shared" si="15"/>
        <v>1</v>
      </c>
      <c r="AT20" s="254">
        <f t="shared" si="16"/>
        <v>0.48</v>
      </c>
      <c r="AU20" s="254">
        <f t="shared" si="17"/>
        <v>0.48</v>
      </c>
      <c r="AV20" s="280">
        <f t="shared" si="18"/>
        <v>0.48</v>
      </c>
      <c r="AX20" s="269">
        <f t="shared" si="23"/>
        <v>5.28</v>
      </c>
      <c r="AY20" s="282">
        <f t="shared" si="19"/>
        <v>4.2773966550624056</v>
      </c>
      <c r="AZ20" s="254">
        <f t="shared" si="19"/>
        <v>4.6988632267367381</v>
      </c>
      <c r="BA20" s="280">
        <f t="shared" si="19"/>
        <v>5.4560745365872858</v>
      </c>
      <c r="BB20" s="280">
        <f t="shared" si="24"/>
        <v>4.2</v>
      </c>
    </row>
    <row r="21" spans="2:54" ht="15" customHeight="1" x14ac:dyDescent="0.25">
      <c r="C21" s="234">
        <v>0.9</v>
      </c>
      <c r="T21" s="268">
        <f t="shared" si="25"/>
        <v>12</v>
      </c>
      <c r="V21" s="269">
        <f t="shared" si="0"/>
        <v>5.76</v>
      </c>
      <c r="W21" s="270">
        <f t="shared" si="1"/>
        <v>5.63607651325206E-6</v>
      </c>
      <c r="X21" s="270">
        <f t="shared" si="1"/>
        <v>4.4044482760236359E-7</v>
      </c>
      <c r="Y21" s="271">
        <f t="shared" si="1"/>
        <v>3.3629460195023014E-8</v>
      </c>
      <c r="Z21" s="272">
        <f t="shared" si="2"/>
        <v>8</v>
      </c>
      <c r="AA21" s="282">
        <f t="shared" si="26"/>
        <v>4.1818582004656493E-6</v>
      </c>
      <c r="AB21" s="254">
        <f t="shared" si="20"/>
        <v>3.5141730821604765E-7</v>
      </c>
      <c r="AC21" s="280">
        <f t="shared" si="21"/>
        <v>2.8830241897518769E-8</v>
      </c>
      <c r="AD21" s="270"/>
      <c r="AE21" s="282">
        <f t="shared" si="22"/>
        <v>5.76</v>
      </c>
      <c r="AF21" s="282">
        <f t="shared" si="4"/>
        <v>6.2628772120723566</v>
      </c>
      <c r="AG21" s="254">
        <f t="shared" si="4"/>
        <v>5.8649999021511778</v>
      </c>
      <c r="AH21" s="280">
        <f t="shared" si="4"/>
        <v>5.4671212060733083</v>
      </c>
      <c r="AI21" s="254">
        <f t="shared" si="5"/>
        <v>8</v>
      </c>
      <c r="AJ21" s="280">
        <f t="shared" si="6"/>
        <v>8.4909999999999997</v>
      </c>
      <c r="AK21" s="282">
        <f t="shared" si="7"/>
        <v>2.2274049695732998</v>
      </c>
      <c r="AL21" s="254">
        <f t="shared" si="8"/>
        <v>2.6251558569971016</v>
      </c>
      <c r="AM21" s="280">
        <f t="shared" si="9"/>
        <v>3.0229067444209035</v>
      </c>
      <c r="AN21" s="282">
        <f t="shared" si="10"/>
        <v>8.4902821816456573</v>
      </c>
      <c r="AO21" s="254">
        <f t="shared" si="11"/>
        <v>8.4901557591482799</v>
      </c>
      <c r="AP21" s="254">
        <f t="shared" si="12"/>
        <v>8.4900279504942127</v>
      </c>
      <c r="AQ21" s="283">
        <f t="shared" si="13"/>
        <v>1</v>
      </c>
      <c r="AR21" s="284">
        <f t="shared" si="14"/>
        <v>1</v>
      </c>
      <c r="AS21" s="285">
        <f t="shared" si="15"/>
        <v>1</v>
      </c>
      <c r="AT21" s="254">
        <f t="shared" si="16"/>
        <v>0.48</v>
      </c>
      <c r="AU21" s="254">
        <f t="shared" si="17"/>
        <v>0.48</v>
      </c>
      <c r="AV21" s="280">
        <f t="shared" si="18"/>
        <v>0.48</v>
      </c>
      <c r="AX21" s="269">
        <f t="shared" si="23"/>
        <v>5.76</v>
      </c>
      <c r="AY21" s="282">
        <f t="shared" si="19"/>
        <v>4.3138623083200542</v>
      </c>
      <c r="AZ21" s="254">
        <f t="shared" si="19"/>
        <v>4.7798709697490915</v>
      </c>
      <c r="BA21" s="280">
        <f t="shared" si="19"/>
        <v>5.6061065463583102</v>
      </c>
      <c r="BB21" s="280">
        <f t="shared" si="24"/>
        <v>4.2</v>
      </c>
    </row>
    <row r="22" spans="2:54" ht="15" customHeight="1" x14ac:dyDescent="0.25">
      <c r="T22" s="268">
        <f t="shared" si="25"/>
        <v>13</v>
      </c>
      <c r="V22" s="269">
        <f t="shared" si="0"/>
        <v>6.24</v>
      </c>
      <c r="W22" s="270">
        <f t="shared" si="1"/>
        <v>1.5886843552245815E-6</v>
      </c>
      <c r="X22" s="270">
        <f t="shared" si="1"/>
        <v>9.9025903404489581E-8</v>
      </c>
      <c r="Y22" s="271">
        <f t="shared" si="1"/>
        <v>6.030783745943958E-9</v>
      </c>
      <c r="Z22" s="272">
        <f t="shared" si="2"/>
        <v>8</v>
      </c>
      <c r="AA22" s="282">
        <f t="shared" si="26"/>
        <v>1.1787726221050093E-6</v>
      </c>
      <c r="AB22" s="254">
        <f t="shared" si="20"/>
        <v>7.9009706184981047E-8</v>
      </c>
      <c r="AC22" s="280">
        <f t="shared" si="21"/>
        <v>5.1701365411105321E-9</v>
      </c>
      <c r="AD22" s="270"/>
      <c r="AE22" s="282">
        <f t="shared" si="22"/>
        <v>6.24</v>
      </c>
      <c r="AF22" s="282">
        <f t="shared" si="4"/>
        <v>6.2628783436940747</v>
      </c>
      <c r="AG22" s="254">
        <f t="shared" si="4"/>
        <v>5.8649999780004958</v>
      </c>
      <c r="AH22" s="280">
        <f t="shared" si="4"/>
        <v>5.4671212110366403</v>
      </c>
      <c r="AI22" s="254">
        <f t="shared" si="5"/>
        <v>8</v>
      </c>
      <c r="AJ22" s="280">
        <f t="shared" si="6"/>
        <v>8.4909999999999997</v>
      </c>
      <c r="AK22" s="282">
        <f t="shared" si="7"/>
        <v>2.2274049695732998</v>
      </c>
      <c r="AL22" s="254">
        <f t="shared" si="8"/>
        <v>2.6251558569971016</v>
      </c>
      <c r="AM22" s="280">
        <f t="shared" si="9"/>
        <v>3.0229067444209035</v>
      </c>
      <c r="AN22" s="282">
        <f t="shared" si="10"/>
        <v>8.4902833132673745</v>
      </c>
      <c r="AO22" s="254">
        <f t="shared" si="11"/>
        <v>8.4901558349975979</v>
      </c>
      <c r="AP22" s="254">
        <f t="shared" si="12"/>
        <v>8.4900279554575437</v>
      </c>
      <c r="AQ22" s="283">
        <f t="shared" si="13"/>
        <v>1</v>
      </c>
      <c r="AR22" s="284">
        <f t="shared" si="14"/>
        <v>1</v>
      </c>
      <c r="AS22" s="285">
        <f t="shared" si="15"/>
        <v>1</v>
      </c>
      <c r="AT22" s="254">
        <f t="shared" si="16"/>
        <v>0.48</v>
      </c>
      <c r="AU22" s="254">
        <f t="shared" si="17"/>
        <v>0.48</v>
      </c>
      <c r="AV22" s="280">
        <f t="shared" si="18"/>
        <v>0.48</v>
      </c>
      <c r="AX22" s="269">
        <f t="shared" si="23"/>
        <v>6.24</v>
      </c>
      <c r="AY22" s="282">
        <f t="shared" si="19"/>
        <v>4.3503611754792502</v>
      </c>
      <c r="AZ22" s="254">
        <f t="shared" si="19"/>
        <v>4.8707837181524738</v>
      </c>
      <c r="BA22" s="280">
        <f t="shared" si="19"/>
        <v>5.7542682473644442</v>
      </c>
      <c r="BB22" s="280">
        <f t="shared" si="24"/>
        <v>4.2</v>
      </c>
    </row>
    <row r="23" spans="2:54" ht="15" customHeight="1" x14ac:dyDescent="0.25">
      <c r="T23" s="268">
        <f t="shared" si="25"/>
        <v>14</v>
      </c>
      <c r="V23" s="269">
        <f t="shared" si="0"/>
        <v>6.7200000000000006</v>
      </c>
      <c r="W23" s="270">
        <f t="shared" si="1"/>
        <v>4.4781471198995846E-7</v>
      </c>
      <c r="X23" s="270">
        <f t="shared" si="1"/>
        <v>2.2264149629038984E-8</v>
      </c>
      <c r="Y23" s="271">
        <f t="shared" si="1"/>
        <v>1.0815027175406301E-9</v>
      </c>
      <c r="Z23" s="272">
        <f t="shared" si="2"/>
        <v>8</v>
      </c>
      <c r="AA23" s="282">
        <f t="shared" si="26"/>
        <v>3.3226973209880335E-7</v>
      </c>
      <c r="AB23" s="254">
        <f t="shared" si="20"/>
        <v>1.776387555570597E-8</v>
      </c>
      <c r="AC23" s="280">
        <f t="shared" si="21"/>
        <v>9.2716390120983678E-10</v>
      </c>
      <c r="AD23" s="270"/>
      <c r="AE23" s="282">
        <f t="shared" si="22"/>
        <v>6.7200000000000006</v>
      </c>
      <c r="AF23" s="282">
        <f t="shared" si="4"/>
        <v>6.2628786626730166</v>
      </c>
      <c r="AG23" s="254">
        <f t="shared" si="4"/>
        <v>5.8649999950538172</v>
      </c>
      <c r="AH23" s="280">
        <f t="shared" si="4"/>
        <v>5.4671212119267167</v>
      </c>
      <c r="AI23" s="254">
        <f t="shared" si="5"/>
        <v>8</v>
      </c>
      <c r="AJ23" s="280">
        <f t="shared" si="6"/>
        <v>8.4909999999999997</v>
      </c>
      <c r="AK23" s="282">
        <f t="shared" si="7"/>
        <v>2.2274049695732998</v>
      </c>
      <c r="AL23" s="254">
        <f t="shared" si="8"/>
        <v>2.6251558569971016</v>
      </c>
      <c r="AM23" s="280">
        <f t="shared" si="9"/>
        <v>3.0229067444209035</v>
      </c>
      <c r="AN23" s="282">
        <f t="shared" si="10"/>
        <v>8.4902836322463173</v>
      </c>
      <c r="AO23" s="254">
        <f t="shared" si="11"/>
        <v>8.4901558520509184</v>
      </c>
      <c r="AP23" s="254">
        <f t="shared" si="12"/>
        <v>8.4900279563476211</v>
      </c>
      <c r="AQ23" s="283">
        <f t="shared" si="13"/>
        <v>1</v>
      </c>
      <c r="AR23" s="284">
        <f t="shared" si="14"/>
        <v>1</v>
      </c>
      <c r="AS23" s="285">
        <f t="shared" si="15"/>
        <v>1</v>
      </c>
      <c r="AT23" s="254">
        <f t="shared" si="16"/>
        <v>0.48</v>
      </c>
      <c r="AU23" s="254">
        <f t="shared" si="17"/>
        <v>0.48</v>
      </c>
      <c r="AV23" s="280">
        <f t="shared" si="18"/>
        <v>0.48</v>
      </c>
      <c r="AX23" s="269">
        <f t="shared" si="23"/>
        <v>6.7200000000000006</v>
      </c>
      <c r="AY23" s="282">
        <f t="shared" si="19"/>
        <v>4.3868996922455201</v>
      </c>
      <c r="AZ23" s="254">
        <f t="shared" si="19"/>
        <v>5.0116854281897298</v>
      </c>
      <c r="BA23" s="280">
        <f t="shared" si="19"/>
        <v>5.9014060173838025</v>
      </c>
      <c r="BB23" s="280">
        <f t="shared" si="24"/>
        <v>4.2</v>
      </c>
    </row>
    <row r="24" spans="2:54" ht="15" customHeight="1" x14ac:dyDescent="0.25">
      <c r="T24" s="268">
        <f t="shared" si="25"/>
        <v>15</v>
      </c>
      <c r="V24" s="269">
        <f t="shared" si="0"/>
        <v>7.1999999999999993</v>
      </c>
      <c r="W24" s="270">
        <f t="shared" si="1"/>
        <v>1.262289866549999E-7</v>
      </c>
      <c r="X24" s="270">
        <f t="shared" si="1"/>
        <v>5.0056837823482739E-9</v>
      </c>
      <c r="Y24" s="271">
        <f t="shared" si="1"/>
        <v>1.9394628912609015E-10</v>
      </c>
      <c r="Z24" s="272">
        <f t="shared" si="2"/>
        <v>8</v>
      </c>
      <c r="AA24" s="282">
        <f t="shared" si="26"/>
        <v>9.3659430211446002E-8</v>
      </c>
      <c r="AB24" s="254">
        <f t="shared" si="20"/>
        <v>3.9938811517241027E-9</v>
      </c>
      <c r="AC24" s="280">
        <f t="shared" si="21"/>
        <v>1.6626700016786391E-10</v>
      </c>
      <c r="AD24" s="270"/>
      <c r="AE24" s="282">
        <f t="shared" si="22"/>
        <v>7.1999999999999993</v>
      </c>
      <c r="AF24" s="282">
        <f t="shared" si="4"/>
        <v>6.2628787525860705</v>
      </c>
      <c r="AG24" s="254">
        <f t="shared" si="4"/>
        <v>5.8649999988879422</v>
      </c>
      <c r="AH24" s="280">
        <f t="shared" si="4"/>
        <v>5.4671212120863348</v>
      </c>
      <c r="AI24" s="254">
        <f t="shared" si="5"/>
        <v>8</v>
      </c>
      <c r="AJ24" s="280">
        <f t="shared" si="6"/>
        <v>8.4909999999999997</v>
      </c>
      <c r="AK24" s="282">
        <f t="shared" si="7"/>
        <v>2.2274049695732998</v>
      </c>
      <c r="AL24" s="254">
        <f t="shared" si="8"/>
        <v>2.6251558569971016</v>
      </c>
      <c r="AM24" s="280">
        <f t="shared" si="9"/>
        <v>3.0229067444209035</v>
      </c>
      <c r="AN24" s="282">
        <f t="shared" si="10"/>
        <v>8.4902837221593703</v>
      </c>
      <c r="AO24" s="254">
        <f t="shared" si="11"/>
        <v>8.4901558558850443</v>
      </c>
      <c r="AP24" s="254">
        <f t="shared" si="12"/>
        <v>8.4900279565072374</v>
      </c>
      <c r="AQ24" s="283">
        <f t="shared" si="13"/>
        <v>1</v>
      </c>
      <c r="AR24" s="284">
        <f t="shared" si="14"/>
        <v>1</v>
      </c>
      <c r="AS24" s="285">
        <f t="shared" si="15"/>
        <v>1</v>
      </c>
      <c r="AT24" s="254">
        <f t="shared" si="16"/>
        <v>0.48</v>
      </c>
      <c r="AU24" s="254">
        <f t="shared" si="17"/>
        <v>0.48</v>
      </c>
      <c r="AV24" s="280">
        <f t="shared" si="18"/>
        <v>0.48</v>
      </c>
      <c r="AX24" s="269">
        <f t="shared" si="23"/>
        <v>7.1999999999999993</v>
      </c>
      <c r="AY24" s="282">
        <f t="shared" si="19"/>
        <v>4.4234860718196565</v>
      </c>
      <c r="AZ24" s="254">
        <f t="shared" si="19"/>
        <v>4.6228383434626341</v>
      </c>
      <c r="BA24" s="280">
        <f t="shared" si="19"/>
        <v>6.0479224853264189</v>
      </c>
      <c r="BB24" s="280">
        <f t="shared" si="24"/>
        <v>4.2</v>
      </c>
    </row>
    <row r="25" spans="2:54" ht="15" customHeight="1" x14ac:dyDescent="0.25">
      <c r="T25" s="268">
        <f t="shared" si="25"/>
        <v>16</v>
      </c>
      <c r="V25" s="269">
        <f t="shared" si="0"/>
        <v>7.68</v>
      </c>
      <c r="W25" s="270">
        <f t="shared" si="1"/>
        <v>3.5581138013851858E-8</v>
      </c>
      <c r="X25" s="270">
        <f t="shared" si="1"/>
        <v>1.1254357586684035E-9</v>
      </c>
      <c r="Y25" s="271">
        <f t="shared" si="1"/>
        <v>3.4780460978700865E-11</v>
      </c>
      <c r="Z25" s="272">
        <f t="shared" si="2"/>
        <v>8</v>
      </c>
      <c r="AA25" s="282">
        <f t="shared" si="26"/>
        <v>2.6400505855524608E-8</v>
      </c>
      <c r="AB25" s="254">
        <f t="shared" si="20"/>
        <v>8.9795023268853353E-10</v>
      </c>
      <c r="AC25" s="280">
        <f t="shared" si="21"/>
        <v>2.9816889698016264E-11</v>
      </c>
      <c r="AD25" s="270"/>
      <c r="AE25" s="282">
        <f t="shared" si="22"/>
        <v>7.68</v>
      </c>
      <c r="AF25" s="282">
        <f t="shared" si="4"/>
        <v>6.2628787779305561</v>
      </c>
      <c r="AG25" s="254">
        <f t="shared" si="4"/>
        <v>5.8649999997499744</v>
      </c>
      <c r="AH25" s="280">
        <f t="shared" si="4"/>
        <v>5.4671212121149591</v>
      </c>
      <c r="AI25" s="254">
        <f t="shared" si="5"/>
        <v>8</v>
      </c>
      <c r="AJ25" s="280">
        <f t="shared" si="6"/>
        <v>8.4909999999999997</v>
      </c>
      <c r="AK25" s="282">
        <f t="shared" si="7"/>
        <v>2.2274049695732998</v>
      </c>
      <c r="AL25" s="254">
        <f t="shared" si="8"/>
        <v>2.6251558569971016</v>
      </c>
      <c r="AM25" s="280">
        <f t="shared" si="9"/>
        <v>3.0229067444209035</v>
      </c>
      <c r="AN25" s="282">
        <f t="shared" si="10"/>
        <v>8.4902837475038559</v>
      </c>
      <c r="AO25" s="254">
        <f t="shared" si="11"/>
        <v>8.4901558567470765</v>
      </c>
      <c r="AP25" s="254">
        <f t="shared" si="12"/>
        <v>8.4900279565358616</v>
      </c>
      <c r="AQ25" s="283">
        <f t="shared" si="13"/>
        <v>1</v>
      </c>
      <c r="AR25" s="284">
        <f t="shared" si="14"/>
        <v>1</v>
      </c>
      <c r="AS25" s="285">
        <f t="shared" si="15"/>
        <v>1</v>
      </c>
      <c r="AT25" s="254">
        <f t="shared" si="16"/>
        <v>0.48</v>
      </c>
      <c r="AU25" s="254">
        <f t="shared" si="17"/>
        <v>0.48</v>
      </c>
      <c r="AV25" s="280">
        <f t="shared" si="18"/>
        <v>0.48</v>
      </c>
      <c r="AX25" s="269">
        <f t="shared" si="23"/>
        <v>7.68</v>
      </c>
      <c r="AY25" s="282">
        <f t="shared" si="19"/>
        <v>4.4601309640770141</v>
      </c>
      <c r="AZ25" s="254">
        <f t="shared" si="19"/>
        <v>4.9668713154922921</v>
      </c>
      <c r="BA25" s="280">
        <f t="shared" si="19"/>
        <v>6.1940336475686379</v>
      </c>
      <c r="BB25" s="280">
        <f t="shared" si="24"/>
        <v>4.2</v>
      </c>
    </row>
    <row r="26" spans="2:54" ht="15" customHeight="1" x14ac:dyDescent="0.25">
      <c r="T26" s="268">
        <f t="shared" si="25"/>
        <v>17</v>
      </c>
      <c r="V26" s="269">
        <f t="shared" si="0"/>
        <v>8.16</v>
      </c>
      <c r="W26" s="270">
        <f t="shared" si="1"/>
        <v>1.0029529792716807E-8</v>
      </c>
      <c r="X26" s="270">
        <f t="shared" si="1"/>
        <v>2.5303349191892682E-10</v>
      </c>
      <c r="Y26" s="271">
        <f t="shared" si="1"/>
        <v>6.2371931494109943E-12</v>
      </c>
      <c r="Z26" s="272">
        <f t="shared" si="2"/>
        <v>8</v>
      </c>
      <c r="AA26" s="282">
        <f t="shared" si="26"/>
        <v>7.4417139117599552E-9</v>
      </c>
      <c r="AB26" s="254">
        <f t="shared" si="20"/>
        <v>2.0188665554125369E-10</v>
      </c>
      <c r="AC26" s="280">
        <f t="shared" si="21"/>
        <v>5.3475742352778322E-12</v>
      </c>
      <c r="AD26" s="270"/>
      <c r="AE26" s="282">
        <f t="shared" si="22"/>
        <v>8.16</v>
      </c>
      <c r="AF26" s="282">
        <f t="shared" si="4"/>
        <v>6.2628787850746024</v>
      </c>
      <c r="AG26" s="254">
        <f t="shared" si="4"/>
        <v>5.8649999999437865</v>
      </c>
      <c r="AH26" s="280">
        <f t="shared" si="4"/>
        <v>5.4671212121200918</v>
      </c>
      <c r="AI26" s="254">
        <f t="shared" si="5"/>
        <v>8</v>
      </c>
      <c r="AJ26" s="280">
        <f t="shared" si="6"/>
        <v>8.4909999999999997</v>
      </c>
      <c r="AK26" s="282">
        <f t="shared" si="7"/>
        <v>2.2274049695732998</v>
      </c>
      <c r="AL26" s="254">
        <f t="shared" si="8"/>
        <v>2.6251558569971016</v>
      </c>
      <c r="AM26" s="280">
        <f t="shared" si="9"/>
        <v>3.0229067444209035</v>
      </c>
      <c r="AN26" s="282">
        <f t="shared" si="10"/>
        <v>8.4902837546479013</v>
      </c>
      <c r="AO26" s="254">
        <f t="shared" si="11"/>
        <v>8.4901558569408877</v>
      </c>
      <c r="AP26" s="254">
        <f t="shared" si="12"/>
        <v>8.4900279565409953</v>
      </c>
      <c r="AQ26" s="283">
        <f t="shared" si="13"/>
        <v>1</v>
      </c>
      <c r="AR26" s="284">
        <f t="shared" si="14"/>
        <v>1</v>
      </c>
      <c r="AS26" s="285">
        <f t="shared" si="15"/>
        <v>1</v>
      </c>
      <c r="AT26" s="254">
        <f t="shared" si="16"/>
        <v>0.48</v>
      </c>
      <c r="AU26" s="254">
        <f t="shared" si="17"/>
        <v>0.48</v>
      </c>
      <c r="AV26" s="280">
        <f t="shared" si="18"/>
        <v>0.48</v>
      </c>
      <c r="AX26" s="269">
        <f t="shared" si="23"/>
        <v>8.16</v>
      </c>
      <c r="AY26" s="282">
        <f t="shared" si="19"/>
        <v>4.4968484315929187</v>
      </c>
      <c r="AZ26" s="254">
        <f t="shared" si="19"/>
        <v>5.0703664057117006</v>
      </c>
      <c r="BA26" s="280">
        <f t="shared" si="19"/>
        <v>6.339865776219046</v>
      </c>
      <c r="BB26" s="280">
        <f t="shared" si="24"/>
        <v>4.2</v>
      </c>
    </row>
    <row r="27" spans="2:54" ht="15" customHeight="1" x14ac:dyDescent="0.25">
      <c r="T27" s="268">
        <f t="shared" si="25"/>
        <v>18</v>
      </c>
      <c r="V27" s="269">
        <f t="shared" si="0"/>
        <v>8.64</v>
      </c>
      <c r="W27" s="270">
        <f t="shared" si="1"/>
        <v>2.8271009157670507E-9</v>
      </c>
      <c r="X27" s="270">
        <f t="shared" si="1"/>
        <v>5.6889918006906068E-11</v>
      </c>
      <c r="Y27" s="271">
        <f t="shared" si="1"/>
        <v>1.118518193501889E-12</v>
      </c>
      <c r="Z27" s="272">
        <f t="shared" si="2"/>
        <v>8</v>
      </c>
      <c r="AA27" s="282">
        <f t="shared" si="26"/>
        <v>2.0976553827267687E-9</v>
      </c>
      <c r="AB27" s="254">
        <f t="shared" si="20"/>
        <v>4.5391468361799486E-11</v>
      </c>
      <c r="AC27" s="280">
        <f t="shared" si="21"/>
        <v>9.5849254459305087E-13</v>
      </c>
      <c r="AD27" s="270"/>
      <c r="AE27" s="282">
        <f t="shared" si="22"/>
        <v>8.64</v>
      </c>
      <c r="AF27" s="282">
        <f t="shared" si="4"/>
        <v>6.2628787870883498</v>
      </c>
      <c r="AG27" s="254">
        <f t="shared" si="4"/>
        <v>5.8649999999873614</v>
      </c>
      <c r="AH27" s="280">
        <f t="shared" si="4"/>
        <v>5.4671212121210129</v>
      </c>
      <c r="AI27" s="254">
        <f t="shared" si="5"/>
        <v>8</v>
      </c>
      <c r="AJ27" s="280">
        <f t="shared" si="6"/>
        <v>8.4909999999999997</v>
      </c>
      <c r="AK27" s="282">
        <f t="shared" si="7"/>
        <v>2.2274049695732998</v>
      </c>
      <c r="AL27" s="254">
        <f t="shared" si="8"/>
        <v>2.6251558569971016</v>
      </c>
      <c r="AM27" s="280">
        <f t="shared" si="9"/>
        <v>3.0229067444209035</v>
      </c>
      <c r="AN27" s="282">
        <f t="shared" si="10"/>
        <v>8.4902837566616505</v>
      </c>
      <c r="AO27" s="254">
        <f t="shared" si="11"/>
        <v>8.4901558569844635</v>
      </c>
      <c r="AP27" s="254">
        <f t="shared" si="12"/>
        <v>8.4900279565419154</v>
      </c>
      <c r="AQ27" s="283">
        <f t="shared" si="13"/>
        <v>1</v>
      </c>
      <c r="AR27" s="284">
        <f t="shared" si="14"/>
        <v>1</v>
      </c>
      <c r="AS27" s="285">
        <f t="shared" si="15"/>
        <v>1</v>
      </c>
      <c r="AT27" s="254">
        <f t="shared" si="16"/>
        <v>0.48</v>
      </c>
      <c r="AU27" s="254">
        <f t="shared" si="17"/>
        <v>0.48</v>
      </c>
      <c r="AV27" s="280">
        <f t="shared" si="18"/>
        <v>0.48</v>
      </c>
      <c r="AX27" s="269">
        <f t="shared" si="23"/>
        <v>8.64</v>
      </c>
      <c r="AY27" s="282">
        <f t="shared" si="19"/>
        <v>4.5336574356686681</v>
      </c>
      <c r="AZ27" s="254">
        <f t="shared" si="19"/>
        <v>5.1547671195913498</v>
      </c>
      <c r="BA27" s="280">
        <f t="shared" si="19"/>
        <v>6.4854976250623153</v>
      </c>
      <c r="BB27" s="280">
        <f t="shared" si="24"/>
        <v>4.2</v>
      </c>
    </row>
    <row r="28" spans="2:54" ht="15" customHeight="1" x14ac:dyDescent="0.25">
      <c r="T28" s="268">
        <f t="shared" si="25"/>
        <v>19</v>
      </c>
      <c r="V28" s="269">
        <f t="shared" si="0"/>
        <v>9.120000000000001</v>
      </c>
      <c r="W28" s="270">
        <f t="shared" si="1"/>
        <v>7.9689673924043971E-10</v>
      </c>
      <c r="X28" s="270">
        <f t="shared" si="1"/>
        <v>1.2790649752679671E-11</v>
      </c>
      <c r="Y28" s="271">
        <f t="shared" si="1"/>
        <v>2.0058428835298617E-13</v>
      </c>
      <c r="Z28" s="272">
        <f t="shared" si="2"/>
        <v>8</v>
      </c>
      <c r="AA28" s="282">
        <f t="shared" si="26"/>
        <v>5.9128072808315761E-10</v>
      </c>
      <c r="AB28" s="254">
        <f t="shared" si="20"/>
        <v>1.0204799968012888E-11</v>
      </c>
      <c r="AC28" s="280">
        <f t="shared" si="21"/>
        <v>1.7393494052460771E-13</v>
      </c>
      <c r="AD28" s="270"/>
      <c r="AE28" s="282">
        <f t="shared" si="22"/>
        <v>9.120000000000001</v>
      </c>
      <c r="AF28" s="282">
        <f t="shared" si="4"/>
        <v>6.2628787876559802</v>
      </c>
      <c r="AG28" s="254">
        <f t="shared" si="4"/>
        <v>5.8649999999971589</v>
      </c>
      <c r="AH28" s="280">
        <f t="shared" si="4"/>
        <v>5.4671212121211781</v>
      </c>
      <c r="AI28" s="254">
        <f t="shared" si="5"/>
        <v>8</v>
      </c>
      <c r="AJ28" s="280">
        <f t="shared" si="6"/>
        <v>8.4909999999999997</v>
      </c>
      <c r="AK28" s="282">
        <f t="shared" si="7"/>
        <v>2.2274049695732998</v>
      </c>
      <c r="AL28" s="254">
        <f t="shared" si="8"/>
        <v>2.6251558569971016</v>
      </c>
      <c r="AM28" s="280">
        <f t="shared" si="9"/>
        <v>3.0229067444209035</v>
      </c>
      <c r="AN28" s="282">
        <f t="shared" si="10"/>
        <v>8.49028375722928</v>
      </c>
      <c r="AO28" s="254">
        <f t="shared" si="11"/>
        <v>8.4901558569942601</v>
      </c>
      <c r="AP28" s="254">
        <f t="shared" si="12"/>
        <v>8.4900279565420824</v>
      </c>
      <c r="AQ28" s="283">
        <f t="shared" si="13"/>
        <v>1</v>
      </c>
      <c r="AR28" s="284">
        <f t="shared" si="14"/>
        <v>1</v>
      </c>
      <c r="AS28" s="285">
        <f t="shared" si="15"/>
        <v>1</v>
      </c>
      <c r="AT28" s="254">
        <f t="shared" si="16"/>
        <v>0.48</v>
      </c>
      <c r="AU28" s="254">
        <f t="shared" si="17"/>
        <v>0.48</v>
      </c>
      <c r="AV28" s="280">
        <f t="shared" si="18"/>
        <v>0.48</v>
      </c>
      <c r="AX28" s="269">
        <f t="shared" si="23"/>
        <v>9.120000000000001</v>
      </c>
      <c r="AY28" s="282">
        <f t="shared" si="19"/>
        <v>4.5705841729215857</v>
      </c>
      <c r="AZ28" s="254">
        <f t="shared" si="19"/>
        <v>5.2335243671659342</v>
      </c>
      <c r="BA28" s="280">
        <f t="shared" si="19"/>
        <v>6.6309808599201583</v>
      </c>
      <c r="BB28" s="280">
        <f t="shared" si="24"/>
        <v>4.2</v>
      </c>
    </row>
    <row r="29" spans="2:54" ht="15" customHeight="1" x14ac:dyDescent="0.25">
      <c r="T29" s="268">
        <f t="shared" si="25"/>
        <v>20</v>
      </c>
      <c r="V29" s="269">
        <f t="shared" si="0"/>
        <v>9.6000000000000014</v>
      </c>
      <c r="W29" s="270">
        <f t="shared" ref="W29:Y48" si="27">W$7*EXP(-(W$7)/($C$7)*$V29)</f>
        <v>2.2462742998325006E-10</v>
      </c>
      <c r="X29" s="270">
        <f t="shared" si="27"/>
        <v>2.8757419034399819E-12</v>
      </c>
      <c r="Y29" s="271">
        <f t="shared" si="27"/>
        <v>3.5970855876834908E-14</v>
      </c>
      <c r="Z29" s="272">
        <f t="shared" si="2"/>
        <v>8</v>
      </c>
      <c r="AA29" s="282">
        <f t="shared" si="26"/>
        <v>1.6666853082843606E-10</v>
      </c>
      <c r="AB29" s="254">
        <f t="shared" si="20"/>
        <v>2.294460917558655E-12</v>
      </c>
      <c r="AC29" s="280">
        <f t="shared" si="21"/>
        <v>2.9605947323337478E-14</v>
      </c>
      <c r="AD29" s="270"/>
      <c r="AE29" s="282">
        <f t="shared" si="22"/>
        <v>9.6000000000000014</v>
      </c>
      <c r="AF29" s="282">
        <f t="shared" ref="AF29:AH48" si="28">($C$7-(AF$6-$C$4)*$C$12)*(1-EXP(-(AF$7/$C$7)*$AE29))</f>
        <v>6.2628787878159828</v>
      </c>
      <c r="AG29" s="254">
        <f t="shared" si="28"/>
        <v>5.8649999999993616</v>
      </c>
      <c r="AH29" s="280">
        <f t="shared" si="28"/>
        <v>5.4671212121212065</v>
      </c>
      <c r="AI29" s="254">
        <f t="shared" si="5"/>
        <v>8</v>
      </c>
      <c r="AJ29" s="280">
        <f t="shared" si="6"/>
        <v>8.4909999999999997</v>
      </c>
      <c r="AK29" s="282">
        <f t="shared" si="7"/>
        <v>2.2274049695732998</v>
      </c>
      <c r="AL29" s="254">
        <f t="shared" si="8"/>
        <v>2.6251558569971016</v>
      </c>
      <c r="AM29" s="280">
        <f t="shared" si="9"/>
        <v>3.0229067444209035</v>
      </c>
      <c r="AN29" s="282">
        <f t="shared" si="10"/>
        <v>8.4902837573892818</v>
      </c>
      <c r="AO29" s="254">
        <f t="shared" si="11"/>
        <v>8.4901558569964628</v>
      </c>
      <c r="AP29" s="254">
        <f t="shared" si="12"/>
        <v>8.4900279565421108</v>
      </c>
      <c r="AQ29" s="283">
        <f t="shared" si="13"/>
        <v>1</v>
      </c>
      <c r="AR29" s="284">
        <f t="shared" si="14"/>
        <v>1</v>
      </c>
      <c r="AS29" s="285">
        <f t="shared" si="15"/>
        <v>1</v>
      </c>
      <c r="AT29" s="254">
        <f t="shared" si="16"/>
        <v>0.48</v>
      </c>
      <c r="AU29" s="254">
        <f t="shared" si="17"/>
        <v>0.48</v>
      </c>
      <c r="AV29" s="280">
        <f t="shared" si="18"/>
        <v>0.48</v>
      </c>
      <c r="AX29" s="269">
        <f t="shared" si="23"/>
        <v>9.6000000000000014</v>
      </c>
      <c r="AY29" s="282">
        <f t="shared" ref="AY29:BA48" si="29">($C$4+$E$17*AY$8)+(($E$18/(1-(AY$8*$AX29)/($C$7)))+($AX29/$C$12))*AY$8</f>
        <v>4.607665890318013</v>
      </c>
      <c r="AZ29" s="254">
        <f t="shared" si="29"/>
        <v>5.3098576630525391</v>
      </c>
      <c r="BA29" s="280">
        <f t="shared" si="29"/>
        <v>6.7763507828706295</v>
      </c>
      <c r="BB29" s="280">
        <f t="shared" si="24"/>
        <v>4.2</v>
      </c>
    </row>
    <row r="30" spans="2:54" ht="15" customHeight="1" x14ac:dyDescent="0.25">
      <c r="T30" s="268">
        <f t="shared" si="25"/>
        <v>21</v>
      </c>
      <c r="V30" s="269">
        <f t="shared" si="0"/>
        <v>10.08</v>
      </c>
      <c r="W30" s="270">
        <f t="shared" si="27"/>
        <v>6.3317466136169288E-11</v>
      </c>
      <c r="X30" s="270">
        <f t="shared" si="27"/>
        <v>6.465575756593685E-13</v>
      </c>
      <c r="Y30" s="271">
        <f t="shared" si="27"/>
        <v>6.4506671142409337E-15</v>
      </c>
      <c r="Z30" s="272">
        <f t="shared" si="2"/>
        <v>8</v>
      </c>
      <c r="AA30" s="282">
        <f t="shared" si="26"/>
        <v>4.6980937658721339E-11</v>
      </c>
      <c r="AB30" s="254">
        <f t="shared" si="20"/>
        <v>5.162537064506992E-13</v>
      </c>
      <c r="AC30" s="280">
        <f t="shared" si="21"/>
        <v>5.5511151231257985E-15</v>
      </c>
      <c r="AD30" s="270"/>
      <c r="AE30" s="282">
        <f t="shared" si="22"/>
        <v>10.08</v>
      </c>
      <c r="AF30" s="282">
        <f t="shared" si="28"/>
        <v>6.2628787878610837</v>
      </c>
      <c r="AG30" s="254">
        <f t="shared" si="28"/>
        <v>5.8649999999998563</v>
      </c>
      <c r="AH30" s="280">
        <f t="shared" si="28"/>
        <v>5.4671212121212127</v>
      </c>
      <c r="AI30" s="254">
        <f t="shared" si="5"/>
        <v>8</v>
      </c>
      <c r="AJ30" s="280">
        <f t="shared" si="6"/>
        <v>8.4909999999999997</v>
      </c>
      <c r="AK30" s="282">
        <f t="shared" si="7"/>
        <v>2.2274049695732998</v>
      </c>
      <c r="AL30" s="254">
        <f t="shared" si="8"/>
        <v>2.6251558569971016</v>
      </c>
      <c r="AM30" s="280">
        <f t="shared" si="9"/>
        <v>3.0229067444209035</v>
      </c>
      <c r="AN30" s="282">
        <f t="shared" si="10"/>
        <v>8.4902837574343835</v>
      </c>
      <c r="AO30" s="254">
        <f t="shared" si="11"/>
        <v>8.4901558569969584</v>
      </c>
      <c r="AP30" s="254">
        <f t="shared" si="12"/>
        <v>8.4900279565421162</v>
      </c>
      <c r="AQ30" s="283">
        <f t="shared" si="13"/>
        <v>1</v>
      </c>
      <c r="AR30" s="284">
        <f t="shared" si="14"/>
        <v>1</v>
      </c>
      <c r="AS30" s="285">
        <f t="shared" si="15"/>
        <v>1</v>
      </c>
      <c r="AT30" s="254">
        <f t="shared" si="16"/>
        <v>0.48</v>
      </c>
      <c r="AU30" s="254">
        <f t="shared" si="17"/>
        <v>0.48</v>
      </c>
      <c r="AV30" s="280">
        <f t="shared" si="18"/>
        <v>0.48</v>
      </c>
      <c r="AX30" s="269">
        <f t="shared" si="23"/>
        <v>10.08</v>
      </c>
      <c r="AY30" s="282">
        <f t="shared" si="29"/>
        <v>4.644957398682342</v>
      </c>
      <c r="AZ30" s="254">
        <f t="shared" si="29"/>
        <v>5.3849288903348889</v>
      </c>
      <c r="BA30" s="280">
        <f t="shared" si="29"/>
        <v>6.9216323353793605</v>
      </c>
      <c r="BB30" s="280">
        <f t="shared" si="24"/>
        <v>4.2</v>
      </c>
    </row>
    <row r="31" spans="2:54" ht="15" customHeight="1" x14ac:dyDescent="0.25">
      <c r="T31" s="268">
        <f t="shared" si="25"/>
        <v>22</v>
      </c>
      <c r="V31" s="269">
        <f t="shared" si="0"/>
        <v>10.56</v>
      </c>
      <c r="W31" s="270">
        <f t="shared" si="27"/>
        <v>1.7847782517940337E-11</v>
      </c>
      <c r="X31" s="270">
        <f t="shared" si="27"/>
        <v>1.4536655676312907E-13</v>
      </c>
      <c r="Y31" s="271">
        <f t="shared" si="27"/>
        <v>1.1568005599095724E-15</v>
      </c>
      <c r="Z31" s="272">
        <f t="shared" si="2"/>
        <v>8</v>
      </c>
      <c r="AA31" s="282">
        <f t="shared" si="26"/>
        <v>1.3241259940362688E-11</v>
      </c>
      <c r="AB31" s="254">
        <f t="shared" si="20"/>
        <v>1.1472304587793273E-13</v>
      </c>
      <c r="AC31" s="280">
        <f t="shared" si="21"/>
        <v>1.8503717077085924E-15</v>
      </c>
      <c r="AD31" s="270"/>
      <c r="AE31" s="282">
        <f t="shared" si="22"/>
        <v>10.56</v>
      </c>
      <c r="AF31" s="282">
        <f t="shared" si="28"/>
        <v>6.2628787878737961</v>
      </c>
      <c r="AG31" s="254">
        <f t="shared" si="28"/>
        <v>5.8649999999999674</v>
      </c>
      <c r="AH31" s="280">
        <f t="shared" si="28"/>
        <v>5.4671212121212136</v>
      </c>
      <c r="AI31" s="254">
        <f t="shared" si="5"/>
        <v>8</v>
      </c>
      <c r="AJ31" s="280">
        <f t="shared" si="6"/>
        <v>8.4909999999999997</v>
      </c>
      <c r="AK31" s="282">
        <f t="shared" si="7"/>
        <v>2.2274049695732998</v>
      </c>
      <c r="AL31" s="254">
        <f t="shared" si="8"/>
        <v>2.6251558569971016</v>
      </c>
      <c r="AM31" s="280">
        <f t="shared" si="9"/>
        <v>3.0229067444209035</v>
      </c>
      <c r="AN31" s="282">
        <f t="shared" si="10"/>
        <v>8.4902837574470951</v>
      </c>
      <c r="AO31" s="254">
        <f t="shared" si="11"/>
        <v>8.4901558569970685</v>
      </c>
      <c r="AP31" s="254">
        <f t="shared" si="12"/>
        <v>8.4900279565421179</v>
      </c>
      <c r="AQ31" s="283">
        <f t="shared" si="13"/>
        <v>1</v>
      </c>
      <c r="AR31" s="284">
        <f t="shared" si="14"/>
        <v>1</v>
      </c>
      <c r="AS31" s="285">
        <f t="shared" si="15"/>
        <v>1</v>
      </c>
      <c r="AT31" s="254">
        <f t="shared" si="16"/>
        <v>0.48</v>
      </c>
      <c r="AU31" s="254">
        <f t="shared" si="17"/>
        <v>0.48</v>
      </c>
      <c r="AV31" s="280">
        <f t="shared" si="18"/>
        <v>0.48</v>
      </c>
      <c r="AX31" s="269">
        <f t="shared" si="23"/>
        <v>10.56</v>
      </c>
      <c r="AY31" s="282">
        <f t="shared" si="29"/>
        <v>4.6825428091033272</v>
      </c>
      <c r="AZ31" s="254">
        <f t="shared" si="29"/>
        <v>5.4592596597635588</v>
      </c>
      <c r="BA31" s="280">
        <f t="shared" si="29"/>
        <v>7.0668436393383978</v>
      </c>
      <c r="BB31" s="280">
        <f t="shared" si="24"/>
        <v>4.2</v>
      </c>
    </row>
    <row r="32" spans="2:54" ht="15" customHeight="1" x14ac:dyDescent="0.25">
      <c r="T32" s="268">
        <f t="shared" si="25"/>
        <v>23</v>
      </c>
      <c r="V32" s="269">
        <f t="shared" si="0"/>
        <v>11.040000000000001</v>
      </c>
      <c r="W32" s="270">
        <f t="shared" si="27"/>
        <v>5.0308921099692258E-12</v>
      </c>
      <c r="X32" s="270">
        <f t="shared" si="27"/>
        <v>3.2682991616976871E-14</v>
      </c>
      <c r="Y32" s="271">
        <f t="shared" si="27"/>
        <v>2.0744947952016238E-16</v>
      </c>
      <c r="Z32" s="272">
        <f t="shared" si="2"/>
        <v>8</v>
      </c>
      <c r="AA32" s="282">
        <f t="shared" si="26"/>
        <v>3.7340501061559402E-12</v>
      </c>
      <c r="AB32" s="254">
        <f t="shared" si="20"/>
        <v>2.7755575615628888E-14</v>
      </c>
      <c r="AC32" s="280">
        <f t="shared" si="21"/>
        <v>0</v>
      </c>
      <c r="AD32" s="270"/>
      <c r="AE32" s="282">
        <f t="shared" si="22"/>
        <v>11.040000000000001</v>
      </c>
      <c r="AF32" s="282">
        <f t="shared" si="28"/>
        <v>6.2628787878773799</v>
      </c>
      <c r="AG32" s="254">
        <f t="shared" si="28"/>
        <v>5.8649999999999931</v>
      </c>
      <c r="AH32" s="280">
        <f t="shared" si="28"/>
        <v>5.4671212121212136</v>
      </c>
      <c r="AI32" s="254">
        <f t="shared" si="5"/>
        <v>8</v>
      </c>
      <c r="AJ32" s="280">
        <f t="shared" si="6"/>
        <v>8.4909999999999997</v>
      </c>
      <c r="AK32" s="282">
        <f t="shared" si="7"/>
        <v>2.2274049695732998</v>
      </c>
      <c r="AL32" s="254">
        <f t="shared" si="8"/>
        <v>2.6251558569971016</v>
      </c>
      <c r="AM32" s="280">
        <f t="shared" si="9"/>
        <v>3.0229067444209035</v>
      </c>
      <c r="AN32" s="282">
        <f t="shared" si="10"/>
        <v>8.4902837574506798</v>
      </c>
      <c r="AO32" s="254">
        <f t="shared" si="11"/>
        <v>8.4901558569970952</v>
      </c>
      <c r="AP32" s="254">
        <f t="shared" si="12"/>
        <v>8.4900279565421179</v>
      </c>
      <c r="AQ32" s="283">
        <f t="shared" si="13"/>
        <v>1</v>
      </c>
      <c r="AR32" s="284">
        <f t="shared" si="14"/>
        <v>1</v>
      </c>
      <c r="AS32" s="285">
        <f t="shared" si="15"/>
        <v>1</v>
      </c>
      <c r="AT32" s="254">
        <f t="shared" si="16"/>
        <v>0.48</v>
      </c>
      <c r="AU32" s="254">
        <f t="shared" si="17"/>
        <v>0.48</v>
      </c>
      <c r="AV32" s="280">
        <f t="shared" si="18"/>
        <v>0.48</v>
      </c>
      <c r="AX32" s="269">
        <f t="shared" si="23"/>
        <v>11.040000000000001</v>
      </c>
      <c r="AY32" s="282">
        <f t="shared" si="29"/>
        <v>4.7205581319596268</v>
      </c>
      <c r="AZ32" s="254">
        <f t="shared" si="29"/>
        <v>5.5331189457281145</v>
      </c>
      <c r="BA32" s="280">
        <f t="shared" si="29"/>
        <v>7.2119981787237339</v>
      </c>
      <c r="BB32" s="280">
        <f t="shared" si="24"/>
        <v>4.2</v>
      </c>
    </row>
    <row r="33" spans="20:54" ht="15" customHeight="1" x14ac:dyDescent="0.25">
      <c r="T33" s="268">
        <f t="shared" si="25"/>
        <v>24</v>
      </c>
      <c r="V33" s="269">
        <f t="shared" si="0"/>
        <v>11.52</v>
      </c>
      <c r="W33" s="270">
        <f t="shared" si="27"/>
        <v>1.418096359965698E-12</v>
      </c>
      <c r="X33" s="270">
        <f t="shared" si="27"/>
        <v>7.3481684152150316E-15</v>
      </c>
      <c r="Y33" s="271">
        <f t="shared" si="27"/>
        <v>3.7201993191073804E-17</v>
      </c>
      <c r="Z33" s="272">
        <f t="shared" si="2"/>
        <v>8</v>
      </c>
      <c r="AA33" s="282">
        <f t="shared" si="26"/>
        <v>1.052861501686193E-12</v>
      </c>
      <c r="AB33" s="254">
        <f t="shared" si="20"/>
        <v>5.5511151231257985E-15</v>
      </c>
      <c r="AC33" s="280">
        <f t="shared" si="21"/>
        <v>0</v>
      </c>
      <c r="AD33" s="270"/>
      <c r="AE33" s="282">
        <f t="shared" si="22"/>
        <v>11.52</v>
      </c>
      <c r="AF33" s="282">
        <f t="shared" si="28"/>
        <v>6.2628787878783907</v>
      </c>
      <c r="AG33" s="254">
        <f t="shared" si="28"/>
        <v>5.8649999999999984</v>
      </c>
      <c r="AH33" s="280">
        <f t="shared" si="28"/>
        <v>5.4671212121212136</v>
      </c>
      <c r="AI33" s="254">
        <f t="shared" si="5"/>
        <v>8</v>
      </c>
      <c r="AJ33" s="280">
        <f t="shared" si="6"/>
        <v>8.4909999999999997</v>
      </c>
      <c r="AK33" s="282">
        <f t="shared" si="7"/>
        <v>2.2274049695732998</v>
      </c>
      <c r="AL33" s="254">
        <f t="shared" si="8"/>
        <v>2.6251558569971016</v>
      </c>
      <c r="AM33" s="280">
        <f t="shared" si="9"/>
        <v>3.0229067444209035</v>
      </c>
      <c r="AN33" s="282">
        <f t="shared" si="10"/>
        <v>8.4902837574516905</v>
      </c>
      <c r="AO33" s="254">
        <f t="shared" si="11"/>
        <v>8.4901558569971005</v>
      </c>
      <c r="AP33" s="254">
        <f t="shared" si="12"/>
        <v>8.4900279565421179</v>
      </c>
      <c r="AQ33" s="283">
        <f t="shared" si="13"/>
        <v>1</v>
      </c>
      <c r="AR33" s="284">
        <f t="shared" si="14"/>
        <v>1</v>
      </c>
      <c r="AS33" s="285">
        <f t="shared" si="15"/>
        <v>1</v>
      </c>
      <c r="AT33" s="254">
        <f t="shared" si="16"/>
        <v>0.48</v>
      </c>
      <c r="AU33" s="254">
        <f t="shared" si="17"/>
        <v>0.48</v>
      </c>
      <c r="AV33" s="280">
        <f t="shared" si="18"/>
        <v>0.48</v>
      </c>
      <c r="AX33" s="269">
        <f t="shared" si="23"/>
        <v>11.52</v>
      </c>
      <c r="AY33" s="282">
        <f t="shared" si="29"/>
        <v>4.7592386074945008</v>
      </c>
      <c r="AZ33" s="254">
        <f t="shared" si="29"/>
        <v>5.6066595184190637</v>
      </c>
      <c r="BA33" s="280">
        <f t="shared" si="29"/>
        <v>7.3571061940932161</v>
      </c>
      <c r="BB33" s="280">
        <f t="shared" si="24"/>
        <v>4.2</v>
      </c>
    </row>
    <row r="34" spans="20:54" ht="15" customHeight="1" x14ac:dyDescent="0.25">
      <c r="T34" s="268">
        <f t="shared" si="25"/>
        <v>25</v>
      </c>
      <c r="V34" s="269">
        <f t="shared" si="0"/>
        <v>12</v>
      </c>
      <c r="W34" s="270">
        <f t="shared" si="27"/>
        <v>3.9972975810054825E-13</v>
      </c>
      <c r="X34" s="270">
        <f t="shared" si="27"/>
        <v>1.6521002633772332E-15</v>
      </c>
      <c r="Y34" s="271">
        <f t="shared" si="27"/>
        <v>6.671447431875525E-18</v>
      </c>
      <c r="Z34" s="272">
        <f t="shared" si="2"/>
        <v>8</v>
      </c>
      <c r="AA34" s="282">
        <f t="shared" si="26"/>
        <v>2.9605947323337481E-13</v>
      </c>
      <c r="AB34" s="254">
        <f t="shared" si="20"/>
        <v>0</v>
      </c>
      <c r="AC34" s="280">
        <f t="shared" si="21"/>
        <v>0</v>
      </c>
      <c r="AD34" s="270"/>
      <c r="AE34" s="282">
        <f t="shared" si="22"/>
        <v>12</v>
      </c>
      <c r="AF34" s="282">
        <f t="shared" si="28"/>
        <v>6.2628787878786749</v>
      </c>
      <c r="AG34" s="254">
        <f t="shared" si="28"/>
        <v>5.8649999999999993</v>
      </c>
      <c r="AH34" s="280">
        <f t="shared" si="28"/>
        <v>5.4671212121212136</v>
      </c>
      <c r="AI34" s="254">
        <f t="shared" si="5"/>
        <v>8</v>
      </c>
      <c r="AJ34" s="280">
        <f t="shared" si="6"/>
        <v>8.4909999999999997</v>
      </c>
      <c r="AK34" s="282">
        <f t="shared" si="7"/>
        <v>2.2274049695732998</v>
      </c>
      <c r="AL34" s="254">
        <f t="shared" si="8"/>
        <v>2.6251558569971016</v>
      </c>
      <c r="AM34" s="280">
        <f t="shared" si="9"/>
        <v>3.0229067444209035</v>
      </c>
      <c r="AN34" s="282">
        <f t="shared" si="10"/>
        <v>8.4902837574519747</v>
      </c>
      <c r="AO34" s="254">
        <f t="shared" si="11"/>
        <v>8.4901558569971005</v>
      </c>
      <c r="AP34" s="254">
        <f t="shared" si="12"/>
        <v>8.4900279565421179</v>
      </c>
      <c r="AQ34" s="283">
        <f t="shared" si="13"/>
        <v>1</v>
      </c>
      <c r="AR34" s="284">
        <f t="shared" si="14"/>
        <v>1</v>
      </c>
      <c r="AS34" s="285">
        <f t="shared" si="15"/>
        <v>1</v>
      </c>
      <c r="AT34" s="254">
        <f t="shared" si="16"/>
        <v>0.48</v>
      </c>
      <c r="AU34" s="254">
        <f t="shared" si="17"/>
        <v>0.48</v>
      </c>
      <c r="AV34" s="280">
        <f t="shared" si="18"/>
        <v>0.48</v>
      </c>
      <c r="AX34" s="269">
        <f t="shared" si="23"/>
        <v>12</v>
      </c>
      <c r="AY34" s="282">
        <f t="shared" si="29"/>
        <v>4.7990293882364465</v>
      </c>
      <c r="AZ34" s="254">
        <f t="shared" si="29"/>
        <v>5.6799745808380653</v>
      </c>
      <c r="BA34" s="280">
        <f t="shared" si="29"/>
        <v>7.5021756024786441</v>
      </c>
      <c r="BB34" s="280">
        <f t="shared" si="24"/>
        <v>4.2</v>
      </c>
    </row>
    <row r="35" spans="20:54" ht="15" customHeight="1" x14ac:dyDescent="0.25">
      <c r="T35" s="268">
        <f t="shared" si="25"/>
        <v>26</v>
      </c>
      <c r="V35" s="269">
        <f t="shared" si="0"/>
        <v>12.48</v>
      </c>
      <c r="W35" s="270">
        <f t="shared" si="27"/>
        <v>1.126749098453284E-13</v>
      </c>
      <c r="X35" s="270">
        <f t="shared" si="27"/>
        <v>3.7144430094982397E-16</v>
      </c>
      <c r="Y35" s="271">
        <f t="shared" si="27"/>
        <v>1.1963931773138829E-18</v>
      </c>
      <c r="Z35" s="272">
        <f t="shared" si="2"/>
        <v>8</v>
      </c>
      <c r="AA35" s="282">
        <f t="shared" si="26"/>
        <v>8.3266726846886665E-14</v>
      </c>
      <c r="AB35" s="254">
        <f t="shared" si="20"/>
        <v>1.8503717077085924E-15</v>
      </c>
      <c r="AC35" s="280">
        <f t="shared" si="21"/>
        <v>0</v>
      </c>
      <c r="AD35" s="270"/>
      <c r="AE35" s="282">
        <f t="shared" si="22"/>
        <v>12.48</v>
      </c>
      <c r="AF35" s="282">
        <f t="shared" si="28"/>
        <v>6.2628787878787557</v>
      </c>
      <c r="AG35" s="254">
        <f t="shared" si="28"/>
        <v>5.8650000000000002</v>
      </c>
      <c r="AH35" s="280">
        <f t="shared" si="28"/>
        <v>5.4671212121212136</v>
      </c>
      <c r="AI35" s="254">
        <f t="shared" si="5"/>
        <v>8</v>
      </c>
      <c r="AJ35" s="280">
        <f t="shared" si="6"/>
        <v>8.4909999999999997</v>
      </c>
      <c r="AK35" s="282">
        <f t="shared" si="7"/>
        <v>2.2274049695732998</v>
      </c>
      <c r="AL35" s="254">
        <f t="shared" si="8"/>
        <v>2.6251558569971016</v>
      </c>
      <c r="AM35" s="280">
        <f t="shared" si="9"/>
        <v>3.0229067444209035</v>
      </c>
      <c r="AN35" s="282">
        <f t="shared" si="10"/>
        <v>8.4902837574520547</v>
      </c>
      <c r="AO35" s="254">
        <f t="shared" si="11"/>
        <v>8.4901558569971023</v>
      </c>
      <c r="AP35" s="254">
        <f t="shared" si="12"/>
        <v>8.4900279565421179</v>
      </c>
      <c r="AQ35" s="283">
        <f t="shared" si="13"/>
        <v>1</v>
      </c>
      <c r="AR35" s="284">
        <f t="shared" si="14"/>
        <v>1</v>
      </c>
      <c r="AS35" s="285">
        <f t="shared" si="15"/>
        <v>1</v>
      </c>
      <c r="AT35" s="254">
        <f t="shared" si="16"/>
        <v>0.48</v>
      </c>
      <c r="AU35" s="254">
        <f t="shared" si="17"/>
        <v>0.48</v>
      </c>
      <c r="AV35" s="280">
        <f t="shared" si="18"/>
        <v>0.48</v>
      </c>
      <c r="AX35" s="269">
        <f t="shared" si="23"/>
        <v>12.48</v>
      </c>
      <c r="AY35" s="282">
        <f t="shared" si="29"/>
        <v>4.8408869085811874</v>
      </c>
      <c r="AZ35" s="254">
        <f t="shared" si="29"/>
        <v>5.7531242226921231</v>
      </c>
      <c r="BA35" s="280">
        <f t="shared" si="29"/>
        <v>7.6472126210058224</v>
      </c>
      <c r="BB35" s="280">
        <f t="shared" si="24"/>
        <v>4.2</v>
      </c>
    </row>
    <row r="36" spans="20:54" ht="15" customHeight="1" x14ac:dyDescent="0.25">
      <c r="T36" s="268">
        <f t="shared" si="25"/>
        <v>27</v>
      </c>
      <c r="V36" s="269">
        <f t="shared" si="0"/>
        <v>12.96</v>
      </c>
      <c r="W36" s="270">
        <f t="shared" si="27"/>
        <v>3.1760545847225655E-14</v>
      </c>
      <c r="X36" s="270">
        <f t="shared" si="27"/>
        <v>8.3512406460163957E-17</v>
      </c>
      <c r="Y36" s="271">
        <f t="shared" si="27"/>
        <v>2.1454963849139027E-19</v>
      </c>
      <c r="Z36" s="272">
        <f t="shared" si="2"/>
        <v>8</v>
      </c>
      <c r="AA36" s="282">
        <f t="shared" si="26"/>
        <v>2.4054832200211705E-14</v>
      </c>
      <c r="AB36" s="254">
        <f t="shared" si="20"/>
        <v>0</v>
      </c>
      <c r="AC36" s="280">
        <f t="shared" si="21"/>
        <v>0</v>
      </c>
      <c r="AD36" s="270"/>
      <c r="AE36" s="282">
        <f t="shared" si="22"/>
        <v>12.96</v>
      </c>
      <c r="AF36" s="282">
        <f t="shared" si="28"/>
        <v>6.2628787878787779</v>
      </c>
      <c r="AG36" s="254">
        <f t="shared" si="28"/>
        <v>5.8650000000000002</v>
      </c>
      <c r="AH36" s="280">
        <f t="shared" si="28"/>
        <v>5.4671212121212136</v>
      </c>
      <c r="AI36" s="254">
        <f t="shared" si="5"/>
        <v>8</v>
      </c>
      <c r="AJ36" s="280">
        <f t="shared" si="6"/>
        <v>8.4909999999999997</v>
      </c>
      <c r="AK36" s="282">
        <f t="shared" si="7"/>
        <v>2.2274049695732998</v>
      </c>
      <c r="AL36" s="254">
        <f t="shared" si="8"/>
        <v>2.6251558569971016</v>
      </c>
      <c r="AM36" s="280">
        <f t="shared" si="9"/>
        <v>3.0229067444209035</v>
      </c>
      <c r="AN36" s="282">
        <f t="shared" si="10"/>
        <v>8.4902837574520778</v>
      </c>
      <c r="AO36" s="254">
        <f t="shared" si="11"/>
        <v>8.4901558569971023</v>
      </c>
      <c r="AP36" s="254">
        <f t="shared" si="12"/>
        <v>8.4900279565421179</v>
      </c>
      <c r="AQ36" s="283">
        <f t="shared" si="13"/>
        <v>1</v>
      </c>
      <c r="AR36" s="284">
        <f t="shared" si="14"/>
        <v>1</v>
      </c>
      <c r="AS36" s="285">
        <f t="shared" si="15"/>
        <v>1</v>
      </c>
      <c r="AT36" s="254">
        <f t="shared" si="16"/>
        <v>0.48</v>
      </c>
      <c r="AU36" s="254">
        <f t="shared" si="17"/>
        <v>0.48</v>
      </c>
      <c r="AV36" s="280">
        <f t="shared" si="18"/>
        <v>0.48</v>
      </c>
      <c r="AX36" s="269">
        <f t="shared" si="23"/>
        <v>12.96</v>
      </c>
      <c r="AY36" s="282">
        <f t="shared" si="29"/>
        <v>4.8873085993214715</v>
      </c>
      <c r="AZ36" s="254">
        <f t="shared" si="29"/>
        <v>5.8261489264534401</v>
      </c>
      <c r="BA36" s="280">
        <f t="shared" si="29"/>
        <v>7.7922221998958676</v>
      </c>
      <c r="BB36" s="280">
        <f t="shared" si="24"/>
        <v>4.2</v>
      </c>
    </row>
    <row r="37" spans="20:54" ht="15" customHeight="1" x14ac:dyDescent="0.25">
      <c r="T37" s="268">
        <f t="shared" si="25"/>
        <v>28</v>
      </c>
      <c r="V37" s="269">
        <f t="shared" si="0"/>
        <v>13.440000000000001</v>
      </c>
      <c r="W37" s="270">
        <f t="shared" si="27"/>
        <v>8.9525900122611765E-15</v>
      </c>
      <c r="X37" s="270">
        <f t="shared" si="27"/>
        <v>1.8776225708493912E-17</v>
      </c>
      <c r="Y37" s="271">
        <f t="shared" si="27"/>
        <v>3.847526736999258E-20</v>
      </c>
      <c r="Z37" s="272">
        <f t="shared" si="2"/>
        <v>8</v>
      </c>
      <c r="AA37" s="282">
        <f t="shared" si="26"/>
        <v>5.551115123125778E-15</v>
      </c>
      <c r="AB37" s="254">
        <f t="shared" si="20"/>
        <v>0</v>
      </c>
      <c r="AC37" s="280">
        <f t="shared" si="21"/>
        <v>0</v>
      </c>
      <c r="AD37" s="270"/>
      <c r="AE37" s="282">
        <f t="shared" si="22"/>
        <v>13.440000000000001</v>
      </c>
      <c r="AF37" s="282">
        <f t="shared" si="28"/>
        <v>6.2628787878787842</v>
      </c>
      <c r="AG37" s="254">
        <f t="shared" si="28"/>
        <v>5.8650000000000002</v>
      </c>
      <c r="AH37" s="280">
        <f t="shared" si="28"/>
        <v>5.4671212121212136</v>
      </c>
      <c r="AI37" s="254">
        <f t="shared" si="5"/>
        <v>8</v>
      </c>
      <c r="AJ37" s="280">
        <f t="shared" si="6"/>
        <v>8.4909999999999997</v>
      </c>
      <c r="AK37" s="282">
        <f t="shared" si="7"/>
        <v>2.2274049695732998</v>
      </c>
      <c r="AL37" s="254">
        <f t="shared" si="8"/>
        <v>2.6251558569971016</v>
      </c>
      <c r="AM37" s="280">
        <f t="shared" si="9"/>
        <v>3.0229067444209035</v>
      </c>
      <c r="AN37" s="282">
        <f t="shared" si="10"/>
        <v>8.4902837574520831</v>
      </c>
      <c r="AO37" s="254">
        <f t="shared" si="11"/>
        <v>8.4901558569971023</v>
      </c>
      <c r="AP37" s="254">
        <f t="shared" si="12"/>
        <v>8.4900279565421179</v>
      </c>
      <c r="AQ37" s="283">
        <f t="shared" si="13"/>
        <v>1</v>
      </c>
      <c r="AR37" s="284">
        <f t="shared" si="14"/>
        <v>1</v>
      </c>
      <c r="AS37" s="285">
        <f t="shared" si="15"/>
        <v>1</v>
      </c>
      <c r="AT37" s="254">
        <f t="shared" si="16"/>
        <v>0.48</v>
      </c>
      <c r="AU37" s="254">
        <f t="shared" si="17"/>
        <v>0.48</v>
      </c>
      <c r="AV37" s="280">
        <f t="shared" si="18"/>
        <v>0.48</v>
      </c>
      <c r="AX37" s="269">
        <f t="shared" si="23"/>
        <v>13.440000000000001</v>
      </c>
      <c r="AY37" s="282">
        <f t="shared" si="29"/>
        <v>4.9475296904848118</v>
      </c>
      <c r="AZ37" s="254">
        <f t="shared" si="29"/>
        <v>5.8990769614717955</v>
      </c>
      <c r="BA37" s="280">
        <f t="shared" si="29"/>
        <v>7.9372083295290015</v>
      </c>
      <c r="BB37" s="280">
        <f t="shared" si="24"/>
        <v>4.2</v>
      </c>
    </row>
    <row r="38" spans="20:54" ht="15" customHeight="1" x14ac:dyDescent="0.25">
      <c r="T38" s="268">
        <f t="shared" si="25"/>
        <v>29</v>
      </c>
      <c r="V38" s="269">
        <f t="shared" si="0"/>
        <v>13.919999999999998</v>
      </c>
      <c r="W38" s="270">
        <f t="shared" si="27"/>
        <v>2.5235355939148907E-15</v>
      </c>
      <c r="X38" s="270">
        <f t="shared" si="27"/>
        <v>4.2214883608278923E-18</v>
      </c>
      <c r="Y38" s="271">
        <f t="shared" si="27"/>
        <v>6.8997841693022993E-21</v>
      </c>
      <c r="Z38" s="272">
        <f t="shared" si="2"/>
        <v>8</v>
      </c>
      <c r="AA38" s="282">
        <f t="shared" si="26"/>
        <v>3.7007434154172124E-15</v>
      </c>
      <c r="AB38" s="254">
        <f t="shared" si="20"/>
        <v>0</v>
      </c>
      <c r="AC38" s="280">
        <f t="shared" si="21"/>
        <v>0</v>
      </c>
      <c r="AD38" s="270"/>
      <c r="AE38" s="282">
        <f t="shared" si="22"/>
        <v>13.919999999999998</v>
      </c>
      <c r="AF38" s="282">
        <f t="shared" si="28"/>
        <v>6.2628787878787859</v>
      </c>
      <c r="AG38" s="254">
        <f t="shared" si="28"/>
        <v>5.8650000000000002</v>
      </c>
      <c r="AH38" s="280">
        <f t="shared" si="28"/>
        <v>5.4671212121212136</v>
      </c>
      <c r="AI38" s="254">
        <f t="shared" si="5"/>
        <v>8</v>
      </c>
      <c r="AJ38" s="280">
        <f t="shared" si="6"/>
        <v>8.4909999999999997</v>
      </c>
      <c r="AK38" s="282">
        <f t="shared" si="7"/>
        <v>2.2274049695732998</v>
      </c>
      <c r="AL38" s="254">
        <f t="shared" si="8"/>
        <v>2.6251558569971016</v>
      </c>
      <c r="AM38" s="280">
        <f t="shared" si="9"/>
        <v>3.0229067444209035</v>
      </c>
      <c r="AN38" s="282">
        <f t="shared" si="10"/>
        <v>8.4902837574520866</v>
      </c>
      <c r="AO38" s="254">
        <f t="shared" si="11"/>
        <v>8.4901558569971023</v>
      </c>
      <c r="AP38" s="254">
        <f t="shared" si="12"/>
        <v>8.4900279565421179</v>
      </c>
      <c r="AQ38" s="283">
        <f t="shared" si="13"/>
        <v>1</v>
      </c>
      <c r="AR38" s="284">
        <f t="shared" si="14"/>
        <v>1</v>
      </c>
      <c r="AS38" s="285">
        <f t="shared" si="15"/>
        <v>1</v>
      </c>
      <c r="AT38" s="254">
        <f t="shared" si="16"/>
        <v>0.48</v>
      </c>
      <c r="AU38" s="254">
        <f t="shared" si="17"/>
        <v>0.48</v>
      </c>
      <c r="AV38" s="280">
        <f t="shared" si="18"/>
        <v>0.48</v>
      </c>
      <c r="AX38" s="269">
        <f t="shared" si="23"/>
        <v>13.919999999999998</v>
      </c>
      <c r="AY38" s="282">
        <f t="shared" si="29"/>
        <v>5.1073248724706435</v>
      </c>
      <c r="AZ38" s="254">
        <f t="shared" si="29"/>
        <v>5.9719286666717979</v>
      </c>
      <c r="BA38" s="280">
        <f t="shared" si="29"/>
        <v>8.0821742623285395</v>
      </c>
      <c r="BB38" s="280">
        <f t="shared" si="24"/>
        <v>4.2</v>
      </c>
    </row>
    <row r="39" spans="20:54" ht="15" customHeight="1" x14ac:dyDescent="0.25">
      <c r="T39" s="268">
        <f t="shared" si="25"/>
        <v>30</v>
      </c>
      <c r="V39" s="269">
        <f t="shared" si="0"/>
        <v>14.399999999999999</v>
      </c>
      <c r="W39" s="270">
        <f t="shared" si="27"/>
        <v>7.1132844071197403E-16</v>
      </c>
      <c r="X39" s="270">
        <f t="shared" si="27"/>
        <v>9.4912386851760033E-19</v>
      </c>
      <c r="Y39" s="271">
        <f t="shared" si="27"/>
        <v>1.2373408903217491E-21</v>
      </c>
      <c r="Z39" s="272">
        <f t="shared" si="2"/>
        <v>8</v>
      </c>
      <c r="AA39" s="282">
        <f t="shared" si="26"/>
        <v>0</v>
      </c>
      <c r="AB39" s="254">
        <f t="shared" si="20"/>
        <v>0</v>
      </c>
      <c r="AC39" s="280">
        <f t="shared" si="21"/>
        <v>0</v>
      </c>
      <c r="AD39" s="270"/>
      <c r="AE39" s="282">
        <f t="shared" si="22"/>
        <v>14.399999999999999</v>
      </c>
      <c r="AF39" s="282">
        <f t="shared" si="28"/>
        <v>6.2628787878787868</v>
      </c>
      <c r="AG39" s="254">
        <f t="shared" si="28"/>
        <v>5.8650000000000002</v>
      </c>
      <c r="AH39" s="280">
        <f t="shared" si="28"/>
        <v>5.4671212121212136</v>
      </c>
      <c r="AI39" s="254">
        <f t="shared" si="5"/>
        <v>8</v>
      </c>
      <c r="AJ39" s="280">
        <f t="shared" si="6"/>
        <v>8.4909999999999997</v>
      </c>
      <c r="AK39" s="282">
        <f t="shared" si="7"/>
        <v>2.2274049695732998</v>
      </c>
      <c r="AL39" s="254">
        <f t="shared" si="8"/>
        <v>2.6251558569971016</v>
      </c>
      <c r="AM39" s="280">
        <f t="shared" si="9"/>
        <v>3.0229067444209035</v>
      </c>
      <c r="AN39" s="282">
        <f t="shared" si="10"/>
        <v>8.4902837574520866</v>
      </c>
      <c r="AO39" s="254">
        <f t="shared" si="11"/>
        <v>8.4901558569971023</v>
      </c>
      <c r="AP39" s="254">
        <f t="shared" si="12"/>
        <v>8.4900279565421179</v>
      </c>
      <c r="AQ39" s="283">
        <f t="shared" si="13"/>
        <v>1</v>
      </c>
      <c r="AR39" s="284">
        <f t="shared" si="14"/>
        <v>1</v>
      </c>
      <c r="AS39" s="285">
        <f t="shared" si="15"/>
        <v>1</v>
      </c>
      <c r="AT39" s="254">
        <f t="shared" si="16"/>
        <v>0.48</v>
      </c>
      <c r="AU39" s="254">
        <f t="shared" si="17"/>
        <v>0.48</v>
      </c>
      <c r="AV39" s="280">
        <f t="shared" si="18"/>
        <v>0.48</v>
      </c>
      <c r="AX39" s="269">
        <f t="shared" si="23"/>
        <v>14.399999999999999</v>
      </c>
      <c r="AY39" s="282">
        <f t="shared" si="29"/>
        <v>4.7892980750062604</v>
      </c>
      <c r="AZ39" s="254">
        <f t="shared" si="29"/>
        <v>6.0447190492130956</v>
      </c>
      <c r="BA39" s="280">
        <f t="shared" si="29"/>
        <v>8.2271226758140283</v>
      </c>
      <c r="BB39" s="280">
        <f t="shared" si="24"/>
        <v>4.2</v>
      </c>
    </row>
    <row r="40" spans="20:54" ht="15" customHeight="1" x14ac:dyDescent="0.25">
      <c r="T40" s="268">
        <f t="shared" si="25"/>
        <v>31</v>
      </c>
      <c r="V40" s="269">
        <f t="shared" si="0"/>
        <v>14.879999999999999</v>
      </c>
      <c r="W40" s="270">
        <f t="shared" si="27"/>
        <v>2.005076337285813E-16</v>
      </c>
      <c r="X40" s="270">
        <f t="shared" si="27"/>
        <v>2.1339301231974551E-19</v>
      </c>
      <c r="Y40" s="271">
        <f t="shared" si="27"/>
        <v>2.2189280726690382E-22</v>
      </c>
      <c r="Z40" s="272">
        <f t="shared" si="2"/>
        <v>8</v>
      </c>
      <c r="AA40" s="282">
        <f t="shared" si="26"/>
        <v>0</v>
      </c>
      <c r="AB40" s="254">
        <f t="shared" si="20"/>
        <v>0</v>
      </c>
      <c r="AC40" s="280">
        <f t="shared" si="21"/>
        <v>0</v>
      </c>
      <c r="AD40" s="270"/>
      <c r="AE40" s="282">
        <f t="shared" si="22"/>
        <v>14.879999999999999</v>
      </c>
      <c r="AF40" s="282">
        <f t="shared" si="28"/>
        <v>6.2628787878787868</v>
      </c>
      <c r="AG40" s="254">
        <f t="shared" si="28"/>
        <v>5.8650000000000002</v>
      </c>
      <c r="AH40" s="280">
        <f t="shared" si="28"/>
        <v>5.4671212121212136</v>
      </c>
      <c r="AI40" s="254">
        <f t="shared" si="5"/>
        <v>8</v>
      </c>
      <c r="AJ40" s="280">
        <f t="shared" si="6"/>
        <v>8.4909999999999997</v>
      </c>
      <c r="AK40" s="282">
        <f t="shared" si="7"/>
        <v>2.2274049695732998</v>
      </c>
      <c r="AL40" s="254">
        <f t="shared" si="8"/>
        <v>2.6251558569971016</v>
      </c>
      <c r="AM40" s="280">
        <f t="shared" si="9"/>
        <v>3.0229067444209035</v>
      </c>
      <c r="AN40" s="282">
        <f t="shared" si="10"/>
        <v>8.4902837574520866</v>
      </c>
      <c r="AO40" s="254">
        <f t="shared" si="11"/>
        <v>8.4901558569971023</v>
      </c>
      <c r="AP40" s="254">
        <f t="shared" si="12"/>
        <v>8.4900279565421179</v>
      </c>
      <c r="AQ40" s="283">
        <f t="shared" si="13"/>
        <v>1</v>
      </c>
      <c r="AR40" s="284">
        <f t="shared" si="14"/>
        <v>1</v>
      </c>
      <c r="AS40" s="285">
        <f t="shared" si="15"/>
        <v>1</v>
      </c>
      <c r="AT40" s="254">
        <f t="shared" si="16"/>
        <v>0.48</v>
      </c>
      <c r="AU40" s="254">
        <f t="shared" si="17"/>
        <v>0.48</v>
      </c>
      <c r="AV40" s="280">
        <f t="shared" si="18"/>
        <v>0.48</v>
      </c>
      <c r="AX40" s="269">
        <f t="shared" si="23"/>
        <v>14.879999999999999</v>
      </c>
      <c r="AY40" s="282">
        <f t="shared" si="29"/>
        <v>4.9381591155859121</v>
      </c>
      <c r="AZ40" s="254">
        <f t="shared" si="29"/>
        <v>6.1174594241575377</v>
      </c>
      <c r="BA40" s="280">
        <f t="shared" si="29"/>
        <v>8.3720557942516329</v>
      </c>
      <c r="BB40" s="280">
        <f t="shared" si="24"/>
        <v>4.2</v>
      </c>
    </row>
    <row r="41" spans="20:54" ht="15" customHeight="1" x14ac:dyDescent="0.25">
      <c r="T41" s="268">
        <f t="shared" si="25"/>
        <v>32</v>
      </c>
      <c r="V41" s="269">
        <f t="shared" ref="V41:V72" si="30">(T41/$T$109)*$C$20</f>
        <v>15.36</v>
      </c>
      <c r="W41" s="270">
        <f t="shared" si="27"/>
        <v>5.6518633141106239E-17</v>
      </c>
      <c r="X41" s="270">
        <f t="shared" si="27"/>
        <v>4.7977486624603465E-20</v>
      </c>
      <c r="Y41" s="271">
        <f t="shared" si="27"/>
        <v>3.9792120588517771E-23</v>
      </c>
      <c r="Z41" s="272">
        <f t="shared" ref="Z41:Z72" si="31">$C$15</f>
        <v>8</v>
      </c>
      <c r="AA41" s="282">
        <f t="shared" si="26"/>
        <v>0</v>
      </c>
      <c r="AB41" s="254">
        <f t="shared" si="20"/>
        <v>0</v>
      </c>
      <c r="AC41" s="280">
        <f t="shared" si="21"/>
        <v>0</v>
      </c>
      <c r="AD41" s="270"/>
      <c r="AE41" s="282">
        <f t="shared" si="22"/>
        <v>15.36</v>
      </c>
      <c r="AF41" s="282">
        <f t="shared" si="28"/>
        <v>6.2628787878787868</v>
      </c>
      <c r="AG41" s="254">
        <f t="shared" si="28"/>
        <v>5.8650000000000002</v>
      </c>
      <c r="AH41" s="280">
        <f t="shared" si="28"/>
        <v>5.4671212121212136</v>
      </c>
      <c r="AI41" s="254">
        <f t="shared" ref="AI41:AI72" si="32">$C$8</f>
        <v>8</v>
      </c>
      <c r="AJ41" s="280">
        <f t="shared" ref="AJ41:AJ72" si="33">$C$7</f>
        <v>8.4909999999999997</v>
      </c>
      <c r="AK41" s="282">
        <f t="shared" ref="AK41:AK72" si="34">($C$12*(AK$6-$C$4))*(1-EXP(-AT41/($E$17*$C$12)))</f>
        <v>2.2274049695732998</v>
      </c>
      <c r="AL41" s="254">
        <f t="shared" ref="AL41:AL72" si="35">($C$12*(AL$6-$C$4))*(1-EXP(-AU41/($E$17*$C$12)))</f>
        <v>2.6251558569971016</v>
      </c>
      <c r="AM41" s="280">
        <f t="shared" ref="AM41:AM72" si="36">($C$12*(AM$6-$C$4))*(1-EXP(-AV41/($E$17*$C$12)))</f>
        <v>3.0229067444209035</v>
      </c>
      <c r="AN41" s="282">
        <f t="shared" ref="AN41:AN72" si="37">AF41+AK41</f>
        <v>8.4902837574520866</v>
      </c>
      <c r="AO41" s="254">
        <f t="shared" ref="AO41:AO72" si="38">AG41+AL41</f>
        <v>8.4901558569971023</v>
      </c>
      <c r="AP41" s="254">
        <f t="shared" ref="AP41:AP72" si="39">AH41+AM41</f>
        <v>8.4900279565421179</v>
      </c>
      <c r="AQ41" s="283">
        <f t="shared" ref="AQ41:AQ72" si="40">IF(AF41&lt;($C$10*$C$21),0,1)</f>
        <v>1</v>
      </c>
      <c r="AR41" s="284">
        <f t="shared" ref="AR41:AR72" si="41">IF(AG41&lt;($C$10*$C$21),0,1)</f>
        <v>1</v>
      </c>
      <c r="AS41" s="285">
        <f t="shared" ref="AS41:AS72" si="42">IF(AH41&lt;($C$10*$C$21),0,1)</f>
        <v>1</v>
      </c>
      <c r="AT41" s="254">
        <f t="shared" ref="AT41:AT72" si="43">(AQ41/$T$109)*$C$20</f>
        <v>0.48</v>
      </c>
      <c r="AU41" s="254">
        <f t="shared" ref="AU41:AU72" si="44">(AR41/$T$109)*$C$20</f>
        <v>0.48</v>
      </c>
      <c r="AV41" s="280">
        <f t="shared" ref="AV41:AV72" si="45">(AS41/$T$109)*$C$20</f>
        <v>0.48</v>
      </c>
      <c r="AX41" s="269">
        <f t="shared" si="23"/>
        <v>15.36</v>
      </c>
      <c r="AY41" s="282">
        <f t="shared" si="29"/>
        <v>4.9975064879060858</v>
      </c>
      <c r="AZ41" s="254">
        <f t="shared" si="29"/>
        <v>6.190158484104197</v>
      </c>
      <c r="BA41" s="280">
        <f t="shared" si="29"/>
        <v>8.5169754806690747</v>
      </c>
      <c r="BB41" s="280">
        <f t="shared" si="24"/>
        <v>4.2</v>
      </c>
    </row>
    <row r="42" spans="20:54" ht="15" customHeight="1" x14ac:dyDescent="0.25">
      <c r="T42" s="268">
        <f t="shared" si="25"/>
        <v>33</v>
      </c>
      <c r="V42" s="269">
        <f t="shared" si="30"/>
        <v>15.84</v>
      </c>
      <c r="W42" s="270">
        <f t="shared" si="27"/>
        <v>1.5931343025388333E-17</v>
      </c>
      <c r="X42" s="270">
        <f t="shared" si="27"/>
        <v>1.0786853785844477E-20</v>
      </c>
      <c r="Y42" s="271">
        <f t="shared" si="27"/>
        <v>7.1359359522931394E-24</v>
      </c>
      <c r="Z42" s="272">
        <f t="shared" si="31"/>
        <v>8</v>
      </c>
      <c r="AA42" s="282">
        <f t="shared" si="26"/>
        <v>0</v>
      </c>
      <c r="AB42" s="254">
        <f t="shared" si="20"/>
        <v>0</v>
      </c>
      <c r="AC42" s="280">
        <f t="shared" si="21"/>
        <v>0</v>
      </c>
      <c r="AD42" s="270"/>
      <c r="AE42" s="282">
        <f t="shared" si="22"/>
        <v>15.84</v>
      </c>
      <c r="AF42" s="282">
        <f t="shared" si="28"/>
        <v>6.2628787878787868</v>
      </c>
      <c r="AG42" s="254">
        <f t="shared" si="28"/>
        <v>5.8650000000000002</v>
      </c>
      <c r="AH42" s="280">
        <f t="shared" si="28"/>
        <v>5.4671212121212136</v>
      </c>
      <c r="AI42" s="254">
        <f t="shared" si="32"/>
        <v>8</v>
      </c>
      <c r="AJ42" s="280">
        <f t="shared" si="33"/>
        <v>8.4909999999999997</v>
      </c>
      <c r="AK42" s="282">
        <f t="shared" si="34"/>
        <v>2.2274049695732998</v>
      </c>
      <c r="AL42" s="254">
        <f t="shared" si="35"/>
        <v>2.6251558569971016</v>
      </c>
      <c r="AM42" s="280">
        <f t="shared" si="36"/>
        <v>3.0229067444209035</v>
      </c>
      <c r="AN42" s="282">
        <f t="shared" si="37"/>
        <v>8.4902837574520866</v>
      </c>
      <c r="AO42" s="254">
        <f t="shared" si="38"/>
        <v>8.4901558569971023</v>
      </c>
      <c r="AP42" s="254">
        <f t="shared" si="39"/>
        <v>8.4900279565421179</v>
      </c>
      <c r="AQ42" s="283">
        <f t="shared" si="40"/>
        <v>1</v>
      </c>
      <c r="AR42" s="284">
        <f t="shared" si="41"/>
        <v>1</v>
      </c>
      <c r="AS42" s="285">
        <f t="shared" si="42"/>
        <v>1</v>
      </c>
      <c r="AT42" s="254">
        <f t="shared" si="43"/>
        <v>0.48</v>
      </c>
      <c r="AU42" s="254">
        <f t="shared" si="44"/>
        <v>0.48</v>
      </c>
      <c r="AV42" s="280">
        <f t="shared" si="45"/>
        <v>0.48</v>
      </c>
      <c r="AX42" s="269">
        <f t="shared" si="23"/>
        <v>15.84</v>
      </c>
      <c r="AY42" s="282">
        <f t="shared" si="29"/>
        <v>5.0436874865138579</v>
      </c>
      <c r="AZ42" s="254">
        <f t="shared" si="29"/>
        <v>6.2628230173307342</v>
      </c>
      <c r="BA42" s="280">
        <f t="shared" si="29"/>
        <v>8.6618833073292354</v>
      </c>
      <c r="BB42" s="280">
        <f t="shared" si="24"/>
        <v>4.2</v>
      </c>
    </row>
    <row r="43" spans="20:54" ht="15" customHeight="1" x14ac:dyDescent="0.25">
      <c r="T43" s="268">
        <f t="shared" si="25"/>
        <v>34</v>
      </c>
      <c r="V43" s="269">
        <f t="shared" si="30"/>
        <v>16.32</v>
      </c>
      <c r="W43" s="270">
        <f t="shared" si="27"/>
        <v>4.490690529597969E-18</v>
      </c>
      <c r="X43" s="270">
        <f t="shared" si="27"/>
        <v>2.4252253042684059E-21</v>
      </c>
      <c r="Y43" s="271">
        <f t="shared" si="27"/>
        <v>1.2796900783901202E-24</v>
      </c>
      <c r="Z43" s="272">
        <f t="shared" si="31"/>
        <v>8</v>
      </c>
      <c r="AA43" s="282">
        <f t="shared" si="26"/>
        <v>0</v>
      </c>
      <c r="AB43" s="254">
        <f t="shared" si="20"/>
        <v>0</v>
      </c>
      <c r="AC43" s="280">
        <f t="shared" si="21"/>
        <v>0</v>
      </c>
      <c r="AD43" s="270"/>
      <c r="AE43" s="282">
        <f t="shared" si="22"/>
        <v>16.32</v>
      </c>
      <c r="AF43" s="282">
        <f t="shared" si="28"/>
        <v>6.2628787878787868</v>
      </c>
      <c r="AG43" s="254">
        <f t="shared" si="28"/>
        <v>5.8650000000000002</v>
      </c>
      <c r="AH43" s="280">
        <f t="shared" si="28"/>
        <v>5.4671212121212136</v>
      </c>
      <c r="AI43" s="254">
        <f t="shared" si="32"/>
        <v>8</v>
      </c>
      <c r="AJ43" s="280">
        <f t="shared" si="33"/>
        <v>8.4909999999999997</v>
      </c>
      <c r="AK43" s="282">
        <f t="shared" si="34"/>
        <v>2.2274049695732998</v>
      </c>
      <c r="AL43" s="254">
        <f t="shared" si="35"/>
        <v>2.6251558569971016</v>
      </c>
      <c r="AM43" s="280">
        <f t="shared" si="36"/>
        <v>3.0229067444209035</v>
      </c>
      <c r="AN43" s="282">
        <f t="shared" si="37"/>
        <v>8.4902837574520866</v>
      </c>
      <c r="AO43" s="254">
        <f t="shared" si="38"/>
        <v>8.4901558569971023</v>
      </c>
      <c r="AP43" s="254">
        <f t="shared" si="39"/>
        <v>8.4900279565421179</v>
      </c>
      <c r="AQ43" s="283">
        <f t="shared" si="40"/>
        <v>1</v>
      </c>
      <c r="AR43" s="284">
        <f t="shared" si="41"/>
        <v>1</v>
      </c>
      <c r="AS43" s="285">
        <f t="shared" si="42"/>
        <v>1</v>
      </c>
      <c r="AT43" s="254">
        <f t="shared" si="43"/>
        <v>0.48</v>
      </c>
      <c r="AU43" s="254">
        <f t="shared" si="44"/>
        <v>0.48</v>
      </c>
      <c r="AV43" s="280">
        <f t="shared" si="45"/>
        <v>0.48</v>
      </c>
      <c r="AX43" s="269">
        <f t="shared" si="23"/>
        <v>16.32</v>
      </c>
      <c r="AY43" s="282">
        <f t="shared" si="29"/>
        <v>5.0854459599007864</v>
      </c>
      <c r="AZ43" s="254">
        <f t="shared" si="29"/>
        <v>6.3354584021993938</v>
      </c>
      <c r="BA43" s="280">
        <f t="shared" si="29"/>
        <v>8.8067806103249957</v>
      </c>
      <c r="BB43" s="280">
        <f t="shared" si="24"/>
        <v>4.2</v>
      </c>
    </row>
    <row r="44" spans="20:54" ht="15" customHeight="1" x14ac:dyDescent="0.25">
      <c r="T44" s="268">
        <f t="shared" si="25"/>
        <v>35</v>
      </c>
      <c r="V44" s="269">
        <f t="shared" si="30"/>
        <v>16.799999999999997</v>
      </c>
      <c r="W44" s="270">
        <f t="shared" si="27"/>
        <v>1.2658255741831665E-18</v>
      </c>
      <c r="X44" s="270">
        <f t="shared" si="27"/>
        <v>5.4526722001019122E-22</v>
      </c>
      <c r="Y44" s="271">
        <f t="shared" si="27"/>
        <v>2.2948730309215976E-25</v>
      </c>
      <c r="Z44" s="272">
        <f t="shared" si="31"/>
        <v>8</v>
      </c>
      <c r="AA44" s="282">
        <f t="shared" si="26"/>
        <v>0</v>
      </c>
      <c r="AB44" s="254">
        <f t="shared" si="20"/>
        <v>0</v>
      </c>
      <c r="AC44" s="280">
        <f t="shared" si="21"/>
        <v>0</v>
      </c>
      <c r="AD44" s="270"/>
      <c r="AE44" s="282">
        <f t="shared" si="22"/>
        <v>16.799999999999997</v>
      </c>
      <c r="AF44" s="282">
        <f t="shared" si="28"/>
        <v>6.2628787878787868</v>
      </c>
      <c r="AG44" s="254">
        <f t="shared" si="28"/>
        <v>5.8650000000000002</v>
      </c>
      <c r="AH44" s="280">
        <f t="shared" si="28"/>
        <v>5.4671212121212136</v>
      </c>
      <c r="AI44" s="254">
        <f t="shared" si="32"/>
        <v>8</v>
      </c>
      <c r="AJ44" s="280">
        <f t="shared" si="33"/>
        <v>8.4909999999999997</v>
      </c>
      <c r="AK44" s="282">
        <f t="shared" si="34"/>
        <v>2.2274049695732998</v>
      </c>
      <c r="AL44" s="254">
        <f t="shared" si="35"/>
        <v>2.6251558569971016</v>
      </c>
      <c r="AM44" s="280">
        <f t="shared" si="36"/>
        <v>3.0229067444209035</v>
      </c>
      <c r="AN44" s="282">
        <f t="shared" si="37"/>
        <v>8.4902837574520866</v>
      </c>
      <c r="AO44" s="254">
        <f t="shared" si="38"/>
        <v>8.4901558569971023</v>
      </c>
      <c r="AP44" s="254">
        <f t="shared" si="39"/>
        <v>8.4900279565421179</v>
      </c>
      <c r="AQ44" s="283">
        <f t="shared" si="40"/>
        <v>1</v>
      </c>
      <c r="AR44" s="284">
        <f t="shared" si="41"/>
        <v>1</v>
      </c>
      <c r="AS44" s="285">
        <f t="shared" si="42"/>
        <v>1</v>
      </c>
      <c r="AT44" s="254">
        <f t="shared" si="43"/>
        <v>0.48</v>
      </c>
      <c r="AU44" s="254">
        <f t="shared" si="44"/>
        <v>0.48</v>
      </c>
      <c r="AV44" s="280">
        <f t="shared" si="45"/>
        <v>0.48</v>
      </c>
      <c r="AX44" s="269">
        <f t="shared" si="23"/>
        <v>16.799999999999997</v>
      </c>
      <c r="AY44" s="282">
        <f t="shared" si="29"/>
        <v>5.1251866039704623</v>
      </c>
      <c r="AZ44" s="254">
        <f t="shared" si="29"/>
        <v>6.4080689551350964</v>
      </c>
      <c r="BA44" s="280">
        <f t="shared" si="29"/>
        <v>8.9516685323182053</v>
      </c>
      <c r="BB44" s="280">
        <f t="shared" si="24"/>
        <v>4.2</v>
      </c>
    </row>
    <row r="45" spans="20:54" ht="15" customHeight="1" x14ac:dyDescent="0.25">
      <c r="T45" s="268">
        <f t="shared" si="25"/>
        <v>36</v>
      </c>
      <c r="V45" s="269">
        <f t="shared" si="30"/>
        <v>17.28</v>
      </c>
      <c r="W45" s="270">
        <f t="shared" si="27"/>
        <v>3.5680801731834512E-19</v>
      </c>
      <c r="X45" s="270">
        <f t="shared" si="27"/>
        <v>1.2259328677395875E-22</v>
      </c>
      <c r="Y45" s="271">
        <f t="shared" si="27"/>
        <v>4.1154044381405797E-26</v>
      </c>
      <c r="Z45" s="272">
        <f t="shared" si="31"/>
        <v>8</v>
      </c>
      <c r="AA45" s="282">
        <f t="shared" si="26"/>
        <v>0</v>
      </c>
      <c r="AB45" s="254">
        <f t="shared" si="20"/>
        <v>0</v>
      </c>
      <c r="AC45" s="280">
        <f t="shared" si="21"/>
        <v>0</v>
      </c>
      <c r="AD45" s="270"/>
      <c r="AE45" s="282">
        <f t="shared" si="22"/>
        <v>17.28</v>
      </c>
      <c r="AF45" s="282">
        <f t="shared" si="28"/>
        <v>6.2628787878787868</v>
      </c>
      <c r="AG45" s="254">
        <f t="shared" si="28"/>
        <v>5.8650000000000002</v>
      </c>
      <c r="AH45" s="280">
        <f t="shared" si="28"/>
        <v>5.4671212121212136</v>
      </c>
      <c r="AI45" s="254">
        <f t="shared" si="32"/>
        <v>8</v>
      </c>
      <c r="AJ45" s="280">
        <f t="shared" si="33"/>
        <v>8.4909999999999997</v>
      </c>
      <c r="AK45" s="282">
        <f t="shared" si="34"/>
        <v>2.2274049695732998</v>
      </c>
      <c r="AL45" s="254">
        <f t="shared" si="35"/>
        <v>2.6251558569971016</v>
      </c>
      <c r="AM45" s="280">
        <f t="shared" si="36"/>
        <v>3.0229067444209035</v>
      </c>
      <c r="AN45" s="282">
        <f t="shared" si="37"/>
        <v>8.4902837574520866</v>
      </c>
      <c r="AO45" s="254">
        <f t="shared" si="38"/>
        <v>8.4901558569971023</v>
      </c>
      <c r="AP45" s="254">
        <f t="shared" si="39"/>
        <v>8.4900279565421179</v>
      </c>
      <c r="AQ45" s="283">
        <f t="shared" si="40"/>
        <v>1</v>
      </c>
      <c r="AR45" s="284">
        <f t="shared" si="41"/>
        <v>1</v>
      </c>
      <c r="AS45" s="285">
        <f t="shared" si="42"/>
        <v>1</v>
      </c>
      <c r="AT45" s="254">
        <f t="shared" si="43"/>
        <v>0.48</v>
      </c>
      <c r="AU45" s="254">
        <f t="shared" si="44"/>
        <v>0.48</v>
      </c>
      <c r="AV45" s="280">
        <f t="shared" si="45"/>
        <v>0.48</v>
      </c>
      <c r="AX45" s="269">
        <f t="shared" si="23"/>
        <v>17.28</v>
      </c>
      <c r="AY45" s="282">
        <f t="shared" si="29"/>
        <v>5.163838243725607</v>
      </c>
      <c r="AZ45" s="254">
        <f t="shared" si="29"/>
        <v>6.4806581803910213</v>
      </c>
      <c r="BA45" s="280">
        <f t="shared" si="29"/>
        <v>9.0965480563216587</v>
      </c>
      <c r="BB45" s="280">
        <f t="shared" si="24"/>
        <v>4.2</v>
      </c>
    </row>
    <row r="46" spans="20:54" ht="15" customHeight="1" x14ac:dyDescent="0.25">
      <c r="T46" s="268">
        <f t="shared" si="25"/>
        <v>37</v>
      </c>
      <c r="V46" s="269">
        <f t="shared" si="30"/>
        <v>17.759999999999998</v>
      </c>
      <c r="W46" s="270">
        <f t="shared" si="27"/>
        <v>1.0057622773564542E-19</v>
      </c>
      <c r="X46" s="270">
        <f t="shared" si="27"/>
        <v>2.7562841503220026E-23</v>
      </c>
      <c r="Y46" s="271">
        <f t="shared" si="27"/>
        <v>7.3801702583371233E-27</v>
      </c>
      <c r="Z46" s="272">
        <f t="shared" si="31"/>
        <v>8</v>
      </c>
      <c r="AA46" s="282">
        <f t="shared" si="26"/>
        <v>0</v>
      </c>
      <c r="AB46" s="254">
        <f t="shared" si="20"/>
        <v>0</v>
      </c>
      <c r="AC46" s="280">
        <f t="shared" si="21"/>
        <v>0</v>
      </c>
      <c r="AD46" s="270"/>
      <c r="AE46" s="282">
        <f t="shared" si="22"/>
        <v>17.759999999999998</v>
      </c>
      <c r="AF46" s="282">
        <f t="shared" si="28"/>
        <v>6.2628787878787868</v>
      </c>
      <c r="AG46" s="254">
        <f t="shared" si="28"/>
        <v>5.8650000000000002</v>
      </c>
      <c r="AH46" s="280">
        <f t="shared" si="28"/>
        <v>5.4671212121212136</v>
      </c>
      <c r="AI46" s="254">
        <f t="shared" si="32"/>
        <v>8</v>
      </c>
      <c r="AJ46" s="280">
        <f t="shared" si="33"/>
        <v>8.4909999999999997</v>
      </c>
      <c r="AK46" s="282">
        <f t="shared" si="34"/>
        <v>2.2274049695732998</v>
      </c>
      <c r="AL46" s="254">
        <f t="shared" si="35"/>
        <v>2.6251558569971016</v>
      </c>
      <c r="AM46" s="280">
        <f t="shared" si="36"/>
        <v>3.0229067444209035</v>
      </c>
      <c r="AN46" s="282">
        <f t="shared" si="37"/>
        <v>8.4902837574520866</v>
      </c>
      <c r="AO46" s="254">
        <f t="shared" si="38"/>
        <v>8.4901558569971023</v>
      </c>
      <c r="AP46" s="254">
        <f t="shared" si="39"/>
        <v>8.4900279565421179</v>
      </c>
      <c r="AQ46" s="283">
        <f t="shared" si="40"/>
        <v>1</v>
      </c>
      <c r="AR46" s="284">
        <f t="shared" si="41"/>
        <v>1</v>
      </c>
      <c r="AS46" s="285">
        <f t="shared" si="42"/>
        <v>1</v>
      </c>
      <c r="AT46" s="254">
        <f t="shared" si="43"/>
        <v>0.48</v>
      </c>
      <c r="AU46" s="254">
        <f t="shared" si="44"/>
        <v>0.48</v>
      </c>
      <c r="AV46" s="280">
        <f t="shared" si="45"/>
        <v>0.48</v>
      </c>
      <c r="AX46" s="269">
        <f t="shared" si="23"/>
        <v>17.759999999999998</v>
      </c>
      <c r="AY46" s="282">
        <f t="shared" si="29"/>
        <v>5.2018354748834277</v>
      </c>
      <c r="AZ46" s="254">
        <f t="shared" si="29"/>
        <v>6.5532289524879248</v>
      </c>
      <c r="BA46" s="280">
        <f t="shared" si="29"/>
        <v>9.2414200326401179</v>
      </c>
      <c r="BB46" s="280">
        <f t="shared" si="24"/>
        <v>4.2</v>
      </c>
    </row>
    <row r="47" spans="20:54" ht="15" customHeight="1" x14ac:dyDescent="0.25">
      <c r="T47" s="268">
        <f t="shared" si="25"/>
        <v>38</v>
      </c>
      <c r="V47" s="269">
        <f t="shared" si="30"/>
        <v>18.240000000000002</v>
      </c>
      <c r="W47" s="270">
        <f t="shared" si="27"/>
        <v>2.8350197009466434E-20</v>
      </c>
      <c r="X47" s="270">
        <f t="shared" si="27"/>
        <v>6.1969970112017194E-24</v>
      </c>
      <c r="Y47" s="271">
        <f t="shared" si="27"/>
        <v>1.3234887083577019E-27</v>
      </c>
      <c r="Z47" s="272">
        <f t="shared" si="31"/>
        <v>8</v>
      </c>
      <c r="AA47" s="282">
        <f t="shared" si="26"/>
        <v>0</v>
      </c>
      <c r="AB47" s="254">
        <f t="shared" si="20"/>
        <v>0</v>
      </c>
      <c r="AC47" s="280">
        <f t="shared" si="21"/>
        <v>0</v>
      </c>
      <c r="AD47" s="270"/>
      <c r="AE47" s="282">
        <f t="shared" si="22"/>
        <v>18.240000000000002</v>
      </c>
      <c r="AF47" s="282">
        <f t="shared" si="28"/>
        <v>6.2628787878787868</v>
      </c>
      <c r="AG47" s="254">
        <f t="shared" si="28"/>
        <v>5.8650000000000002</v>
      </c>
      <c r="AH47" s="280">
        <f t="shared" si="28"/>
        <v>5.4671212121212136</v>
      </c>
      <c r="AI47" s="254">
        <f t="shared" si="32"/>
        <v>8</v>
      </c>
      <c r="AJ47" s="280">
        <f t="shared" si="33"/>
        <v>8.4909999999999997</v>
      </c>
      <c r="AK47" s="282">
        <f t="shared" si="34"/>
        <v>2.2274049695732998</v>
      </c>
      <c r="AL47" s="254">
        <f t="shared" si="35"/>
        <v>2.6251558569971016</v>
      </c>
      <c r="AM47" s="280">
        <f t="shared" si="36"/>
        <v>3.0229067444209035</v>
      </c>
      <c r="AN47" s="282">
        <f t="shared" si="37"/>
        <v>8.4902837574520866</v>
      </c>
      <c r="AO47" s="254">
        <f t="shared" si="38"/>
        <v>8.4901558569971023</v>
      </c>
      <c r="AP47" s="254">
        <f t="shared" si="39"/>
        <v>8.4900279565421179</v>
      </c>
      <c r="AQ47" s="283">
        <f t="shared" si="40"/>
        <v>1</v>
      </c>
      <c r="AR47" s="284">
        <f t="shared" si="41"/>
        <v>1</v>
      </c>
      <c r="AS47" s="285">
        <f t="shared" si="42"/>
        <v>1</v>
      </c>
      <c r="AT47" s="254">
        <f t="shared" si="43"/>
        <v>0.48</v>
      </c>
      <c r="AU47" s="254">
        <f t="shared" si="44"/>
        <v>0.48</v>
      </c>
      <c r="AV47" s="280">
        <f t="shared" si="45"/>
        <v>0.48</v>
      </c>
      <c r="AX47" s="269">
        <f t="shared" si="23"/>
        <v>18.240000000000002</v>
      </c>
      <c r="AY47" s="282">
        <f t="shared" si="29"/>
        <v>5.2394087943978951</v>
      </c>
      <c r="AZ47" s="254">
        <f t="shared" si="29"/>
        <v>6.6257836515899351</v>
      </c>
      <c r="BA47" s="280">
        <f t="shared" si="29"/>
        <v>9.3862852005338784</v>
      </c>
      <c r="BB47" s="280">
        <f t="shared" si="24"/>
        <v>4.2</v>
      </c>
    </row>
    <row r="48" spans="20:54" ht="15" customHeight="1" x14ac:dyDescent="0.25">
      <c r="T48" s="268">
        <f t="shared" si="25"/>
        <v>39</v>
      </c>
      <c r="V48" s="269">
        <f t="shared" si="30"/>
        <v>18.72</v>
      </c>
      <c r="W48" s="270">
        <f t="shared" si="27"/>
        <v>7.9912886829292342E-21</v>
      </c>
      <c r="X48" s="270">
        <f t="shared" si="27"/>
        <v>1.3932805858335462E-24</v>
      </c>
      <c r="Y48" s="271">
        <f t="shared" si="27"/>
        <v>2.3734172787838334E-28</v>
      </c>
      <c r="Z48" s="272">
        <f t="shared" si="31"/>
        <v>8</v>
      </c>
      <c r="AA48" s="282">
        <f t="shared" si="26"/>
        <v>0</v>
      </c>
      <c r="AB48" s="254">
        <f t="shared" si="20"/>
        <v>0</v>
      </c>
      <c r="AC48" s="280">
        <f t="shared" si="21"/>
        <v>0</v>
      </c>
      <c r="AD48" s="270"/>
      <c r="AE48" s="282">
        <f t="shared" si="22"/>
        <v>18.72</v>
      </c>
      <c r="AF48" s="282">
        <f t="shared" si="28"/>
        <v>6.2628787878787868</v>
      </c>
      <c r="AG48" s="254">
        <f t="shared" si="28"/>
        <v>5.8650000000000002</v>
      </c>
      <c r="AH48" s="280">
        <f t="shared" si="28"/>
        <v>5.4671212121212136</v>
      </c>
      <c r="AI48" s="254">
        <f t="shared" si="32"/>
        <v>8</v>
      </c>
      <c r="AJ48" s="280">
        <f t="shared" si="33"/>
        <v>8.4909999999999997</v>
      </c>
      <c r="AK48" s="282">
        <f t="shared" si="34"/>
        <v>2.2274049695732998</v>
      </c>
      <c r="AL48" s="254">
        <f t="shared" si="35"/>
        <v>2.6251558569971016</v>
      </c>
      <c r="AM48" s="280">
        <f t="shared" si="36"/>
        <v>3.0229067444209035</v>
      </c>
      <c r="AN48" s="282">
        <f t="shared" si="37"/>
        <v>8.4902837574520866</v>
      </c>
      <c r="AO48" s="254">
        <f t="shared" si="38"/>
        <v>8.4901558569971023</v>
      </c>
      <c r="AP48" s="254">
        <f t="shared" si="39"/>
        <v>8.4900279565421179</v>
      </c>
      <c r="AQ48" s="283">
        <f t="shared" si="40"/>
        <v>1</v>
      </c>
      <c r="AR48" s="284">
        <f t="shared" si="41"/>
        <v>1</v>
      </c>
      <c r="AS48" s="285">
        <f t="shared" si="42"/>
        <v>1</v>
      </c>
      <c r="AT48" s="254">
        <f t="shared" si="43"/>
        <v>0.48</v>
      </c>
      <c r="AU48" s="254">
        <f t="shared" si="44"/>
        <v>0.48</v>
      </c>
      <c r="AV48" s="280">
        <f t="shared" si="45"/>
        <v>0.48</v>
      </c>
      <c r="AX48" s="269">
        <f t="shared" si="23"/>
        <v>18.72</v>
      </c>
      <c r="AY48" s="282">
        <f t="shared" si="29"/>
        <v>5.2766918249103281</v>
      </c>
      <c r="AZ48" s="254">
        <f t="shared" si="29"/>
        <v>6.6983242653972699</v>
      </c>
      <c r="BA48" s="280">
        <f t="shared" si="29"/>
        <v>9.531144205772776</v>
      </c>
      <c r="BB48" s="280">
        <f t="shared" si="24"/>
        <v>4.2</v>
      </c>
    </row>
    <row r="49" spans="20:54" ht="15" customHeight="1" x14ac:dyDescent="0.25">
      <c r="T49" s="268">
        <f t="shared" si="25"/>
        <v>40</v>
      </c>
      <c r="V49" s="269">
        <f t="shared" si="30"/>
        <v>19.200000000000003</v>
      </c>
      <c r="W49" s="270">
        <f t="shared" ref="W49:Y68" si="46">W$7*EXP(-(W$7)/($C$7)*$V49)</f>
        <v>2.2525661741464349E-21</v>
      </c>
      <c r="X49" s="270">
        <f t="shared" si="46"/>
        <v>3.1325346572729747E-25</v>
      </c>
      <c r="Y49" s="271">
        <f t="shared" si="46"/>
        <v>4.2562581332632753E-29</v>
      </c>
      <c r="Z49" s="272">
        <f t="shared" si="31"/>
        <v>8</v>
      </c>
      <c r="AA49" s="282">
        <f t="shared" si="26"/>
        <v>0</v>
      </c>
      <c r="AB49" s="254">
        <f t="shared" si="20"/>
        <v>0</v>
      </c>
      <c r="AC49" s="280">
        <f t="shared" si="21"/>
        <v>0</v>
      </c>
      <c r="AD49" s="270"/>
      <c r="AE49" s="282">
        <f t="shared" si="22"/>
        <v>19.200000000000003</v>
      </c>
      <c r="AF49" s="282">
        <f t="shared" ref="AF49:AH68" si="47">($C$7-(AF$6-$C$4)*$C$12)*(1-EXP(-(AF$7/$C$7)*$AE49))</f>
        <v>6.2628787878787868</v>
      </c>
      <c r="AG49" s="254">
        <f t="shared" si="47"/>
        <v>5.8650000000000002</v>
      </c>
      <c r="AH49" s="280">
        <f t="shared" si="47"/>
        <v>5.4671212121212136</v>
      </c>
      <c r="AI49" s="254">
        <f t="shared" si="32"/>
        <v>8</v>
      </c>
      <c r="AJ49" s="280">
        <f t="shared" si="33"/>
        <v>8.4909999999999997</v>
      </c>
      <c r="AK49" s="282">
        <f t="shared" si="34"/>
        <v>2.2274049695732998</v>
      </c>
      <c r="AL49" s="254">
        <f t="shared" si="35"/>
        <v>2.6251558569971016</v>
      </c>
      <c r="AM49" s="280">
        <f t="shared" si="36"/>
        <v>3.0229067444209035</v>
      </c>
      <c r="AN49" s="282">
        <f t="shared" si="37"/>
        <v>8.4902837574520866</v>
      </c>
      <c r="AO49" s="254">
        <f t="shared" si="38"/>
        <v>8.4901558569971023</v>
      </c>
      <c r="AP49" s="254">
        <f t="shared" si="39"/>
        <v>8.4900279565421179</v>
      </c>
      <c r="AQ49" s="283">
        <f t="shared" si="40"/>
        <v>1</v>
      </c>
      <c r="AR49" s="284">
        <f t="shared" si="41"/>
        <v>1</v>
      </c>
      <c r="AS49" s="285">
        <f t="shared" si="42"/>
        <v>1</v>
      </c>
      <c r="AT49" s="254">
        <f t="shared" si="43"/>
        <v>0.48</v>
      </c>
      <c r="AU49" s="254">
        <f t="shared" si="44"/>
        <v>0.48</v>
      </c>
      <c r="AV49" s="280">
        <f t="shared" si="45"/>
        <v>0.48</v>
      </c>
      <c r="AX49" s="269">
        <f t="shared" si="23"/>
        <v>19.200000000000003</v>
      </c>
      <c r="AY49" s="282">
        <f t="shared" ref="AY49:BA68" si="48">($C$4+$E$17*AY$8)+(($E$18/(1-(AY$8*$AX49)/($C$7)))+($AX49/$C$12))*AY$8</f>
        <v>5.313767369226194</v>
      </c>
      <c r="AZ49" s="254">
        <f t="shared" si="48"/>
        <v>6.7708524668351622</v>
      </c>
      <c r="BA49" s="280">
        <f t="shared" si="48"/>
        <v>9.6759976149623448</v>
      </c>
      <c r="BB49" s="280">
        <f t="shared" si="24"/>
        <v>4.2</v>
      </c>
    </row>
    <row r="50" spans="20:54" ht="15" customHeight="1" x14ac:dyDescent="0.25">
      <c r="T50" s="268">
        <f t="shared" si="25"/>
        <v>41</v>
      </c>
      <c r="V50" s="269">
        <f t="shared" si="30"/>
        <v>19.68</v>
      </c>
      <c r="W50" s="270">
        <f t="shared" si="46"/>
        <v>6.3494820050086118E-22</v>
      </c>
      <c r="X50" s="270">
        <f t="shared" si="46"/>
        <v>7.042926944356951E-26</v>
      </c>
      <c r="Y50" s="271">
        <f t="shared" si="46"/>
        <v>7.6327637195987542E-30</v>
      </c>
      <c r="Z50" s="272">
        <f t="shared" si="31"/>
        <v>8</v>
      </c>
      <c r="AA50" s="282">
        <f t="shared" si="26"/>
        <v>0</v>
      </c>
      <c r="AB50" s="254">
        <f t="shared" si="20"/>
        <v>0</v>
      </c>
      <c r="AC50" s="280">
        <f t="shared" si="21"/>
        <v>0</v>
      </c>
      <c r="AD50" s="270"/>
      <c r="AE50" s="282">
        <f t="shared" si="22"/>
        <v>19.68</v>
      </c>
      <c r="AF50" s="282">
        <f t="shared" si="47"/>
        <v>6.2628787878787868</v>
      </c>
      <c r="AG50" s="254">
        <f t="shared" si="47"/>
        <v>5.8650000000000002</v>
      </c>
      <c r="AH50" s="280">
        <f t="shared" si="47"/>
        <v>5.4671212121212136</v>
      </c>
      <c r="AI50" s="254">
        <f t="shared" si="32"/>
        <v>8</v>
      </c>
      <c r="AJ50" s="280">
        <f t="shared" si="33"/>
        <v>8.4909999999999997</v>
      </c>
      <c r="AK50" s="282">
        <f t="shared" si="34"/>
        <v>2.2274049695732998</v>
      </c>
      <c r="AL50" s="254">
        <f t="shared" si="35"/>
        <v>2.6251558569971016</v>
      </c>
      <c r="AM50" s="280">
        <f t="shared" si="36"/>
        <v>3.0229067444209035</v>
      </c>
      <c r="AN50" s="282">
        <f t="shared" si="37"/>
        <v>8.4902837574520866</v>
      </c>
      <c r="AO50" s="254">
        <f t="shared" si="38"/>
        <v>8.4901558569971023</v>
      </c>
      <c r="AP50" s="254">
        <f t="shared" si="39"/>
        <v>8.4900279565421179</v>
      </c>
      <c r="AQ50" s="283">
        <f t="shared" si="40"/>
        <v>1</v>
      </c>
      <c r="AR50" s="284">
        <f t="shared" si="41"/>
        <v>1</v>
      </c>
      <c r="AS50" s="285">
        <f t="shared" si="42"/>
        <v>1</v>
      </c>
      <c r="AT50" s="254">
        <f t="shared" si="43"/>
        <v>0.48</v>
      </c>
      <c r="AU50" s="254">
        <f t="shared" si="44"/>
        <v>0.48</v>
      </c>
      <c r="AV50" s="280">
        <f t="shared" si="45"/>
        <v>0.48</v>
      </c>
      <c r="AX50" s="269">
        <f t="shared" si="23"/>
        <v>19.68</v>
      </c>
      <c r="AY50" s="282">
        <f t="shared" si="48"/>
        <v>5.3506894725893366</v>
      </c>
      <c r="AZ50" s="254">
        <f t="shared" si="48"/>
        <v>6.8433696739911758</v>
      </c>
      <c r="BA50" s="280">
        <f t="shared" si="48"/>
        <v>9.8208459273139219</v>
      </c>
      <c r="BB50" s="280">
        <f t="shared" si="24"/>
        <v>4.2</v>
      </c>
    </row>
    <row r="51" spans="20:54" ht="15" customHeight="1" x14ac:dyDescent="0.25">
      <c r="T51" s="268">
        <f t="shared" si="25"/>
        <v>42</v>
      </c>
      <c r="V51" s="269">
        <f t="shared" si="30"/>
        <v>20.16</v>
      </c>
      <c r="W51" s="270">
        <f t="shared" si="46"/>
        <v>1.7897774633504305E-22</v>
      </c>
      <c r="X51" s="270">
        <f t="shared" si="46"/>
        <v>1.5834723433428869E-26</v>
      </c>
      <c r="Y51" s="271">
        <f t="shared" si="46"/>
        <v>1.3687863887746605E-30</v>
      </c>
      <c r="Z51" s="272">
        <f t="shared" si="31"/>
        <v>8</v>
      </c>
      <c r="AA51" s="282">
        <f t="shared" si="26"/>
        <v>0</v>
      </c>
      <c r="AB51" s="254">
        <f t="shared" si="20"/>
        <v>0</v>
      </c>
      <c r="AC51" s="280">
        <f t="shared" si="21"/>
        <v>0</v>
      </c>
      <c r="AD51" s="270"/>
      <c r="AE51" s="282">
        <f t="shared" si="22"/>
        <v>20.16</v>
      </c>
      <c r="AF51" s="282">
        <f t="shared" si="47"/>
        <v>6.2628787878787868</v>
      </c>
      <c r="AG51" s="254">
        <f t="shared" si="47"/>
        <v>5.8650000000000002</v>
      </c>
      <c r="AH51" s="280">
        <f t="shared" si="47"/>
        <v>5.4671212121212136</v>
      </c>
      <c r="AI51" s="254">
        <f t="shared" si="32"/>
        <v>8</v>
      </c>
      <c r="AJ51" s="280">
        <f t="shared" si="33"/>
        <v>8.4909999999999997</v>
      </c>
      <c r="AK51" s="282">
        <f t="shared" si="34"/>
        <v>2.2274049695732998</v>
      </c>
      <c r="AL51" s="254">
        <f t="shared" si="35"/>
        <v>2.6251558569971016</v>
      </c>
      <c r="AM51" s="280">
        <f t="shared" si="36"/>
        <v>3.0229067444209035</v>
      </c>
      <c r="AN51" s="282">
        <f t="shared" si="37"/>
        <v>8.4902837574520866</v>
      </c>
      <c r="AO51" s="254">
        <f t="shared" si="38"/>
        <v>8.4901558569971023</v>
      </c>
      <c r="AP51" s="254">
        <f t="shared" si="39"/>
        <v>8.4900279565421179</v>
      </c>
      <c r="AQ51" s="283">
        <f t="shared" si="40"/>
        <v>1</v>
      </c>
      <c r="AR51" s="284">
        <f t="shared" si="41"/>
        <v>1</v>
      </c>
      <c r="AS51" s="285">
        <f t="shared" si="42"/>
        <v>1</v>
      </c>
      <c r="AT51" s="254">
        <f t="shared" si="43"/>
        <v>0.48</v>
      </c>
      <c r="AU51" s="254">
        <f t="shared" si="44"/>
        <v>0.48</v>
      </c>
      <c r="AV51" s="280">
        <f t="shared" si="45"/>
        <v>0.48</v>
      </c>
      <c r="AX51" s="269">
        <f t="shared" si="23"/>
        <v>20.16</v>
      </c>
      <c r="AY51" s="282">
        <f t="shared" si="48"/>
        <v>5.3874949097523652</v>
      </c>
      <c r="AZ51" s="254">
        <f t="shared" si="48"/>
        <v>6.9158770968595205</v>
      </c>
      <c r="BA51" s="280">
        <f t="shared" si="48"/>
        <v>9.9656895843754505</v>
      </c>
      <c r="BB51" s="280">
        <f t="shared" si="24"/>
        <v>4.2</v>
      </c>
    </row>
    <row r="52" spans="20:54" ht="15" customHeight="1" x14ac:dyDescent="0.25">
      <c r="T52" s="268">
        <f t="shared" si="25"/>
        <v>43</v>
      </c>
      <c r="V52" s="269">
        <f t="shared" si="30"/>
        <v>20.64</v>
      </c>
      <c r="W52" s="270">
        <f t="shared" si="46"/>
        <v>5.0449837731491546E-23</v>
      </c>
      <c r="X52" s="270">
        <f t="shared" si="46"/>
        <v>3.5601457773757019E-27</v>
      </c>
      <c r="Y52" s="271">
        <f t="shared" si="46"/>
        <v>2.4546497794553353E-31</v>
      </c>
      <c r="Z52" s="272">
        <f t="shared" si="31"/>
        <v>8</v>
      </c>
      <c r="AA52" s="282">
        <f t="shared" si="26"/>
        <v>0</v>
      </c>
      <c r="AB52" s="254">
        <f t="shared" si="20"/>
        <v>0</v>
      </c>
      <c r="AC52" s="280">
        <f t="shared" si="21"/>
        <v>0</v>
      </c>
      <c r="AD52" s="270"/>
      <c r="AE52" s="282">
        <f t="shared" si="22"/>
        <v>20.64</v>
      </c>
      <c r="AF52" s="282">
        <f t="shared" si="47"/>
        <v>6.2628787878787868</v>
      </c>
      <c r="AG52" s="254">
        <f t="shared" si="47"/>
        <v>5.8650000000000002</v>
      </c>
      <c r="AH52" s="280">
        <f t="shared" si="47"/>
        <v>5.4671212121212136</v>
      </c>
      <c r="AI52" s="254">
        <f t="shared" si="32"/>
        <v>8</v>
      </c>
      <c r="AJ52" s="280">
        <f t="shared" si="33"/>
        <v>8.4909999999999997</v>
      </c>
      <c r="AK52" s="282">
        <f t="shared" si="34"/>
        <v>2.2274049695732998</v>
      </c>
      <c r="AL52" s="254">
        <f t="shared" si="35"/>
        <v>2.6251558569971016</v>
      </c>
      <c r="AM52" s="280">
        <f t="shared" si="36"/>
        <v>3.0229067444209035</v>
      </c>
      <c r="AN52" s="282">
        <f t="shared" si="37"/>
        <v>8.4902837574520866</v>
      </c>
      <c r="AO52" s="254">
        <f t="shared" si="38"/>
        <v>8.4901558569971023</v>
      </c>
      <c r="AP52" s="254">
        <f t="shared" si="39"/>
        <v>8.4900279565421179</v>
      </c>
      <c r="AQ52" s="283">
        <f t="shared" si="40"/>
        <v>1</v>
      </c>
      <c r="AR52" s="284">
        <f t="shared" si="41"/>
        <v>1</v>
      </c>
      <c r="AS52" s="285">
        <f t="shared" si="42"/>
        <v>1</v>
      </c>
      <c r="AT52" s="254">
        <f t="shared" si="43"/>
        <v>0.48</v>
      </c>
      <c r="AU52" s="254">
        <f t="shared" si="44"/>
        <v>0.48</v>
      </c>
      <c r="AV52" s="280">
        <f t="shared" si="45"/>
        <v>0.48</v>
      </c>
      <c r="AX52" s="269">
        <f t="shared" si="23"/>
        <v>20.64</v>
      </c>
      <c r="AY52" s="282">
        <f t="shared" si="48"/>
        <v>5.4242095732395272</v>
      </c>
      <c r="AZ52" s="254">
        <f t="shared" si="48"/>
        <v>6.9883757741604198</v>
      </c>
      <c r="BA52" s="280">
        <f t="shared" si="48"/>
        <v>10.110528978123599</v>
      </c>
      <c r="BB52" s="280">
        <f t="shared" si="24"/>
        <v>4.2</v>
      </c>
    </row>
    <row r="53" spans="20:54" ht="15" customHeight="1" x14ac:dyDescent="0.25">
      <c r="T53" s="268">
        <f t="shared" si="25"/>
        <v>44</v>
      </c>
      <c r="V53" s="269">
        <f t="shared" si="30"/>
        <v>21.12</v>
      </c>
      <c r="W53" s="270">
        <f t="shared" si="46"/>
        <v>1.4220684857486519E-23</v>
      </c>
      <c r="X53" s="270">
        <f t="shared" si="46"/>
        <v>8.0043317519576278E-28</v>
      </c>
      <c r="Y53" s="271">
        <f t="shared" si="46"/>
        <v>4.4019326822602222E-32</v>
      </c>
      <c r="Z53" s="272">
        <f t="shared" si="31"/>
        <v>8</v>
      </c>
      <c r="AA53" s="282">
        <f t="shared" si="26"/>
        <v>0</v>
      </c>
      <c r="AB53" s="254">
        <f t="shared" si="20"/>
        <v>0</v>
      </c>
      <c r="AC53" s="280">
        <f t="shared" si="21"/>
        <v>0</v>
      </c>
      <c r="AD53" s="270"/>
      <c r="AE53" s="282">
        <f t="shared" si="22"/>
        <v>21.12</v>
      </c>
      <c r="AF53" s="282">
        <f t="shared" si="47"/>
        <v>6.2628787878787868</v>
      </c>
      <c r="AG53" s="254">
        <f t="shared" si="47"/>
        <v>5.8650000000000002</v>
      </c>
      <c r="AH53" s="280">
        <f t="shared" si="47"/>
        <v>5.4671212121212136</v>
      </c>
      <c r="AI53" s="254">
        <f t="shared" si="32"/>
        <v>8</v>
      </c>
      <c r="AJ53" s="280">
        <f t="shared" si="33"/>
        <v>8.4909999999999997</v>
      </c>
      <c r="AK53" s="282">
        <f t="shared" si="34"/>
        <v>2.2274049695732998</v>
      </c>
      <c r="AL53" s="254">
        <f t="shared" si="35"/>
        <v>2.6251558569971016</v>
      </c>
      <c r="AM53" s="280">
        <f t="shared" si="36"/>
        <v>3.0229067444209035</v>
      </c>
      <c r="AN53" s="282">
        <f t="shared" si="37"/>
        <v>8.4902837574520866</v>
      </c>
      <c r="AO53" s="254">
        <f t="shared" si="38"/>
        <v>8.4901558569971023</v>
      </c>
      <c r="AP53" s="254">
        <f t="shared" si="39"/>
        <v>8.4900279565421179</v>
      </c>
      <c r="AQ53" s="283">
        <f t="shared" si="40"/>
        <v>1</v>
      </c>
      <c r="AR53" s="284">
        <f t="shared" si="41"/>
        <v>1</v>
      </c>
      <c r="AS53" s="285">
        <f t="shared" si="42"/>
        <v>1</v>
      </c>
      <c r="AT53" s="254">
        <f t="shared" si="43"/>
        <v>0.48</v>
      </c>
      <c r="AU53" s="254">
        <f t="shared" si="44"/>
        <v>0.48</v>
      </c>
      <c r="AV53" s="280">
        <f t="shared" si="45"/>
        <v>0.48</v>
      </c>
      <c r="AX53" s="269">
        <f t="shared" si="23"/>
        <v>21.12</v>
      </c>
      <c r="AY53" s="282">
        <f t="shared" si="48"/>
        <v>5.4608522213516961</v>
      </c>
      <c r="AZ53" s="254">
        <f t="shared" si="48"/>
        <v>7.0608666026090319</v>
      </c>
      <c r="BA53" s="280">
        <f t="shared" si="48"/>
        <v>10.255364457730373</v>
      </c>
      <c r="BB53" s="280">
        <f t="shared" si="24"/>
        <v>4.2</v>
      </c>
    </row>
    <row r="54" spans="20:54" ht="15" customHeight="1" x14ac:dyDescent="0.25">
      <c r="T54" s="268">
        <f t="shared" si="25"/>
        <v>45</v>
      </c>
      <c r="V54" s="269">
        <f t="shared" si="30"/>
        <v>21.6</v>
      </c>
      <c r="W54" s="270">
        <f t="shared" si="46"/>
        <v>4.0084941183014787E-24</v>
      </c>
      <c r="X54" s="270">
        <f t="shared" si="46"/>
        <v>1.7996264985144433E-28</v>
      </c>
      <c r="Y54" s="271">
        <f t="shared" si="46"/>
        <v>7.8940024362459305E-33</v>
      </c>
      <c r="Z54" s="272">
        <f t="shared" si="31"/>
        <v>8</v>
      </c>
      <c r="AA54" s="282">
        <f t="shared" si="26"/>
        <v>0</v>
      </c>
      <c r="AB54" s="254">
        <f t="shared" si="20"/>
        <v>0</v>
      </c>
      <c r="AC54" s="280">
        <f t="shared" si="21"/>
        <v>0</v>
      </c>
      <c r="AD54" s="270"/>
      <c r="AE54" s="282">
        <f t="shared" si="22"/>
        <v>21.6</v>
      </c>
      <c r="AF54" s="282">
        <f t="shared" si="47"/>
        <v>6.2628787878787868</v>
      </c>
      <c r="AG54" s="254">
        <f t="shared" si="47"/>
        <v>5.8650000000000002</v>
      </c>
      <c r="AH54" s="280">
        <f t="shared" si="47"/>
        <v>5.4671212121212136</v>
      </c>
      <c r="AI54" s="254">
        <f t="shared" si="32"/>
        <v>8</v>
      </c>
      <c r="AJ54" s="280">
        <f t="shared" si="33"/>
        <v>8.4909999999999997</v>
      </c>
      <c r="AK54" s="282">
        <f t="shared" si="34"/>
        <v>2.2274049695732998</v>
      </c>
      <c r="AL54" s="254">
        <f t="shared" si="35"/>
        <v>2.6251558569971016</v>
      </c>
      <c r="AM54" s="280">
        <f t="shared" si="36"/>
        <v>3.0229067444209035</v>
      </c>
      <c r="AN54" s="282">
        <f t="shared" si="37"/>
        <v>8.4902837574520866</v>
      </c>
      <c r="AO54" s="254">
        <f t="shared" si="38"/>
        <v>8.4901558569971023</v>
      </c>
      <c r="AP54" s="254">
        <f t="shared" si="39"/>
        <v>8.4900279565421179</v>
      </c>
      <c r="AQ54" s="283">
        <f t="shared" si="40"/>
        <v>1</v>
      </c>
      <c r="AR54" s="284">
        <f t="shared" si="41"/>
        <v>1</v>
      </c>
      <c r="AS54" s="285">
        <f t="shared" si="42"/>
        <v>1</v>
      </c>
      <c r="AT54" s="254">
        <f t="shared" si="43"/>
        <v>0.48</v>
      </c>
      <c r="AU54" s="254">
        <f t="shared" si="44"/>
        <v>0.48</v>
      </c>
      <c r="AV54" s="280">
        <f t="shared" si="45"/>
        <v>0.48</v>
      </c>
      <c r="AX54" s="269">
        <f t="shared" si="23"/>
        <v>21.6</v>
      </c>
      <c r="AY54" s="282">
        <f t="shared" si="48"/>
        <v>5.4974367769539407</v>
      </c>
      <c r="AZ54" s="254">
        <f t="shared" si="48"/>
        <v>7.1333503603806241</v>
      </c>
      <c r="BA54" s="280">
        <f t="shared" si="48"/>
        <v>10.400196335250781</v>
      </c>
      <c r="BB54" s="280">
        <f t="shared" si="24"/>
        <v>4.2</v>
      </c>
    </row>
    <row r="55" spans="20:54" ht="15" customHeight="1" x14ac:dyDescent="0.25">
      <c r="T55" s="268">
        <f t="shared" si="25"/>
        <v>46</v>
      </c>
      <c r="V55" s="269">
        <f t="shared" si="30"/>
        <v>22.080000000000002</v>
      </c>
      <c r="W55" s="270">
        <f t="shared" si="46"/>
        <v>1.129905152774586E-24</v>
      </c>
      <c r="X55" s="270">
        <f t="shared" si="46"/>
        <v>4.0461285645279771E-29</v>
      </c>
      <c r="Y55" s="271">
        <f t="shared" si="46"/>
        <v>1.4156344260916618E-33</v>
      </c>
      <c r="Z55" s="272">
        <f t="shared" si="31"/>
        <v>8</v>
      </c>
      <c r="AA55" s="282">
        <f t="shared" si="26"/>
        <v>0</v>
      </c>
      <c r="AB55" s="254">
        <f t="shared" si="20"/>
        <v>0</v>
      </c>
      <c r="AC55" s="280">
        <f t="shared" si="21"/>
        <v>0</v>
      </c>
      <c r="AD55" s="270"/>
      <c r="AE55" s="282">
        <f t="shared" si="22"/>
        <v>22.080000000000002</v>
      </c>
      <c r="AF55" s="282">
        <f t="shared" si="47"/>
        <v>6.2628787878787868</v>
      </c>
      <c r="AG55" s="254">
        <f t="shared" si="47"/>
        <v>5.8650000000000002</v>
      </c>
      <c r="AH55" s="280">
        <f t="shared" si="47"/>
        <v>5.4671212121212136</v>
      </c>
      <c r="AI55" s="254">
        <f t="shared" si="32"/>
        <v>8</v>
      </c>
      <c r="AJ55" s="280">
        <f t="shared" si="33"/>
        <v>8.4909999999999997</v>
      </c>
      <c r="AK55" s="282">
        <f t="shared" si="34"/>
        <v>2.2274049695732998</v>
      </c>
      <c r="AL55" s="254">
        <f t="shared" si="35"/>
        <v>2.6251558569971016</v>
      </c>
      <c r="AM55" s="280">
        <f t="shared" si="36"/>
        <v>3.0229067444209035</v>
      </c>
      <c r="AN55" s="282">
        <f t="shared" si="37"/>
        <v>8.4902837574520866</v>
      </c>
      <c r="AO55" s="254">
        <f t="shared" si="38"/>
        <v>8.4901558569971023</v>
      </c>
      <c r="AP55" s="254">
        <f t="shared" si="39"/>
        <v>8.4900279565421179</v>
      </c>
      <c r="AQ55" s="283">
        <f t="shared" si="40"/>
        <v>1</v>
      </c>
      <c r="AR55" s="284">
        <f t="shared" si="41"/>
        <v>1</v>
      </c>
      <c r="AS55" s="285">
        <f t="shared" si="42"/>
        <v>1</v>
      </c>
      <c r="AT55" s="254">
        <f t="shared" si="43"/>
        <v>0.48</v>
      </c>
      <c r="AU55" s="254">
        <f t="shared" si="44"/>
        <v>0.48</v>
      </c>
      <c r="AV55" s="280">
        <f t="shared" si="45"/>
        <v>0.48</v>
      </c>
      <c r="AX55" s="269">
        <f t="shared" si="23"/>
        <v>22.080000000000002</v>
      </c>
      <c r="AY55" s="282">
        <f t="shared" si="48"/>
        <v>5.5339737912189699</v>
      </c>
      <c r="AZ55" s="254">
        <f t="shared" si="48"/>
        <v>7.2058277260716919</v>
      </c>
      <c r="BA55" s="280">
        <f t="shared" si="48"/>
        <v>10.545024890427088</v>
      </c>
      <c r="BB55" s="280">
        <f t="shared" si="24"/>
        <v>4.2</v>
      </c>
    </row>
    <row r="56" spans="20:54" ht="15" customHeight="1" x14ac:dyDescent="0.25">
      <c r="T56" s="268">
        <f t="shared" si="25"/>
        <v>47</v>
      </c>
      <c r="V56" s="269">
        <f t="shared" si="30"/>
        <v>22.56</v>
      </c>
      <c r="W56" s="270">
        <f t="shared" si="46"/>
        <v>3.1849507984498179E-25</v>
      </c>
      <c r="X56" s="270">
        <f t="shared" si="46"/>
        <v>9.0969744967654661E-30</v>
      </c>
      <c r="Y56" s="271">
        <f t="shared" si="46"/>
        <v>2.5386625409871661E-34</v>
      </c>
      <c r="Z56" s="272">
        <f t="shared" si="31"/>
        <v>8</v>
      </c>
      <c r="AA56" s="282">
        <f t="shared" si="26"/>
        <v>0</v>
      </c>
      <c r="AB56" s="254">
        <f t="shared" si="20"/>
        <v>0</v>
      </c>
      <c r="AC56" s="280">
        <f t="shared" si="21"/>
        <v>0</v>
      </c>
      <c r="AD56" s="270"/>
      <c r="AE56" s="282">
        <f t="shared" si="22"/>
        <v>22.56</v>
      </c>
      <c r="AF56" s="282">
        <f t="shared" si="47"/>
        <v>6.2628787878787868</v>
      </c>
      <c r="AG56" s="254">
        <f t="shared" si="47"/>
        <v>5.8650000000000002</v>
      </c>
      <c r="AH56" s="280">
        <f t="shared" si="47"/>
        <v>5.4671212121212136</v>
      </c>
      <c r="AI56" s="254">
        <f t="shared" si="32"/>
        <v>8</v>
      </c>
      <c r="AJ56" s="280">
        <f t="shared" si="33"/>
        <v>8.4909999999999997</v>
      </c>
      <c r="AK56" s="282">
        <f t="shared" si="34"/>
        <v>2.2274049695732998</v>
      </c>
      <c r="AL56" s="254">
        <f t="shared" si="35"/>
        <v>2.6251558569971016</v>
      </c>
      <c r="AM56" s="280">
        <f t="shared" si="36"/>
        <v>3.0229067444209035</v>
      </c>
      <c r="AN56" s="282">
        <f t="shared" si="37"/>
        <v>8.4902837574520866</v>
      </c>
      <c r="AO56" s="254">
        <f t="shared" si="38"/>
        <v>8.4901558569971023</v>
      </c>
      <c r="AP56" s="254">
        <f t="shared" si="39"/>
        <v>8.4900279565421179</v>
      </c>
      <c r="AQ56" s="283">
        <f t="shared" si="40"/>
        <v>1</v>
      </c>
      <c r="AR56" s="284">
        <f t="shared" si="41"/>
        <v>1</v>
      </c>
      <c r="AS56" s="285">
        <f t="shared" si="42"/>
        <v>1</v>
      </c>
      <c r="AT56" s="254">
        <f t="shared" si="43"/>
        <v>0.48</v>
      </c>
      <c r="AU56" s="254">
        <f t="shared" si="44"/>
        <v>0.48</v>
      </c>
      <c r="AV56" s="280">
        <f t="shared" si="45"/>
        <v>0.48</v>
      </c>
      <c r="AX56" s="269">
        <f t="shared" si="23"/>
        <v>22.56</v>
      </c>
      <c r="AY56" s="282">
        <f t="shared" si="48"/>
        <v>5.5704714060130573</v>
      </c>
      <c r="AZ56" s="254">
        <f t="shared" si="48"/>
        <v>7.2782992941343707</v>
      </c>
      <c r="BA56" s="280">
        <f t="shared" si="48"/>
        <v>10.68985037476568</v>
      </c>
      <c r="BB56" s="280">
        <f t="shared" si="24"/>
        <v>4.2</v>
      </c>
    </row>
    <row r="57" spans="20:54" ht="15" customHeight="1" x14ac:dyDescent="0.25">
      <c r="T57" s="268">
        <f t="shared" si="25"/>
        <v>48</v>
      </c>
      <c r="V57" s="269">
        <f t="shared" si="30"/>
        <v>23.04</v>
      </c>
      <c r="W57" s="270">
        <f t="shared" si="46"/>
        <v>8.9776664560177303E-26</v>
      </c>
      <c r="X57" s="270">
        <f t="shared" si="46"/>
        <v>2.0452870855440931E-30</v>
      </c>
      <c r="Y57" s="271">
        <f t="shared" si="46"/>
        <v>4.5525930835154922E-35</v>
      </c>
      <c r="Z57" s="272">
        <f t="shared" si="31"/>
        <v>8</v>
      </c>
      <c r="AA57" s="282">
        <f t="shared" si="26"/>
        <v>0</v>
      </c>
      <c r="AB57" s="254">
        <f t="shared" si="20"/>
        <v>0</v>
      </c>
      <c r="AC57" s="280">
        <f t="shared" si="21"/>
        <v>0</v>
      </c>
      <c r="AD57" s="270"/>
      <c r="AE57" s="282">
        <f t="shared" si="22"/>
        <v>23.04</v>
      </c>
      <c r="AF57" s="282">
        <f t="shared" si="47"/>
        <v>6.2628787878787868</v>
      </c>
      <c r="AG57" s="254">
        <f t="shared" si="47"/>
        <v>5.8650000000000002</v>
      </c>
      <c r="AH57" s="280">
        <f t="shared" si="47"/>
        <v>5.4671212121212136</v>
      </c>
      <c r="AI57" s="254">
        <f t="shared" si="32"/>
        <v>8</v>
      </c>
      <c r="AJ57" s="280">
        <f t="shared" si="33"/>
        <v>8.4909999999999997</v>
      </c>
      <c r="AK57" s="282">
        <f t="shared" si="34"/>
        <v>2.2274049695732998</v>
      </c>
      <c r="AL57" s="254">
        <f t="shared" si="35"/>
        <v>2.6251558569971016</v>
      </c>
      <c r="AM57" s="280">
        <f t="shared" si="36"/>
        <v>3.0229067444209035</v>
      </c>
      <c r="AN57" s="282">
        <f t="shared" si="37"/>
        <v>8.4902837574520866</v>
      </c>
      <c r="AO57" s="254">
        <f t="shared" si="38"/>
        <v>8.4901558569971023</v>
      </c>
      <c r="AP57" s="254">
        <f t="shared" si="39"/>
        <v>8.4900279565421179</v>
      </c>
      <c r="AQ57" s="283">
        <f t="shared" si="40"/>
        <v>1</v>
      </c>
      <c r="AR57" s="284">
        <f t="shared" si="41"/>
        <v>1</v>
      </c>
      <c r="AS57" s="285">
        <f t="shared" si="42"/>
        <v>1</v>
      </c>
      <c r="AT57" s="254">
        <f t="shared" si="43"/>
        <v>0.48</v>
      </c>
      <c r="AU57" s="254">
        <f t="shared" si="44"/>
        <v>0.48</v>
      </c>
      <c r="AV57" s="280">
        <f t="shared" si="45"/>
        <v>0.48</v>
      </c>
      <c r="AX57" s="269">
        <f t="shared" si="23"/>
        <v>23.04</v>
      </c>
      <c r="AY57" s="282">
        <f t="shared" si="48"/>
        <v>5.606936004449441</v>
      </c>
      <c r="AZ57" s="254">
        <f t="shared" si="48"/>
        <v>7.3507655875264248</v>
      </c>
      <c r="BA57" s="280">
        <f t="shared" si="48"/>
        <v>10.834673015011889</v>
      </c>
      <c r="BB57" s="280">
        <f t="shared" si="24"/>
        <v>4.2</v>
      </c>
    </row>
    <row r="58" spans="20:54" ht="15" customHeight="1" x14ac:dyDescent="0.25">
      <c r="T58" s="268">
        <f t="shared" si="25"/>
        <v>49</v>
      </c>
      <c r="V58" s="269">
        <f t="shared" si="30"/>
        <v>23.52</v>
      </c>
      <c r="W58" s="270">
        <f t="shared" si="46"/>
        <v>2.5306040845194692E-26</v>
      </c>
      <c r="X58" s="270">
        <f t="shared" si="46"/>
        <v>4.5984511265594679E-31</v>
      </c>
      <c r="Y58" s="271">
        <f t="shared" si="46"/>
        <v>8.1641823005013076E-36</v>
      </c>
      <c r="Z58" s="272">
        <f t="shared" si="31"/>
        <v>8</v>
      </c>
      <c r="AA58" s="282">
        <f t="shared" si="26"/>
        <v>0</v>
      </c>
      <c r="AB58" s="254">
        <f t="shared" si="20"/>
        <v>0</v>
      </c>
      <c r="AC58" s="280">
        <f t="shared" si="21"/>
        <v>0</v>
      </c>
      <c r="AD58" s="270"/>
      <c r="AE58" s="282">
        <f t="shared" si="22"/>
        <v>23.52</v>
      </c>
      <c r="AF58" s="282">
        <f t="shared" si="47"/>
        <v>6.2628787878787868</v>
      </c>
      <c r="AG58" s="254">
        <f t="shared" si="47"/>
        <v>5.8650000000000002</v>
      </c>
      <c r="AH58" s="280">
        <f t="shared" si="47"/>
        <v>5.4671212121212136</v>
      </c>
      <c r="AI58" s="254">
        <f t="shared" si="32"/>
        <v>8</v>
      </c>
      <c r="AJ58" s="280">
        <f t="shared" si="33"/>
        <v>8.4909999999999997</v>
      </c>
      <c r="AK58" s="282">
        <f t="shared" si="34"/>
        <v>2.2274049695732998</v>
      </c>
      <c r="AL58" s="254">
        <f t="shared" si="35"/>
        <v>2.6251558569971016</v>
      </c>
      <c r="AM58" s="280">
        <f t="shared" si="36"/>
        <v>3.0229067444209035</v>
      </c>
      <c r="AN58" s="282">
        <f t="shared" si="37"/>
        <v>8.4902837574520866</v>
      </c>
      <c r="AO58" s="254">
        <f t="shared" si="38"/>
        <v>8.4901558569971023</v>
      </c>
      <c r="AP58" s="254">
        <f t="shared" si="39"/>
        <v>8.4900279565421179</v>
      </c>
      <c r="AQ58" s="283">
        <f t="shared" si="40"/>
        <v>1</v>
      </c>
      <c r="AR58" s="284">
        <f t="shared" si="41"/>
        <v>1</v>
      </c>
      <c r="AS58" s="285">
        <f t="shared" si="42"/>
        <v>1</v>
      </c>
      <c r="AT58" s="254">
        <f t="shared" si="43"/>
        <v>0.48</v>
      </c>
      <c r="AU58" s="254">
        <f t="shared" si="44"/>
        <v>0.48</v>
      </c>
      <c r="AV58" s="280">
        <f t="shared" si="45"/>
        <v>0.48</v>
      </c>
      <c r="AX58" s="269">
        <f t="shared" si="23"/>
        <v>23.52</v>
      </c>
      <c r="AY58" s="282">
        <f t="shared" si="48"/>
        <v>5.6433726614494963</v>
      </c>
      <c r="AZ58" s="254">
        <f t="shared" si="48"/>
        <v>7.4232270681457333</v>
      </c>
      <c r="BA58" s="280">
        <f t="shared" si="48"/>
        <v>10.979493016123977</v>
      </c>
      <c r="BB58" s="280">
        <f t="shared" si="24"/>
        <v>4.2</v>
      </c>
    </row>
    <row r="59" spans="20:54" ht="15" customHeight="1" x14ac:dyDescent="0.25">
      <c r="T59" s="268">
        <f t="shared" si="25"/>
        <v>50</v>
      </c>
      <c r="V59" s="269">
        <f t="shared" si="30"/>
        <v>24</v>
      </c>
      <c r="W59" s="270">
        <f t="shared" si="46"/>
        <v>7.1332089067465873E-27</v>
      </c>
      <c r="X59" s="270">
        <f t="shared" si="46"/>
        <v>1.0338770000951278E-31</v>
      </c>
      <c r="Y59" s="271">
        <f t="shared" si="46"/>
        <v>1.4640858827723287E-36</v>
      </c>
      <c r="Z59" s="272">
        <f t="shared" si="31"/>
        <v>8</v>
      </c>
      <c r="AA59" s="282">
        <f t="shared" si="26"/>
        <v>0</v>
      </c>
      <c r="AB59" s="254">
        <f t="shared" si="20"/>
        <v>0</v>
      </c>
      <c r="AC59" s="280">
        <f t="shared" si="21"/>
        <v>0</v>
      </c>
      <c r="AD59" s="270"/>
      <c r="AE59" s="282">
        <f t="shared" si="22"/>
        <v>24</v>
      </c>
      <c r="AF59" s="282">
        <f t="shared" si="47"/>
        <v>6.2628787878787868</v>
      </c>
      <c r="AG59" s="254">
        <f t="shared" si="47"/>
        <v>5.8650000000000002</v>
      </c>
      <c r="AH59" s="280">
        <f t="shared" si="47"/>
        <v>5.4671212121212136</v>
      </c>
      <c r="AI59" s="254">
        <f t="shared" si="32"/>
        <v>8</v>
      </c>
      <c r="AJ59" s="280">
        <f t="shared" si="33"/>
        <v>8.4909999999999997</v>
      </c>
      <c r="AK59" s="282">
        <f t="shared" si="34"/>
        <v>2.2274049695732998</v>
      </c>
      <c r="AL59" s="254">
        <f t="shared" si="35"/>
        <v>2.6251558569971016</v>
      </c>
      <c r="AM59" s="280">
        <f t="shared" si="36"/>
        <v>3.0229067444209035</v>
      </c>
      <c r="AN59" s="282">
        <f t="shared" si="37"/>
        <v>8.4902837574520866</v>
      </c>
      <c r="AO59" s="254">
        <f t="shared" si="38"/>
        <v>8.4901558569971023</v>
      </c>
      <c r="AP59" s="254">
        <f t="shared" si="39"/>
        <v>8.4900279565421179</v>
      </c>
      <c r="AQ59" s="283">
        <f t="shared" si="40"/>
        <v>1</v>
      </c>
      <c r="AR59" s="284">
        <f t="shared" si="41"/>
        <v>1</v>
      </c>
      <c r="AS59" s="285">
        <f t="shared" si="42"/>
        <v>1</v>
      </c>
      <c r="AT59" s="254">
        <f t="shared" si="43"/>
        <v>0.48</v>
      </c>
      <c r="AU59" s="254">
        <f t="shared" si="44"/>
        <v>0.48</v>
      </c>
      <c r="AV59" s="280">
        <f t="shared" si="45"/>
        <v>0.48</v>
      </c>
      <c r="AX59" s="269">
        <f t="shared" si="23"/>
        <v>24</v>
      </c>
      <c r="AY59" s="282">
        <f t="shared" si="48"/>
        <v>5.6797854625439381</v>
      </c>
      <c r="AZ59" s="254">
        <f t="shared" si="48"/>
        <v>7.4956841454891325</v>
      </c>
      <c r="BA59" s="280">
        <f t="shared" si="48"/>
        <v>11.124310563828539</v>
      </c>
      <c r="BB59" s="280">
        <f t="shared" si="24"/>
        <v>4.2</v>
      </c>
    </row>
    <row r="60" spans="20:54" ht="15" customHeight="1" x14ac:dyDescent="0.25">
      <c r="T60" s="268">
        <f t="shared" si="25"/>
        <v>51</v>
      </c>
      <c r="V60" s="269">
        <f t="shared" si="30"/>
        <v>24.48</v>
      </c>
      <c r="W60" s="270">
        <f t="shared" si="46"/>
        <v>2.0106926096640359E-27</v>
      </c>
      <c r="X60" s="270">
        <f t="shared" si="46"/>
        <v>2.3244819220802094E-32</v>
      </c>
      <c r="Y60" s="271">
        <f t="shared" si="46"/>
        <v>2.6255507204947858E-37</v>
      </c>
      <c r="Z60" s="272">
        <f t="shared" si="31"/>
        <v>8</v>
      </c>
      <c r="AA60" s="282">
        <f t="shared" si="26"/>
        <v>0</v>
      </c>
      <c r="AB60" s="254">
        <f t="shared" si="20"/>
        <v>0</v>
      </c>
      <c r="AC60" s="280">
        <f t="shared" si="21"/>
        <v>0</v>
      </c>
      <c r="AD60" s="270"/>
      <c r="AE60" s="282">
        <f t="shared" si="22"/>
        <v>24.48</v>
      </c>
      <c r="AF60" s="282">
        <f t="shared" si="47"/>
        <v>6.2628787878787868</v>
      </c>
      <c r="AG60" s="254">
        <f t="shared" si="47"/>
        <v>5.8650000000000002</v>
      </c>
      <c r="AH60" s="280">
        <f t="shared" si="47"/>
        <v>5.4671212121212136</v>
      </c>
      <c r="AI60" s="254">
        <f t="shared" si="32"/>
        <v>8</v>
      </c>
      <c r="AJ60" s="280">
        <f t="shared" si="33"/>
        <v>8.4909999999999997</v>
      </c>
      <c r="AK60" s="282">
        <f t="shared" si="34"/>
        <v>2.2274049695732998</v>
      </c>
      <c r="AL60" s="254">
        <f t="shared" si="35"/>
        <v>2.6251558569971016</v>
      </c>
      <c r="AM60" s="280">
        <f t="shared" si="36"/>
        <v>3.0229067444209035</v>
      </c>
      <c r="AN60" s="282">
        <f t="shared" si="37"/>
        <v>8.4902837574520866</v>
      </c>
      <c r="AO60" s="254">
        <f t="shared" si="38"/>
        <v>8.4901558569971023</v>
      </c>
      <c r="AP60" s="254">
        <f t="shared" si="39"/>
        <v>8.4900279565421179</v>
      </c>
      <c r="AQ60" s="283">
        <f t="shared" si="40"/>
        <v>1</v>
      </c>
      <c r="AR60" s="284">
        <f t="shared" si="41"/>
        <v>1</v>
      </c>
      <c r="AS60" s="285">
        <f t="shared" si="42"/>
        <v>1</v>
      </c>
      <c r="AT60" s="254">
        <f t="shared" si="43"/>
        <v>0.48</v>
      </c>
      <c r="AU60" s="254">
        <f t="shared" si="44"/>
        <v>0.48</v>
      </c>
      <c r="AV60" s="280">
        <f t="shared" si="45"/>
        <v>0.48</v>
      </c>
      <c r="AX60" s="269">
        <f t="shared" si="23"/>
        <v>24.48</v>
      </c>
      <c r="AY60" s="282">
        <f t="shared" si="48"/>
        <v>5.7161777337780215</v>
      </c>
      <c r="AZ60" s="254">
        <f t="shared" si="48"/>
        <v>7.5681371838784228</v>
      </c>
      <c r="BA60" s="280">
        <f t="shared" si="48"/>
        <v>11.269125826824496</v>
      </c>
      <c r="BB60" s="280">
        <f t="shared" si="24"/>
        <v>4.2</v>
      </c>
    </row>
    <row r="61" spans="20:54" ht="15" customHeight="1" x14ac:dyDescent="0.25">
      <c r="T61" s="268">
        <f t="shared" si="25"/>
        <v>52</v>
      </c>
      <c r="V61" s="269">
        <f t="shared" si="30"/>
        <v>24.96</v>
      </c>
      <c r="W61" s="270">
        <f t="shared" si="46"/>
        <v>5.6676943342200618E-28</v>
      </c>
      <c r="X61" s="270">
        <f t="shared" si="46"/>
        <v>5.2261692692463692E-33</v>
      </c>
      <c r="Y61" s="271">
        <f t="shared" si="46"/>
        <v>4.7084099826421578E-38</v>
      </c>
      <c r="Z61" s="272">
        <f t="shared" si="31"/>
        <v>8</v>
      </c>
      <c r="AA61" s="282">
        <f t="shared" si="26"/>
        <v>0</v>
      </c>
      <c r="AB61" s="254">
        <f t="shared" si="20"/>
        <v>0</v>
      </c>
      <c r="AC61" s="280">
        <f t="shared" si="21"/>
        <v>0</v>
      </c>
      <c r="AD61" s="270"/>
      <c r="AE61" s="282">
        <f t="shared" si="22"/>
        <v>24.96</v>
      </c>
      <c r="AF61" s="282">
        <f t="shared" si="47"/>
        <v>6.2628787878787868</v>
      </c>
      <c r="AG61" s="254">
        <f t="shared" si="47"/>
        <v>5.8650000000000002</v>
      </c>
      <c r="AH61" s="280">
        <f t="shared" si="47"/>
        <v>5.4671212121212136</v>
      </c>
      <c r="AI61" s="254">
        <f t="shared" si="32"/>
        <v>8</v>
      </c>
      <c r="AJ61" s="280">
        <f t="shared" si="33"/>
        <v>8.4909999999999997</v>
      </c>
      <c r="AK61" s="282">
        <f t="shared" si="34"/>
        <v>2.2274049695732998</v>
      </c>
      <c r="AL61" s="254">
        <f t="shared" si="35"/>
        <v>2.6251558569971016</v>
      </c>
      <c r="AM61" s="280">
        <f t="shared" si="36"/>
        <v>3.0229067444209035</v>
      </c>
      <c r="AN61" s="282">
        <f t="shared" si="37"/>
        <v>8.4902837574520866</v>
      </c>
      <c r="AO61" s="254">
        <f t="shared" si="38"/>
        <v>8.4901558569971023</v>
      </c>
      <c r="AP61" s="254">
        <f t="shared" si="39"/>
        <v>8.4900279565421179</v>
      </c>
      <c r="AQ61" s="283">
        <f t="shared" si="40"/>
        <v>1</v>
      </c>
      <c r="AR61" s="284">
        <f t="shared" si="41"/>
        <v>1</v>
      </c>
      <c r="AS61" s="285">
        <f t="shared" si="42"/>
        <v>1</v>
      </c>
      <c r="AT61" s="254">
        <f t="shared" si="43"/>
        <v>0.48</v>
      </c>
      <c r="AU61" s="254">
        <f t="shared" si="44"/>
        <v>0.48</v>
      </c>
      <c r="AV61" s="280">
        <f t="shared" si="45"/>
        <v>0.48</v>
      </c>
      <c r="AX61" s="269">
        <f t="shared" si="23"/>
        <v>24.96</v>
      </c>
      <c r="AY61" s="282">
        <f t="shared" si="48"/>
        <v>5.7525522103559634</v>
      </c>
      <c r="AZ61" s="254">
        <f t="shared" si="48"/>
        <v>7.6405865085227145</v>
      </c>
      <c r="BA61" s="280">
        <f t="shared" si="48"/>
        <v>11.413938958690768</v>
      </c>
      <c r="BB61" s="280">
        <f t="shared" si="24"/>
        <v>4.2</v>
      </c>
    </row>
    <row r="62" spans="20:54" ht="15" customHeight="1" x14ac:dyDescent="0.25">
      <c r="T62" s="268">
        <f t="shared" si="25"/>
        <v>53</v>
      </c>
      <c r="V62" s="269">
        <f t="shared" si="30"/>
        <v>25.44</v>
      </c>
      <c r="W62" s="270">
        <f t="shared" si="46"/>
        <v>1.5975967142743688E-28</v>
      </c>
      <c r="X62" s="270">
        <f t="shared" si="46"/>
        <v>1.17500785750883E-33</v>
      </c>
      <c r="Y62" s="271">
        <f t="shared" si="46"/>
        <v>8.4436093317848943E-39</v>
      </c>
      <c r="Z62" s="272">
        <f t="shared" si="31"/>
        <v>8</v>
      </c>
      <c r="AA62" s="282">
        <f t="shared" si="26"/>
        <v>0</v>
      </c>
      <c r="AB62" s="254">
        <f t="shared" si="20"/>
        <v>0</v>
      </c>
      <c r="AC62" s="280">
        <f t="shared" si="21"/>
        <v>0</v>
      </c>
      <c r="AD62" s="270"/>
      <c r="AE62" s="282">
        <f t="shared" si="22"/>
        <v>25.44</v>
      </c>
      <c r="AF62" s="282">
        <f t="shared" si="47"/>
        <v>6.2628787878787868</v>
      </c>
      <c r="AG62" s="254">
        <f t="shared" si="47"/>
        <v>5.8650000000000002</v>
      </c>
      <c r="AH62" s="280">
        <f t="shared" si="47"/>
        <v>5.4671212121212136</v>
      </c>
      <c r="AI62" s="254">
        <f t="shared" si="32"/>
        <v>8</v>
      </c>
      <c r="AJ62" s="280">
        <f t="shared" si="33"/>
        <v>8.4909999999999997</v>
      </c>
      <c r="AK62" s="282">
        <f t="shared" si="34"/>
        <v>2.2274049695732998</v>
      </c>
      <c r="AL62" s="254">
        <f t="shared" si="35"/>
        <v>2.6251558569971016</v>
      </c>
      <c r="AM62" s="280">
        <f t="shared" si="36"/>
        <v>3.0229067444209035</v>
      </c>
      <c r="AN62" s="282">
        <f t="shared" si="37"/>
        <v>8.4902837574520866</v>
      </c>
      <c r="AO62" s="254">
        <f t="shared" si="38"/>
        <v>8.4901558569971023</v>
      </c>
      <c r="AP62" s="254">
        <f t="shared" si="39"/>
        <v>8.4900279565421179</v>
      </c>
      <c r="AQ62" s="283">
        <f t="shared" si="40"/>
        <v>1</v>
      </c>
      <c r="AR62" s="284">
        <f t="shared" si="41"/>
        <v>1</v>
      </c>
      <c r="AS62" s="285">
        <f t="shared" si="42"/>
        <v>1</v>
      </c>
      <c r="AT62" s="254">
        <f t="shared" si="43"/>
        <v>0.48</v>
      </c>
      <c r="AU62" s="254">
        <f t="shared" si="44"/>
        <v>0.48</v>
      </c>
      <c r="AV62" s="280">
        <f t="shared" si="45"/>
        <v>0.48</v>
      </c>
      <c r="AX62" s="269">
        <f t="shared" si="23"/>
        <v>25.44</v>
      </c>
      <c r="AY62" s="282">
        <f t="shared" si="48"/>
        <v>5.7889111622589997</v>
      </c>
      <c r="AZ62" s="254">
        <f t="shared" si="48"/>
        <v>7.7130324106300359</v>
      </c>
      <c r="BA62" s="280">
        <f t="shared" si="48"/>
        <v>11.558750099543099</v>
      </c>
      <c r="BB62" s="280">
        <f t="shared" si="24"/>
        <v>4.2</v>
      </c>
    </row>
    <row r="63" spans="20:54" ht="15" customHeight="1" x14ac:dyDescent="0.25">
      <c r="T63" s="268">
        <f t="shared" si="25"/>
        <v>54</v>
      </c>
      <c r="V63" s="269">
        <f t="shared" si="30"/>
        <v>25.92</v>
      </c>
      <c r="W63" s="270">
        <f t="shared" si="46"/>
        <v>4.5032690737219966E-29</v>
      </c>
      <c r="X63" s="270">
        <f t="shared" si="46"/>
        <v>2.641788648775633E-34</v>
      </c>
      <c r="Y63" s="271">
        <f t="shared" si="46"/>
        <v>1.5141956373942934E-39</v>
      </c>
      <c r="Z63" s="272">
        <f t="shared" si="31"/>
        <v>8</v>
      </c>
      <c r="AA63" s="282">
        <f t="shared" si="26"/>
        <v>0</v>
      </c>
      <c r="AB63" s="254">
        <f t="shared" si="20"/>
        <v>0</v>
      </c>
      <c r="AC63" s="280">
        <f t="shared" si="21"/>
        <v>0</v>
      </c>
      <c r="AD63" s="270"/>
      <c r="AE63" s="282">
        <f t="shared" si="22"/>
        <v>25.92</v>
      </c>
      <c r="AF63" s="282">
        <f t="shared" si="47"/>
        <v>6.2628787878787868</v>
      </c>
      <c r="AG63" s="254">
        <f t="shared" si="47"/>
        <v>5.8650000000000002</v>
      </c>
      <c r="AH63" s="280">
        <f t="shared" si="47"/>
        <v>5.4671212121212136</v>
      </c>
      <c r="AI63" s="254">
        <f t="shared" si="32"/>
        <v>8</v>
      </c>
      <c r="AJ63" s="280">
        <f t="shared" si="33"/>
        <v>8.4909999999999997</v>
      </c>
      <c r="AK63" s="282">
        <f t="shared" si="34"/>
        <v>2.2274049695732998</v>
      </c>
      <c r="AL63" s="254">
        <f t="shared" si="35"/>
        <v>2.6251558569971016</v>
      </c>
      <c r="AM63" s="280">
        <f t="shared" si="36"/>
        <v>3.0229067444209035</v>
      </c>
      <c r="AN63" s="282">
        <f t="shared" si="37"/>
        <v>8.4902837574520866</v>
      </c>
      <c r="AO63" s="254">
        <f t="shared" si="38"/>
        <v>8.4901558569971023</v>
      </c>
      <c r="AP63" s="254">
        <f t="shared" si="39"/>
        <v>8.4900279565421179</v>
      </c>
      <c r="AQ63" s="283">
        <f t="shared" si="40"/>
        <v>1</v>
      </c>
      <c r="AR63" s="284">
        <f t="shared" si="41"/>
        <v>1</v>
      </c>
      <c r="AS63" s="285">
        <f t="shared" si="42"/>
        <v>1</v>
      </c>
      <c r="AT63" s="254">
        <f t="shared" si="43"/>
        <v>0.48</v>
      </c>
      <c r="AU63" s="254">
        <f t="shared" si="44"/>
        <v>0.48</v>
      </c>
      <c r="AV63" s="280">
        <f t="shared" si="45"/>
        <v>0.48</v>
      </c>
      <c r="AX63" s="269">
        <f t="shared" si="23"/>
        <v>25.92</v>
      </c>
      <c r="AY63" s="282">
        <f t="shared" si="48"/>
        <v>5.8252564891216174</v>
      </c>
      <c r="AZ63" s="254">
        <f t="shared" si="48"/>
        <v>7.785475151737729</v>
      </c>
      <c r="BA63" s="280">
        <f t="shared" si="48"/>
        <v>11.703559377477701</v>
      </c>
      <c r="BB63" s="280">
        <f t="shared" si="24"/>
        <v>4.2</v>
      </c>
    </row>
    <row r="64" spans="20:54" ht="15" customHeight="1" x14ac:dyDescent="0.25">
      <c r="T64" s="268">
        <f t="shared" si="25"/>
        <v>55</v>
      </c>
      <c r="V64" s="269">
        <f t="shared" si="30"/>
        <v>26.400000000000002</v>
      </c>
      <c r="W64" s="270">
        <f t="shared" si="46"/>
        <v>1.269371185427834E-29</v>
      </c>
      <c r="X64" s="270">
        <f t="shared" si="46"/>
        <v>5.9395749740739423E-35</v>
      </c>
      <c r="Y64" s="271">
        <f t="shared" si="46"/>
        <v>2.7154127319380253E-40</v>
      </c>
      <c r="Z64" s="272">
        <f t="shared" si="31"/>
        <v>8</v>
      </c>
      <c r="AA64" s="282">
        <f t="shared" si="26"/>
        <v>0</v>
      </c>
      <c r="AB64" s="254">
        <f t="shared" si="20"/>
        <v>0</v>
      </c>
      <c r="AC64" s="280">
        <f t="shared" si="21"/>
        <v>0</v>
      </c>
      <c r="AD64" s="270"/>
      <c r="AE64" s="282">
        <f t="shared" si="22"/>
        <v>26.400000000000002</v>
      </c>
      <c r="AF64" s="282">
        <f t="shared" si="47"/>
        <v>6.2628787878787868</v>
      </c>
      <c r="AG64" s="254">
        <f t="shared" si="47"/>
        <v>5.8650000000000002</v>
      </c>
      <c r="AH64" s="280">
        <f t="shared" si="47"/>
        <v>5.4671212121212136</v>
      </c>
      <c r="AI64" s="254">
        <f t="shared" si="32"/>
        <v>8</v>
      </c>
      <c r="AJ64" s="280">
        <f t="shared" si="33"/>
        <v>8.4909999999999997</v>
      </c>
      <c r="AK64" s="282">
        <f t="shared" si="34"/>
        <v>2.2274049695732998</v>
      </c>
      <c r="AL64" s="254">
        <f t="shared" si="35"/>
        <v>2.6251558569971016</v>
      </c>
      <c r="AM64" s="280">
        <f t="shared" si="36"/>
        <v>3.0229067444209035</v>
      </c>
      <c r="AN64" s="282">
        <f t="shared" si="37"/>
        <v>8.4902837574520866</v>
      </c>
      <c r="AO64" s="254">
        <f t="shared" si="38"/>
        <v>8.4901558569971023</v>
      </c>
      <c r="AP64" s="254">
        <f t="shared" si="39"/>
        <v>8.4900279565421179</v>
      </c>
      <c r="AQ64" s="283">
        <f t="shared" si="40"/>
        <v>1</v>
      </c>
      <c r="AR64" s="284">
        <f t="shared" si="41"/>
        <v>1</v>
      </c>
      <c r="AS64" s="285">
        <f t="shared" si="42"/>
        <v>1</v>
      </c>
      <c r="AT64" s="254">
        <f t="shared" si="43"/>
        <v>0.48</v>
      </c>
      <c r="AU64" s="254">
        <f t="shared" si="44"/>
        <v>0.48</v>
      </c>
      <c r="AV64" s="280">
        <f t="shared" si="45"/>
        <v>0.48</v>
      </c>
      <c r="AX64" s="269">
        <f t="shared" si="23"/>
        <v>26.400000000000002</v>
      </c>
      <c r="AY64" s="282">
        <f t="shared" si="48"/>
        <v>5.8615897927991618</v>
      </c>
      <c r="AZ64" s="254">
        <f t="shared" si="48"/>
        <v>7.8579149673974502</v>
      </c>
      <c r="BA64" s="280">
        <f t="shared" si="48"/>
        <v>11.848366909833029</v>
      </c>
      <c r="BB64" s="280">
        <f t="shared" si="24"/>
        <v>4.2</v>
      </c>
    </row>
    <row r="65" spans="20:54" ht="15" customHeight="1" x14ac:dyDescent="0.25">
      <c r="T65" s="268">
        <f t="shared" si="25"/>
        <v>56</v>
      </c>
      <c r="V65" s="269">
        <f t="shared" si="30"/>
        <v>26.880000000000003</v>
      </c>
      <c r="W65" s="270">
        <f t="shared" si="46"/>
        <v>3.5780744610553092E-30</v>
      </c>
      <c r="X65" s="270">
        <f t="shared" si="46"/>
        <v>1.3354039843042029E-35</v>
      </c>
      <c r="Y65" s="271">
        <f t="shared" si="46"/>
        <v>4.8695598657645517E-41</v>
      </c>
      <c r="Z65" s="272">
        <f t="shared" si="31"/>
        <v>8</v>
      </c>
      <c r="AA65" s="282">
        <f t="shared" si="26"/>
        <v>0</v>
      </c>
      <c r="AB65" s="254">
        <f t="shared" si="20"/>
        <v>0</v>
      </c>
      <c r="AC65" s="280">
        <f t="shared" si="21"/>
        <v>0</v>
      </c>
      <c r="AD65" s="270"/>
      <c r="AE65" s="282">
        <f t="shared" si="22"/>
        <v>26.880000000000003</v>
      </c>
      <c r="AF65" s="282">
        <f t="shared" si="47"/>
        <v>6.2628787878787868</v>
      </c>
      <c r="AG65" s="254">
        <f t="shared" si="47"/>
        <v>5.8650000000000002</v>
      </c>
      <c r="AH65" s="280">
        <f t="shared" si="47"/>
        <v>5.4671212121212136</v>
      </c>
      <c r="AI65" s="254">
        <f t="shared" si="32"/>
        <v>8</v>
      </c>
      <c r="AJ65" s="280">
        <f t="shared" si="33"/>
        <v>8.4909999999999997</v>
      </c>
      <c r="AK65" s="282">
        <f t="shared" si="34"/>
        <v>2.2274049695732998</v>
      </c>
      <c r="AL65" s="254">
        <f t="shared" si="35"/>
        <v>2.6251558569971016</v>
      </c>
      <c r="AM65" s="280">
        <f t="shared" si="36"/>
        <v>3.0229067444209035</v>
      </c>
      <c r="AN65" s="282">
        <f t="shared" si="37"/>
        <v>8.4902837574520866</v>
      </c>
      <c r="AO65" s="254">
        <f t="shared" si="38"/>
        <v>8.4901558569971023</v>
      </c>
      <c r="AP65" s="254">
        <f t="shared" si="39"/>
        <v>8.4900279565421179</v>
      </c>
      <c r="AQ65" s="283">
        <f t="shared" si="40"/>
        <v>1</v>
      </c>
      <c r="AR65" s="284">
        <f t="shared" si="41"/>
        <v>1</v>
      </c>
      <c r="AS65" s="285">
        <f t="shared" si="42"/>
        <v>1</v>
      </c>
      <c r="AT65" s="254">
        <f t="shared" si="43"/>
        <v>0.48</v>
      </c>
      <c r="AU65" s="254">
        <f t="shared" si="44"/>
        <v>0.48</v>
      </c>
      <c r="AV65" s="280">
        <f t="shared" si="45"/>
        <v>0.48</v>
      </c>
      <c r="AX65" s="269">
        <f t="shared" si="23"/>
        <v>26.880000000000003</v>
      </c>
      <c r="AY65" s="282">
        <f t="shared" si="48"/>
        <v>5.897912433515792</v>
      </c>
      <c r="AZ65" s="254">
        <f t="shared" si="48"/>
        <v>7.9303520703242878</v>
      </c>
      <c r="BA65" s="280">
        <f t="shared" si="48"/>
        <v>11.993172804295879</v>
      </c>
      <c r="BB65" s="280">
        <f t="shared" si="24"/>
        <v>4.2</v>
      </c>
    </row>
    <row r="66" spans="20:54" ht="15" customHeight="1" x14ac:dyDescent="0.25">
      <c r="T66" s="268">
        <f t="shared" si="25"/>
        <v>57</v>
      </c>
      <c r="V66" s="269">
        <f t="shared" si="30"/>
        <v>27.36</v>
      </c>
      <c r="W66" s="270">
        <f t="shared" si="46"/>
        <v>1.0085794443601914E-30</v>
      </c>
      <c r="X66" s="270">
        <f t="shared" si="46"/>
        <v>3.002409783662307E-36</v>
      </c>
      <c r="Y66" s="271">
        <f t="shared" si="46"/>
        <v>8.7326000233272905E-42</v>
      </c>
      <c r="Z66" s="272">
        <f t="shared" si="31"/>
        <v>8</v>
      </c>
      <c r="AA66" s="282">
        <f t="shared" si="26"/>
        <v>0</v>
      </c>
      <c r="AB66" s="254">
        <f t="shared" si="20"/>
        <v>0</v>
      </c>
      <c r="AC66" s="280">
        <f t="shared" si="21"/>
        <v>0</v>
      </c>
      <c r="AD66" s="270"/>
      <c r="AE66" s="282">
        <f t="shared" si="22"/>
        <v>27.36</v>
      </c>
      <c r="AF66" s="282">
        <f t="shared" si="47"/>
        <v>6.2628787878787868</v>
      </c>
      <c r="AG66" s="254">
        <f t="shared" si="47"/>
        <v>5.8650000000000002</v>
      </c>
      <c r="AH66" s="280">
        <f t="shared" si="47"/>
        <v>5.4671212121212136</v>
      </c>
      <c r="AI66" s="254">
        <f t="shared" si="32"/>
        <v>8</v>
      </c>
      <c r="AJ66" s="280">
        <f t="shared" si="33"/>
        <v>8.4909999999999997</v>
      </c>
      <c r="AK66" s="282">
        <f t="shared" si="34"/>
        <v>2.2274049695732998</v>
      </c>
      <c r="AL66" s="254">
        <f t="shared" si="35"/>
        <v>2.6251558569971016</v>
      </c>
      <c r="AM66" s="280">
        <f t="shared" si="36"/>
        <v>3.0229067444209035</v>
      </c>
      <c r="AN66" s="282">
        <f t="shared" si="37"/>
        <v>8.4902837574520866</v>
      </c>
      <c r="AO66" s="254">
        <f t="shared" si="38"/>
        <v>8.4901558569971023</v>
      </c>
      <c r="AP66" s="254">
        <f t="shared" si="39"/>
        <v>8.4900279565421179</v>
      </c>
      <c r="AQ66" s="283">
        <f t="shared" si="40"/>
        <v>1</v>
      </c>
      <c r="AR66" s="284">
        <f t="shared" si="41"/>
        <v>1</v>
      </c>
      <c r="AS66" s="285">
        <f t="shared" si="42"/>
        <v>1</v>
      </c>
      <c r="AT66" s="254">
        <f t="shared" si="43"/>
        <v>0.48</v>
      </c>
      <c r="AU66" s="254">
        <f t="shared" si="44"/>
        <v>0.48</v>
      </c>
      <c r="AV66" s="280">
        <f t="shared" si="45"/>
        <v>0.48</v>
      </c>
      <c r="AX66" s="269">
        <f t="shared" si="23"/>
        <v>27.36</v>
      </c>
      <c r="AY66" s="282">
        <f t="shared" si="48"/>
        <v>5.9342255737697052</v>
      </c>
      <c r="AZ66" s="254">
        <f t="shared" si="48"/>
        <v>8.0027866530987612</v>
      </c>
      <c r="BA66" s="280">
        <f t="shared" si="48"/>
        <v>12.13797715987376</v>
      </c>
      <c r="BB66" s="280">
        <f t="shared" si="24"/>
        <v>4.2</v>
      </c>
    </row>
    <row r="67" spans="20:54" ht="15" customHeight="1" x14ac:dyDescent="0.25">
      <c r="T67" s="268">
        <f t="shared" si="25"/>
        <v>58</v>
      </c>
      <c r="V67" s="269">
        <f t="shared" si="30"/>
        <v>27.839999999999996</v>
      </c>
      <c r="W67" s="270">
        <f t="shared" si="46"/>
        <v>2.8429606668550931E-31</v>
      </c>
      <c r="X67" s="270">
        <f t="shared" si="46"/>
        <v>6.750365144168734E-37</v>
      </c>
      <c r="Y67" s="271">
        <f t="shared" si="46"/>
        <v>1.5660204468077269E-42</v>
      </c>
      <c r="Z67" s="272">
        <f t="shared" si="31"/>
        <v>8</v>
      </c>
      <c r="AA67" s="282">
        <f t="shared" si="26"/>
        <v>0</v>
      </c>
      <c r="AB67" s="254">
        <f t="shared" si="20"/>
        <v>0</v>
      </c>
      <c r="AC67" s="280">
        <f t="shared" si="21"/>
        <v>0</v>
      </c>
      <c r="AD67" s="270"/>
      <c r="AE67" s="282">
        <f t="shared" si="22"/>
        <v>27.839999999999996</v>
      </c>
      <c r="AF67" s="282">
        <f t="shared" si="47"/>
        <v>6.2628787878787868</v>
      </c>
      <c r="AG67" s="254">
        <f t="shared" si="47"/>
        <v>5.8650000000000002</v>
      </c>
      <c r="AH67" s="280">
        <f t="shared" si="47"/>
        <v>5.4671212121212136</v>
      </c>
      <c r="AI67" s="254">
        <f t="shared" si="32"/>
        <v>8</v>
      </c>
      <c r="AJ67" s="280">
        <f t="shared" si="33"/>
        <v>8.4909999999999997</v>
      </c>
      <c r="AK67" s="282">
        <f t="shared" si="34"/>
        <v>2.2274049695732998</v>
      </c>
      <c r="AL67" s="254">
        <f t="shared" si="35"/>
        <v>2.6251558569971016</v>
      </c>
      <c r="AM67" s="280">
        <f t="shared" si="36"/>
        <v>3.0229067444209035</v>
      </c>
      <c r="AN67" s="282">
        <f t="shared" si="37"/>
        <v>8.4902837574520866</v>
      </c>
      <c r="AO67" s="254">
        <f t="shared" si="38"/>
        <v>8.4901558569971023</v>
      </c>
      <c r="AP67" s="254">
        <f t="shared" si="39"/>
        <v>8.4900279565421179</v>
      </c>
      <c r="AQ67" s="283">
        <f t="shared" si="40"/>
        <v>1</v>
      </c>
      <c r="AR67" s="284">
        <f t="shared" si="41"/>
        <v>1</v>
      </c>
      <c r="AS67" s="285">
        <f t="shared" si="42"/>
        <v>1</v>
      </c>
      <c r="AT67" s="254">
        <f t="shared" si="43"/>
        <v>0.48</v>
      </c>
      <c r="AU67" s="254">
        <f t="shared" si="44"/>
        <v>0.48</v>
      </c>
      <c r="AV67" s="280">
        <f t="shared" si="45"/>
        <v>0.48</v>
      </c>
      <c r="AX67" s="269">
        <f t="shared" si="23"/>
        <v>27.839999999999996</v>
      </c>
      <c r="AY67" s="282">
        <f t="shared" si="48"/>
        <v>5.9705302130007887</v>
      </c>
      <c r="AZ67" s="254">
        <f t="shared" si="48"/>
        <v>8.0752188904940496</v>
      </c>
      <c r="BA67" s="280">
        <f t="shared" si="48"/>
        <v>12.282780067752036</v>
      </c>
      <c r="BB67" s="280">
        <f t="shared" si="24"/>
        <v>4.2</v>
      </c>
    </row>
    <row r="68" spans="20:54" ht="15" customHeight="1" x14ac:dyDescent="0.25">
      <c r="T68" s="268">
        <f t="shared" si="25"/>
        <v>59</v>
      </c>
      <c r="V68" s="269">
        <f t="shared" si="30"/>
        <v>28.32</v>
      </c>
      <c r="W68" s="270">
        <f t="shared" si="46"/>
        <v>8.0136724959849429E-32</v>
      </c>
      <c r="X68" s="270">
        <f t="shared" si="46"/>
        <v>1.5176952136102108E-37</v>
      </c>
      <c r="Y68" s="271">
        <f t="shared" si="46"/>
        <v>2.8083503575895871E-43</v>
      </c>
      <c r="Z68" s="272">
        <f t="shared" si="31"/>
        <v>8</v>
      </c>
      <c r="AA68" s="282">
        <f t="shared" si="26"/>
        <v>0</v>
      </c>
      <c r="AB68" s="254">
        <f t="shared" si="20"/>
        <v>0</v>
      </c>
      <c r="AC68" s="280">
        <f t="shared" si="21"/>
        <v>0</v>
      </c>
      <c r="AD68" s="270"/>
      <c r="AE68" s="282">
        <f t="shared" si="22"/>
        <v>28.32</v>
      </c>
      <c r="AF68" s="282">
        <f t="shared" si="47"/>
        <v>6.2628787878787868</v>
      </c>
      <c r="AG68" s="254">
        <f t="shared" si="47"/>
        <v>5.8650000000000002</v>
      </c>
      <c r="AH68" s="280">
        <f t="shared" si="47"/>
        <v>5.4671212121212136</v>
      </c>
      <c r="AI68" s="254">
        <f t="shared" si="32"/>
        <v>8</v>
      </c>
      <c r="AJ68" s="280">
        <f t="shared" si="33"/>
        <v>8.4909999999999997</v>
      </c>
      <c r="AK68" s="282">
        <f t="shared" si="34"/>
        <v>2.2274049695732998</v>
      </c>
      <c r="AL68" s="254">
        <f t="shared" si="35"/>
        <v>2.6251558569971016</v>
      </c>
      <c r="AM68" s="280">
        <f t="shared" si="36"/>
        <v>3.0229067444209035</v>
      </c>
      <c r="AN68" s="282">
        <f t="shared" si="37"/>
        <v>8.4902837574520866</v>
      </c>
      <c r="AO68" s="254">
        <f t="shared" si="38"/>
        <v>8.4901558569971023</v>
      </c>
      <c r="AP68" s="254">
        <f t="shared" si="39"/>
        <v>8.4900279565421179</v>
      </c>
      <c r="AQ68" s="283">
        <f t="shared" si="40"/>
        <v>1</v>
      </c>
      <c r="AR68" s="284">
        <f t="shared" si="41"/>
        <v>1</v>
      </c>
      <c r="AS68" s="285">
        <f t="shared" si="42"/>
        <v>1</v>
      </c>
      <c r="AT68" s="254">
        <f t="shared" si="43"/>
        <v>0.48</v>
      </c>
      <c r="AU68" s="254">
        <f t="shared" si="44"/>
        <v>0.48</v>
      </c>
      <c r="AV68" s="280">
        <f t="shared" si="45"/>
        <v>0.48</v>
      </c>
      <c r="AX68" s="269">
        <f t="shared" si="23"/>
        <v>28.32</v>
      </c>
      <c r="AY68" s="282">
        <f t="shared" si="48"/>
        <v>6.0068272152113646</v>
      </c>
      <c r="AZ68" s="254">
        <f t="shared" si="48"/>
        <v>8.1476489414877236</v>
      </c>
      <c r="BA68" s="280">
        <f t="shared" si="48"/>
        <v>12.427581612051464</v>
      </c>
      <c r="BB68" s="280">
        <f t="shared" si="24"/>
        <v>4.2</v>
      </c>
    </row>
    <row r="69" spans="20:54" ht="15" customHeight="1" x14ac:dyDescent="0.25">
      <c r="T69" s="268">
        <f t="shared" si="25"/>
        <v>60</v>
      </c>
      <c r="V69" s="269">
        <f t="shared" si="30"/>
        <v>28.799999999999997</v>
      </c>
      <c r="W69" s="270">
        <f t="shared" ref="W69:Y88" si="49">W$7*EXP(-(W$7)/($C$7)*$V69)</f>
        <v>2.2588756721684402E-32</v>
      </c>
      <c r="X69" s="270">
        <f t="shared" si="49"/>
        <v>3.4122580219311358E-38</v>
      </c>
      <c r="Y69" s="271">
        <f t="shared" si="49"/>
        <v>5.0362252594152218E-44</v>
      </c>
      <c r="Z69" s="272">
        <f t="shared" si="31"/>
        <v>8</v>
      </c>
      <c r="AA69" s="282">
        <f t="shared" si="26"/>
        <v>0</v>
      </c>
      <c r="AB69" s="254">
        <f t="shared" si="20"/>
        <v>0</v>
      </c>
      <c r="AC69" s="280">
        <f t="shared" si="21"/>
        <v>0</v>
      </c>
      <c r="AD69" s="270"/>
      <c r="AE69" s="282">
        <f t="shared" si="22"/>
        <v>28.799999999999997</v>
      </c>
      <c r="AF69" s="282">
        <f t="shared" ref="AF69:AH88" si="50">($C$7-(AF$6-$C$4)*$C$12)*(1-EXP(-(AF$7/$C$7)*$AE69))</f>
        <v>6.2628787878787868</v>
      </c>
      <c r="AG69" s="254">
        <f t="shared" si="50"/>
        <v>5.8650000000000002</v>
      </c>
      <c r="AH69" s="280">
        <f t="shared" si="50"/>
        <v>5.4671212121212136</v>
      </c>
      <c r="AI69" s="254">
        <f t="shared" si="32"/>
        <v>8</v>
      </c>
      <c r="AJ69" s="280">
        <f t="shared" si="33"/>
        <v>8.4909999999999997</v>
      </c>
      <c r="AK69" s="282">
        <f t="shared" si="34"/>
        <v>2.2274049695732998</v>
      </c>
      <c r="AL69" s="254">
        <f t="shared" si="35"/>
        <v>2.6251558569971016</v>
      </c>
      <c r="AM69" s="280">
        <f t="shared" si="36"/>
        <v>3.0229067444209035</v>
      </c>
      <c r="AN69" s="282">
        <f t="shared" si="37"/>
        <v>8.4902837574520866</v>
      </c>
      <c r="AO69" s="254">
        <f t="shared" si="38"/>
        <v>8.4901558569971023</v>
      </c>
      <c r="AP69" s="254">
        <f t="shared" si="39"/>
        <v>8.4900279565421179</v>
      </c>
      <c r="AQ69" s="283">
        <f t="shared" si="40"/>
        <v>1</v>
      </c>
      <c r="AR69" s="284">
        <f t="shared" si="41"/>
        <v>1</v>
      </c>
      <c r="AS69" s="285">
        <f t="shared" si="42"/>
        <v>1</v>
      </c>
      <c r="AT69" s="254">
        <f t="shared" si="43"/>
        <v>0.48</v>
      </c>
      <c r="AU69" s="254">
        <f t="shared" si="44"/>
        <v>0.48</v>
      </c>
      <c r="AV69" s="280">
        <f t="shared" si="45"/>
        <v>0.48</v>
      </c>
      <c r="AX69" s="269">
        <f t="shared" si="23"/>
        <v>28.799999999999997</v>
      </c>
      <c r="AY69" s="282">
        <f t="shared" ref="AY69:BA88" si="51">($C$4+$E$17*AY$8)+(($E$18/(1-(AY$8*$AX69)/($C$7)))+($AX69/$C$12))*AY$8</f>
        <v>6.0431173311564343</v>
      </c>
      <c r="AZ69" s="254">
        <f t="shared" si="51"/>
        <v>8.220076951006785</v>
      </c>
      <c r="BA69" s="280">
        <f t="shared" si="51"/>
        <v>12.572381870499337</v>
      </c>
      <c r="BB69" s="280">
        <f t="shared" si="24"/>
        <v>4.2</v>
      </c>
    </row>
    <row r="70" spans="20:54" ht="15" customHeight="1" x14ac:dyDescent="0.25">
      <c r="T70" s="268">
        <f t="shared" si="25"/>
        <v>61</v>
      </c>
      <c r="V70" s="269">
        <f t="shared" si="30"/>
        <v>29.28</v>
      </c>
      <c r="W70" s="270">
        <f t="shared" si="49"/>
        <v>6.3672670737053117E-33</v>
      </c>
      <c r="X70" s="270">
        <f t="shared" si="49"/>
        <v>7.6718333851339985E-39</v>
      </c>
      <c r="Y70" s="271">
        <f t="shared" si="49"/>
        <v>9.031481700645483E-45</v>
      </c>
      <c r="Z70" s="272">
        <f t="shared" si="31"/>
        <v>8</v>
      </c>
      <c r="AA70" s="282">
        <f t="shared" si="26"/>
        <v>0</v>
      </c>
      <c r="AB70" s="254">
        <f t="shared" si="20"/>
        <v>0</v>
      </c>
      <c r="AC70" s="280">
        <f t="shared" si="21"/>
        <v>0</v>
      </c>
      <c r="AD70" s="270"/>
      <c r="AE70" s="282">
        <f t="shared" si="22"/>
        <v>29.28</v>
      </c>
      <c r="AF70" s="282">
        <f t="shared" si="50"/>
        <v>6.2628787878787868</v>
      </c>
      <c r="AG70" s="254">
        <f t="shared" si="50"/>
        <v>5.8650000000000002</v>
      </c>
      <c r="AH70" s="280">
        <f t="shared" si="50"/>
        <v>5.4671212121212136</v>
      </c>
      <c r="AI70" s="254">
        <f t="shared" si="32"/>
        <v>8</v>
      </c>
      <c r="AJ70" s="280">
        <f t="shared" si="33"/>
        <v>8.4909999999999997</v>
      </c>
      <c r="AK70" s="282">
        <f t="shared" si="34"/>
        <v>2.2274049695732998</v>
      </c>
      <c r="AL70" s="254">
        <f t="shared" si="35"/>
        <v>2.6251558569971016</v>
      </c>
      <c r="AM70" s="280">
        <f t="shared" si="36"/>
        <v>3.0229067444209035</v>
      </c>
      <c r="AN70" s="282">
        <f t="shared" si="37"/>
        <v>8.4902837574520866</v>
      </c>
      <c r="AO70" s="254">
        <f t="shared" si="38"/>
        <v>8.4901558569971023</v>
      </c>
      <c r="AP70" s="254">
        <f t="shared" si="39"/>
        <v>8.4900279565421179</v>
      </c>
      <c r="AQ70" s="283">
        <f t="shared" si="40"/>
        <v>1</v>
      </c>
      <c r="AR70" s="284">
        <f t="shared" si="41"/>
        <v>1</v>
      </c>
      <c r="AS70" s="285">
        <f t="shared" si="42"/>
        <v>1</v>
      </c>
      <c r="AT70" s="254">
        <f t="shared" si="43"/>
        <v>0.48</v>
      </c>
      <c r="AU70" s="254">
        <f t="shared" si="44"/>
        <v>0.48</v>
      </c>
      <c r="AV70" s="280">
        <f t="shared" si="45"/>
        <v>0.48</v>
      </c>
      <c r="AX70" s="269">
        <f t="shared" si="23"/>
        <v>29.28</v>
      </c>
      <c r="AY70" s="282">
        <f t="shared" si="51"/>
        <v>6.0794012163095452</v>
      </c>
      <c r="AZ70" s="254">
        <f t="shared" si="51"/>
        <v>8.2925030514463618</v>
      </c>
      <c r="BA70" s="280">
        <f t="shared" si="51"/>
        <v>12.717180915025589</v>
      </c>
      <c r="BB70" s="280">
        <f t="shared" si="24"/>
        <v>4.2</v>
      </c>
    </row>
    <row r="71" spans="20:54" ht="15" customHeight="1" x14ac:dyDescent="0.25">
      <c r="T71" s="268">
        <f t="shared" si="25"/>
        <v>62</v>
      </c>
      <c r="V71" s="269">
        <f t="shared" si="30"/>
        <v>29.759999999999998</v>
      </c>
      <c r="W71" s="270">
        <f t="shared" si="49"/>
        <v>1.7947906778319237E-33</v>
      </c>
      <c r="X71" s="270">
        <f t="shared" si="49"/>
        <v>1.7248703676854283E-39</v>
      </c>
      <c r="Y71" s="271">
        <f t="shared" si="49"/>
        <v>1.619619010420645E-45</v>
      </c>
      <c r="Z71" s="272">
        <f t="shared" si="31"/>
        <v>8</v>
      </c>
      <c r="AA71" s="282">
        <f t="shared" si="26"/>
        <v>0</v>
      </c>
      <c r="AB71" s="254">
        <f t="shared" si="20"/>
        <v>0</v>
      </c>
      <c r="AC71" s="280">
        <f t="shared" si="21"/>
        <v>0</v>
      </c>
      <c r="AD71" s="270"/>
      <c r="AE71" s="282">
        <f t="shared" si="22"/>
        <v>29.759999999999998</v>
      </c>
      <c r="AF71" s="282">
        <f t="shared" si="50"/>
        <v>6.2628787878787868</v>
      </c>
      <c r="AG71" s="254">
        <f t="shared" si="50"/>
        <v>5.8650000000000002</v>
      </c>
      <c r="AH71" s="280">
        <f t="shared" si="50"/>
        <v>5.4671212121212136</v>
      </c>
      <c r="AI71" s="254">
        <f t="shared" si="32"/>
        <v>8</v>
      </c>
      <c r="AJ71" s="280">
        <f t="shared" si="33"/>
        <v>8.4909999999999997</v>
      </c>
      <c r="AK71" s="282">
        <f t="shared" si="34"/>
        <v>2.2274049695732998</v>
      </c>
      <c r="AL71" s="254">
        <f t="shared" si="35"/>
        <v>2.6251558569971016</v>
      </c>
      <c r="AM71" s="280">
        <f t="shared" si="36"/>
        <v>3.0229067444209035</v>
      </c>
      <c r="AN71" s="282">
        <f t="shared" si="37"/>
        <v>8.4902837574520866</v>
      </c>
      <c r="AO71" s="254">
        <f t="shared" si="38"/>
        <v>8.4901558569971023</v>
      </c>
      <c r="AP71" s="254">
        <f t="shared" si="39"/>
        <v>8.4900279565421179</v>
      </c>
      <c r="AQ71" s="283">
        <f t="shared" si="40"/>
        <v>1</v>
      </c>
      <c r="AR71" s="284">
        <f t="shared" si="41"/>
        <v>1</v>
      </c>
      <c r="AS71" s="285">
        <f t="shared" si="42"/>
        <v>1</v>
      </c>
      <c r="AT71" s="254">
        <f t="shared" si="43"/>
        <v>0.48</v>
      </c>
      <c r="AU71" s="254">
        <f t="shared" si="44"/>
        <v>0.48</v>
      </c>
      <c r="AV71" s="280">
        <f t="shared" si="45"/>
        <v>0.48</v>
      </c>
      <c r="AX71" s="269">
        <f t="shared" si="23"/>
        <v>29.759999999999998</v>
      </c>
      <c r="AY71" s="282">
        <f t="shared" si="51"/>
        <v>6.1156794455136509</v>
      </c>
      <c r="AZ71" s="254">
        <f t="shared" si="51"/>
        <v>8.3649273639955801</v>
      </c>
      <c r="BA71" s="280">
        <f t="shared" si="51"/>
        <v>12.861978812293383</v>
      </c>
      <c r="BB71" s="280">
        <f t="shared" si="24"/>
        <v>4.2</v>
      </c>
    </row>
    <row r="72" spans="20:54" ht="15" customHeight="1" x14ac:dyDescent="0.25">
      <c r="T72" s="268">
        <f t="shared" si="25"/>
        <v>63</v>
      </c>
      <c r="V72" s="269">
        <f t="shared" si="30"/>
        <v>30.240000000000002</v>
      </c>
      <c r="W72" s="270">
        <f t="shared" si="49"/>
        <v>5.0591149074540339E-34</v>
      </c>
      <c r="X72" s="270">
        <f t="shared" si="49"/>
        <v>3.8780531796796465E-40</v>
      </c>
      <c r="Y72" s="271">
        <f t="shared" si="49"/>
        <v>2.9044688633188474E-46</v>
      </c>
      <c r="Z72" s="272">
        <f t="shared" si="31"/>
        <v>8</v>
      </c>
      <c r="AA72" s="282">
        <f t="shared" si="26"/>
        <v>0</v>
      </c>
      <c r="AB72" s="254">
        <f t="shared" si="20"/>
        <v>0</v>
      </c>
      <c r="AC72" s="280">
        <f t="shared" si="21"/>
        <v>0</v>
      </c>
      <c r="AD72" s="270"/>
      <c r="AE72" s="282">
        <f t="shared" si="22"/>
        <v>30.240000000000002</v>
      </c>
      <c r="AF72" s="282">
        <f t="shared" si="50"/>
        <v>6.2628787878787868</v>
      </c>
      <c r="AG72" s="254">
        <f t="shared" si="50"/>
        <v>5.8650000000000002</v>
      </c>
      <c r="AH72" s="280">
        <f t="shared" si="50"/>
        <v>5.4671212121212136</v>
      </c>
      <c r="AI72" s="254">
        <f t="shared" si="32"/>
        <v>8</v>
      </c>
      <c r="AJ72" s="280">
        <f t="shared" si="33"/>
        <v>8.4909999999999997</v>
      </c>
      <c r="AK72" s="282">
        <f t="shared" si="34"/>
        <v>2.2274049695732998</v>
      </c>
      <c r="AL72" s="254">
        <f t="shared" si="35"/>
        <v>2.6251558569971016</v>
      </c>
      <c r="AM72" s="280">
        <f t="shared" si="36"/>
        <v>3.0229067444209035</v>
      </c>
      <c r="AN72" s="282">
        <f t="shared" si="37"/>
        <v>8.4902837574520866</v>
      </c>
      <c r="AO72" s="254">
        <f t="shared" si="38"/>
        <v>8.4901558569971023</v>
      </c>
      <c r="AP72" s="254">
        <f t="shared" si="39"/>
        <v>8.4900279565421179</v>
      </c>
      <c r="AQ72" s="283">
        <f t="shared" si="40"/>
        <v>1</v>
      </c>
      <c r="AR72" s="284">
        <f t="shared" si="41"/>
        <v>1</v>
      </c>
      <c r="AS72" s="285">
        <f t="shared" si="42"/>
        <v>1</v>
      </c>
      <c r="AT72" s="254">
        <f t="shared" si="43"/>
        <v>0.48</v>
      </c>
      <c r="AU72" s="254">
        <f t="shared" si="44"/>
        <v>0.48</v>
      </c>
      <c r="AV72" s="280">
        <f t="shared" si="45"/>
        <v>0.48</v>
      </c>
      <c r="AX72" s="269">
        <f t="shared" si="23"/>
        <v>30.240000000000002</v>
      </c>
      <c r="AY72" s="282">
        <f t="shared" si="51"/>
        <v>6.1519525250092935</v>
      </c>
      <c r="AZ72" s="254">
        <f t="shared" si="51"/>
        <v>8.4373499997986166</v>
      </c>
      <c r="BA72" s="280">
        <f t="shared" si="51"/>
        <v>13.00677562417251</v>
      </c>
      <c r="BB72" s="280">
        <f t="shared" si="24"/>
        <v>4.2</v>
      </c>
    </row>
    <row r="73" spans="20:54" ht="15" customHeight="1" x14ac:dyDescent="0.25">
      <c r="T73" s="268">
        <f t="shared" si="25"/>
        <v>64</v>
      </c>
      <c r="V73" s="269">
        <f t="shared" ref="V73:V109" si="52">(T73/$T$109)*$C$20</f>
        <v>30.72</v>
      </c>
      <c r="W73" s="270">
        <f t="shared" si="49"/>
        <v>1.4260517375620386E-34</v>
      </c>
      <c r="X73" s="270">
        <f t="shared" si="49"/>
        <v>8.7190879652046062E-41</v>
      </c>
      <c r="Y73" s="271">
        <f t="shared" si="49"/>
        <v>5.2085949372735175E-47</v>
      </c>
      <c r="Z73" s="272">
        <f t="shared" ref="Z73:Z109" si="53">$C$15</f>
        <v>8</v>
      </c>
      <c r="AA73" s="282">
        <f t="shared" si="26"/>
        <v>0</v>
      </c>
      <c r="AB73" s="254">
        <f t="shared" si="20"/>
        <v>0</v>
      </c>
      <c r="AC73" s="280">
        <f t="shared" si="21"/>
        <v>0</v>
      </c>
      <c r="AD73" s="270"/>
      <c r="AE73" s="282">
        <f t="shared" si="22"/>
        <v>30.72</v>
      </c>
      <c r="AF73" s="282">
        <f t="shared" si="50"/>
        <v>6.2628787878787868</v>
      </c>
      <c r="AG73" s="254">
        <f t="shared" si="50"/>
        <v>5.8650000000000002</v>
      </c>
      <c r="AH73" s="280">
        <f t="shared" si="50"/>
        <v>5.4671212121212136</v>
      </c>
      <c r="AI73" s="254">
        <f t="shared" ref="AI73:AI109" si="54">$C$8</f>
        <v>8</v>
      </c>
      <c r="AJ73" s="280">
        <f t="shared" ref="AJ73:AJ109" si="55">$C$7</f>
        <v>8.4909999999999997</v>
      </c>
      <c r="AK73" s="282">
        <f t="shared" ref="AK73:AK109" si="56">($C$12*(AK$6-$C$4))*(1-EXP(-AT73/($E$17*$C$12)))</f>
        <v>2.2274049695732998</v>
      </c>
      <c r="AL73" s="254">
        <f t="shared" ref="AL73:AL109" si="57">($C$12*(AL$6-$C$4))*(1-EXP(-AU73/($E$17*$C$12)))</f>
        <v>2.6251558569971016</v>
      </c>
      <c r="AM73" s="280">
        <f t="shared" ref="AM73:AM109" si="58">($C$12*(AM$6-$C$4))*(1-EXP(-AV73/($E$17*$C$12)))</f>
        <v>3.0229067444209035</v>
      </c>
      <c r="AN73" s="282">
        <f t="shared" ref="AN73:AN109" si="59">AF73+AK73</f>
        <v>8.4902837574520866</v>
      </c>
      <c r="AO73" s="254">
        <f t="shared" ref="AO73:AO109" si="60">AG73+AL73</f>
        <v>8.4901558569971023</v>
      </c>
      <c r="AP73" s="254">
        <f t="shared" ref="AP73:AP109" si="61">AH73+AM73</f>
        <v>8.4900279565421179</v>
      </c>
      <c r="AQ73" s="283">
        <f t="shared" ref="AQ73:AQ109" si="62">IF(AF73&lt;($C$10*$C$21),0,1)</f>
        <v>1</v>
      </c>
      <c r="AR73" s="284">
        <f t="shared" ref="AR73:AR109" si="63">IF(AG73&lt;($C$10*$C$21),0,1)</f>
        <v>1</v>
      </c>
      <c r="AS73" s="285">
        <f t="shared" ref="AS73:AS109" si="64">IF(AH73&lt;($C$10*$C$21),0,1)</f>
        <v>1</v>
      </c>
      <c r="AT73" s="254">
        <f t="shared" ref="AT73:AT109" si="65">(AQ73/$T$109)*$C$20</f>
        <v>0.48</v>
      </c>
      <c r="AU73" s="254">
        <f t="shared" ref="AU73:AU109" si="66">(AR73/$T$109)*$C$20</f>
        <v>0.48</v>
      </c>
      <c r="AV73" s="280">
        <f t="shared" ref="AV73:AV109" si="67">(AS73/$T$109)*$C$20</f>
        <v>0.48</v>
      </c>
      <c r="AX73" s="269">
        <f t="shared" si="23"/>
        <v>30.72</v>
      </c>
      <c r="AY73" s="282">
        <f t="shared" si="51"/>
        <v>6.1882209023719774</v>
      </c>
      <c r="AZ73" s="254">
        <f t="shared" si="51"/>
        <v>8.5097710609742947</v>
      </c>
      <c r="BA73" s="280">
        <f t="shared" si="51"/>
        <v>13.151571408162596</v>
      </c>
      <c r="BB73" s="280">
        <f t="shared" si="24"/>
        <v>4.2</v>
      </c>
    </row>
    <row r="74" spans="20:54" ht="15" customHeight="1" x14ac:dyDescent="0.25">
      <c r="T74" s="268">
        <f t="shared" si="25"/>
        <v>65</v>
      </c>
      <c r="V74" s="269">
        <f t="shared" si="52"/>
        <v>31.200000000000003</v>
      </c>
      <c r="W74" s="270">
        <f t="shared" si="49"/>
        <v>4.0197220173974819E-35</v>
      </c>
      <c r="X74" s="270">
        <f t="shared" si="49"/>
        <v>1.9603262622420388E-41</v>
      </c>
      <c r="Y74" s="271">
        <f t="shared" si="49"/>
        <v>9.3405928922889328E-48</v>
      </c>
      <c r="Z74" s="272">
        <f t="shared" si="53"/>
        <v>8</v>
      </c>
      <c r="AA74" s="282">
        <f t="shared" si="26"/>
        <v>0</v>
      </c>
      <c r="AB74" s="254">
        <f t="shared" ref="AB74:AB109" si="68">((AO74-AO73)/2)/($V74-$V73)</f>
        <v>0</v>
      </c>
      <c r="AC74" s="280">
        <f t="shared" ref="AC74:AC109" si="69">((AP74-AP73)/2)/($V74-$V73)</f>
        <v>0</v>
      </c>
      <c r="AD74" s="270"/>
      <c r="AE74" s="282">
        <f t="shared" ref="AE74:AE109" si="70">$V74</f>
        <v>31.200000000000003</v>
      </c>
      <c r="AF74" s="282">
        <f t="shared" si="50"/>
        <v>6.2628787878787868</v>
      </c>
      <c r="AG74" s="254">
        <f t="shared" si="50"/>
        <v>5.8650000000000002</v>
      </c>
      <c r="AH74" s="280">
        <f t="shared" si="50"/>
        <v>5.4671212121212136</v>
      </c>
      <c r="AI74" s="254">
        <f t="shared" si="54"/>
        <v>8</v>
      </c>
      <c r="AJ74" s="280">
        <f t="shared" si="55"/>
        <v>8.4909999999999997</v>
      </c>
      <c r="AK74" s="282">
        <f t="shared" si="56"/>
        <v>2.2274049695732998</v>
      </c>
      <c r="AL74" s="254">
        <f t="shared" si="57"/>
        <v>2.6251558569971016</v>
      </c>
      <c r="AM74" s="280">
        <f t="shared" si="58"/>
        <v>3.0229067444209035</v>
      </c>
      <c r="AN74" s="282">
        <f t="shared" si="59"/>
        <v>8.4902837574520866</v>
      </c>
      <c r="AO74" s="254">
        <f t="shared" si="60"/>
        <v>8.4901558569971023</v>
      </c>
      <c r="AP74" s="254">
        <f t="shared" si="61"/>
        <v>8.4900279565421179</v>
      </c>
      <c r="AQ74" s="283">
        <f t="shared" si="62"/>
        <v>1</v>
      </c>
      <c r="AR74" s="284">
        <f t="shared" si="63"/>
        <v>1</v>
      </c>
      <c r="AS74" s="285">
        <f t="shared" si="64"/>
        <v>1</v>
      </c>
      <c r="AT74" s="254">
        <f t="shared" si="65"/>
        <v>0.48</v>
      </c>
      <c r="AU74" s="254">
        <f t="shared" si="66"/>
        <v>0.48</v>
      </c>
      <c r="AV74" s="280">
        <f t="shared" si="67"/>
        <v>0.48</v>
      </c>
      <c r="AX74" s="269">
        <f t="shared" ref="AX74:AX109" si="71">$V74</f>
        <v>31.200000000000003</v>
      </c>
      <c r="AY74" s="282">
        <f t="shared" si="51"/>
        <v>6.2244849747708191</v>
      </c>
      <c r="AZ74" s="254">
        <f t="shared" si="51"/>
        <v>8.5821906415139786</v>
      </c>
      <c r="BA74" s="280">
        <f t="shared" si="51"/>
        <v>13.296366217772272</v>
      </c>
      <c r="BB74" s="280">
        <f t="shared" ref="BB74:BB109" si="72">$C$2</f>
        <v>4.2</v>
      </c>
    </row>
    <row r="75" spans="20:54" ht="15" customHeight="1" x14ac:dyDescent="0.25">
      <c r="T75" s="268">
        <f t="shared" ref="T75:T109" si="73">T74+1</f>
        <v>66</v>
      </c>
      <c r="V75" s="269">
        <f t="shared" si="52"/>
        <v>31.68</v>
      </c>
      <c r="W75" s="270">
        <f t="shared" si="49"/>
        <v>1.133070047288351E-35</v>
      </c>
      <c r="X75" s="270">
        <f t="shared" si="49"/>
        <v>4.4074323711056027E-42</v>
      </c>
      <c r="Y75" s="271">
        <f t="shared" si="49"/>
        <v>1.6750520366851996E-48</v>
      </c>
      <c r="Z75" s="272">
        <f t="shared" si="53"/>
        <v>8</v>
      </c>
      <c r="AA75" s="282">
        <f t="shared" ref="AA75:AA109" si="74">((AN75-AN74)/2)/($V75-$V74)</f>
        <v>0</v>
      </c>
      <c r="AB75" s="254">
        <f t="shared" si="68"/>
        <v>0</v>
      </c>
      <c r="AC75" s="280">
        <f t="shared" si="69"/>
        <v>0</v>
      </c>
      <c r="AD75" s="270"/>
      <c r="AE75" s="282">
        <f t="shared" si="70"/>
        <v>31.68</v>
      </c>
      <c r="AF75" s="282">
        <f t="shared" si="50"/>
        <v>6.2628787878787868</v>
      </c>
      <c r="AG75" s="254">
        <f t="shared" si="50"/>
        <v>5.8650000000000002</v>
      </c>
      <c r="AH75" s="280">
        <f t="shared" si="50"/>
        <v>5.4671212121212136</v>
      </c>
      <c r="AI75" s="254">
        <f t="shared" si="54"/>
        <v>8</v>
      </c>
      <c r="AJ75" s="280">
        <f t="shared" si="55"/>
        <v>8.4909999999999997</v>
      </c>
      <c r="AK75" s="282">
        <f t="shared" si="56"/>
        <v>2.2274049695732998</v>
      </c>
      <c r="AL75" s="254">
        <f t="shared" si="57"/>
        <v>2.6251558569971016</v>
      </c>
      <c r="AM75" s="280">
        <f t="shared" si="58"/>
        <v>3.0229067444209035</v>
      </c>
      <c r="AN75" s="282">
        <f t="shared" si="59"/>
        <v>8.4902837574520866</v>
      </c>
      <c r="AO75" s="254">
        <f t="shared" si="60"/>
        <v>8.4901558569971023</v>
      </c>
      <c r="AP75" s="254">
        <f t="shared" si="61"/>
        <v>8.4900279565421179</v>
      </c>
      <c r="AQ75" s="283">
        <f t="shared" si="62"/>
        <v>1</v>
      </c>
      <c r="AR75" s="284">
        <f t="shared" si="63"/>
        <v>1</v>
      </c>
      <c r="AS75" s="285">
        <f t="shared" si="64"/>
        <v>1</v>
      </c>
      <c r="AT75" s="254">
        <f t="shared" si="65"/>
        <v>0.48</v>
      </c>
      <c r="AU75" s="254">
        <f t="shared" si="66"/>
        <v>0.48</v>
      </c>
      <c r="AV75" s="280">
        <f t="shared" si="67"/>
        <v>0.48</v>
      </c>
      <c r="AX75" s="269">
        <f t="shared" si="71"/>
        <v>31.68</v>
      </c>
      <c r="AY75" s="282">
        <f t="shared" si="51"/>
        <v>6.2607450958702415</v>
      </c>
      <c r="AZ75" s="254">
        <f t="shared" si="51"/>
        <v>8.6546088280743678</v>
      </c>
      <c r="BA75" s="280">
        <f t="shared" si="51"/>
        <v>13.441160102859529</v>
      </c>
      <c r="BB75" s="280">
        <f t="shared" si="72"/>
        <v>4.2</v>
      </c>
    </row>
    <row r="76" spans="20:54" ht="15" customHeight="1" x14ac:dyDescent="0.25">
      <c r="T76" s="268">
        <f t="shared" si="73"/>
        <v>67</v>
      </c>
      <c r="V76" s="269">
        <f t="shared" si="52"/>
        <v>32.160000000000004</v>
      </c>
      <c r="W76" s="270">
        <f t="shared" si="49"/>
        <v>3.1938719307092789E-36</v>
      </c>
      <c r="X76" s="270">
        <f t="shared" si="49"/>
        <v>9.9092995283610063E-43</v>
      </c>
      <c r="Y76" s="271">
        <f t="shared" si="49"/>
        <v>3.0038771178213176E-49</v>
      </c>
      <c r="Z76" s="272">
        <f t="shared" si="53"/>
        <v>8</v>
      </c>
      <c r="AA76" s="282">
        <f t="shared" si="74"/>
        <v>0</v>
      </c>
      <c r="AB76" s="254">
        <f t="shared" si="68"/>
        <v>0</v>
      </c>
      <c r="AC76" s="280">
        <f t="shared" si="69"/>
        <v>0</v>
      </c>
      <c r="AD76" s="270"/>
      <c r="AE76" s="282">
        <f t="shared" si="70"/>
        <v>32.160000000000004</v>
      </c>
      <c r="AF76" s="282">
        <f t="shared" si="50"/>
        <v>6.2628787878787868</v>
      </c>
      <c r="AG76" s="254">
        <f t="shared" si="50"/>
        <v>5.8650000000000002</v>
      </c>
      <c r="AH76" s="280">
        <f t="shared" si="50"/>
        <v>5.4671212121212136</v>
      </c>
      <c r="AI76" s="254">
        <f t="shared" si="54"/>
        <v>8</v>
      </c>
      <c r="AJ76" s="280">
        <f t="shared" si="55"/>
        <v>8.4909999999999997</v>
      </c>
      <c r="AK76" s="282">
        <f t="shared" si="56"/>
        <v>2.2274049695732998</v>
      </c>
      <c r="AL76" s="254">
        <f t="shared" si="57"/>
        <v>2.6251558569971016</v>
      </c>
      <c r="AM76" s="280">
        <f t="shared" si="58"/>
        <v>3.0229067444209035</v>
      </c>
      <c r="AN76" s="282">
        <f t="shared" si="59"/>
        <v>8.4902837574520866</v>
      </c>
      <c r="AO76" s="254">
        <f t="shared" si="60"/>
        <v>8.4901558569971023</v>
      </c>
      <c r="AP76" s="254">
        <f t="shared" si="61"/>
        <v>8.4900279565421179</v>
      </c>
      <c r="AQ76" s="283">
        <f t="shared" si="62"/>
        <v>1</v>
      </c>
      <c r="AR76" s="284">
        <f t="shared" si="63"/>
        <v>1</v>
      </c>
      <c r="AS76" s="285">
        <f t="shared" si="64"/>
        <v>1</v>
      </c>
      <c r="AT76" s="254">
        <f t="shared" si="65"/>
        <v>0.48</v>
      </c>
      <c r="AU76" s="254">
        <f t="shared" si="66"/>
        <v>0.48</v>
      </c>
      <c r="AV76" s="280">
        <f t="shared" si="67"/>
        <v>0.48</v>
      </c>
      <c r="AX76" s="269">
        <f t="shared" si="71"/>
        <v>32.160000000000004</v>
      </c>
      <c r="AY76" s="282">
        <f t="shared" si="51"/>
        <v>6.2970015816279243</v>
      </c>
      <c r="AZ76" s="254">
        <f t="shared" si="51"/>
        <v>8.7270257006792544</v>
      </c>
      <c r="BA76" s="280">
        <f t="shared" si="51"/>
        <v>13.585953109937837</v>
      </c>
      <c r="BB76" s="280">
        <f t="shared" si="72"/>
        <v>4.2</v>
      </c>
    </row>
    <row r="77" spans="20:54" ht="15" customHeight="1" x14ac:dyDescent="0.25">
      <c r="T77" s="268">
        <f t="shared" si="73"/>
        <v>68</v>
      </c>
      <c r="V77" s="269">
        <f t="shared" si="52"/>
        <v>32.64</v>
      </c>
      <c r="W77" s="270">
        <f t="shared" si="49"/>
        <v>9.0028131395629363E-37</v>
      </c>
      <c r="X77" s="270">
        <f t="shared" si="49"/>
        <v>2.2279234001756867E-43</v>
      </c>
      <c r="Y77" s="271">
        <f t="shared" si="49"/>
        <v>5.386864133980662E-50</v>
      </c>
      <c r="Z77" s="272">
        <f t="shared" si="53"/>
        <v>8</v>
      </c>
      <c r="AA77" s="282">
        <f t="shared" si="74"/>
        <v>0</v>
      </c>
      <c r="AB77" s="254">
        <f t="shared" si="68"/>
        <v>0</v>
      </c>
      <c r="AC77" s="280">
        <f t="shared" si="69"/>
        <v>0</v>
      </c>
      <c r="AD77" s="270"/>
      <c r="AE77" s="282">
        <f t="shared" si="70"/>
        <v>32.64</v>
      </c>
      <c r="AF77" s="282">
        <f t="shared" si="50"/>
        <v>6.2628787878787868</v>
      </c>
      <c r="AG77" s="254">
        <f t="shared" si="50"/>
        <v>5.8650000000000002</v>
      </c>
      <c r="AH77" s="280">
        <f t="shared" si="50"/>
        <v>5.4671212121212136</v>
      </c>
      <c r="AI77" s="254">
        <f t="shared" si="54"/>
        <v>8</v>
      </c>
      <c r="AJ77" s="280">
        <f t="shared" si="55"/>
        <v>8.4909999999999997</v>
      </c>
      <c r="AK77" s="282">
        <f t="shared" si="56"/>
        <v>2.2274049695732998</v>
      </c>
      <c r="AL77" s="254">
        <f t="shared" si="57"/>
        <v>2.6251558569971016</v>
      </c>
      <c r="AM77" s="280">
        <f t="shared" si="58"/>
        <v>3.0229067444209035</v>
      </c>
      <c r="AN77" s="282">
        <f t="shared" si="59"/>
        <v>8.4902837574520866</v>
      </c>
      <c r="AO77" s="254">
        <f t="shared" si="60"/>
        <v>8.4901558569971023</v>
      </c>
      <c r="AP77" s="254">
        <f t="shared" si="61"/>
        <v>8.4900279565421179</v>
      </c>
      <c r="AQ77" s="283">
        <f t="shared" si="62"/>
        <v>1</v>
      </c>
      <c r="AR77" s="284">
        <f t="shared" si="63"/>
        <v>1</v>
      </c>
      <c r="AS77" s="285">
        <f t="shared" si="64"/>
        <v>1</v>
      </c>
      <c r="AT77" s="254">
        <f t="shared" si="65"/>
        <v>0.48</v>
      </c>
      <c r="AU77" s="254">
        <f t="shared" si="66"/>
        <v>0.48</v>
      </c>
      <c r="AV77" s="280">
        <f t="shared" si="67"/>
        <v>0.48</v>
      </c>
      <c r="AX77" s="269">
        <f t="shared" si="71"/>
        <v>32.64</v>
      </c>
      <c r="AY77" s="282">
        <f t="shared" si="51"/>
        <v>6.3332547151895682</v>
      </c>
      <c r="AZ77" s="254">
        <f t="shared" si="51"/>
        <v>8.799441333342239</v>
      </c>
      <c r="BA77" s="280">
        <f t="shared" si="51"/>
        <v>13.730745282451949</v>
      </c>
      <c r="BB77" s="280">
        <f t="shared" si="72"/>
        <v>4.2</v>
      </c>
    </row>
    <row r="78" spans="20:54" ht="15" customHeight="1" x14ac:dyDescent="0.25">
      <c r="T78" s="268">
        <f t="shared" si="73"/>
        <v>69</v>
      </c>
      <c r="V78" s="269">
        <f t="shared" si="52"/>
        <v>33.119999999999997</v>
      </c>
      <c r="W78" s="270">
        <f t="shared" si="49"/>
        <v>2.5376923741550552E-37</v>
      </c>
      <c r="X78" s="270">
        <f t="shared" si="49"/>
        <v>5.0090752255939808E-44</v>
      </c>
      <c r="Y78" s="271">
        <f t="shared" si="49"/>
        <v>9.6602837132745018E-51</v>
      </c>
      <c r="Z78" s="272">
        <f t="shared" si="53"/>
        <v>8</v>
      </c>
      <c r="AA78" s="282">
        <f t="shared" si="74"/>
        <v>0</v>
      </c>
      <c r="AB78" s="254">
        <f t="shared" si="68"/>
        <v>0</v>
      </c>
      <c r="AC78" s="280">
        <f t="shared" si="69"/>
        <v>0</v>
      </c>
      <c r="AD78" s="270"/>
      <c r="AE78" s="282">
        <f t="shared" si="70"/>
        <v>33.119999999999997</v>
      </c>
      <c r="AF78" s="282">
        <f t="shared" si="50"/>
        <v>6.2628787878787868</v>
      </c>
      <c r="AG78" s="254">
        <f t="shared" si="50"/>
        <v>5.8650000000000002</v>
      </c>
      <c r="AH78" s="280">
        <f t="shared" si="50"/>
        <v>5.4671212121212136</v>
      </c>
      <c r="AI78" s="254">
        <f t="shared" si="54"/>
        <v>8</v>
      </c>
      <c r="AJ78" s="280">
        <f t="shared" si="55"/>
        <v>8.4909999999999997</v>
      </c>
      <c r="AK78" s="282">
        <f t="shared" si="56"/>
        <v>2.2274049695732998</v>
      </c>
      <c r="AL78" s="254">
        <f t="shared" si="57"/>
        <v>2.6251558569971016</v>
      </c>
      <c r="AM78" s="280">
        <f t="shared" si="58"/>
        <v>3.0229067444209035</v>
      </c>
      <c r="AN78" s="282">
        <f t="shared" si="59"/>
        <v>8.4902837574520866</v>
      </c>
      <c r="AO78" s="254">
        <f t="shared" si="60"/>
        <v>8.4901558569971023</v>
      </c>
      <c r="AP78" s="254">
        <f t="shared" si="61"/>
        <v>8.4900279565421179</v>
      </c>
      <c r="AQ78" s="283">
        <f t="shared" si="62"/>
        <v>1</v>
      </c>
      <c r="AR78" s="284">
        <f t="shared" si="63"/>
        <v>1</v>
      </c>
      <c r="AS78" s="285">
        <f t="shared" si="64"/>
        <v>1</v>
      </c>
      <c r="AT78" s="254">
        <f t="shared" si="65"/>
        <v>0.48</v>
      </c>
      <c r="AU78" s="254">
        <f t="shared" si="66"/>
        <v>0.48</v>
      </c>
      <c r="AV78" s="280">
        <f t="shared" si="67"/>
        <v>0.48</v>
      </c>
      <c r="AX78" s="269">
        <f t="shared" si="71"/>
        <v>33.119999999999997</v>
      </c>
      <c r="AY78" s="282">
        <f t="shared" si="51"/>
        <v>6.3695047510404876</v>
      </c>
      <c r="AZ78" s="254">
        <f t="shared" si="51"/>
        <v>8.871855794620565</v>
      </c>
      <c r="BA78" s="280">
        <f t="shared" si="51"/>
        <v>13.875536661026871</v>
      </c>
      <c r="BB78" s="280">
        <f t="shared" si="72"/>
        <v>4.2</v>
      </c>
    </row>
    <row r="79" spans="20:54" ht="15" customHeight="1" x14ac:dyDescent="0.25">
      <c r="T79" s="268">
        <f t="shared" si="73"/>
        <v>70</v>
      </c>
      <c r="V79" s="269">
        <f t="shared" si="52"/>
        <v>33.599999999999994</v>
      </c>
      <c r="W79" s="270">
        <f t="shared" si="49"/>
        <v>7.1531892154292424E-38</v>
      </c>
      <c r="X79" s="270">
        <f t="shared" si="49"/>
        <v>1.1261982621880451E-44</v>
      </c>
      <c r="Y79" s="271">
        <f t="shared" si="49"/>
        <v>1.7323823118589834E-51</v>
      </c>
      <c r="Z79" s="272">
        <f t="shared" si="53"/>
        <v>8</v>
      </c>
      <c r="AA79" s="282">
        <f t="shared" si="74"/>
        <v>0</v>
      </c>
      <c r="AB79" s="254">
        <f t="shared" si="68"/>
        <v>0</v>
      </c>
      <c r="AC79" s="280">
        <f t="shared" si="69"/>
        <v>0</v>
      </c>
      <c r="AD79" s="270"/>
      <c r="AE79" s="282">
        <f t="shared" si="70"/>
        <v>33.599999999999994</v>
      </c>
      <c r="AF79" s="282">
        <f t="shared" si="50"/>
        <v>6.2628787878787868</v>
      </c>
      <c r="AG79" s="254">
        <f t="shared" si="50"/>
        <v>5.8650000000000002</v>
      </c>
      <c r="AH79" s="280">
        <f t="shared" si="50"/>
        <v>5.4671212121212136</v>
      </c>
      <c r="AI79" s="254">
        <f t="shared" si="54"/>
        <v>8</v>
      </c>
      <c r="AJ79" s="280">
        <f t="shared" si="55"/>
        <v>8.4909999999999997</v>
      </c>
      <c r="AK79" s="282">
        <f t="shared" si="56"/>
        <v>2.2274049695732998</v>
      </c>
      <c r="AL79" s="254">
        <f t="shared" si="57"/>
        <v>2.6251558569971016</v>
      </c>
      <c r="AM79" s="280">
        <f t="shared" si="58"/>
        <v>3.0229067444209035</v>
      </c>
      <c r="AN79" s="282">
        <f t="shared" si="59"/>
        <v>8.4902837574520866</v>
      </c>
      <c r="AO79" s="254">
        <f t="shared" si="60"/>
        <v>8.4901558569971023</v>
      </c>
      <c r="AP79" s="254">
        <f t="shared" si="61"/>
        <v>8.4900279565421179</v>
      </c>
      <c r="AQ79" s="283">
        <f t="shared" si="62"/>
        <v>1</v>
      </c>
      <c r="AR79" s="284">
        <f t="shared" si="63"/>
        <v>1</v>
      </c>
      <c r="AS79" s="285">
        <f t="shared" si="64"/>
        <v>1</v>
      </c>
      <c r="AT79" s="254">
        <f t="shared" si="65"/>
        <v>0.48</v>
      </c>
      <c r="AU79" s="254">
        <f t="shared" si="66"/>
        <v>0.48</v>
      </c>
      <c r="AV79" s="280">
        <f t="shared" si="67"/>
        <v>0.48</v>
      </c>
      <c r="AX79" s="269">
        <f t="shared" si="71"/>
        <v>33.599999999999994</v>
      </c>
      <c r="AY79" s="282">
        <f t="shared" si="51"/>
        <v>6.4057519185424159</v>
      </c>
      <c r="AZ79" s="254">
        <f t="shared" si="51"/>
        <v>8.9442691481088374</v>
      </c>
      <c r="BA79" s="280">
        <f t="shared" si="51"/>
        <v>14.020327283692987</v>
      </c>
      <c r="BB79" s="280">
        <f t="shared" si="72"/>
        <v>4.2</v>
      </c>
    </row>
    <row r="80" spans="20:54" ht="15" customHeight="1" x14ac:dyDescent="0.25">
      <c r="T80" s="268">
        <f t="shared" si="73"/>
        <v>71</v>
      </c>
      <c r="V80" s="269">
        <f t="shared" si="52"/>
        <v>34.08</v>
      </c>
      <c r="W80" s="270">
        <f t="shared" si="49"/>
        <v>2.0163246133712351E-38</v>
      </c>
      <c r="X80" s="270">
        <f t="shared" si="49"/>
        <v>2.5320492678465529E-45</v>
      </c>
      <c r="Y80" s="271">
        <f t="shared" si="49"/>
        <v>3.1066877159288992E-52</v>
      </c>
      <c r="Z80" s="272">
        <f t="shared" si="53"/>
        <v>8</v>
      </c>
      <c r="AA80" s="282">
        <f t="shared" si="74"/>
        <v>0</v>
      </c>
      <c r="AB80" s="254">
        <f t="shared" si="68"/>
        <v>0</v>
      </c>
      <c r="AC80" s="280">
        <f t="shared" si="69"/>
        <v>0</v>
      </c>
      <c r="AD80" s="270"/>
      <c r="AE80" s="282">
        <f t="shared" si="70"/>
        <v>34.08</v>
      </c>
      <c r="AF80" s="282">
        <f t="shared" si="50"/>
        <v>6.2628787878787868</v>
      </c>
      <c r="AG80" s="254">
        <f t="shared" si="50"/>
        <v>5.8650000000000002</v>
      </c>
      <c r="AH80" s="280">
        <f t="shared" si="50"/>
        <v>5.4671212121212136</v>
      </c>
      <c r="AI80" s="254">
        <f t="shared" si="54"/>
        <v>8</v>
      </c>
      <c r="AJ80" s="280">
        <f t="shared" si="55"/>
        <v>8.4909999999999997</v>
      </c>
      <c r="AK80" s="282">
        <f t="shared" si="56"/>
        <v>2.2274049695732998</v>
      </c>
      <c r="AL80" s="254">
        <f t="shared" si="57"/>
        <v>2.6251558569971016</v>
      </c>
      <c r="AM80" s="280">
        <f t="shared" si="58"/>
        <v>3.0229067444209035</v>
      </c>
      <c r="AN80" s="282">
        <f t="shared" si="59"/>
        <v>8.4902837574520866</v>
      </c>
      <c r="AO80" s="254">
        <f t="shared" si="60"/>
        <v>8.4901558569971023</v>
      </c>
      <c r="AP80" s="254">
        <f t="shared" si="61"/>
        <v>8.4900279565421179</v>
      </c>
      <c r="AQ80" s="283">
        <f t="shared" si="62"/>
        <v>1</v>
      </c>
      <c r="AR80" s="284">
        <f t="shared" si="63"/>
        <v>1</v>
      </c>
      <c r="AS80" s="285">
        <f t="shared" si="64"/>
        <v>1</v>
      </c>
      <c r="AT80" s="254">
        <f t="shared" si="65"/>
        <v>0.48</v>
      </c>
      <c r="AU80" s="254">
        <f t="shared" si="66"/>
        <v>0.48</v>
      </c>
      <c r="AV80" s="280">
        <f t="shared" si="67"/>
        <v>0.48</v>
      </c>
      <c r="AX80" s="269">
        <f t="shared" si="71"/>
        <v>34.08</v>
      </c>
      <c r="AY80" s="282">
        <f t="shared" si="51"/>
        <v>6.4419964249591768</v>
      </c>
      <c r="AZ80" s="254">
        <f t="shared" si="51"/>
        <v>9.0166814528800767</v>
      </c>
      <c r="BA80" s="280">
        <f t="shared" si="51"/>
        <v>14.165117186089935</v>
      </c>
      <c r="BB80" s="280">
        <f t="shared" si="72"/>
        <v>4.2</v>
      </c>
    </row>
    <row r="81" spans="20:54" ht="15" customHeight="1" x14ac:dyDescent="0.25">
      <c r="T81" s="268">
        <f t="shared" si="73"/>
        <v>72</v>
      </c>
      <c r="V81" s="269">
        <f t="shared" si="52"/>
        <v>34.56</v>
      </c>
      <c r="W81" s="270">
        <f t="shared" si="49"/>
        <v>5.68356969743969E-39</v>
      </c>
      <c r="X81" s="270">
        <f t="shared" si="49"/>
        <v>5.6928461977432471E-46</v>
      </c>
      <c r="Y81" s="271">
        <f t="shared" si="49"/>
        <v>5.5712347662721306E-53</v>
      </c>
      <c r="Z81" s="272">
        <f t="shared" si="53"/>
        <v>8</v>
      </c>
      <c r="AA81" s="282">
        <f t="shared" si="74"/>
        <v>0</v>
      </c>
      <c r="AB81" s="254">
        <f t="shared" si="68"/>
        <v>0</v>
      </c>
      <c r="AC81" s="280">
        <f t="shared" si="69"/>
        <v>0</v>
      </c>
      <c r="AD81" s="270"/>
      <c r="AE81" s="282">
        <f t="shared" si="70"/>
        <v>34.56</v>
      </c>
      <c r="AF81" s="282">
        <f t="shared" si="50"/>
        <v>6.2628787878787868</v>
      </c>
      <c r="AG81" s="254">
        <f t="shared" si="50"/>
        <v>5.8650000000000002</v>
      </c>
      <c r="AH81" s="280">
        <f t="shared" si="50"/>
        <v>5.4671212121212136</v>
      </c>
      <c r="AI81" s="254">
        <f t="shared" si="54"/>
        <v>8</v>
      </c>
      <c r="AJ81" s="280">
        <f t="shared" si="55"/>
        <v>8.4909999999999997</v>
      </c>
      <c r="AK81" s="282">
        <f t="shared" si="56"/>
        <v>2.2274049695732998</v>
      </c>
      <c r="AL81" s="254">
        <f t="shared" si="57"/>
        <v>2.6251558569971016</v>
      </c>
      <c r="AM81" s="280">
        <f t="shared" si="58"/>
        <v>3.0229067444209035</v>
      </c>
      <c r="AN81" s="282">
        <f t="shared" si="59"/>
        <v>8.4902837574520866</v>
      </c>
      <c r="AO81" s="254">
        <f t="shared" si="60"/>
        <v>8.4901558569971023</v>
      </c>
      <c r="AP81" s="254">
        <f t="shared" si="61"/>
        <v>8.4900279565421179</v>
      </c>
      <c r="AQ81" s="283">
        <f t="shared" si="62"/>
        <v>1</v>
      </c>
      <c r="AR81" s="284">
        <f t="shared" si="63"/>
        <v>1</v>
      </c>
      <c r="AS81" s="285">
        <f t="shared" si="64"/>
        <v>1</v>
      </c>
      <c r="AT81" s="254">
        <f t="shared" si="65"/>
        <v>0.48</v>
      </c>
      <c r="AU81" s="254">
        <f t="shared" si="66"/>
        <v>0.48</v>
      </c>
      <c r="AV81" s="280">
        <f t="shared" si="67"/>
        <v>0.48</v>
      </c>
      <c r="AX81" s="269">
        <f t="shared" si="71"/>
        <v>34.56</v>
      </c>
      <c r="AY81" s="282">
        <f t="shared" si="51"/>
        <v>6.4782384580553742</v>
      </c>
      <c r="AZ81" s="254">
        <f t="shared" si="51"/>
        <v>9.0890927638805561</v>
      </c>
      <c r="BA81" s="280">
        <f t="shared" si="51"/>
        <v>14.309906401651553</v>
      </c>
      <c r="BB81" s="280">
        <f t="shared" si="72"/>
        <v>4.2</v>
      </c>
    </row>
    <row r="82" spans="20:54" ht="15" customHeight="1" x14ac:dyDescent="0.25">
      <c r="T82" s="268">
        <f t="shared" si="73"/>
        <v>73</v>
      </c>
      <c r="V82" s="269">
        <f t="shared" si="52"/>
        <v>35.04</v>
      </c>
      <c r="W82" s="270">
        <f t="shared" si="49"/>
        <v>1.6020716253443707E-39</v>
      </c>
      <c r="X82" s="270">
        <f t="shared" si="49"/>
        <v>1.2799315654202436E-46</v>
      </c>
      <c r="Y82" s="271">
        <f t="shared" si="49"/>
        <v>9.9909162616427247E-54</v>
      </c>
      <c r="Z82" s="272">
        <f t="shared" si="53"/>
        <v>8</v>
      </c>
      <c r="AA82" s="282">
        <f t="shared" si="74"/>
        <v>0</v>
      </c>
      <c r="AB82" s="254">
        <f t="shared" si="68"/>
        <v>0</v>
      </c>
      <c r="AC82" s="280">
        <f t="shared" si="69"/>
        <v>0</v>
      </c>
      <c r="AD82" s="270"/>
      <c r="AE82" s="282">
        <f t="shared" si="70"/>
        <v>35.04</v>
      </c>
      <c r="AF82" s="282">
        <f t="shared" si="50"/>
        <v>6.2628787878787868</v>
      </c>
      <c r="AG82" s="254">
        <f t="shared" si="50"/>
        <v>5.8650000000000002</v>
      </c>
      <c r="AH82" s="280">
        <f t="shared" si="50"/>
        <v>5.4671212121212136</v>
      </c>
      <c r="AI82" s="254">
        <f t="shared" si="54"/>
        <v>8</v>
      </c>
      <c r="AJ82" s="280">
        <f t="shared" si="55"/>
        <v>8.4909999999999997</v>
      </c>
      <c r="AK82" s="282">
        <f t="shared" si="56"/>
        <v>2.2274049695732998</v>
      </c>
      <c r="AL82" s="254">
        <f t="shared" si="57"/>
        <v>2.6251558569971016</v>
      </c>
      <c r="AM82" s="280">
        <f t="shared" si="58"/>
        <v>3.0229067444209035</v>
      </c>
      <c r="AN82" s="282">
        <f t="shared" si="59"/>
        <v>8.4902837574520866</v>
      </c>
      <c r="AO82" s="254">
        <f t="shared" si="60"/>
        <v>8.4901558569971023</v>
      </c>
      <c r="AP82" s="254">
        <f t="shared" si="61"/>
        <v>8.4900279565421179</v>
      </c>
      <c r="AQ82" s="283">
        <f t="shared" si="62"/>
        <v>1</v>
      </c>
      <c r="AR82" s="284">
        <f t="shared" si="63"/>
        <v>1</v>
      </c>
      <c r="AS82" s="285">
        <f t="shared" si="64"/>
        <v>1</v>
      </c>
      <c r="AT82" s="254">
        <f t="shared" si="65"/>
        <v>0.48</v>
      </c>
      <c r="AU82" s="254">
        <f t="shared" si="66"/>
        <v>0.48</v>
      </c>
      <c r="AV82" s="280">
        <f t="shared" si="67"/>
        <v>0.48</v>
      </c>
      <c r="AX82" s="269">
        <f t="shared" si="71"/>
        <v>35.04</v>
      </c>
      <c r="AY82" s="282">
        <f t="shared" si="51"/>
        <v>6.5144781883367902</v>
      </c>
      <c r="AZ82" s="254">
        <f t="shared" si="51"/>
        <v>9.1615031322839755</v>
      </c>
      <c r="BA82" s="280">
        <f t="shared" si="51"/>
        <v>14.45469496177396</v>
      </c>
      <c r="BB82" s="280">
        <f t="shared" si="72"/>
        <v>4.2</v>
      </c>
    </row>
    <row r="83" spans="20:54" ht="15" customHeight="1" x14ac:dyDescent="0.25">
      <c r="T83" s="268">
        <f t="shared" si="73"/>
        <v>74</v>
      </c>
      <c r="V83" s="269">
        <f t="shared" si="52"/>
        <v>35.519999999999996</v>
      </c>
      <c r="W83" s="270">
        <f t="shared" si="49"/>
        <v>4.5158828506841331E-40</v>
      </c>
      <c r="X83" s="270">
        <f t="shared" si="49"/>
        <v>2.8776902717107288E-47</v>
      </c>
      <c r="Y83" s="271">
        <f t="shared" si="49"/>
        <v>1.7916747711198734E-54</v>
      </c>
      <c r="Z83" s="272">
        <f t="shared" si="53"/>
        <v>8</v>
      </c>
      <c r="AA83" s="282">
        <f t="shared" si="74"/>
        <v>0</v>
      </c>
      <c r="AB83" s="254">
        <f t="shared" si="68"/>
        <v>0</v>
      </c>
      <c r="AC83" s="280">
        <f t="shared" si="69"/>
        <v>0</v>
      </c>
      <c r="AD83" s="270"/>
      <c r="AE83" s="282">
        <f t="shared" si="70"/>
        <v>35.519999999999996</v>
      </c>
      <c r="AF83" s="282">
        <f t="shared" si="50"/>
        <v>6.2628787878787868</v>
      </c>
      <c r="AG83" s="254">
        <f t="shared" si="50"/>
        <v>5.8650000000000002</v>
      </c>
      <c r="AH83" s="280">
        <f t="shared" si="50"/>
        <v>5.4671212121212136</v>
      </c>
      <c r="AI83" s="254">
        <f t="shared" si="54"/>
        <v>8</v>
      </c>
      <c r="AJ83" s="280">
        <f t="shared" si="55"/>
        <v>8.4909999999999997</v>
      </c>
      <c r="AK83" s="282">
        <f t="shared" si="56"/>
        <v>2.2274049695732998</v>
      </c>
      <c r="AL83" s="254">
        <f t="shared" si="57"/>
        <v>2.6251558569971016</v>
      </c>
      <c r="AM83" s="280">
        <f t="shared" si="58"/>
        <v>3.0229067444209035</v>
      </c>
      <c r="AN83" s="282">
        <f t="shared" si="59"/>
        <v>8.4902837574520866</v>
      </c>
      <c r="AO83" s="254">
        <f t="shared" si="60"/>
        <v>8.4901558569971023</v>
      </c>
      <c r="AP83" s="254">
        <f t="shared" si="61"/>
        <v>8.4900279565421179</v>
      </c>
      <c r="AQ83" s="283">
        <f t="shared" si="62"/>
        <v>1</v>
      </c>
      <c r="AR83" s="284">
        <f t="shared" si="63"/>
        <v>1</v>
      </c>
      <c r="AS83" s="285">
        <f t="shared" si="64"/>
        <v>1</v>
      </c>
      <c r="AT83" s="254">
        <f t="shared" si="65"/>
        <v>0.48</v>
      </c>
      <c r="AU83" s="254">
        <f t="shared" si="66"/>
        <v>0.48</v>
      </c>
      <c r="AV83" s="280">
        <f t="shared" si="67"/>
        <v>0.48</v>
      </c>
      <c r="AX83" s="269">
        <f t="shared" si="71"/>
        <v>35.519999999999996</v>
      </c>
      <c r="AY83" s="282">
        <f t="shared" si="51"/>
        <v>6.5507157709888215</v>
      </c>
      <c r="AZ83" s="254">
        <f t="shared" si="51"/>
        <v>9.2339126058097776</v>
      </c>
      <c r="BA83" s="280">
        <f t="shared" si="51"/>
        <v>14.599482895968436</v>
      </c>
      <c r="BB83" s="280">
        <f t="shared" si="72"/>
        <v>4.2</v>
      </c>
    </row>
    <row r="84" spans="20:54" ht="15" customHeight="1" x14ac:dyDescent="0.25">
      <c r="T84" s="268">
        <f t="shared" si="73"/>
        <v>75</v>
      </c>
      <c r="V84" s="269">
        <f t="shared" si="52"/>
        <v>36</v>
      </c>
      <c r="W84" s="270">
        <f t="shared" si="49"/>
        <v>1.2729267280243404E-40</v>
      </c>
      <c r="X84" s="270">
        <f t="shared" si="49"/>
        <v>6.4699563036243217E-48</v>
      </c>
      <c r="Y84" s="271">
        <f t="shared" si="49"/>
        <v>3.2130171061403221E-55</v>
      </c>
      <c r="Z84" s="272">
        <f t="shared" si="53"/>
        <v>8</v>
      </c>
      <c r="AA84" s="282">
        <f t="shared" si="74"/>
        <v>0</v>
      </c>
      <c r="AB84" s="254">
        <f t="shared" si="68"/>
        <v>0</v>
      </c>
      <c r="AC84" s="280">
        <f t="shared" si="69"/>
        <v>0</v>
      </c>
      <c r="AD84" s="270"/>
      <c r="AE84" s="282">
        <f t="shared" si="70"/>
        <v>36</v>
      </c>
      <c r="AF84" s="282">
        <f t="shared" si="50"/>
        <v>6.2628787878787868</v>
      </c>
      <c r="AG84" s="254">
        <f t="shared" si="50"/>
        <v>5.8650000000000002</v>
      </c>
      <c r="AH84" s="280">
        <f t="shared" si="50"/>
        <v>5.4671212121212136</v>
      </c>
      <c r="AI84" s="254">
        <f t="shared" si="54"/>
        <v>8</v>
      </c>
      <c r="AJ84" s="280">
        <f t="shared" si="55"/>
        <v>8.4909999999999997</v>
      </c>
      <c r="AK84" s="282">
        <f t="shared" si="56"/>
        <v>2.2274049695732998</v>
      </c>
      <c r="AL84" s="254">
        <f t="shared" si="57"/>
        <v>2.6251558569971016</v>
      </c>
      <c r="AM84" s="280">
        <f t="shared" si="58"/>
        <v>3.0229067444209035</v>
      </c>
      <c r="AN84" s="282">
        <f t="shared" si="59"/>
        <v>8.4902837574520866</v>
      </c>
      <c r="AO84" s="254">
        <f t="shared" si="60"/>
        <v>8.4901558569971023</v>
      </c>
      <c r="AP84" s="254">
        <f t="shared" si="61"/>
        <v>8.4900279565421179</v>
      </c>
      <c r="AQ84" s="283">
        <f t="shared" si="62"/>
        <v>1</v>
      </c>
      <c r="AR84" s="284">
        <f t="shared" si="63"/>
        <v>1</v>
      </c>
      <c r="AS84" s="285">
        <f t="shared" si="64"/>
        <v>1</v>
      </c>
      <c r="AT84" s="254">
        <f t="shared" si="65"/>
        <v>0.48</v>
      </c>
      <c r="AU84" s="254">
        <f t="shared" si="66"/>
        <v>0.48</v>
      </c>
      <c r="AV84" s="280">
        <f t="shared" si="67"/>
        <v>0.48</v>
      </c>
      <c r="AX84" s="269">
        <f t="shared" si="71"/>
        <v>36</v>
      </c>
      <c r="AY84" s="282">
        <f t="shared" si="51"/>
        <v>6.5869513475593973</v>
      </c>
      <c r="AZ84" s="254">
        <f t="shared" si="51"/>
        <v>9.3063212290097646</v>
      </c>
      <c r="BA84" s="280">
        <f t="shared" si="51"/>
        <v>14.744270232000805</v>
      </c>
      <c r="BB84" s="280">
        <f t="shared" si="72"/>
        <v>4.2</v>
      </c>
    </row>
    <row r="85" spans="20:54" ht="15" customHeight="1" x14ac:dyDescent="0.25">
      <c r="T85" s="268">
        <f t="shared" si="73"/>
        <v>76</v>
      </c>
      <c r="V85" s="269">
        <f t="shared" si="52"/>
        <v>36.480000000000004</v>
      </c>
      <c r="W85" s="270">
        <f t="shared" si="49"/>
        <v>3.5880967431944782E-41</v>
      </c>
      <c r="X85" s="270">
        <f t="shared" si="49"/>
        <v>1.4546504529107287E-48</v>
      </c>
      <c r="Y85" s="271">
        <f t="shared" si="49"/>
        <v>5.7619156616787749E-56</v>
      </c>
      <c r="Z85" s="272">
        <f t="shared" si="53"/>
        <v>8</v>
      </c>
      <c r="AA85" s="282">
        <f t="shared" si="74"/>
        <v>0</v>
      </c>
      <c r="AB85" s="254">
        <f t="shared" si="68"/>
        <v>0</v>
      </c>
      <c r="AC85" s="280">
        <f t="shared" si="69"/>
        <v>0</v>
      </c>
      <c r="AD85" s="270"/>
      <c r="AE85" s="282">
        <f t="shared" si="70"/>
        <v>36.480000000000004</v>
      </c>
      <c r="AF85" s="282">
        <f t="shared" si="50"/>
        <v>6.2628787878787868</v>
      </c>
      <c r="AG85" s="254">
        <f t="shared" si="50"/>
        <v>5.8650000000000002</v>
      </c>
      <c r="AH85" s="280">
        <f t="shared" si="50"/>
        <v>5.4671212121212136</v>
      </c>
      <c r="AI85" s="254">
        <f t="shared" si="54"/>
        <v>8</v>
      </c>
      <c r="AJ85" s="280">
        <f t="shared" si="55"/>
        <v>8.4909999999999997</v>
      </c>
      <c r="AK85" s="282">
        <f t="shared" si="56"/>
        <v>2.2274049695732998</v>
      </c>
      <c r="AL85" s="254">
        <f t="shared" si="57"/>
        <v>2.6251558569971016</v>
      </c>
      <c r="AM85" s="280">
        <f t="shared" si="58"/>
        <v>3.0229067444209035</v>
      </c>
      <c r="AN85" s="282">
        <f t="shared" si="59"/>
        <v>8.4902837574520866</v>
      </c>
      <c r="AO85" s="254">
        <f t="shared" si="60"/>
        <v>8.4901558569971023</v>
      </c>
      <c r="AP85" s="254">
        <f t="shared" si="61"/>
        <v>8.4900279565421179</v>
      </c>
      <c r="AQ85" s="283">
        <f t="shared" si="62"/>
        <v>1</v>
      </c>
      <c r="AR85" s="284">
        <f t="shared" si="63"/>
        <v>1</v>
      </c>
      <c r="AS85" s="285">
        <f t="shared" si="64"/>
        <v>1</v>
      </c>
      <c r="AT85" s="254">
        <f t="shared" si="65"/>
        <v>0.48</v>
      </c>
      <c r="AU85" s="254">
        <f t="shared" si="66"/>
        <v>0.48</v>
      </c>
      <c r="AV85" s="280">
        <f t="shared" si="67"/>
        <v>0.48</v>
      </c>
      <c r="AX85" s="269">
        <f t="shared" si="71"/>
        <v>36.480000000000004</v>
      </c>
      <c r="AY85" s="282">
        <f t="shared" si="51"/>
        <v>6.6231850474248235</v>
      </c>
      <c r="AZ85" s="254">
        <f t="shared" si="51"/>
        <v>9.3787290435266506</v>
      </c>
      <c r="BA85" s="280">
        <f t="shared" si="51"/>
        <v>14.889056996018571</v>
      </c>
      <c r="BB85" s="280">
        <f t="shared" si="72"/>
        <v>4.2</v>
      </c>
    </row>
    <row r="86" spans="20:54" ht="15" customHeight="1" x14ac:dyDescent="0.25">
      <c r="T86" s="268">
        <f t="shared" si="73"/>
        <v>77</v>
      </c>
      <c r="V86" s="269">
        <f t="shared" si="52"/>
        <v>36.96</v>
      </c>
      <c r="W86" s="270">
        <f t="shared" si="49"/>
        <v>1.0114045023239552E-41</v>
      </c>
      <c r="X86" s="270">
        <f t="shared" si="49"/>
        <v>3.270513494763603E-49</v>
      </c>
      <c r="Y86" s="271">
        <f t="shared" si="49"/>
        <v>1.0332865028590409E-56</v>
      </c>
      <c r="Z86" s="272">
        <f t="shared" si="53"/>
        <v>8</v>
      </c>
      <c r="AA86" s="282">
        <f t="shared" si="74"/>
        <v>0</v>
      </c>
      <c r="AB86" s="254">
        <f t="shared" si="68"/>
        <v>0</v>
      </c>
      <c r="AC86" s="280">
        <f t="shared" si="69"/>
        <v>0</v>
      </c>
      <c r="AD86" s="270"/>
      <c r="AE86" s="282">
        <f t="shared" si="70"/>
        <v>36.96</v>
      </c>
      <c r="AF86" s="282">
        <f t="shared" si="50"/>
        <v>6.2628787878787868</v>
      </c>
      <c r="AG86" s="254">
        <f t="shared" si="50"/>
        <v>5.8650000000000002</v>
      </c>
      <c r="AH86" s="280">
        <f t="shared" si="50"/>
        <v>5.4671212121212136</v>
      </c>
      <c r="AI86" s="254">
        <f t="shared" si="54"/>
        <v>8</v>
      </c>
      <c r="AJ86" s="280">
        <f t="shared" si="55"/>
        <v>8.4909999999999997</v>
      </c>
      <c r="AK86" s="282">
        <f t="shared" si="56"/>
        <v>2.2274049695732998</v>
      </c>
      <c r="AL86" s="254">
        <f t="shared" si="57"/>
        <v>2.6251558569971016</v>
      </c>
      <c r="AM86" s="280">
        <f t="shared" si="58"/>
        <v>3.0229067444209035</v>
      </c>
      <c r="AN86" s="282">
        <f t="shared" si="59"/>
        <v>8.4902837574520866</v>
      </c>
      <c r="AO86" s="254">
        <f t="shared" si="60"/>
        <v>8.4901558569971023</v>
      </c>
      <c r="AP86" s="254">
        <f t="shared" si="61"/>
        <v>8.4900279565421179</v>
      </c>
      <c r="AQ86" s="283">
        <f t="shared" si="62"/>
        <v>1</v>
      </c>
      <c r="AR86" s="284">
        <f t="shared" si="63"/>
        <v>1</v>
      </c>
      <c r="AS86" s="285">
        <f t="shared" si="64"/>
        <v>1</v>
      </c>
      <c r="AT86" s="254">
        <f t="shared" si="65"/>
        <v>0.48</v>
      </c>
      <c r="AU86" s="254">
        <f t="shared" si="66"/>
        <v>0.48</v>
      </c>
      <c r="AV86" s="280">
        <f t="shared" si="67"/>
        <v>0.48</v>
      </c>
      <c r="AX86" s="269">
        <f t="shared" si="71"/>
        <v>36.96</v>
      </c>
      <c r="AY86" s="282">
        <f t="shared" si="51"/>
        <v>6.6594169890705395</v>
      </c>
      <c r="AZ86" s="254">
        <f t="shared" si="51"/>
        <v>9.451136088327674</v>
      </c>
      <c r="BA86" s="280">
        <f t="shared" si="51"/>
        <v>15.033843212667145</v>
      </c>
      <c r="BB86" s="280">
        <f t="shared" si="72"/>
        <v>4.2</v>
      </c>
    </row>
    <row r="87" spans="20:54" ht="15" customHeight="1" x14ac:dyDescent="0.25">
      <c r="T87" s="268">
        <f t="shared" si="73"/>
        <v>78</v>
      </c>
      <c r="V87" s="269">
        <f t="shared" si="52"/>
        <v>37.44</v>
      </c>
      <c r="W87" s="270">
        <f t="shared" si="49"/>
        <v>2.8509238756211226E-42</v>
      </c>
      <c r="X87" s="270">
        <f t="shared" si="49"/>
        <v>7.3531469350783345E-50</v>
      </c>
      <c r="Y87" s="271">
        <f t="shared" si="49"/>
        <v>1.8529965721150289E-57</v>
      </c>
      <c r="Z87" s="272">
        <f t="shared" si="53"/>
        <v>8</v>
      </c>
      <c r="AA87" s="282">
        <f t="shared" si="74"/>
        <v>0</v>
      </c>
      <c r="AB87" s="254">
        <f t="shared" si="68"/>
        <v>0</v>
      </c>
      <c r="AC87" s="280">
        <f t="shared" si="69"/>
        <v>0</v>
      </c>
      <c r="AD87" s="270"/>
      <c r="AE87" s="282">
        <f t="shared" si="70"/>
        <v>37.44</v>
      </c>
      <c r="AF87" s="282">
        <f t="shared" si="50"/>
        <v>6.2628787878787868</v>
      </c>
      <c r="AG87" s="254">
        <f t="shared" si="50"/>
        <v>5.8650000000000002</v>
      </c>
      <c r="AH87" s="280">
        <f t="shared" si="50"/>
        <v>5.4671212121212136</v>
      </c>
      <c r="AI87" s="254">
        <f t="shared" si="54"/>
        <v>8</v>
      </c>
      <c r="AJ87" s="280">
        <f t="shared" si="55"/>
        <v>8.4909999999999997</v>
      </c>
      <c r="AK87" s="282">
        <f t="shared" si="56"/>
        <v>2.2274049695732998</v>
      </c>
      <c r="AL87" s="254">
        <f t="shared" si="57"/>
        <v>2.6251558569971016</v>
      </c>
      <c r="AM87" s="280">
        <f t="shared" si="58"/>
        <v>3.0229067444209035</v>
      </c>
      <c r="AN87" s="282">
        <f t="shared" si="59"/>
        <v>8.4902837574520866</v>
      </c>
      <c r="AO87" s="254">
        <f t="shared" si="60"/>
        <v>8.4901558569971023</v>
      </c>
      <c r="AP87" s="254">
        <f t="shared" si="61"/>
        <v>8.4900279565421179</v>
      </c>
      <c r="AQ87" s="283">
        <f t="shared" si="62"/>
        <v>1</v>
      </c>
      <c r="AR87" s="284">
        <f t="shared" si="63"/>
        <v>1</v>
      </c>
      <c r="AS87" s="285">
        <f t="shared" si="64"/>
        <v>1</v>
      </c>
      <c r="AT87" s="254">
        <f t="shared" si="65"/>
        <v>0.48</v>
      </c>
      <c r="AU87" s="254">
        <f t="shared" si="66"/>
        <v>0.48</v>
      </c>
      <c r="AV87" s="280">
        <f t="shared" si="67"/>
        <v>0.48</v>
      </c>
      <c r="AX87" s="269">
        <f t="shared" si="71"/>
        <v>37.44</v>
      </c>
      <c r="AY87" s="282">
        <f t="shared" si="51"/>
        <v>6.6956472812134864</v>
      </c>
      <c r="AZ87" s="254">
        <f t="shared" si="51"/>
        <v>9.5235423999160904</v>
      </c>
      <c r="BA87" s="280">
        <f t="shared" si="51"/>
        <v>15.178628905196181</v>
      </c>
      <c r="BB87" s="280">
        <f t="shared" si="72"/>
        <v>4.2</v>
      </c>
    </row>
    <row r="88" spans="20:54" ht="15" customHeight="1" x14ac:dyDescent="0.25">
      <c r="T88" s="268">
        <f t="shared" si="73"/>
        <v>79</v>
      </c>
      <c r="V88" s="269">
        <f t="shared" si="52"/>
        <v>37.92</v>
      </c>
      <c r="W88" s="270">
        <f t="shared" si="49"/>
        <v>8.0361190066989694E-43</v>
      </c>
      <c r="X88" s="270">
        <f t="shared" si="49"/>
        <v>1.6532195918292425E-50</v>
      </c>
      <c r="Y88" s="271">
        <f t="shared" si="49"/>
        <v>3.3229857225169355E-58</v>
      </c>
      <c r="Z88" s="272">
        <f t="shared" si="53"/>
        <v>8</v>
      </c>
      <c r="AA88" s="282">
        <f t="shared" si="74"/>
        <v>0</v>
      </c>
      <c r="AB88" s="254">
        <f t="shared" si="68"/>
        <v>0</v>
      </c>
      <c r="AC88" s="280">
        <f t="shared" si="69"/>
        <v>0</v>
      </c>
      <c r="AD88" s="270"/>
      <c r="AE88" s="282">
        <f t="shared" si="70"/>
        <v>37.92</v>
      </c>
      <c r="AF88" s="282">
        <f t="shared" si="50"/>
        <v>6.2628787878787868</v>
      </c>
      <c r="AG88" s="254">
        <f t="shared" si="50"/>
        <v>5.8650000000000002</v>
      </c>
      <c r="AH88" s="280">
        <f t="shared" si="50"/>
        <v>5.4671212121212136</v>
      </c>
      <c r="AI88" s="254">
        <f t="shared" si="54"/>
        <v>8</v>
      </c>
      <c r="AJ88" s="280">
        <f t="shared" si="55"/>
        <v>8.4909999999999997</v>
      </c>
      <c r="AK88" s="282">
        <f t="shared" si="56"/>
        <v>2.2274049695732998</v>
      </c>
      <c r="AL88" s="254">
        <f t="shared" si="57"/>
        <v>2.6251558569971016</v>
      </c>
      <c r="AM88" s="280">
        <f t="shared" si="58"/>
        <v>3.0229067444209035</v>
      </c>
      <c r="AN88" s="282">
        <f t="shared" si="59"/>
        <v>8.4902837574520866</v>
      </c>
      <c r="AO88" s="254">
        <f t="shared" si="60"/>
        <v>8.4901558569971023</v>
      </c>
      <c r="AP88" s="254">
        <f t="shared" si="61"/>
        <v>8.4900279565421179</v>
      </c>
      <c r="AQ88" s="283">
        <f t="shared" si="62"/>
        <v>1</v>
      </c>
      <c r="AR88" s="284">
        <f t="shared" si="63"/>
        <v>1</v>
      </c>
      <c r="AS88" s="285">
        <f t="shared" si="64"/>
        <v>1</v>
      </c>
      <c r="AT88" s="254">
        <f t="shared" si="65"/>
        <v>0.48</v>
      </c>
      <c r="AU88" s="254">
        <f t="shared" si="66"/>
        <v>0.48</v>
      </c>
      <c r="AV88" s="280">
        <f t="shared" si="67"/>
        <v>0.48</v>
      </c>
      <c r="AX88" s="269">
        <f t="shared" si="71"/>
        <v>37.92</v>
      </c>
      <c r="AY88" s="282">
        <f t="shared" si="51"/>
        <v>6.731876023788482</v>
      </c>
      <c r="AZ88" s="254">
        <f t="shared" si="51"/>
        <v>9.5959480125228875</v>
      </c>
      <c r="BA88" s="280">
        <f t="shared" si="51"/>
        <v>15.323414095557004</v>
      </c>
      <c r="BB88" s="280">
        <f t="shared" si="72"/>
        <v>4.2</v>
      </c>
    </row>
    <row r="89" spans="20:54" ht="15" customHeight="1" x14ac:dyDescent="0.25">
      <c r="T89" s="268">
        <f t="shared" si="73"/>
        <v>80</v>
      </c>
      <c r="V89" s="269">
        <f t="shared" si="52"/>
        <v>38.400000000000006</v>
      </c>
      <c r="W89" s="270">
        <f t="shared" ref="W89:Y109" si="75">W$7*EXP(-(W$7)/($C$7)*$V89)</f>
        <v>2.2652028432628254E-43</v>
      </c>
      <c r="X89" s="270">
        <f t="shared" si="75"/>
        <v>3.7169596132637743E-51</v>
      </c>
      <c r="Y89" s="271">
        <f t="shared" si="75"/>
        <v>5.9591227950558839E-59</v>
      </c>
      <c r="Z89" s="272">
        <f t="shared" si="53"/>
        <v>8</v>
      </c>
      <c r="AA89" s="282">
        <f t="shared" si="74"/>
        <v>0</v>
      </c>
      <c r="AB89" s="254">
        <f t="shared" si="68"/>
        <v>0</v>
      </c>
      <c r="AC89" s="280">
        <f t="shared" si="69"/>
        <v>0</v>
      </c>
      <c r="AD89" s="270"/>
      <c r="AE89" s="282">
        <f t="shared" si="70"/>
        <v>38.400000000000006</v>
      </c>
      <c r="AF89" s="282">
        <f t="shared" ref="AF89:AH109" si="76">($C$7-(AF$6-$C$4)*$C$12)*(1-EXP(-(AF$7/$C$7)*$AE89))</f>
        <v>6.2628787878787868</v>
      </c>
      <c r="AG89" s="254">
        <f t="shared" si="76"/>
        <v>5.8650000000000002</v>
      </c>
      <c r="AH89" s="280">
        <f t="shared" si="76"/>
        <v>5.4671212121212136</v>
      </c>
      <c r="AI89" s="254">
        <f t="shared" si="54"/>
        <v>8</v>
      </c>
      <c r="AJ89" s="280">
        <f t="shared" si="55"/>
        <v>8.4909999999999997</v>
      </c>
      <c r="AK89" s="282">
        <f t="shared" si="56"/>
        <v>2.2274049695732998</v>
      </c>
      <c r="AL89" s="254">
        <f t="shared" si="57"/>
        <v>2.6251558569971016</v>
      </c>
      <c r="AM89" s="280">
        <f t="shared" si="58"/>
        <v>3.0229067444209035</v>
      </c>
      <c r="AN89" s="282">
        <f t="shared" si="59"/>
        <v>8.4902837574520866</v>
      </c>
      <c r="AO89" s="254">
        <f t="shared" si="60"/>
        <v>8.4901558569971023</v>
      </c>
      <c r="AP89" s="254">
        <f t="shared" si="61"/>
        <v>8.4900279565421179</v>
      </c>
      <c r="AQ89" s="283">
        <f t="shared" si="62"/>
        <v>1</v>
      </c>
      <c r="AR89" s="284">
        <f t="shared" si="63"/>
        <v>1</v>
      </c>
      <c r="AS89" s="285">
        <f t="shared" si="64"/>
        <v>1</v>
      </c>
      <c r="AT89" s="254">
        <f t="shared" si="65"/>
        <v>0.48</v>
      </c>
      <c r="AU89" s="254">
        <f t="shared" si="66"/>
        <v>0.48</v>
      </c>
      <c r="AV89" s="280">
        <f t="shared" si="67"/>
        <v>0.48</v>
      </c>
      <c r="AX89" s="269">
        <f t="shared" si="71"/>
        <v>38.400000000000006</v>
      </c>
      <c r="AY89" s="282">
        <f t="shared" ref="AY89:BA109" si="77">($C$4+$E$17*AY$8)+(($E$18/(1-(AY$8*$AX89)/($C$7)))+($AX89/$C$12))*AY$8</f>
        <v>6.7681033088174303</v>
      </c>
      <c r="AZ89" s="254">
        <f t="shared" si="77"/>
        <v>9.6683529582808685</v>
      </c>
      <c r="BA89" s="280">
        <f t="shared" si="77"/>
        <v>15.468198804491976</v>
      </c>
      <c r="BB89" s="280">
        <f t="shared" si="72"/>
        <v>4.2</v>
      </c>
    </row>
    <row r="90" spans="20:54" ht="15" customHeight="1" x14ac:dyDescent="0.25">
      <c r="T90" s="268">
        <f t="shared" si="73"/>
        <v>81</v>
      </c>
      <c r="V90" s="269">
        <f t="shared" si="52"/>
        <v>38.880000000000003</v>
      </c>
      <c r="W90" s="270">
        <f t="shared" si="75"/>
        <v>6.3851019588544868E-44</v>
      </c>
      <c r="X90" s="270">
        <f t="shared" si="75"/>
        <v>8.3568987658483946E-52</v>
      </c>
      <c r="Y90" s="271">
        <f t="shared" si="75"/>
        <v>1.0686517322637907E-59</v>
      </c>
      <c r="Z90" s="272">
        <f t="shared" si="53"/>
        <v>8</v>
      </c>
      <c r="AA90" s="282">
        <f t="shared" si="74"/>
        <v>0</v>
      </c>
      <c r="AB90" s="254">
        <f t="shared" si="68"/>
        <v>0</v>
      </c>
      <c r="AC90" s="280">
        <f t="shared" si="69"/>
        <v>0</v>
      </c>
      <c r="AD90" s="270"/>
      <c r="AE90" s="282">
        <f t="shared" si="70"/>
        <v>38.880000000000003</v>
      </c>
      <c r="AF90" s="282">
        <f t="shared" si="76"/>
        <v>6.2628787878787868</v>
      </c>
      <c r="AG90" s="254">
        <f t="shared" si="76"/>
        <v>5.8650000000000002</v>
      </c>
      <c r="AH90" s="280">
        <f t="shared" si="76"/>
        <v>5.4671212121212136</v>
      </c>
      <c r="AI90" s="254">
        <f t="shared" si="54"/>
        <v>8</v>
      </c>
      <c r="AJ90" s="280">
        <f t="shared" si="55"/>
        <v>8.4909999999999997</v>
      </c>
      <c r="AK90" s="282">
        <f t="shared" si="56"/>
        <v>2.2274049695732998</v>
      </c>
      <c r="AL90" s="254">
        <f t="shared" si="57"/>
        <v>2.6251558569971016</v>
      </c>
      <c r="AM90" s="280">
        <f t="shared" si="58"/>
        <v>3.0229067444209035</v>
      </c>
      <c r="AN90" s="282">
        <f t="shared" si="59"/>
        <v>8.4902837574520866</v>
      </c>
      <c r="AO90" s="254">
        <f t="shared" si="60"/>
        <v>8.4901558569971023</v>
      </c>
      <c r="AP90" s="254">
        <f t="shared" si="61"/>
        <v>8.4900279565421179</v>
      </c>
      <c r="AQ90" s="283">
        <f t="shared" si="62"/>
        <v>1</v>
      </c>
      <c r="AR90" s="284">
        <f t="shared" si="63"/>
        <v>1</v>
      </c>
      <c r="AS90" s="285">
        <f t="shared" si="64"/>
        <v>1</v>
      </c>
      <c r="AT90" s="254">
        <f t="shared" si="65"/>
        <v>0.48</v>
      </c>
      <c r="AU90" s="254">
        <f t="shared" si="66"/>
        <v>0.48</v>
      </c>
      <c r="AV90" s="280">
        <f t="shared" si="67"/>
        <v>0.48</v>
      </c>
      <c r="AX90" s="269">
        <f t="shared" si="71"/>
        <v>38.880000000000003</v>
      </c>
      <c r="AY90" s="282">
        <f t="shared" si="77"/>
        <v>6.8043292211773121</v>
      </c>
      <c r="AZ90" s="254">
        <f t="shared" si="77"/>
        <v>9.7407572673830103</v>
      </c>
      <c r="BA90" s="280">
        <f t="shared" si="77"/>
        <v>15.612983051616618</v>
      </c>
      <c r="BB90" s="280">
        <f t="shared" si="72"/>
        <v>4.2</v>
      </c>
    </row>
    <row r="91" spans="20:54" ht="15" customHeight="1" x14ac:dyDescent="0.25">
      <c r="T91" s="268">
        <f t="shared" si="73"/>
        <v>82</v>
      </c>
      <c r="V91" s="269">
        <f t="shared" si="52"/>
        <v>39.36</v>
      </c>
      <c r="W91" s="270">
        <f t="shared" si="75"/>
        <v>1.7998179344610878E-44</v>
      </c>
      <c r="X91" s="270">
        <f t="shared" si="75"/>
        <v>1.8788946948314167E-52</v>
      </c>
      <c r="Y91" s="271">
        <f t="shared" si="75"/>
        <v>1.9164171710270833E-60</v>
      </c>
      <c r="Z91" s="272">
        <f t="shared" si="53"/>
        <v>8</v>
      </c>
      <c r="AA91" s="282">
        <f t="shared" si="74"/>
        <v>0</v>
      </c>
      <c r="AB91" s="254">
        <f t="shared" si="68"/>
        <v>0</v>
      </c>
      <c r="AC91" s="280">
        <f t="shared" si="69"/>
        <v>0</v>
      </c>
      <c r="AD91" s="270"/>
      <c r="AE91" s="282">
        <f t="shared" si="70"/>
        <v>39.36</v>
      </c>
      <c r="AF91" s="282">
        <f t="shared" si="76"/>
        <v>6.2628787878787868</v>
      </c>
      <c r="AG91" s="254">
        <f t="shared" si="76"/>
        <v>5.8650000000000002</v>
      </c>
      <c r="AH91" s="280">
        <f t="shared" si="76"/>
        <v>5.4671212121212136</v>
      </c>
      <c r="AI91" s="254">
        <f t="shared" si="54"/>
        <v>8</v>
      </c>
      <c r="AJ91" s="280">
        <f t="shared" si="55"/>
        <v>8.4909999999999997</v>
      </c>
      <c r="AK91" s="282">
        <f t="shared" si="56"/>
        <v>2.2274049695732998</v>
      </c>
      <c r="AL91" s="254">
        <f t="shared" si="57"/>
        <v>2.6251558569971016</v>
      </c>
      <c r="AM91" s="280">
        <f t="shared" si="58"/>
        <v>3.0229067444209035</v>
      </c>
      <c r="AN91" s="282">
        <f t="shared" si="59"/>
        <v>8.4902837574520866</v>
      </c>
      <c r="AO91" s="254">
        <f t="shared" si="60"/>
        <v>8.4901558569971023</v>
      </c>
      <c r="AP91" s="254">
        <f t="shared" si="61"/>
        <v>8.4900279565421179</v>
      </c>
      <c r="AQ91" s="283">
        <f t="shared" si="62"/>
        <v>1</v>
      </c>
      <c r="AR91" s="284">
        <f t="shared" si="63"/>
        <v>1</v>
      </c>
      <c r="AS91" s="285">
        <f t="shared" si="64"/>
        <v>1</v>
      </c>
      <c r="AT91" s="254">
        <f t="shared" si="65"/>
        <v>0.48</v>
      </c>
      <c r="AU91" s="254">
        <f t="shared" si="66"/>
        <v>0.48</v>
      </c>
      <c r="AV91" s="280">
        <f t="shared" si="67"/>
        <v>0.48</v>
      </c>
      <c r="AX91" s="269">
        <f t="shared" si="71"/>
        <v>39.36</v>
      </c>
      <c r="AY91" s="282">
        <f t="shared" si="77"/>
        <v>6.8405538392804326</v>
      </c>
      <c r="AZ91" s="254">
        <f t="shared" si="77"/>
        <v>9.813160968226649</v>
      </c>
      <c r="BA91" s="280">
        <f t="shared" si="77"/>
        <v>15.757766855495088</v>
      </c>
      <c r="BB91" s="280">
        <f t="shared" si="72"/>
        <v>4.2</v>
      </c>
    </row>
    <row r="92" spans="20:54" ht="15" customHeight="1" x14ac:dyDescent="0.25">
      <c r="T92" s="268">
        <f t="shared" si="73"/>
        <v>83</v>
      </c>
      <c r="V92" s="269">
        <f t="shared" si="52"/>
        <v>39.839999999999996</v>
      </c>
      <c r="W92" s="270">
        <f t="shared" si="75"/>
        <v>5.0732856234436294E-45</v>
      </c>
      <c r="X92" s="270">
        <f t="shared" si="75"/>
        <v>4.2243484971870445E-53</v>
      </c>
      <c r="Y92" s="271">
        <f t="shared" si="75"/>
        <v>3.4367181210921158E-61</v>
      </c>
      <c r="Z92" s="272">
        <f t="shared" si="53"/>
        <v>8</v>
      </c>
      <c r="AA92" s="282">
        <f t="shared" si="74"/>
        <v>0</v>
      </c>
      <c r="AB92" s="254">
        <f t="shared" si="68"/>
        <v>0</v>
      </c>
      <c r="AC92" s="280">
        <f t="shared" si="69"/>
        <v>0</v>
      </c>
      <c r="AD92" s="270"/>
      <c r="AE92" s="282">
        <f t="shared" si="70"/>
        <v>39.839999999999996</v>
      </c>
      <c r="AF92" s="282">
        <f t="shared" si="76"/>
        <v>6.2628787878787868</v>
      </c>
      <c r="AG92" s="254">
        <f t="shared" si="76"/>
        <v>5.8650000000000002</v>
      </c>
      <c r="AH92" s="280">
        <f t="shared" si="76"/>
        <v>5.4671212121212136</v>
      </c>
      <c r="AI92" s="254">
        <f t="shared" si="54"/>
        <v>8</v>
      </c>
      <c r="AJ92" s="280">
        <f t="shared" si="55"/>
        <v>8.4909999999999997</v>
      </c>
      <c r="AK92" s="282">
        <f t="shared" si="56"/>
        <v>2.2274049695732998</v>
      </c>
      <c r="AL92" s="254">
        <f t="shared" si="57"/>
        <v>2.6251558569971016</v>
      </c>
      <c r="AM92" s="280">
        <f t="shared" si="58"/>
        <v>3.0229067444209035</v>
      </c>
      <c r="AN92" s="282">
        <f t="shared" si="59"/>
        <v>8.4902837574520866</v>
      </c>
      <c r="AO92" s="254">
        <f t="shared" si="60"/>
        <v>8.4901558569971023</v>
      </c>
      <c r="AP92" s="254">
        <f t="shared" si="61"/>
        <v>8.4900279565421179</v>
      </c>
      <c r="AQ92" s="283">
        <f t="shared" si="62"/>
        <v>1</v>
      </c>
      <c r="AR92" s="284">
        <f t="shared" si="63"/>
        <v>1</v>
      </c>
      <c r="AS92" s="285">
        <f t="shared" si="64"/>
        <v>1</v>
      </c>
      <c r="AT92" s="254">
        <f t="shared" si="65"/>
        <v>0.48</v>
      </c>
      <c r="AU92" s="254">
        <f t="shared" si="66"/>
        <v>0.48</v>
      </c>
      <c r="AV92" s="280">
        <f t="shared" si="67"/>
        <v>0.48</v>
      </c>
      <c r="AX92" s="269">
        <f t="shared" si="71"/>
        <v>39.839999999999996</v>
      </c>
      <c r="AY92" s="282">
        <f t="shared" si="77"/>
        <v>6.8767772356783912</v>
      </c>
      <c r="AZ92" s="254">
        <f t="shared" si="77"/>
        <v>9.8855640875450224</v>
      </c>
      <c r="BA92" s="280">
        <f t="shared" si="77"/>
        <v>15.902550233709698</v>
      </c>
      <c r="BB92" s="280">
        <f t="shared" si="72"/>
        <v>4.2</v>
      </c>
    </row>
    <row r="93" spans="20:54" ht="15" customHeight="1" x14ac:dyDescent="0.25">
      <c r="T93" s="268">
        <f t="shared" si="73"/>
        <v>84</v>
      </c>
      <c r="V93" s="269">
        <f t="shared" si="52"/>
        <v>40.32</v>
      </c>
      <c r="W93" s="270">
        <f t="shared" si="75"/>
        <v>1.4300461465701409E-45</v>
      </c>
      <c r="X93" s="270">
        <f t="shared" si="75"/>
        <v>9.4976691747417665E-54</v>
      </c>
      <c r="Y93" s="271">
        <f t="shared" si="75"/>
        <v>6.1630795332065364E-62</v>
      </c>
      <c r="Z93" s="272">
        <f t="shared" si="53"/>
        <v>8</v>
      </c>
      <c r="AA93" s="282">
        <f t="shared" si="74"/>
        <v>0</v>
      </c>
      <c r="AB93" s="254">
        <f t="shared" si="68"/>
        <v>0</v>
      </c>
      <c r="AC93" s="280">
        <f t="shared" si="69"/>
        <v>0</v>
      </c>
      <c r="AD93" s="270"/>
      <c r="AE93" s="282">
        <f t="shared" si="70"/>
        <v>40.32</v>
      </c>
      <c r="AF93" s="282">
        <f t="shared" si="76"/>
        <v>6.2628787878787868</v>
      </c>
      <c r="AG93" s="254">
        <f t="shared" si="76"/>
        <v>5.8650000000000002</v>
      </c>
      <c r="AH93" s="280">
        <f t="shared" si="76"/>
        <v>5.4671212121212136</v>
      </c>
      <c r="AI93" s="254">
        <f t="shared" si="54"/>
        <v>8</v>
      </c>
      <c r="AJ93" s="280">
        <f t="shared" si="55"/>
        <v>8.4909999999999997</v>
      </c>
      <c r="AK93" s="282">
        <f t="shared" si="56"/>
        <v>2.2274049695732998</v>
      </c>
      <c r="AL93" s="254">
        <f t="shared" si="57"/>
        <v>2.6251558569971016</v>
      </c>
      <c r="AM93" s="280">
        <f t="shared" si="58"/>
        <v>3.0229067444209035</v>
      </c>
      <c r="AN93" s="282">
        <f t="shared" si="59"/>
        <v>8.4902837574520866</v>
      </c>
      <c r="AO93" s="254">
        <f t="shared" si="60"/>
        <v>8.4901558569971023</v>
      </c>
      <c r="AP93" s="254">
        <f t="shared" si="61"/>
        <v>8.4900279565421179</v>
      </c>
      <c r="AQ93" s="283">
        <f t="shared" si="62"/>
        <v>1</v>
      </c>
      <c r="AR93" s="284">
        <f t="shared" si="63"/>
        <v>1</v>
      </c>
      <c r="AS93" s="285">
        <f t="shared" si="64"/>
        <v>1</v>
      </c>
      <c r="AT93" s="254">
        <f t="shared" si="65"/>
        <v>0.48</v>
      </c>
      <c r="AU93" s="254">
        <f t="shared" si="66"/>
        <v>0.48</v>
      </c>
      <c r="AV93" s="280">
        <f t="shared" si="67"/>
        <v>0.48</v>
      </c>
      <c r="AX93" s="269">
        <f t="shared" si="71"/>
        <v>40.32</v>
      </c>
      <c r="AY93" s="282">
        <f t="shared" si="77"/>
        <v>6.9129994775996018</v>
      </c>
      <c r="AZ93" s="254">
        <f t="shared" si="77"/>
        <v>9.9579666505274052</v>
      </c>
      <c r="BA93" s="280">
        <f t="shared" si="77"/>
        <v>16.047333202924978</v>
      </c>
      <c r="BB93" s="280">
        <f t="shared" si="72"/>
        <v>4.2</v>
      </c>
    </row>
    <row r="94" spans="20:54" ht="15" customHeight="1" x14ac:dyDescent="0.25">
      <c r="T94" s="268">
        <f t="shared" si="73"/>
        <v>85</v>
      </c>
      <c r="V94" s="269">
        <f t="shared" si="52"/>
        <v>40.799999999999997</v>
      </c>
      <c r="W94" s="270">
        <f t="shared" si="75"/>
        <v>4.0309813661388468E-46</v>
      </c>
      <c r="X94" s="270">
        <f t="shared" si="75"/>
        <v>2.1353759002816269E-54</v>
      </c>
      <c r="Y94" s="271">
        <f t="shared" si="75"/>
        <v>1.1052273708313328E-62</v>
      </c>
      <c r="Z94" s="272">
        <f t="shared" si="53"/>
        <v>8</v>
      </c>
      <c r="AA94" s="282">
        <f t="shared" si="74"/>
        <v>0</v>
      </c>
      <c r="AB94" s="254">
        <f t="shared" si="68"/>
        <v>0</v>
      </c>
      <c r="AC94" s="280">
        <f t="shared" si="69"/>
        <v>0</v>
      </c>
      <c r="AD94" s="270"/>
      <c r="AE94" s="282">
        <f t="shared" si="70"/>
        <v>40.799999999999997</v>
      </c>
      <c r="AF94" s="282">
        <f t="shared" si="76"/>
        <v>6.2628787878787868</v>
      </c>
      <c r="AG94" s="254">
        <f t="shared" si="76"/>
        <v>5.8650000000000002</v>
      </c>
      <c r="AH94" s="280">
        <f t="shared" si="76"/>
        <v>5.4671212121212136</v>
      </c>
      <c r="AI94" s="254">
        <f t="shared" si="54"/>
        <v>8</v>
      </c>
      <c r="AJ94" s="280">
        <f t="shared" si="55"/>
        <v>8.4909999999999997</v>
      </c>
      <c r="AK94" s="282">
        <f t="shared" si="56"/>
        <v>2.2274049695732998</v>
      </c>
      <c r="AL94" s="254">
        <f t="shared" si="57"/>
        <v>2.6251558569971016</v>
      </c>
      <c r="AM94" s="280">
        <f t="shared" si="58"/>
        <v>3.0229067444209035</v>
      </c>
      <c r="AN94" s="282">
        <f t="shared" si="59"/>
        <v>8.4902837574520866</v>
      </c>
      <c r="AO94" s="254">
        <f t="shared" si="60"/>
        <v>8.4901558569971023</v>
      </c>
      <c r="AP94" s="254">
        <f t="shared" si="61"/>
        <v>8.4900279565421179</v>
      </c>
      <c r="AQ94" s="283">
        <f t="shared" si="62"/>
        <v>1</v>
      </c>
      <c r="AR94" s="284">
        <f t="shared" si="63"/>
        <v>1</v>
      </c>
      <c r="AS94" s="285">
        <f t="shared" si="64"/>
        <v>1</v>
      </c>
      <c r="AT94" s="254">
        <f t="shared" si="65"/>
        <v>0.48</v>
      </c>
      <c r="AU94" s="254">
        <f t="shared" si="66"/>
        <v>0.48</v>
      </c>
      <c r="AV94" s="280">
        <f t="shared" si="67"/>
        <v>0.48</v>
      </c>
      <c r="AX94" s="269">
        <f t="shared" si="71"/>
        <v>40.799999999999997</v>
      </c>
      <c r="AY94" s="282">
        <f t="shared" si="77"/>
        <v>6.9492206274286925</v>
      </c>
      <c r="AZ94" s="254">
        <f t="shared" si="77"/>
        <v>10.03036868092898</v>
      </c>
      <c r="BA94" s="280">
        <f t="shared" si="77"/>
        <v>16.192115778946768</v>
      </c>
      <c r="BB94" s="280">
        <f t="shared" si="72"/>
        <v>4.2</v>
      </c>
    </row>
    <row r="95" spans="20:54" ht="15" customHeight="1" x14ac:dyDescent="0.25">
      <c r="T95" s="268">
        <f t="shared" si="73"/>
        <v>86</v>
      </c>
      <c r="V95" s="269">
        <f t="shared" si="52"/>
        <v>41.28</v>
      </c>
      <c r="W95" s="270">
        <f t="shared" si="75"/>
        <v>1.1362438067561784E-46</v>
      </c>
      <c r="X95" s="270">
        <f t="shared" si="75"/>
        <v>4.8009992258204941E-55</v>
      </c>
      <c r="Y95" s="271">
        <f t="shared" si="75"/>
        <v>1.9820084012434735E-63</v>
      </c>
      <c r="Z95" s="272">
        <f t="shared" si="53"/>
        <v>8</v>
      </c>
      <c r="AA95" s="282">
        <f t="shared" si="74"/>
        <v>0</v>
      </c>
      <c r="AB95" s="254">
        <f t="shared" si="68"/>
        <v>0</v>
      </c>
      <c r="AC95" s="280">
        <f t="shared" si="69"/>
        <v>0</v>
      </c>
      <c r="AD95" s="270"/>
      <c r="AE95" s="282">
        <f t="shared" si="70"/>
        <v>41.28</v>
      </c>
      <c r="AF95" s="282">
        <f t="shared" si="76"/>
        <v>6.2628787878787868</v>
      </c>
      <c r="AG95" s="254">
        <f t="shared" si="76"/>
        <v>5.8650000000000002</v>
      </c>
      <c r="AH95" s="280">
        <f t="shared" si="76"/>
        <v>5.4671212121212136</v>
      </c>
      <c r="AI95" s="254">
        <f t="shared" si="54"/>
        <v>8</v>
      </c>
      <c r="AJ95" s="280">
        <f t="shared" si="55"/>
        <v>8.4909999999999997</v>
      </c>
      <c r="AK95" s="282">
        <f t="shared" si="56"/>
        <v>2.2274049695732998</v>
      </c>
      <c r="AL95" s="254">
        <f t="shared" si="57"/>
        <v>2.6251558569971016</v>
      </c>
      <c r="AM95" s="280">
        <f t="shared" si="58"/>
        <v>3.0229067444209035</v>
      </c>
      <c r="AN95" s="282">
        <f t="shared" si="59"/>
        <v>8.4902837574520866</v>
      </c>
      <c r="AO95" s="254">
        <f t="shared" si="60"/>
        <v>8.4901558569971023</v>
      </c>
      <c r="AP95" s="254">
        <f t="shared" si="61"/>
        <v>8.4900279565421179</v>
      </c>
      <c r="AQ95" s="283">
        <f t="shared" si="62"/>
        <v>1</v>
      </c>
      <c r="AR95" s="284">
        <f t="shared" si="63"/>
        <v>1</v>
      </c>
      <c r="AS95" s="285">
        <f t="shared" si="64"/>
        <v>1</v>
      </c>
      <c r="AT95" s="254">
        <f t="shared" si="65"/>
        <v>0.48</v>
      </c>
      <c r="AU95" s="254">
        <f t="shared" si="66"/>
        <v>0.48</v>
      </c>
      <c r="AV95" s="280">
        <f t="shared" si="67"/>
        <v>0.48</v>
      </c>
      <c r="AX95" s="269">
        <f t="shared" si="71"/>
        <v>41.28</v>
      </c>
      <c r="AY95" s="282">
        <f t="shared" si="77"/>
        <v>6.9854407431350474</v>
      </c>
      <c r="AZ95" s="254">
        <f t="shared" si="77"/>
        <v>10.102770201171472</v>
      </c>
      <c r="BA95" s="280">
        <f t="shared" si="77"/>
        <v>16.336897976776868</v>
      </c>
      <c r="BB95" s="280">
        <f t="shared" si="72"/>
        <v>4.2</v>
      </c>
    </row>
    <row r="96" spans="20:54" ht="15" customHeight="1" x14ac:dyDescent="0.25">
      <c r="T96" s="268">
        <f t="shared" si="73"/>
        <v>87</v>
      </c>
      <c r="V96" s="269">
        <f t="shared" si="52"/>
        <v>41.76</v>
      </c>
      <c r="W96" s="270">
        <f t="shared" si="75"/>
        <v>3.2028180512985819E-47</v>
      </c>
      <c r="X96" s="270">
        <f t="shared" si="75"/>
        <v>1.0794162078578161E-55</v>
      </c>
      <c r="Y96" s="271">
        <f t="shared" si="75"/>
        <v>3.5543431209498361E-64</v>
      </c>
      <c r="Z96" s="272">
        <f t="shared" si="53"/>
        <v>8</v>
      </c>
      <c r="AA96" s="282">
        <f t="shared" si="74"/>
        <v>0</v>
      </c>
      <c r="AB96" s="254">
        <f t="shared" si="68"/>
        <v>0</v>
      </c>
      <c r="AC96" s="280">
        <f t="shared" si="69"/>
        <v>0</v>
      </c>
      <c r="AD96" s="270"/>
      <c r="AE96" s="282">
        <f t="shared" si="70"/>
        <v>41.76</v>
      </c>
      <c r="AF96" s="282">
        <f t="shared" si="76"/>
        <v>6.2628787878787868</v>
      </c>
      <c r="AG96" s="254">
        <f t="shared" si="76"/>
        <v>5.8650000000000002</v>
      </c>
      <c r="AH96" s="280">
        <f t="shared" si="76"/>
        <v>5.4671212121212136</v>
      </c>
      <c r="AI96" s="254">
        <f t="shared" si="54"/>
        <v>8</v>
      </c>
      <c r="AJ96" s="280">
        <f t="shared" si="55"/>
        <v>8.4909999999999997</v>
      </c>
      <c r="AK96" s="282">
        <f t="shared" si="56"/>
        <v>2.2274049695732998</v>
      </c>
      <c r="AL96" s="254">
        <f t="shared" si="57"/>
        <v>2.6251558569971016</v>
      </c>
      <c r="AM96" s="280">
        <f t="shared" si="58"/>
        <v>3.0229067444209035</v>
      </c>
      <c r="AN96" s="282">
        <f t="shared" si="59"/>
        <v>8.4902837574520866</v>
      </c>
      <c r="AO96" s="254">
        <f t="shared" si="60"/>
        <v>8.4901558569971023</v>
      </c>
      <c r="AP96" s="254">
        <f t="shared" si="61"/>
        <v>8.4900279565421179</v>
      </c>
      <c r="AQ96" s="283">
        <f t="shared" si="62"/>
        <v>1</v>
      </c>
      <c r="AR96" s="284">
        <f t="shared" si="63"/>
        <v>1</v>
      </c>
      <c r="AS96" s="285">
        <f t="shared" si="64"/>
        <v>1</v>
      </c>
      <c r="AT96" s="254">
        <f t="shared" si="65"/>
        <v>0.48</v>
      </c>
      <c r="AU96" s="254">
        <f t="shared" si="66"/>
        <v>0.48</v>
      </c>
      <c r="AV96" s="280">
        <f t="shared" si="67"/>
        <v>0.48</v>
      </c>
      <c r="AX96" s="269">
        <f t="shared" si="71"/>
        <v>41.76</v>
      </c>
      <c r="AY96" s="282">
        <f t="shared" si="77"/>
        <v>7.0216598786566085</v>
      </c>
      <c r="AZ96" s="254">
        <f t="shared" si="77"/>
        <v>10.175171232435412</v>
      </c>
      <c r="BA96" s="280">
        <f t="shared" si="77"/>
        <v>16.481679810663469</v>
      </c>
      <c r="BB96" s="280">
        <f t="shared" si="72"/>
        <v>4.2</v>
      </c>
    </row>
    <row r="97" spans="20:54" ht="15" customHeight="1" x14ac:dyDescent="0.25">
      <c r="T97" s="268">
        <f t="shared" si="73"/>
        <v>88</v>
      </c>
      <c r="V97" s="269">
        <f t="shared" si="52"/>
        <v>42.24</v>
      </c>
      <c r="W97" s="270">
        <f t="shared" si="75"/>
        <v>9.028030259640505E-48</v>
      </c>
      <c r="X97" s="270">
        <f t="shared" si="75"/>
        <v>2.4268684392195985E-56</v>
      </c>
      <c r="Y97" s="271">
        <f t="shared" si="75"/>
        <v>6.3740168878785469E-65</v>
      </c>
      <c r="Z97" s="272">
        <f t="shared" si="53"/>
        <v>8</v>
      </c>
      <c r="AA97" s="282">
        <f t="shared" si="74"/>
        <v>0</v>
      </c>
      <c r="AB97" s="254">
        <f t="shared" si="68"/>
        <v>0</v>
      </c>
      <c r="AC97" s="280">
        <f t="shared" si="69"/>
        <v>0</v>
      </c>
      <c r="AD97" s="270"/>
      <c r="AE97" s="282">
        <f t="shared" si="70"/>
        <v>42.24</v>
      </c>
      <c r="AF97" s="282">
        <f t="shared" si="76"/>
        <v>6.2628787878787868</v>
      </c>
      <c r="AG97" s="254">
        <f t="shared" si="76"/>
        <v>5.8650000000000002</v>
      </c>
      <c r="AH97" s="280">
        <f t="shared" si="76"/>
        <v>5.4671212121212136</v>
      </c>
      <c r="AI97" s="254">
        <f t="shared" si="54"/>
        <v>8</v>
      </c>
      <c r="AJ97" s="280">
        <f t="shared" si="55"/>
        <v>8.4909999999999997</v>
      </c>
      <c r="AK97" s="282">
        <f t="shared" si="56"/>
        <v>2.2274049695732998</v>
      </c>
      <c r="AL97" s="254">
        <f t="shared" si="57"/>
        <v>2.6251558569971016</v>
      </c>
      <c r="AM97" s="280">
        <f t="shared" si="58"/>
        <v>3.0229067444209035</v>
      </c>
      <c r="AN97" s="282">
        <f t="shared" si="59"/>
        <v>8.4902837574520866</v>
      </c>
      <c r="AO97" s="254">
        <f t="shared" si="60"/>
        <v>8.4901558569971023</v>
      </c>
      <c r="AP97" s="254">
        <f t="shared" si="61"/>
        <v>8.4900279565421179</v>
      </c>
      <c r="AQ97" s="283">
        <f t="shared" si="62"/>
        <v>1</v>
      </c>
      <c r="AR97" s="284">
        <f t="shared" si="63"/>
        <v>1</v>
      </c>
      <c r="AS97" s="285">
        <f t="shared" si="64"/>
        <v>1</v>
      </c>
      <c r="AT97" s="254">
        <f t="shared" si="65"/>
        <v>0.48</v>
      </c>
      <c r="AU97" s="254">
        <f t="shared" si="66"/>
        <v>0.48</v>
      </c>
      <c r="AV97" s="280">
        <f t="shared" si="67"/>
        <v>0.48</v>
      </c>
      <c r="AX97" s="269">
        <f t="shared" si="71"/>
        <v>42.24</v>
      </c>
      <c r="AY97" s="282">
        <f t="shared" si="77"/>
        <v>7.0578780842443489</v>
      </c>
      <c r="AZ97" s="254">
        <f t="shared" si="77"/>
        <v>10.247571794744852</v>
      </c>
      <c r="BA97" s="280">
        <f t="shared" si="77"/>
        <v>16.626461294147937</v>
      </c>
      <c r="BB97" s="280">
        <f t="shared" si="72"/>
        <v>4.2</v>
      </c>
    </row>
    <row r="98" spans="20:54" ht="15" customHeight="1" x14ac:dyDescent="0.25">
      <c r="T98" s="268">
        <f t="shared" si="73"/>
        <v>89</v>
      </c>
      <c r="V98" s="269">
        <f t="shared" si="52"/>
        <v>42.72</v>
      </c>
      <c r="W98" s="270">
        <f t="shared" si="75"/>
        <v>2.5448005182792269E-48</v>
      </c>
      <c r="X98" s="270">
        <f t="shared" si="75"/>
        <v>5.4563664862590019E-57</v>
      </c>
      <c r="Y98" s="271">
        <f t="shared" si="75"/>
        <v>1.143054845985295E-65</v>
      </c>
      <c r="Z98" s="272">
        <f t="shared" si="53"/>
        <v>8</v>
      </c>
      <c r="AA98" s="282">
        <f t="shared" si="74"/>
        <v>0</v>
      </c>
      <c r="AB98" s="254">
        <f t="shared" si="68"/>
        <v>0</v>
      </c>
      <c r="AC98" s="280">
        <f t="shared" si="69"/>
        <v>0</v>
      </c>
      <c r="AD98" s="270"/>
      <c r="AE98" s="282">
        <f t="shared" si="70"/>
        <v>42.72</v>
      </c>
      <c r="AF98" s="282">
        <f t="shared" si="76"/>
        <v>6.2628787878787868</v>
      </c>
      <c r="AG98" s="254">
        <f t="shared" si="76"/>
        <v>5.8650000000000002</v>
      </c>
      <c r="AH98" s="280">
        <f t="shared" si="76"/>
        <v>5.4671212121212136</v>
      </c>
      <c r="AI98" s="254">
        <f t="shared" si="54"/>
        <v>8</v>
      </c>
      <c r="AJ98" s="280">
        <f t="shared" si="55"/>
        <v>8.4909999999999997</v>
      </c>
      <c r="AK98" s="282">
        <f t="shared" si="56"/>
        <v>2.2274049695732998</v>
      </c>
      <c r="AL98" s="254">
        <f t="shared" si="57"/>
        <v>2.6251558569971016</v>
      </c>
      <c r="AM98" s="280">
        <f t="shared" si="58"/>
        <v>3.0229067444209035</v>
      </c>
      <c r="AN98" s="282">
        <f t="shared" si="59"/>
        <v>8.4902837574520866</v>
      </c>
      <c r="AO98" s="254">
        <f t="shared" si="60"/>
        <v>8.4901558569971023</v>
      </c>
      <c r="AP98" s="254">
        <f t="shared" si="61"/>
        <v>8.4900279565421179</v>
      </c>
      <c r="AQ98" s="283">
        <f t="shared" si="62"/>
        <v>1</v>
      </c>
      <c r="AR98" s="284">
        <f t="shared" si="63"/>
        <v>1</v>
      </c>
      <c r="AS98" s="285">
        <f t="shared" si="64"/>
        <v>1</v>
      </c>
      <c r="AT98" s="254">
        <f t="shared" si="65"/>
        <v>0.48</v>
      </c>
      <c r="AU98" s="254">
        <f t="shared" si="66"/>
        <v>0.48</v>
      </c>
      <c r="AV98" s="280">
        <f t="shared" si="67"/>
        <v>0.48</v>
      </c>
      <c r="AX98" s="269">
        <f t="shared" si="71"/>
        <v>42.72</v>
      </c>
      <c r="AY98" s="282">
        <f t="shared" si="77"/>
        <v>7.0940954067720128</v>
      </c>
      <c r="AZ98" s="254">
        <f t="shared" si="77"/>
        <v>10.319971907045234</v>
      </c>
      <c r="BA98" s="280">
        <f t="shared" si="77"/>
        <v>16.771242440108065</v>
      </c>
      <c r="BB98" s="280">
        <f t="shared" si="72"/>
        <v>4.2</v>
      </c>
    </row>
    <row r="99" spans="20:54" ht="15" customHeight="1" x14ac:dyDescent="0.25">
      <c r="T99" s="268">
        <f t="shared" si="73"/>
        <v>90</v>
      </c>
      <c r="V99" s="269">
        <f t="shared" si="52"/>
        <v>43.2</v>
      </c>
      <c r="W99" s="270">
        <f t="shared" si="75"/>
        <v>7.1732254894900082E-49</v>
      </c>
      <c r="X99" s="270">
        <f t="shared" si="75"/>
        <v>1.2267634599073384E-57</v>
      </c>
      <c r="Y99" s="271">
        <f t="shared" si="75"/>
        <v>2.0498445547189811E-66</v>
      </c>
      <c r="Z99" s="272">
        <f t="shared" si="53"/>
        <v>8</v>
      </c>
      <c r="AA99" s="282">
        <f t="shared" si="74"/>
        <v>0</v>
      </c>
      <c r="AB99" s="254">
        <f t="shared" si="68"/>
        <v>0</v>
      </c>
      <c r="AC99" s="280">
        <f t="shared" si="69"/>
        <v>0</v>
      </c>
      <c r="AD99" s="270"/>
      <c r="AE99" s="282">
        <f t="shared" si="70"/>
        <v>43.2</v>
      </c>
      <c r="AF99" s="282">
        <f t="shared" si="76"/>
        <v>6.2628787878787868</v>
      </c>
      <c r="AG99" s="254">
        <f t="shared" si="76"/>
        <v>5.8650000000000002</v>
      </c>
      <c r="AH99" s="280">
        <f t="shared" si="76"/>
        <v>5.4671212121212136</v>
      </c>
      <c r="AI99" s="254">
        <f t="shared" si="54"/>
        <v>8</v>
      </c>
      <c r="AJ99" s="280">
        <f t="shared" si="55"/>
        <v>8.4909999999999997</v>
      </c>
      <c r="AK99" s="282">
        <f t="shared" si="56"/>
        <v>2.2274049695732998</v>
      </c>
      <c r="AL99" s="254">
        <f t="shared" si="57"/>
        <v>2.6251558569971016</v>
      </c>
      <c r="AM99" s="280">
        <f t="shared" si="58"/>
        <v>3.0229067444209035</v>
      </c>
      <c r="AN99" s="282">
        <f t="shared" si="59"/>
        <v>8.4902837574520866</v>
      </c>
      <c r="AO99" s="254">
        <f t="shared" si="60"/>
        <v>8.4901558569971023</v>
      </c>
      <c r="AP99" s="254">
        <f t="shared" si="61"/>
        <v>8.4900279565421179</v>
      </c>
      <c r="AQ99" s="283">
        <f t="shared" si="62"/>
        <v>1</v>
      </c>
      <c r="AR99" s="284">
        <f t="shared" si="63"/>
        <v>1</v>
      </c>
      <c r="AS99" s="285">
        <f t="shared" si="64"/>
        <v>1</v>
      </c>
      <c r="AT99" s="254">
        <f t="shared" si="65"/>
        <v>0.48</v>
      </c>
      <c r="AU99" s="254">
        <f t="shared" si="66"/>
        <v>0.48</v>
      </c>
      <c r="AV99" s="280">
        <f t="shared" si="67"/>
        <v>0.48</v>
      </c>
      <c r="AX99" s="269">
        <f t="shared" si="71"/>
        <v>43.2</v>
      </c>
      <c r="AY99" s="282">
        <f t="shared" si="77"/>
        <v>7.1303118900151414</v>
      </c>
      <c r="AZ99" s="254">
        <f t="shared" si="77"/>
        <v>10.392371587275049</v>
      </c>
      <c r="BA99" s="280">
        <f t="shared" si="77"/>
        <v>16.916023260798259</v>
      </c>
      <c r="BB99" s="280">
        <f t="shared" si="72"/>
        <v>4.2</v>
      </c>
    </row>
    <row r="100" spans="20:54" ht="15" customHeight="1" x14ac:dyDescent="0.25">
      <c r="T100" s="268">
        <f t="shared" si="73"/>
        <v>91</v>
      </c>
      <c r="V100" s="269">
        <f t="shared" si="52"/>
        <v>43.68</v>
      </c>
      <c r="W100" s="270">
        <f t="shared" si="75"/>
        <v>2.021972392471197E-49</v>
      </c>
      <c r="X100" s="270">
        <f t="shared" si="75"/>
        <v>2.7581515837579547E-58</v>
      </c>
      <c r="Y100" s="271">
        <f t="shared" si="75"/>
        <v>3.6759939501320425E-67</v>
      </c>
      <c r="Z100" s="272">
        <f t="shared" si="53"/>
        <v>8</v>
      </c>
      <c r="AA100" s="282">
        <f t="shared" si="74"/>
        <v>0</v>
      </c>
      <c r="AB100" s="254">
        <f t="shared" si="68"/>
        <v>0</v>
      </c>
      <c r="AC100" s="280">
        <f t="shared" si="69"/>
        <v>0</v>
      </c>
      <c r="AD100" s="270"/>
      <c r="AE100" s="282">
        <f t="shared" si="70"/>
        <v>43.68</v>
      </c>
      <c r="AF100" s="282">
        <f t="shared" si="76"/>
        <v>6.2628787878787868</v>
      </c>
      <c r="AG100" s="254">
        <f t="shared" si="76"/>
        <v>5.8650000000000002</v>
      </c>
      <c r="AH100" s="280">
        <f t="shared" si="76"/>
        <v>5.4671212121212136</v>
      </c>
      <c r="AI100" s="254">
        <f t="shared" si="54"/>
        <v>8</v>
      </c>
      <c r="AJ100" s="280">
        <f t="shared" si="55"/>
        <v>8.4909999999999997</v>
      </c>
      <c r="AK100" s="282">
        <f t="shared" si="56"/>
        <v>2.2274049695732998</v>
      </c>
      <c r="AL100" s="254">
        <f t="shared" si="57"/>
        <v>2.6251558569971016</v>
      </c>
      <c r="AM100" s="280">
        <f t="shared" si="58"/>
        <v>3.0229067444209035</v>
      </c>
      <c r="AN100" s="282">
        <f t="shared" si="59"/>
        <v>8.4902837574520866</v>
      </c>
      <c r="AO100" s="254">
        <f t="shared" si="60"/>
        <v>8.4901558569971023</v>
      </c>
      <c r="AP100" s="254">
        <f t="shared" si="61"/>
        <v>8.4900279565421179</v>
      </c>
      <c r="AQ100" s="283">
        <f t="shared" si="62"/>
        <v>1</v>
      </c>
      <c r="AR100" s="284">
        <f t="shared" si="63"/>
        <v>1</v>
      </c>
      <c r="AS100" s="285">
        <f t="shared" si="64"/>
        <v>1</v>
      </c>
      <c r="AT100" s="254">
        <f t="shared" si="65"/>
        <v>0.48</v>
      </c>
      <c r="AU100" s="254">
        <f t="shared" si="66"/>
        <v>0.48</v>
      </c>
      <c r="AV100" s="280">
        <f t="shared" si="67"/>
        <v>0.48</v>
      </c>
      <c r="AX100" s="269">
        <f t="shared" si="71"/>
        <v>43.68</v>
      </c>
      <c r="AY100" s="282">
        <f t="shared" si="77"/>
        <v>7.1665275749028883</v>
      </c>
      <c r="AZ100" s="254">
        <f t="shared" si="77"/>
        <v>10.464770852431858</v>
      </c>
      <c r="BA100" s="280">
        <f t="shared" si="77"/>
        <v>17.060803767886782</v>
      </c>
      <c r="BB100" s="280">
        <f t="shared" si="72"/>
        <v>4.2</v>
      </c>
    </row>
    <row r="101" spans="20:54" ht="15" customHeight="1" x14ac:dyDescent="0.25">
      <c r="T101" s="268">
        <f t="shared" si="73"/>
        <v>92</v>
      </c>
      <c r="V101" s="269">
        <f t="shared" si="52"/>
        <v>44.160000000000004</v>
      </c>
      <c r="W101" s="270">
        <f t="shared" si="75"/>
        <v>5.6994895279757404E-50</v>
      </c>
      <c r="X101" s="270">
        <f t="shared" si="75"/>
        <v>6.2011955911701934E-59</v>
      </c>
      <c r="Y101" s="271">
        <f t="shared" si="75"/>
        <v>6.5921737774206572E-68</v>
      </c>
      <c r="Z101" s="272">
        <f t="shared" si="53"/>
        <v>8</v>
      </c>
      <c r="AA101" s="282">
        <f t="shared" si="74"/>
        <v>0</v>
      </c>
      <c r="AB101" s="254">
        <f t="shared" si="68"/>
        <v>0</v>
      </c>
      <c r="AC101" s="280">
        <f t="shared" si="69"/>
        <v>0</v>
      </c>
      <c r="AD101" s="270"/>
      <c r="AE101" s="282">
        <f t="shared" si="70"/>
        <v>44.160000000000004</v>
      </c>
      <c r="AF101" s="282">
        <f t="shared" si="76"/>
        <v>6.2628787878787868</v>
      </c>
      <c r="AG101" s="254">
        <f t="shared" si="76"/>
        <v>5.8650000000000002</v>
      </c>
      <c r="AH101" s="280">
        <f t="shared" si="76"/>
        <v>5.4671212121212136</v>
      </c>
      <c r="AI101" s="254">
        <f t="shared" si="54"/>
        <v>8</v>
      </c>
      <c r="AJ101" s="280">
        <f t="shared" si="55"/>
        <v>8.4909999999999997</v>
      </c>
      <c r="AK101" s="282">
        <f t="shared" si="56"/>
        <v>2.2274049695732998</v>
      </c>
      <c r="AL101" s="254">
        <f t="shared" si="57"/>
        <v>2.6251558569971016</v>
      </c>
      <c r="AM101" s="280">
        <f t="shared" si="58"/>
        <v>3.0229067444209035</v>
      </c>
      <c r="AN101" s="282">
        <f t="shared" si="59"/>
        <v>8.4902837574520866</v>
      </c>
      <c r="AO101" s="254">
        <f t="shared" si="60"/>
        <v>8.4901558569971023</v>
      </c>
      <c r="AP101" s="254">
        <f t="shared" si="61"/>
        <v>8.4900279565421179</v>
      </c>
      <c r="AQ101" s="283">
        <f t="shared" si="62"/>
        <v>1</v>
      </c>
      <c r="AR101" s="284">
        <f t="shared" si="63"/>
        <v>1</v>
      </c>
      <c r="AS101" s="285">
        <f t="shared" si="64"/>
        <v>1</v>
      </c>
      <c r="AT101" s="254">
        <f t="shared" si="65"/>
        <v>0.48</v>
      </c>
      <c r="AU101" s="254">
        <f t="shared" si="66"/>
        <v>0.48</v>
      </c>
      <c r="AV101" s="280">
        <f t="shared" si="67"/>
        <v>0.48</v>
      </c>
      <c r="AX101" s="269">
        <f t="shared" si="71"/>
        <v>44.160000000000004</v>
      </c>
      <c r="AY101" s="282">
        <f t="shared" si="77"/>
        <v>7.2027424997456722</v>
      </c>
      <c r="AZ101" s="254">
        <f t="shared" si="77"/>
        <v>10.537169718633194</v>
      </c>
      <c r="BA101" s="280">
        <f t="shared" si="77"/>
        <v>17.205583972490416</v>
      </c>
      <c r="BB101" s="280">
        <f t="shared" si="72"/>
        <v>4.2</v>
      </c>
    </row>
    <row r="102" spans="20:54" ht="15" customHeight="1" x14ac:dyDescent="0.25">
      <c r="T102" s="268">
        <f t="shared" si="73"/>
        <v>93</v>
      </c>
      <c r="V102" s="269">
        <f t="shared" si="52"/>
        <v>44.64</v>
      </c>
      <c r="W102" s="270">
        <f t="shared" si="75"/>
        <v>1.6065590707598089E-50</v>
      </c>
      <c r="X102" s="270">
        <f t="shared" si="75"/>
        <v>1.3942245591721765E-59</v>
      </c>
      <c r="Y102" s="271">
        <f t="shared" si="75"/>
        <v>1.1821770030430218E-68</v>
      </c>
      <c r="Z102" s="272">
        <f t="shared" si="53"/>
        <v>8</v>
      </c>
      <c r="AA102" s="282">
        <f t="shared" si="74"/>
        <v>0</v>
      </c>
      <c r="AB102" s="254">
        <f t="shared" si="68"/>
        <v>0</v>
      </c>
      <c r="AC102" s="280">
        <f t="shared" si="69"/>
        <v>0</v>
      </c>
      <c r="AD102" s="270"/>
      <c r="AE102" s="282">
        <f t="shared" si="70"/>
        <v>44.64</v>
      </c>
      <c r="AF102" s="282">
        <f t="shared" si="76"/>
        <v>6.2628787878787868</v>
      </c>
      <c r="AG102" s="254">
        <f t="shared" si="76"/>
        <v>5.8650000000000002</v>
      </c>
      <c r="AH102" s="280">
        <f t="shared" si="76"/>
        <v>5.4671212121212136</v>
      </c>
      <c r="AI102" s="254">
        <f t="shared" si="54"/>
        <v>8</v>
      </c>
      <c r="AJ102" s="280">
        <f t="shared" si="55"/>
        <v>8.4909999999999997</v>
      </c>
      <c r="AK102" s="282">
        <f t="shared" si="56"/>
        <v>2.2274049695732998</v>
      </c>
      <c r="AL102" s="254">
        <f t="shared" si="57"/>
        <v>2.6251558569971016</v>
      </c>
      <c r="AM102" s="280">
        <f t="shared" si="58"/>
        <v>3.0229067444209035</v>
      </c>
      <c r="AN102" s="282">
        <f t="shared" si="59"/>
        <v>8.4902837574520866</v>
      </c>
      <c r="AO102" s="254">
        <f t="shared" si="60"/>
        <v>8.4901558569971023</v>
      </c>
      <c r="AP102" s="254">
        <f t="shared" si="61"/>
        <v>8.4900279565421179</v>
      </c>
      <c r="AQ102" s="283">
        <f t="shared" si="62"/>
        <v>1</v>
      </c>
      <c r="AR102" s="284">
        <f t="shared" si="63"/>
        <v>1</v>
      </c>
      <c r="AS102" s="285">
        <f t="shared" si="64"/>
        <v>1</v>
      </c>
      <c r="AT102" s="254">
        <f t="shared" si="65"/>
        <v>0.48</v>
      </c>
      <c r="AU102" s="254">
        <f t="shared" si="66"/>
        <v>0.48</v>
      </c>
      <c r="AV102" s="280">
        <f t="shared" si="67"/>
        <v>0.48</v>
      </c>
      <c r="AX102" s="269">
        <f t="shared" si="71"/>
        <v>44.64</v>
      </c>
      <c r="AY102" s="282">
        <f t="shared" si="77"/>
        <v>7.2389567004413111</v>
      </c>
      <c r="AZ102" s="254">
        <f t="shared" si="77"/>
        <v>10.609568201172774</v>
      </c>
      <c r="BA102" s="280">
        <f t="shared" si="77"/>
        <v>17.350363885206626</v>
      </c>
      <c r="BB102" s="280">
        <f t="shared" si="72"/>
        <v>4.2</v>
      </c>
    </row>
    <row r="103" spans="20:54" ht="15" customHeight="1" x14ac:dyDescent="0.25">
      <c r="T103" s="268">
        <f t="shared" si="73"/>
        <v>94</v>
      </c>
      <c r="V103" s="269">
        <f t="shared" si="52"/>
        <v>45.12</v>
      </c>
      <c r="W103" s="270">
        <f t="shared" si="75"/>
        <v>4.5285319591724018E-51</v>
      </c>
      <c r="X103" s="270">
        <f t="shared" si="75"/>
        <v>3.1346570073788539E-60</v>
      </c>
      <c r="Y103" s="271">
        <f t="shared" si="75"/>
        <v>2.1200024661221876E-69</v>
      </c>
      <c r="Z103" s="272">
        <f t="shared" si="53"/>
        <v>8</v>
      </c>
      <c r="AA103" s="282">
        <f t="shared" si="74"/>
        <v>0</v>
      </c>
      <c r="AB103" s="254">
        <f t="shared" si="68"/>
        <v>0</v>
      </c>
      <c r="AC103" s="280">
        <f t="shared" si="69"/>
        <v>0</v>
      </c>
      <c r="AD103" s="270"/>
      <c r="AE103" s="282">
        <f t="shared" si="70"/>
        <v>45.12</v>
      </c>
      <c r="AF103" s="282">
        <f t="shared" si="76"/>
        <v>6.2628787878787868</v>
      </c>
      <c r="AG103" s="254">
        <f t="shared" si="76"/>
        <v>5.8650000000000002</v>
      </c>
      <c r="AH103" s="280">
        <f t="shared" si="76"/>
        <v>5.4671212121212136</v>
      </c>
      <c r="AI103" s="254">
        <f t="shared" si="54"/>
        <v>8</v>
      </c>
      <c r="AJ103" s="280">
        <f t="shared" si="55"/>
        <v>8.4909999999999997</v>
      </c>
      <c r="AK103" s="282">
        <f t="shared" si="56"/>
        <v>2.2274049695732998</v>
      </c>
      <c r="AL103" s="254">
        <f t="shared" si="57"/>
        <v>2.6251558569971016</v>
      </c>
      <c r="AM103" s="280">
        <f t="shared" si="58"/>
        <v>3.0229067444209035</v>
      </c>
      <c r="AN103" s="282">
        <f t="shared" si="59"/>
        <v>8.4902837574520866</v>
      </c>
      <c r="AO103" s="254">
        <f t="shared" si="60"/>
        <v>8.4901558569971023</v>
      </c>
      <c r="AP103" s="254">
        <f t="shared" si="61"/>
        <v>8.4900279565421179</v>
      </c>
      <c r="AQ103" s="283">
        <f t="shared" si="62"/>
        <v>1</v>
      </c>
      <c r="AR103" s="284">
        <f t="shared" si="63"/>
        <v>1</v>
      </c>
      <c r="AS103" s="285">
        <f t="shared" si="64"/>
        <v>1</v>
      </c>
      <c r="AT103" s="254">
        <f t="shared" si="65"/>
        <v>0.48</v>
      </c>
      <c r="AU103" s="254">
        <f t="shared" si="66"/>
        <v>0.48</v>
      </c>
      <c r="AV103" s="280">
        <f t="shared" si="67"/>
        <v>0.48</v>
      </c>
      <c r="AX103" s="269">
        <f t="shared" si="71"/>
        <v>45.12</v>
      </c>
      <c r="AY103" s="282">
        <f t="shared" si="77"/>
        <v>7.2751702106620071</v>
      </c>
      <c r="AZ103" s="254">
        <f t="shared" si="77"/>
        <v>10.681966314572481</v>
      </c>
      <c r="BA103" s="280">
        <f t="shared" si="77"/>
        <v>17.495143516143564</v>
      </c>
      <c r="BB103" s="280">
        <f t="shared" si="72"/>
        <v>4.2</v>
      </c>
    </row>
    <row r="104" spans="20:54" ht="15" customHeight="1" x14ac:dyDescent="0.25">
      <c r="T104" s="268">
        <f t="shared" si="73"/>
        <v>95</v>
      </c>
      <c r="V104" s="269">
        <f t="shared" si="52"/>
        <v>45.599999999999994</v>
      </c>
      <c r="W104" s="270">
        <f t="shared" si="75"/>
        <v>1.2764922297906318E-51</v>
      </c>
      <c r="X104" s="270">
        <f t="shared" si="75"/>
        <v>7.0476986574842716E-61</v>
      </c>
      <c r="Y104" s="271">
        <f t="shared" si="75"/>
        <v>3.8018083965389031E-70</v>
      </c>
      <c r="Z104" s="272">
        <f t="shared" si="53"/>
        <v>8</v>
      </c>
      <c r="AA104" s="282">
        <f t="shared" si="74"/>
        <v>0</v>
      </c>
      <c r="AB104" s="254">
        <f t="shared" si="68"/>
        <v>0</v>
      </c>
      <c r="AC104" s="280">
        <f t="shared" si="69"/>
        <v>0</v>
      </c>
      <c r="AD104" s="270"/>
      <c r="AE104" s="282">
        <f t="shared" si="70"/>
        <v>45.599999999999994</v>
      </c>
      <c r="AF104" s="282">
        <f t="shared" si="76"/>
        <v>6.2628787878787868</v>
      </c>
      <c r="AG104" s="254">
        <f t="shared" si="76"/>
        <v>5.8650000000000002</v>
      </c>
      <c r="AH104" s="280">
        <f t="shared" si="76"/>
        <v>5.4671212121212136</v>
      </c>
      <c r="AI104" s="254">
        <f t="shared" si="54"/>
        <v>8</v>
      </c>
      <c r="AJ104" s="280">
        <f t="shared" si="55"/>
        <v>8.4909999999999997</v>
      </c>
      <c r="AK104" s="282">
        <f t="shared" si="56"/>
        <v>2.2274049695732998</v>
      </c>
      <c r="AL104" s="254">
        <f t="shared" si="57"/>
        <v>2.6251558569971016</v>
      </c>
      <c r="AM104" s="280">
        <f t="shared" si="58"/>
        <v>3.0229067444209035</v>
      </c>
      <c r="AN104" s="282">
        <f t="shared" si="59"/>
        <v>8.4902837574520866</v>
      </c>
      <c r="AO104" s="254">
        <f t="shared" si="60"/>
        <v>8.4901558569971023</v>
      </c>
      <c r="AP104" s="254">
        <f t="shared" si="61"/>
        <v>8.4900279565421179</v>
      </c>
      <c r="AQ104" s="283">
        <f t="shared" si="62"/>
        <v>1</v>
      </c>
      <c r="AR104" s="284">
        <f t="shared" si="63"/>
        <v>1</v>
      </c>
      <c r="AS104" s="285">
        <f t="shared" si="64"/>
        <v>1</v>
      </c>
      <c r="AT104" s="254">
        <f t="shared" si="65"/>
        <v>0.48</v>
      </c>
      <c r="AU104" s="254">
        <f t="shared" si="66"/>
        <v>0.48</v>
      </c>
      <c r="AV104" s="280">
        <f t="shared" si="67"/>
        <v>0.48</v>
      </c>
      <c r="AX104" s="269">
        <f t="shared" si="71"/>
        <v>45.599999999999994</v>
      </c>
      <c r="AY104" s="282">
        <f t="shared" si="77"/>
        <v>7.311383062024186</v>
      </c>
      <c r="AZ104" s="254">
        <f t="shared" si="77"/>
        <v>10.754364072630448</v>
      </c>
      <c r="BA104" s="280">
        <f t="shared" si="77"/>
        <v>17.639922874947974</v>
      </c>
      <c r="BB104" s="280">
        <f t="shared" si="72"/>
        <v>4.2</v>
      </c>
    </row>
    <row r="105" spans="20:54" ht="15" customHeight="1" x14ac:dyDescent="0.25">
      <c r="T105" s="268">
        <f t="shared" si="73"/>
        <v>96</v>
      </c>
      <c r="V105" s="269">
        <f t="shared" si="52"/>
        <v>46.08</v>
      </c>
      <c r="W105" s="270">
        <f t="shared" si="75"/>
        <v>3.5981470980136756E-52</v>
      </c>
      <c r="X105" s="270">
        <f t="shared" si="75"/>
        <v>1.5845451751111637E-61</v>
      </c>
      <c r="Y105" s="271">
        <f t="shared" si="75"/>
        <v>6.8177972973925042E-71</v>
      </c>
      <c r="Z105" s="272">
        <f t="shared" si="53"/>
        <v>8</v>
      </c>
      <c r="AA105" s="282">
        <f t="shared" si="74"/>
        <v>0</v>
      </c>
      <c r="AB105" s="254">
        <f t="shared" si="68"/>
        <v>0</v>
      </c>
      <c r="AC105" s="280">
        <f t="shared" si="69"/>
        <v>0</v>
      </c>
      <c r="AD105" s="270"/>
      <c r="AE105" s="282">
        <f t="shared" si="70"/>
        <v>46.08</v>
      </c>
      <c r="AF105" s="282">
        <f t="shared" si="76"/>
        <v>6.2628787878787868</v>
      </c>
      <c r="AG105" s="254">
        <f t="shared" si="76"/>
        <v>5.8650000000000002</v>
      </c>
      <c r="AH105" s="280">
        <f t="shared" si="76"/>
        <v>5.4671212121212136</v>
      </c>
      <c r="AI105" s="254">
        <f t="shared" si="54"/>
        <v>8</v>
      </c>
      <c r="AJ105" s="280">
        <f t="shared" si="55"/>
        <v>8.4909999999999997</v>
      </c>
      <c r="AK105" s="282">
        <f t="shared" si="56"/>
        <v>2.2274049695732998</v>
      </c>
      <c r="AL105" s="254">
        <f t="shared" si="57"/>
        <v>2.6251558569971016</v>
      </c>
      <c r="AM105" s="280">
        <f t="shared" si="58"/>
        <v>3.0229067444209035</v>
      </c>
      <c r="AN105" s="282">
        <f t="shared" si="59"/>
        <v>8.4902837574520866</v>
      </c>
      <c r="AO105" s="254">
        <f t="shared" si="60"/>
        <v>8.4901558569971023</v>
      </c>
      <c r="AP105" s="254">
        <f t="shared" si="61"/>
        <v>8.4900279565421179</v>
      </c>
      <c r="AQ105" s="283">
        <f t="shared" si="62"/>
        <v>1</v>
      </c>
      <c r="AR105" s="284">
        <f t="shared" si="63"/>
        <v>1</v>
      </c>
      <c r="AS105" s="285">
        <f t="shared" si="64"/>
        <v>1</v>
      </c>
      <c r="AT105" s="254">
        <f t="shared" si="65"/>
        <v>0.48</v>
      </c>
      <c r="AU105" s="254">
        <f t="shared" si="66"/>
        <v>0.48</v>
      </c>
      <c r="AV105" s="280">
        <f t="shared" si="67"/>
        <v>0.48</v>
      </c>
      <c r="AX105" s="269">
        <f t="shared" si="71"/>
        <v>46.08</v>
      </c>
      <c r="AY105" s="282">
        <f t="shared" si="77"/>
        <v>7.347595284243031</v>
      </c>
      <c r="AZ105" s="254">
        <f t="shared" si="77"/>
        <v>10.82676148846558</v>
      </c>
      <c r="BA105" s="280">
        <f t="shared" si="77"/>
        <v>17.784701970831225</v>
      </c>
      <c r="BB105" s="280">
        <f t="shared" si="72"/>
        <v>4.2</v>
      </c>
    </row>
    <row r="106" spans="20:54" ht="15" customHeight="1" x14ac:dyDescent="0.25">
      <c r="T106" s="268">
        <f t="shared" si="73"/>
        <v>97</v>
      </c>
      <c r="V106" s="269">
        <f t="shared" si="52"/>
        <v>46.56</v>
      </c>
      <c r="W106" s="270">
        <f t="shared" si="75"/>
        <v>1.0142374733505212E-52</v>
      </c>
      <c r="X106" s="270">
        <f t="shared" si="75"/>
        <v>3.5625578419157882E-62</v>
      </c>
      <c r="Y106" s="271">
        <f t="shared" si="75"/>
        <v>1.2226381537441293E-71</v>
      </c>
      <c r="Z106" s="272">
        <f t="shared" si="53"/>
        <v>8</v>
      </c>
      <c r="AA106" s="282">
        <f t="shared" si="74"/>
        <v>0</v>
      </c>
      <c r="AB106" s="254">
        <f t="shared" si="68"/>
        <v>0</v>
      </c>
      <c r="AC106" s="280">
        <f t="shared" si="69"/>
        <v>0</v>
      </c>
      <c r="AD106" s="270"/>
      <c r="AE106" s="282">
        <f t="shared" si="70"/>
        <v>46.56</v>
      </c>
      <c r="AF106" s="282">
        <f t="shared" si="76"/>
        <v>6.2628787878787868</v>
      </c>
      <c r="AG106" s="254">
        <f t="shared" si="76"/>
        <v>5.8650000000000002</v>
      </c>
      <c r="AH106" s="280">
        <f t="shared" si="76"/>
        <v>5.4671212121212136</v>
      </c>
      <c r="AI106" s="254">
        <f t="shared" si="54"/>
        <v>8</v>
      </c>
      <c r="AJ106" s="280">
        <f t="shared" si="55"/>
        <v>8.4909999999999997</v>
      </c>
      <c r="AK106" s="282">
        <f t="shared" si="56"/>
        <v>2.2274049695732998</v>
      </c>
      <c r="AL106" s="254">
        <f t="shared" si="57"/>
        <v>2.6251558569971016</v>
      </c>
      <c r="AM106" s="280">
        <f t="shared" si="58"/>
        <v>3.0229067444209035</v>
      </c>
      <c r="AN106" s="282">
        <f t="shared" si="59"/>
        <v>8.4902837574520866</v>
      </c>
      <c r="AO106" s="254">
        <f t="shared" si="60"/>
        <v>8.4901558569971023</v>
      </c>
      <c r="AP106" s="254">
        <f t="shared" si="61"/>
        <v>8.4900279565421179</v>
      </c>
      <c r="AQ106" s="283">
        <f t="shared" si="62"/>
        <v>1</v>
      </c>
      <c r="AR106" s="284">
        <f t="shared" si="63"/>
        <v>1</v>
      </c>
      <c r="AS106" s="285">
        <f t="shared" si="64"/>
        <v>1</v>
      </c>
      <c r="AT106" s="254">
        <f t="shared" si="65"/>
        <v>0.48</v>
      </c>
      <c r="AU106" s="254">
        <f t="shared" si="66"/>
        <v>0.48</v>
      </c>
      <c r="AV106" s="280">
        <f t="shared" si="67"/>
        <v>0.48</v>
      </c>
      <c r="AX106" s="269">
        <f t="shared" si="71"/>
        <v>46.56</v>
      </c>
      <c r="AY106" s="282">
        <f t="shared" si="77"/>
        <v>7.3838069052732767</v>
      </c>
      <c r="AZ106" s="254">
        <f t="shared" si="77"/>
        <v>10.899158574558852</v>
      </c>
      <c r="BA106" s="280">
        <f t="shared" si="77"/>
        <v>17.929480812593599</v>
      </c>
      <c r="BB106" s="280">
        <f t="shared" si="72"/>
        <v>4.2</v>
      </c>
    </row>
    <row r="107" spans="20:54" ht="15" customHeight="1" x14ac:dyDescent="0.25">
      <c r="T107" s="268">
        <f t="shared" si="73"/>
        <v>98</v>
      </c>
      <c r="V107" s="269">
        <f t="shared" si="52"/>
        <v>47.04</v>
      </c>
      <c r="W107" s="270">
        <f t="shared" si="75"/>
        <v>2.8589093895476111E-53</v>
      </c>
      <c r="X107" s="270">
        <f t="shared" si="75"/>
        <v>8.0097548346046018E-63</v>
      </c>
      <c r="Y107" s="271">
        <f t="shared" si="75"/>
        <v>2.1925615998624736E-72</v>
      </c>
      <c r="Z107" s="272">
        <f t="shared" si="53"/>
        <v>8</v>
      </c>
      <c r="AA107" s="282">
        <f t="shared" si="74"/>
        <v>0</v>
      </c>
      <c r="AB107" s="254">
        <f t="shared" si="68"/>
        <v>0</v>
      </c>
      <c r="AC107" s="280">
        <f t="shared" si="69"/>
        <v>0</v>
      </c>
      <c r="AD107" s="270"/>
      <c r="AE107" s="282">
        <f t="shared" si="70"/>
        <v>47.04</v>
      </c>
      <c r="AF107" s="282">
        <f t="shared" si="76"/>
        <v>6.2628787878787868</v>
      </c>
      <c r="AG107" s="254">
        <f t="shared" si="76"/>
        <v>5.8650000000000002</v>
      </c>
      <c r="AH107" s="280">
        <f t="shared" si="76"/>
        <v>5.4671212121212136</v>
      </c>
      <c r="AI107" s="254">
        <f t="shared" si="54"/>
        <v>8</v>
      </c>
      <c r="AJ107" s="280">
        <f t="shared" si="55"/>
        <v>8.4909999999999997</v>
      </c>
      <c r="AK107" s="282">
        <f t="shared" si="56"/>
        <v>2.2274049695732998</v>
      </c>
      <c r="AL107" s="254">
        <f t="shared" si="57"/>
        <v>2.6251558569971016</v>
      </c>
      <c r="AM107" s="280">
        <f t="shared" si="58"/>
        <v>3.0229067444209035</v>
      </c>
      <c r="AN107" s="282">
        <f t="shared" si="59"/>
        <v>8.4902837574520866</v>
      </c>
      <c r="AO107" s="254">
        <f t="shared" si="60"/>
        <v>8.4901558569971023</v>
      </c>
      <c r="AP107" s="254">
        <f t="shared" si="61"/>
        <v>8.4900279565421179</v>
      </c>
      <c r="AQ107" s="283">
        <f t="shared" si="62"/>
        <v>1</v>
      </c>
      <c r="AR107" s="284">
        <f t="shared" si="63"/>
        <v>1</v>
      </c>
      <c r="AS107" s="285">
        <f t="shared" si="64"/>
        <v>1</v>
      </c>
      <c r="AT107" s="254">
        <f t="shared" si="65"/>
        <v>0.48</v>
      </c>
      <c r="AU107" s="254">
        <f t="shared" si="66"/>
        <v>0.48</v>
      </c>
      <c r="AV107" s="280">
        <f t="shared" si="67"/>
        <v>0.48</v>
      </c>
      <c r="AX107" s="269">
        <f t="shared" si="71"/>
        <v>47.04</v>
      </c>
      <c r="AY107" s="282">
        <f t="shared" si="77"/>
        <v>7.4200179514376803</v>
      </c>
      <c r="AZ107" s="254">
        <f t="shared" si="77"/>
        <v>10.971555342791616</v>
      </c>
      <c r="BA107" s="280">
        <f t="shared" si="77"/>
        <v>18.074259408646974</v>
      </c>
      <c r="BB107" s="280">
        <f t="shared" si="72"/>
        <v>4.2</v>
      </c>
    </row>
    <row r="108" spans="20:54" ht="15" customHeight="1" x14ac:dyDescent="0.25">
      <c r="T108" s="268">
        <f t="shared" si="73"/>
        <v>99</v>
      </c>
      <c r="V108" s="269">
        <f t="shared" si="52"/>
        <v>47.519999999999996</v>
      </c>
      <c r="W108" s="270">
        <f t="shared" si="75"/>
        <v>8.0586283906891869E-54</v>
      </c>
      <c r="X108" s="270">
        <f t="shared" si="75"/>
        <v>1.8008457787164348E-63</v>
      </c>
      <c r="Y108" s="271">
        <f t="shared" si="75"/>
        <v>3.9319289639946537E-73</v>
      </c>
      <c r="Z108" s="272">
        <f t="shared" si="53"/>
        <v>8</v>
      </c>
      <c r="AA108" s="282">
        <f t="shared" si="74"/>
        <v>0</v>
      </c>
      <c r="AB108" s="254">
        <f t="shared" si="68"/>
        <v>0</v>
      </c>
      <c r="AC108" s="280">
        <f t="shared" si="69"/>
        <v>0</v>
      </c>
      <c r="AD108" s="270"/>
      <c r="AE108" s="282">
        <f t="shared" si="70"/>
        <v>47.519999999999996</v>
      </c>
      <c r="AF108" s="282">
        <f t="shared" si="76"/>
        <v>6.2628787878787868</v>
      </c>
      <c r="AG108" s="254">
        <f t="shared" si="76"/>
        <v>5.8650000000000002</v>
      </c>
      <c r="AH108" s="280">
        <f t="shared" si="76"/>
        <v>5.4671212121212136</v>
      </c>
      <c r="AI108" s="254">
        <f t="shared" si="54"/>
        <v>8</v>
      </c>
      <c r="AJ108" s="280">
        <f t="shared" si="55"/>
        <v>8.4909999999999997</v>
      </c>
      <c r="AK108" s="282">
        <f t="shared" si="56"/>
        <v>2.2274049695732998</v>
      </c>
      <c r="AL108" s="254">
        <f t="shared" si="57"/>
        <v>2.6251558569971016</v>
      </c>
      <c r="AM108" s="280">
        <f t="shared" si="58"/>
        <v>3.0229067444209035</v>
      </c>
      <c r="AN108" s="282">
        <f t="shared" si="59"/>
        <v>8.4902837574520866</v>
      </c>
      <c r="AO108" s="254">
        <f t="shared" si="60"/>
        <v>8.4901558569971023</v>
      </c>
      <c r="AP108" s="254">
        <f t="shared" si="61"/>
        <v>8.4900279565421179</v>
      </c>
      <c r="AQ108" s="283">
        <f t="shared" si="62"/>
        <v>1</v>
      </c>
      <c r="AR108" s="284">
        <f t="shared" si="63"/>
        <v>1</v>
      </c>
      <c r="AS108" s="285">
        <f t="shared" si="64"/>
        <v>1</v>
      </c>
      <c r="AT108" s="254">
        <f t="shared" si="65"/>
        <v>0.48</v>
      </c>
      <c r="AU108" s="254">
        <f t="shared" si="66"/>
        <v>0.48</v>
      </c>
      <c r="AV108" s="280">
        <f t="shared" si="67"/>
        <v>0.48</v>
      </c>
      <c r="AX108" s="269">
        <f t="shared" si="71"/>
        <v>47.519999999999996</v>
      </c>
      <c r="AY108" s="282">
        <f t="shared" si="77"/>
        <v>7.4562284475443974</v>
      </c>
      <c r="AZ108" s="254">
        <f t="shared" si="77"/>
        <v>11.043951804481178</v>
      </c>
      <c r="BA108" s="280">
        <f t="shared" si="77"/>
        <v>18.219037767036003</v>
      </c>
      <c r="BB108" s="280">
        <f t="shared" si="72"/>
        <v>4.2</v>
      </c>
    </row>
    <row r="109" spans="20:54" ht="15" customHeight="1" x14ac:dyDescent="0.25">
      <c r="T109" s="291">
        <f t="shared" si="73"/>
        <v>100</v>
      </c>
      <c r="V109" s="292">
        <f t="shared" si="52"/>
        <v>48</v>
      </c>
      <c r="W109" s="293">
        <f t="shared" si="75"/>
        <v>2.2715477369325477E-54</v>
      </c>
      <c r="X109" s="293">
        <f t="shared" si="75"/>
        <v>4.0488698913852513E-64</v>
      </c>
      <c r="Y109" s="294">
        <f t="shared" si="75"/>
        <v>7.0511430004382931E-74</v>
      </c>
      <c r="Z109" s="295">
        <f t="shared" si="53"/>
        <v>8</v>
      </c>
      <c r="AA109" s="255">
        <f t="shared" si="74"/>
        <v>0</v>
      </c>
      <c r="AB109" s="252">
        <f t="shared" si="68"/>
        <v>0</v>
      </c>
      <c r="AC109" s="253">
        <f t="shared" si="69"/>
        <v>0</v>
      </c>
      <c r="AD109" s="270"/>
      <c r="AE109" s="255">
        <f t="shared" si="70"/>
        <v>48</v>
      </c>
      <c r="AF109" s="255">
        <f t="shared" si="76"/>
        <v>6.2628787878787868</v>
      </c>
      <c r="AG109" s="252">
        <f t="shared" si="76"/>
        <v>5.8650000000000002</v>
      </c>
      <c r="AH109" s="253">
        <f t="shared" si="76"/>
        <v>5.4671212121212136</v>
      </c>
      <c r="AI109" s="252">
        <f t="shared" si="54"/>
        <v>8</v>
      </c>
      <c r="AJ109" s="253">
        <f t="shared" si="55"/>
        <v>8.4909999999999997</v>
      </c>
      <c r="AK109" s="255">
        <f t="shared" si="56"/>
        <v>2.2274049695732998</v>
      </c>
      <c r="AL109" s="252">
        <f t="shared" si="57"/>
        <v>2.6251558569971016</v>
      </c>
      <c r="AM109" s="253">
        <f t="shared" si="58"/>
        <v>3.0229067444209035</v>
      </c>
      <c r="AN109" s="255">
        <f t="shared" si="59"/>
        <v>8.4902837574520866</v>
      </c>
      <c r="AO109" s="252">
        <f t="shared" si="60"/>
        <v>8.4901558569971023</v>
      </c>
      <c r="AP109" s="252">
        <f t="shared" si="61"/>
        <v>8.4900279565421179</v>
      </c>
      <c r="AQ109" s="296">
        <f t="shared" si="62"/>
        <v>1</v>
      </c>
      <c r="AR109" s="297">
        <f t="shared" si="63"/>
        <v>1</v>
      </c>
      <c r="AS109" s="298">
        <f t="shared" si="64"/>
        <v>1</v>
      </c>
      <c r="AT109" s="252">
        <f t="shared" si="65"/>
        <v>0.48</v>
      </c>
      <c r="AU109" s="252">
        <f t="shared" si="66"/>
        <v>0.48</v>
      </c>
      <c r="AV109" s="253">
        <f t="shared" si="67"/>
        <v>0.48</v>
      </c>
      <c r="AX109" s="292">
        <f t="shared" si="71"/>
        <v>48</v>
      </c>
      <c r="AY109" s="255">
        <f t="shared" si="77"/>
        <v>7.4924384169943767</v>
      </c>
      <c r="AZ109" s="252">
        <f t="shared" si="77"/>
        <v>11.116347970413891</v>
      </c>
      <c r="BA109" s="253">
        <f t="shared" si="77"/>
        <v>18.363815895457964</v>
      </c>
      <c r="BB109" s="253">
        <f t="shared" si="72"/>
        <v>4.2</v>
      </c>
    </row>
    <row r="110" spans="20:54" ht="15" customHeight="1" x14ac:dyDescent="0.25">
      <c r="AY110" s="299"/>
      <c r="AZ110" s="299"/>
      <c r="BA110" s="299"/>
    </row>
    <row r="111" spans="20:54" ht="15" customHeight="1" x14ac:dyDescent="0.25">
      <c r="AY111" s="299"/>
      <c r="AZ111" s="299"/>
      <c r="BA111" s="299"/>
    </row>
    <row r="112" spans="20:54" ht="15" customHeight="1" x14ac:dyDescent="0.25">
      <c r="AY112" s="299"/>
      <c r="AZ112" s="299"/>
      <c r="BA112" s="299"/>
    </row>
    <row r="113" spans="2:53" ht="15" customHeight="1" x14ac:dyDescent="0.25">
      <c r="AY113" s="299"/>
      <c r="AZ113" s="299"/>
      <c r="BA113" s="299"/>
    </row>
    <row r="114" spans="2:53" ht="15" customHeight="1" x14ac:dyDescent="0.25">
      <c r="AY114" s="299"/>
      <c r="AZ114" s="299"/>
      <c r="BA114" s="299"/>
    </row>
    <row r="115" spans="2:53" ht="15" customHeight="1" x14ac:dyDescent="0.25">
      <c r="AY115" s="299"/>
      <c r="AZ115" s="299"/>
      <c r="BA115" s="299"/>
    </row>
    <row r="116" spans="2:53" ht="15" customHeight="1" x14ac:dyDescent="0.25">
      <c r="B116" s="300"/>
      <c r="AY116" s="299"/>
      <c r="AZ116" s="299"/>
      <c r="BA116" s="299"/>
    </row>
    <row r="117" spans="2:53" ht="15" customHeight="1" x14ac:dyDescent="0.25">
      <c r="B117" s="300"/>
      <c r="AY117" s="299"/>
      <c r="AZ117" s="299"/>
      <c r="BA117" s="299"/>
    </row>
    <row r="118" spans="2:53" ht="15" customHeight="1" x14ac:dyDescent="0.25">
      <c r="B118" s="300"/>
      <c r="AY118" s="299"/>
      <c r="AZ118" s="299"/>
      <c r="BA118" s="299"/>
    </row>
    <row r="119" spans="2:53" ht="15" customHeight="1" x14ac:dyDescent="0.25">
      <c r="B119" s="300"/>
      <c r="AY119" s="299"/>
      <c r="AZ119" s="299"/>
      <c r="BA119" s="299"/>
    </row>
    <row r="120" spans="2:53" ht="15" customHeight="1" x14ac:dyDescent="0.25">
      <c r="B120" s="300"/>
      <c r="AY120" s="299"/>
      <c r="AZ120" s="299"/>
      <c r="BA120" s="299"/>
    </row>
    <row r="121" spans="2:53" ht="15" customHeight="1" x14ac:dyDescent="0.25">
      <c r="B121" s="300"/>
      <c r="AY121" s="299"/>
      <c r="AZ121" s="299"/>
      <c r="BA121" s="299"/>
    </row>
    <row r="122" spans="2:53" ht="15" customHeight="1" x14ac:dyDescent="0.25">
      <c r="B122" s="300"/>
      <c r="AY122" s="299"/>
      <c r="AZ122" s="299"/>
      <c r="BA122" s="299"/>
    </row>
    <row r="123" spans="2:53" ht="15" customHeight="1" x14ac:dyDescent="0.25">
      <c r="B123" s="300"/>
      <c r="AY123" s="299"/>
      <c r="AZ123" s="299"/>
      <c r="BA123" s="299"/>
    </row>
    <row r="124" spans="2:53" ht="15" customHeight="1" x14ac:dyDescent="0.25">
      <c r="B124" s="300"/>
      <c r="AY124" s="299"/>
      <c r="AZ124" s="299"/>
      <c r="BA124" s="299"/>
    </row>
    <row r="125" spans="2:53" ht="15" customHeight="1" x14ac:dyDescent="0.25">
      <c r="B125" s="300"/>
    </row>
    <row r="126" spans="2:53" ht="15" customHeight="1" x14ac:dyDescent="0.25">
      <c r="B126" s="300"/>
    </row>
    <row r="127" spans="2:53" ht="15" customHeight="1" x14ac:dyDescent="0.25">
      <c r="B127" s="300"/>
    </row>
    <row r="128" spans="2:53" ht="15" customHeight="1" x14ac:dyDescent="0.25">
      <c r="B128" s="300"/>
    </row>
    <row r="129" spans="2:2" ht="15" customHeight="1" x14ac:dyDescent="0.25">
      <c r="B129" s="300"/>
    </row>
  </sheetData>
  <mergeCells count="5">
    <mergeCell ref="B12:B13"/>
    <mergeCell ref="AN8:AP8"/>
    <mergeCell ref="W8:Y8"/>
    <mergeCell ref="AF8:AH8"/>
    <mergeCell ref="AK8:AM8"/>
  </mergeCells>
  <pageMargins left="0.7" right="0.7" top="0.75" bottom="0.75" header="0.3" footer="0.3"/>
  <pageSetup paperSize="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N231"/>
  <sheetViews>
    <sheetView zoomScale="25" zoomScaleNormal="25" workbookViewId="0">
      <selection activeCell="R2" sqref="R2"/>
    </sheetView>
  </sheetViews>
  <sheetFormatPr baseColWidth="10" defaultColWidth="6.7109375" defaultRowHeight="15" customHeight="1" x14ac:dyDescent="0.2"/>
  <cols>
    <col min="1" max="16384" width="6.7109375" style="435"/>
  </cols>
  <sheetData>
    <row r="2" spans="1:31" ht="15" customHeight="1" x14ac:dyDescent="0.25">
      <c r="A2" s="432"/>
      <c r="B2" s="166" t="s">
        <v>202</v>
      </c>
      <c r="C2" s="433">
        <v>2.14</v>
      </c>
      <c r="D2" s="432"/>
      <c r="E2" s="1236" t="s">
        <v>203</v>
      </c>
      <c r="F2" s="1236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Z2" s="434"/>
      <c r="AA2" s="434"/>
      <c r="AB2" s="434"/>
      <c r="AC2" s="434"/>
      <c r="AD2" s="434"/>
      <c r="AE2" s="434"/>
    </row>
    <row r="3" spans="1:31" ht="15" customHeight="1" x14ac:dyDescent="0.2">
      <c r="B3" s="1237" t="s">
        <v>204</v>
      </c>
      <c r="C3" s="1237"/>
      <c r="D3" s="1237"/>
      <c r="E3" s="1237"/>
      <c r="F3" s="1237"/>
      <c r="G3" s="1237"/>
      <c r="H3" s="1237"/>
      <c r="I3" s="1237"/>
      <c r="J3" s="1237"/>
      <c r="K3" s="1237"/>
      <c r="L3" s="1237"/>
      <c r="M3" s="1237"/>
      <c r="N3" s="1237"/>
      <c r="O3" s="1237"/>
      <c r="P3" s="1237"/>
      <c r="Q3" s="1237"/>
      <c r="R3" s="1237"/>
      <c r="S3" s="1237"/>
      <c r="T3" s="436"/>
      <c r="Z3" s="436"/>
      <c r="AA3" s="436"/>
      <c r="AB3" s="436"/>
      <c r="AC3" s="436"/>
    </row>
    <row r="4" spans="1:31" ht="15" customHeight="1" x14ac:dyDescent="0.25">
      <c r="A4" s="1238" t="s">
        <v>205</v>
      </c>
      <c r="B4" s="1240" t="s">
        <v>206</v>
      </c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  <c r="R4" s="1240"/>
      <c r="S4" s="1241"/>
      <c r="T4" s="437"/>
    </row>
    <row r="5" spans="1:31" ht="15" customHeight="1" x14ac:dyDescent="0.2">
      <c r="A5" s="1239"/>
      <c r="B5" s="438">
        <v>120</v>
      </c>
      <c r="C5" s="438">
        <v>100</v>
      </c>
      <c r="D5" s="438">
        <v>72</v>
      </c>
      <c r="E5" s="438">
        <v>48</v>
      </c>
      <c r="F5" s="438">
        <v>36</v>
      </c>
      <c r="G5" s="438">
        <v>24</v>
      </c>
      <c r="H5" s="438">
        <v>20</v>
      </c>
      <c r="I5" s="438">
        <v>16</v>
      </c>
      <c r="J5" s="438">
        <v>12</v>
      </c>
      <c r="K5" s="438">
        <v>10</v>
      </c>
      <c r="L5" s="438">
        <v>8</v>
      </c>
      <c r="M5" s="438">
        <v>7</v>
      </c>
      <c r="N5" s="438">
        <v>6</v>
      </c>
      <c r="O5" s="438">
        <v>5</v>
      </c>
      <c r="P5" s="438">
        <v>4</v>
      </c>
      <c r="Q5" s="438">
        <v>3</v>
      </c>
      <c r="R5" s="438">
        <v>2</v>
      </c>
      <c r="S5" s="439">
        <v>1</v>
      </c>
      <c r="T5" s="437"/>
      <c r="Z5" s="440"/>
      <c r="AA5" s="440"/>
    </row>
    <row r="6" spans="1:31" ht="15" customHeight="1" x14ac:dyDescent="0.2">
      <c r="A6" s="441">
        <v>1.75</v>
      </c>
      <c r="B6" s="442">
        <v>2.4</v>
      </c>
      <c r="C6" s="443">
        <v>2.9</v>
      </c>
      <c r="D6" s="443">
        <v>3.9</v>
      </c>
      <c r="E6" s="443">
        <v>5.6</v>
      </c>
      <c r="F6" s="443">
        <v>7.3</v>
      </c>
      <c r="G6" s="443">
        <v>10</v>
      </c>
      <c r="H6" s="443">
        <v>12</v>
      </c>
      <c r="I6" s="443">
        <v>14</v>
      </c>
      <c r="J6" s="443">
        <v>18</v>
      </c>
      <c r="K6" s="443">
        <v>22</v>
      </c>
      <c r="L6" s="444">
        <v>26</v>
      </c>
      <c r="M6" s="443">
        <v>29</v>
      </c>
      <c r="N6" s="443">
        <v>33</v>
      </c>
      <c r="O6" s="443">
        <v>37</v>
      </c>
      <c r="P6" s="443">
        <v>44</v>
      </c>
      <c r="Q6" s="444">
        <v>55</v>
      </c>
      <c r="R6" s="443">
        <v>75</v>
      </c>
      <c r="S6" s="445">
        <v>116</v>
      </c>
      <c r="T6" s="440"/>
      <c r="Z6" s="440"/>
      <c r="AA6" s="440"/>
    </row>
    <row r="7" spans="1:31" ht="15" customHeight="1" x14ac:dyDescent="0.2">
      <c r="A7" s="441">
        <v>1.78</v>
      </c>
      <c r="B7" s="446">
        <v>2.4</v>
      </c>
      <c r="C7" s="447">
        <v>2.9</v>
      </c>
      <c r="D7" s="447">
        <v>3.9</v>
      </c>
      <c r="E7" s="447">
        <v>5.6</v>
      </c>
      <c r="F7" s="447">
        <v>7.2</v>
      </c>
      <c r="G7" s="448">
        <v>10</v>
      </c>
      <c r="H7" s="447">
        <v>12</v>
      </c>
      <c r="I7" s="447">
        <v>14</v>
      </c>
      <c r="J7" s="447">
        <v>18</v>
      </c>
      <c r="K7" s="447">
        <v>21</v>
      </c>
      <c r="L7" s="447">
        <v>25</v>
      </c>
      <c r="M7" s="447">
        <v>28</v>
      </c>
      <c r="N7" s="447">
        <v>32</v>
      </c>
      <c r="O7" s="447">
        <v>37</v>
      </c>
      <c r="P7" s="447">
        <v>44</v>
      </c>
      <c r="Q7" s="447">
        <v>54</v>
      </c>
      <c r="R7" s="447">
        <v>73</v>
      </c>
      <c r="S7" s="449">
        <v>114</v>
      </c>
      <c r="T7" s="440"/>
    </row>
    <row r="8" spans="1:31" ht="15" customHeight="1" x14ac:dyDescent="0.2">
      <c r="A8" s="441">
        <v>1.8</v>
      </c>
      <c r="B8" s="446">
        <v>2.4</v>
      </c>
      <c r="C8" s="447">
        <v>2.8</v>
      </c>
      <c r="D8" s="447">
        <v>3.9</v>
      </c>
      <c r="E8" s="447">
        <v>5.6</v>
      </c>
      <c r="F8" s="447">
        <v>7.2</v>
      </c>
      <c r="G8" s="447">
        <v>10</v>
      </c>
      <c r="H8" s="447">
        <v>12</v>
      </c>
      <c r="I8" s="447">
        <v>14</v>
      </c>
      <c r="J8" s="447">
        <v>18</v>
      </c>
      <c r="K8" s="450">
        <v>21</v>
      </c>
      <c r="L8" s="447">
        <v>25</v>
      </c>
      <c r="M8" s="447">
        <v>28</v>
      </c>
      <c r="N8" s="447">
        <v>32</v>
      </c>
      <c r="O8" s="447">
        <v>36</v>
      </c>
      <c r="P8" s="447">
        <v>43</v>
      </c>
      <c r="Q8" s="447">
        <v>53</v>
      </c>
      <c r="R8" s="447">
        <v>72</v>
      </c>
      <c r="S8" s="449">
        <v>111</v>
      </c>
      <c r="T8" s="440"/>
      <c r="AB8" s="451"/>
    </row>
    <row r="9" spans="1:31" ht="15" customHeight="1" x14ac:dyDescent="0.2">
      <c r="A9" s="441">
        <v>1.81</v>
      </c>
      <c r="B9" s="446">
        <v>2.4</v>
      </c>
      <c r="C9" s="447">
        <v>2.8</v>
      </c>
      <c r="D9" s="447">
        <v>3.8</v>
      </c>
      <c r="E9" s="447">
        <v>5.5</v>
      </c>
      <c r="F9" s="447">
        <v>7.1</v>
      </c>
      <c r="G9" s="447">
        <v>10</v>
      </c>
      <c r="H9" s="447">
        <v>12</v>
      </c>
      <c r="I9" s="447">
        <v>14</v>
      </c>
      <c r="J9" s="447">
        <v>18</v>
      </c>
      <c r="K9" s="447">
        <v>21</v>
      </c>
      <c r="L9" s="447">
        <v>25</v>
      </c>
      <c r="M9" s="447">
        <v>28</v>
      </c>
      <c r="N9" s="447">
        <v>31</v>
      </c>
      <c r="O9" s="447">
        <v>36</v>
      </c>
      <c r="P9" s="447">
        <v>43</v>
      </c>
      <c r="Q9" s="447">
        <v>53</v>
      </c>
      <c r="R9" s="447">
        <v>71</v>
      </c>
      <c r="S9" s="449">
        <v>109</v>
      </c>
      <c r="T9" s="440"/>
    </row>
    <row r="10" spans="1:31" ht="15" customHeight="1" x14ac:dyDescent="0.2">
      <c r="A10" s="441">
        <v>1.83</v>
      </c>
      <c r="B10" s="446">
        <v>2.4</v>
      </c>
      <c r="C10" s="447">
        <v>2.8</v>
      </c>
      <c r="D10" s="447">
        <v>3.8</v>
      </c>
      <c r="E10" s="447">
        <v>5.5</v>
      </c>
      <c r="F10" s="447">
        <v>7.1</v>
      </c>
      <c r="G10" s="447">
        <v>10</v>
      </c>
      <c r="H10" s="447">
        <v>11</v>
      </c>
      <c r="I10" s="447">
        <v>14</v>
      </c>
      <c r="J10" s="450">
        <v>18</v>
      </c>
      <c r="K10" s="447">
        <v>20</v>
      </c>
      <c r="L10" s="447">
        <v>24</v>
      </c>
      <c r="M10" s="447">
        <v>27</v>
      </c>
      <c r="N10" s="447">
        <v>31</v>
      </c>
      <c r="O10" s="447">
        <v>35</v>
      </c>
      <c r="P10" s="447">
        <v>41</v>
      </c>
      <c r="Q10" s="447">
        <v>52</v>
      </c>
      <c r="R10" s="447">
        <v>69</v>
      </c>
      <c r="S10" s="449">
        <v>106</v>
      </c>
      <c r="T10" s="440"/>
      <c r="AD10" s="436"/>
      <c r="AE10" s="436"/>
    </row>
    <row r="11" spans="1:31" ht="15" customHeight="1" x14ac:dyDescent="0.2">
      <c r="A11" s="441">
        <v>1.84</v>
      </c>
      <c r="B11" s="446">
        <v>2.4</v>
      </c>
      <c r="C11" s="447">
        <v>2.8</v>
      </c>
      <c r="D11" s="447">
        <v>3.8</v>
      </c>
      <c r="E11" s="447">
        <v>5.4</v>
      </c>
      <c r="F11" s="447">
        <v>7</v>
      </c>
      <c r="G11" s="447">
        <v>10</v>
      </c>
      <c r="H11" s="447">
        <v>11</v>
      </c>
      <c r="I11" s="447">
        <v>14</v>
      </c>
      <c r="J11" s="447">
        <v>18</v>
      </c>
      <c r="K11" s="447">
        <v>20</v>
      </c>
      <c r="L11" s="447">
        <v>24</v>
      </c>
      <c r="M11" s="447">
        <v>27</v>
      </c>
      <c r="N11" s="447">
        <v>30</v>
      </c>
      <c r="O11" s="447">
        <v>35</v>
      </c>
      <c r="P11" s="447">
        <v>41</v>
      </c>
      <c r="Q11" s="447">
        <v>51</v>
      </c>
      <c r="R11" s="447">
        <v>68</v>
      </c>
      <c r="S11" s="449">
        <v>104</v>
      </c>
      <c r="T11" s="440"/>
      <c r="AB11" s="452"/>
      <c r="AD11" s="437"/>
      <c r="AE11" s="437"/>
    </row>
    <row r="12" spans="1:31" ht="15" customHeight="1" x14ac:dyDescent="0.2">
      <c r="A12" s="441">
        <v>1.86</v>
      </c>
      <c r="B12" s="446">
        <v>2.2999999999999998</v>
      </c>
      <c r="C12" s="447">
        <v>2.7</v>
      </c>
      <c r="D12" s="447">
        <v>3.7</v>
      </c>
      <c r="E12" s="447">
        <v>5.3</v>
      </c>
      <c r="F12" s="447">
        <v>6.8</v>
      </c>
      <c r="G12" s="450">
        <v>9.8000000000000007</v>
      </c>
      <c r="H12" s="447">
        <v>11</v>
      </c>
      <c r="I12" s="447">
        <v>14</v>
      </c>
      <c r="J12" s="447">
        <v>17</v>
      </c>
      <c r="K12" s="447">
        <v>20</v>
      </c>
      <c r="L12" s="447">
        <v>24</v>
      </c>
      <c r="M12" s="447">
        <v>26</v>
      </c>
      <c r="N12" s="447">
        <v>30</v>
      </c>
      <c r="O12" s="447">
        <v>34</v>
      </c>
      <c r="P12" s="447">
        <v>40</v>
      </c>
      <c r="Q12" s="447">
        <v>49</v>
      </c>
      <c r="R12" s="447">
        <v>66</v>
      </c>
      <c r="S12" s="449">
        <v>100</v>
      </c>
      <c r="T12" s="440"/>
      <c r="AD12" s="437"/>
      <c r="AE12" s="437"/>
    </row>
    <row r="13" spans="1:31" ht="15" customHeight="1" x14ac:dyDescent="0.2">
      <c r="A13" s="441">
        <v>1.88</v>
      </c>
      <c r="B13" s="446">
        <v>2.2999999999999998</v>
      </c>
      <c r="C13" s="447">
        <v>2.7</v>
      </c>
      <c r="D13" s="447">
        <v>3.6</v>
      </c>
      <c r="E13" s="450">
        <v>5.2</v>
      </c>
      <c r="F13" s="447">
        <v>6.6</v>
      </c>
      <c r="G13" s="447">
        <v>9.5</v>
      </c>
      <c r="H13" s="447">
        <v>11</v>
      </c>
      <c r="I13" s="447">
        <v>13</v>
      </c>
      <c r="J13" s="447">
        <v>17</v>
      </c>
      <c r="K13" s="447">
        <v>19</v>
      </c>
      <c r="L13" s="447">
        <v>23</v>
      </c>
      <c r="M13" s="447">
        <v>25</v>
      </c>
      <c r="N13" s="447">
        <v>28</v>
      </c>
      <c r="O13" s="447">
        <v>32</v>
      </c>
      <c r="P13" s="447">
        <v>38</v>
      </c>
      <c r="Q13" s="447">
        <v>47</v>
      </c>
      <c r="R13" s="447">
        <v>62</v>
      </c>
      <c r="S13" s="449">
        <v>94</v>
      </c>
      <c r="T13" s="440"/>
      <c r="AD13" s="440"/>
      <c r="AE13" s="440"/>
    </row>
    <row r="14" spans="1:31" ht="15" customHeight="1" x14ac:dyDescent="0.2">
      <c r="A14" s="441">
        <v>1.9</v>
      </c>
      <c r="B14" s="446">
        <v>2.2000000000000002</v>
      </c>
      <c r="C14" s="447">
        <v>2.6</v>
      </c>
      <c r="D14" s="450">
        <v>3.4</v>
      </c>
      <c r="E14" s="447">
        <v>4.9000000000000004</v>
      </c>
      <c r="F14" s="447">
        <v>6.3</v>
      </c>
      <c r="G14" s="447">
        <v>9.1</v>
      </c>
      <c r="H14" s="447">
        <v>10</v>
      </c>
      <c r="I14" s="447">
        <v>13</v>
      </c>
      <c r="J14" s="447">
        <v>16</v>
      </c>
      <c r="K14" s="447">
        <v>18</v>
      </c>
      <c r="L14" s="447">
        <v>22</v>
      </c>
      <c r="M14" s="447">
        <v>25</v>
      </c>
      <c r="N14" s="447">
        <v>27</v>
      </c>
      <c r="O14" s="447">
        <v>32</v>
      </c>
      <c r="P14" s="447">
        <v>37</v>
      </c>
      <c r="Q14" s="447">
        <v>46</v>
      </c>
      <c r="R14" s="447">
        <v>59</v>
      </c>
      <c r="S14" s="449">
        <v>89</v>
      </c>
      <c r="T14" s="440"/>
      <c r="AB14" s="452"/>
      <c r="AD14" s="440"/>
      <c r="AE14" s="440"/>
    </row>
    <row r="15" spans="1:31" ht="15" customHeight="1" x14ac:dyDescent="0.2">
      <c r="A15" s="441">
        <v>1.92</v>
      </c>
      <c r="B15" s="446">
        <v>2.1</v>
      </c>
      <c r="C15" s="447">
        <v>2.5</v>
      </c>
      <c r="D15" s="447">
        <v>3.3</v>
      </c>
      <c r="E15" s="447">
        <v>4.7</v>
      </c>
      <c r="F15" s="447">
        <v>6</v>
      </c>
      <c r="G15" s="447">
        <v>8.6</v>
      </c>
      <c r="H15" s="447">
        <v>10</v>
      </c>
      <c r="I15" s="447">
        <v>12</v>
      </c>
      <c r="J15" s="447">
        <v>15</v>
      </c>
      <c r="K15" s="447">
        <v>17</v>
      </c>
      <c r="L15" s="447">
        <v>21</v>
      </c>
      <c r="M15" s="447">
        <v>23</v>
      </c>
      <c r="N15" s="447">
        <v>26</v>
      </c>
      <c r="O15" s="447">
        <v>30</v>
      </c>
      <c r="P15" s="447">
        <v>35</v>
      </c>
      <c r="Q15" s="447">
        <v>43</v>
      </c>
      <c r="R15" s="447">
        <v>56</v>
      </c>
      <c r="S15" s="449">
        <v>83</v>
      </c>
      <c r="T15" s="440"/>
      <c r="AD15" s="440"/>
      <c r="AE15" s="440"/>
    </row>
    <row r="16" spans="1:31" ht="15" customHeight="1" x14ac:dyDescent="0.2">
      <c r="A16" s="453">
        <v>1.94</v>
      </c>
      <c r="B16" s="454">
        <v>2</v>
      </c>
      <c r="C16" s="455">
        <v>2.2999999999999998</v>
      </c>
      <c r="D16" s="455">
        <v>3.1</v>
      </c>
      <c r="E16" s="455">
        <v>4.4000000000000004</v>
      </c>
      <c r="F16" s="455">
        <v>5.7</v>
      </c>
      <c r="G16" s="455">
        <v>8.1</v>
      </c>
      <c r="H16" s="455">
        <v>9.5</v>
      </c>
      <c r="I16" s="455">
        <v>11</v>
      </c>
      <c r="J16" s="455">
        <v>14</v>
      </c>
      <c r="K16" s="455">
        <v>16</v>
      </c>
      <c r="L16" s="455">
        <v>19</v>
      </c>
      <c r="M16" s="455">
        <v>22</v>
      </c>
      <c r="N16" s="455">
        <v>24</v>
      </c>
      <c r="O16" s="455">
        <v>28</v>
      </c>
      <c r="P16" s="455">
        <v>33</v>
      </c>
      <c r="Q16" s="455">
        <v>40</v>
      </c>
      <c r="R16" s="455">
        <v>48</v>
      </c>
      <c r="S16" s="456">
        <v>75</v>
      </c>
      <c r="T16" s="440"/>
    </row>
    <row r="17" spans="1:40" ht="15" customHeight="1" x14ac:dyDescent="0.25">
      <c r="A17" s="457"/>
      <c r="B17" s="440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AB17" s="145"/>
      <c r="AC17" s="452"/>
      <c r="AD17" s="440"/>
      <c r="AE17" s="440"/>
    </row>
    <row r="18" spans="1:40" ht="15" customHeight="1" x14ac:dyDescent="0.2">
      <c r="A18" s="458"/>
      <c r="B18" s="459">
        <f>$B$5</f>
        <v>120</v>
      </c>
      <c r="C18" s="460">
        <f>$C$5</f>
        <v>100</v>
      </c>
      <c r="D18" s="460">
        <f>$D$5</f>
        <v>72</v>
      </c>
      <c r="E18" s="460">
        <f>$E$5</f>
        <v>48</v>
      </c>
      <c r="F18" s="460">
        <f>$F$5</f>
        <v>36</v>
      </c>
      <c r="G18" s="460">
        <f>$G$5</f>
        <v>24</v>
      </c>
      <c r="H18" s="460">
        <f>$H$5</f>
        <v>20</v>
      </c>
      <c r="I18" s="460">
        <f>$I$5</f>
        <v>16</v>
      </c>
      <c r="J18" s="460">
        <f>$J$5</f>
        <v>12</v>
      </c>
      <c r="K18" s="460">
        <f>$K$5</f>
        <v>10</v>
      </c>
      <c r="L18" s="460">
        <f>$L$5</f>
        <v>8</v>
      </c>
      <c r="M18" s="460">
        <f>$M$5</f>
        <v>7</v>
      </c>
      <c r="N18" s="460">
        <f>$N$5</f>
        <v>6</v>
      </c>
      <c r="O18" s="460">
        <f>$O$5</f>
        <v>5</v>
      </c>
      <c r="P18" s="460">
        <f>$P$5</f>
        <v>4</v>
      </c>
      <c r="Q18" s="460">
        <f>$Q$5</f>
        <v>3</v>
      </c>
      <c r="R18" s="460">
        <f>$R$5</f>
        <v>2</v>
      </c>
      <c r="S18" s="461">
        <f>$S$5</f>
        <v>1</v>
      </c>
      <c r="T18" s="462"/>
      <c r="Z18" s="463"/>
      <c r="AA18" s="463"/>
      <c r="AB18" s="463"/>
      <c r="AC18" s="463"/>
      <c r="AD18" s="440"/>
      <c r="AE18" s="440"/>
    </row>
    <row r="19" spans="1:40" ht="15" customHeight="1" x14ac:dyDescent="0.2">
      <c r="A19" s="464">
        <f>$A$6</f>
        <v>1.75</v>
      </c>
      <c r="B19" s="442">
        <f>$B$6</f>
        <v>2.4</v>
      </c>
      <c r="C19" s="443">
        <f>$C$6</f>
        <v>2.9</v>
      </c>
      <c r="D19" s="443">
        <f>$D$6</f>
        <v>3.9</v>
      </c>
      <c r="E19" s="443">
        <f>$E$6</f>
        <v>5.6</v>
      </c>
      <c r="F19" s="443">
        <f>$F$6</f>
        <v>7.3</v>
      </c>
      <c r="G19" s="443">
        <f>$G$6</f>
        <v>10</v>
      </c>
      <c r="H19" s="443">
        <f>$H$6</f>
        <v>12</v>
      </c>
      <c r="I19" s="443">
        <f>$I$6</f>
        <v>14</v>
      </c>
      <c r="J19" s="443">
        <f>$J$6</f>
        <v>18</v>
      </c>
      <c r="K19" s="443">
        <f>$K$6</f>
        <v>22</v>
      </c>
      <c r="L19" s="443">
        <f>$L$6</f>
        <v>26</v>
      </c>
      <c r="M19" s="443">
        <f>$M$6</f>
        <v>29</v>
      </c>
      <c r="N19" s="443">
        <f>$N$6</f>
        <v>33</v>
      </c>
      <c r="O19" s="443">
        <f>$O$6</f>
        <v>37</v>
      </c>
      <c r="P19" s="443">
        <f>$P$6</f>
        <v>44</v>
      </c>
      <c r="Q19" s="443">
        <f>$Q$6</f>
        <v>55</v>
      </c>
      <c r="R19" s="443">
        <f>$R$6</f>
        <v>75</v>
      </c>
      <c r="S19" s="445">
        <f>$S$6</f>
        <v>116</v>
      </c>
      <c r="T19" s="440"/>
    </row>
    <row r="20" spans="1:40" ht="15" customHeight="1" x14ac:dyDescent="0.2">
      <c r="A20" s="441">
        <f>$A$7</f>
        <v>1.78</v>
      </c>
      <c r="B20" s="446">
        <f>$B$7</f>
        <v>2.4</v>
      </c>
      <c r="C20" s="447">
        <f>$C$7</f>
        <v>2.9</v>
      </c>
      <c r="D20" s="447">
        <f>$D$7</f>
        <v>3.9</v>
      </c>
      <c r="E20" s="447">
        <f>$E$7</f>
        <v>5.6</v>
      </c>
      <c r="F20" s="447">
        <f>$F$7</f>
        <v>7.2</v>
      </c>
      <c r="G20" s="447">
        <f>$G$7</f>
        <v>10</v>
      </c>
      <c r="H20" s="447">
        <f>$H$7</f>
        <v>12</v>
      </c>
      <c r="I20" s="447">
        <f>$I$7</f>
        <v>14</v>
      </c>
      <c r="J20" s="447">
        <f>$J$7</f>
        <v>18</v>
      </c>
      <c r="K20" s="447">
        <f>$K$7</f>
        <v>21</v>
      </c>
      <c r="L20" s="447">
        <f>$L$7</f>
        <v>25</v>
      </c>
      <c r="M20" s="447">
        <f>$M$7</f>
        <v>28</v>
      </c>
      <c r="N20" s="447">
        <f>$N$7</f>
        <v>32</v>
      </c>
      <c r="O20" s="447">
        <f>$O$7</f>
        <v>37</v>
      </c>
      <c r="P20" s="447">
        <f>$P$7</f>
        <v>44</v>
      </c>
      <c r="Q20" s="447">
        <f>$Q$7</f>
        <v>54</v>
      </c>
      <c r="R20" s="447">
        <f>$R$7</f>
        <v>73</v>
      </c>
      <c r="S20" s="449">
        <f>$S$7</f>
        <v>114</v>
      </c>
      <c r="T20" s="440"/>
      <c r="AC20" s="465"/>
      <c r="AD20" s="432"/>
    </row>
    <row r="21" spans="1:40" ht="15" customHeight="1" x14ac:dyDescent="0.25">
      <c r="A21" s="441">
        <f>$A$8</f>
        <v>1.8</v>
      </c>
      <c r="B21" s="446">
        <f>$B$8</f>
        <v>2.4</v>
      </c>
      <c r="C21" s="447">
        <f>$C$8</f>
        <v>2.8</v>
      </c>
      <c r="D21" s="447">
        <f>$D$8</f>
        <v>3.9</v>
      </c>
      <c r="E21" s="447">
        <f>$E$8</f>
        <v>5.6</v>
      </c>
      <c r="F21" s="447">
        <f>$F$8</f>
        <v>7.2</v>
      </c>
      <c r="G21" s="447">
        <f>$G$8</f>
        <v>10</v>
      </c>
      <c r="H21" s="447">
        <f>$H$8</f>
        <v>12</v>
      </c>
      <c r="I21" s="447">
        <f>$I$8</f>
        <v>14</v>
      </c>
      <c r="J21" s="447">
        <f>$J$8</f>
        <v>18</v>
      </c>
      <c r="K21" s="447">
        <f>$K$8</f>
        <v>21</v>
      </c>
      <c r="L21" s="447">
        <f>$L$8</f>
        <v>25</v>
      </c>
      <c r="M21" s="447">
        <f>$M$8</f>
        <v>28</v>
      </c>
      <c r="N21" s="447">
        <f>$N$8</f>
        <v>32</v>
      </c>
      <c r="O21" s="447">
        <f>$O$8</f>
        <v>36</v>
      </c>
      <c r="P21" s="447">
        <f>$P$8</f>
        <v>43</v>
      </c>
      <c r="Q21" s="447">
        <f>$Q$8</f>
        <v>53</v>
      </c>
      <c r="R21" s="447">
        <f>$R$8</f>
        <v>72</v>
      </c>
      <c r="S21" s="449">
        <f>$S$8</f>
        <v>111</v>
      </c>
      <c r="T21" s="440"/>
      <c r="Z21" s="136" t="s">
        <v>156</v>
      </c>
      <c r="AA21" s="466">
        <f>X26*1000</f>
        <v>2.185088477643236</v>
      </c>
      <c r="AB21" s="467" t="s">
        <v>207</v>
      </c>
    </row>
    <row r="22" spans="1:40" ht="15" customHeight="1" x14ac:dyDescent="0.25">
      <c r="A22" s="441">
        <f>$A$9</f>
        <v>1.81</v>
      </c>
      <c r="B22" s="446">
        <f>$B$9</f>
        <v>2.4</v>
      </c>
      <c r="C22" s="447">
        <f>$C$9</f>
        <v>2.8</v>
      </c>
      <c r="D22" s="447">
        <f>$D$9</f>
        <v>3.8</v>
      </c>
      <c r="E22" s="447">
        <f>$E$9</f>
        <v>5.5</v>
      </c>
      <c r="F22" s="447">
        <f>$F$9</f>
        <v>7.1</v>
      </c>
      <c r="G22" s="447">
        <f>$G$9</f>
        <v>10</v>
      </c>
      <c r="H22" s="447">
        <f>$H$9</f>
        <v>12</v>
      </c>
      <c r="I22" s="447">
        <f>$I$9</f>
        <v>14</v>
      </c>
      <c r="J22" s="447">
        <f>$J$9</f>
        <v>18</v>
      </c>
      <c r="K22" s="447">
        <f>$K$9</f>
        <v>21</v>
      </c>
      <c r="L22" s="447">
        <f>$L$9</f>
        <v>25</v>
      </c>
      <c r="M22" s="447">
        <f>$M$9</f>
        <v>28</v>
      </c>
      <c r="N22" s="447">
        <f>$N$9</f>
        <v>31</v>
      </c>
      <c r="O22" s="447">
        <f>$O$9</f>
        <v>36</v>
      </c>
      <c r="P22" s="447">
        <f>$P$9</f>
        <v>43</v>
      </c>
      <c r="Q22" s="447">
        <f>$Q$9</f>
        <v>53</v>
      </c>
      <c r="R22" s="447">
        <f>$R$9</f>
        <v>71</v>
      </c>
      <c r="S22" s="449">
        <f>$S$9</f>
        <v>109</v>
      </c>
      <c r="T22" s="440"/>
      <c r="U22" s="468">
        <f>$E$31</f>
        <v>255648.38</v>
      </c>
      <c r="V22" s="468">
        <f>$F$31</f>
        <v>245840.56520000001</v>
      </c>
      <c r="W22" s="468">
        <f>$H$31</f>
        <v>1515.3370000000009</v>
      </c>
      <c r="X22" s="469"/>
      <c r="Y22" s="469"/>
      <c r="Z22" s="136" t="s">
        <v>171</v>
      </c>
      <c r="AA22" s="470">
        <f>1/X29</f>
        <v>256.96115789001169</v>
      </c>
      <c r="AB22" s="471" t="s">
        <v>208</v>
      </c>
    </row>
    <row r="23" spans="1:40" ht="15" customHeight="1" x14ac:dyDescent="0.25">
      <c r="A23" s="441">
        <f>$A$10</f>
        <v>1.83</v>
      </c>
      <c r="B23" s="446">
        <f>$B$10</f>
        <v>2.4</v>
      </c>
      <c r="C23" s="447">
        <f>$C$10</f>
        <v>2.8</v>
      </c>
      <c r="D23" s="447">
        <f>$D$10</f>
        <v>3.8</v>
      </c>
      <c r="E23" s="447">
        <f>$E$10</f>
        <v>5.5</v>
      </c>
      <c r="F23" s="447">
        <f>$F$10</f>
        <v>7.1</v>
      </c>
      <c r="G23" s="447">
        <f>$G$10</f>
        <v>10</v>
      </c>
      <c r="H23" s="447">
        <f>$H$10</f>
        <v>11</v>
      </c>
      <c r="I23" s="447">
        <f>$I$10</f>
        <v>14</v>
      </c>
      <c r="J23" s="447">
        <f>$J$10</f>
        <v>18</v>
      </c>
      <c r="K23" s="447">
        <f>$K$10</f>
        <v>20</v>
      </c>
      <c r="L23" s="447">
        <f>$L$10</f>
        <v>24</v>
      </c>
      <c r="M23" s="447">
        <f>$M$10</f>
        <v>27</v>
      </c>
      <c r="N23" s="447">
        <f>$N$10</f>
        <v>31</v>
      </c>
      <c r="O23" s="447">
        <f>$O$10</f>
        <v>35</v>
      </c>
      <c r="P23" s="447">
        <f>$P$10</f>
        <v>41</v>
      </c>
      <c r="Q23" s="447">
        <f>$Q$10</f>
        <v>52</v>
      </c>
      <c r="R23" s="447">
        <f>$R$10</f>
        <v>69</v>
      </c>
      <c r="S23" s="449">
        <f>$S$10</f>
        <v>106</v>
      </c>
      <c r="T23" s="440"/>
      <c r="U23" s="468">
        <f>$F$31</f>
        <v>245840.56520000001</v>
      </c>
      <c r="V23" s="468">
        <f>$G$31</f>
        <v>805331.60263600061</v>
      </c>
      <c r="W23" s="468">
        <f>$I$31</f>
        <v>3671.2430600000007</v>
      </c>
      <c r="X23" s="472" t="s">
        <v>209</v>
      </c>
      <c r="Y23" s="468">
        <f>MDETERM(U22:V23)</f>
        <v>145444136078.84183</v>
      </c>
      <c r="Z23" s="136" t="s">
        <v>173</v>
      </c>
      <c r="AA23" s="470">
        <f>L6*L5</f>
        <v>208</v>
      </c>
      <c r="AB23" s="471" t="s">
        <v>208</v>
      </c>
    </row>
    <row r="24" spans="1:40" ht="15" customHeight="1" x14ac:dyDescent="0.2">
      <c r="A24" s="441">
        <f>$A$11</f>
        <v>1.84</v>
      </c>
      <c r="B24" s="446">
        <f>$B$11</f>
        <v>2.4</v>
      </c>
      <c r="C24" s="447">
        <f>$C$11</f>
        <v>2.8</v>
      </c>
      <c r="D24" s="447">
        <f>$D$11</f>
        <v>3.8</v>
      </c>
      <c r="E24" s="447">
        <f>$E$11</f>
        <v>5.4</v>
      </c>
      <c r="F24" s="447">
        <f>$F$11</f>
        <v>7</v>
      </c>
      <c r="G24" s="447">
        <f>$G$11</f>
        <v>10</v>
      </c>
      <c r="H24" s="447">
        <f>$H$11</f>
        <v>11</v>
      </c>
      <c r="I24" s="447">
        <f>$I$11</f>
        <v>14</v>
      </c>
      <c r="J24" s="447">
        <f>$J$11</f>
        <v>18</v>
      </c>
      <c r="K24" s="447">
        <f>$K$11</f>
        <v>20</v>
      </c>
      <c r="L24" s="447">
        <f>$L$11</f>
        <v>24</v>
      </c>
      <c r="M24" s="447">
        <f>$M$11</f>
        <v>27</v>
      </c>
      <c r="N24" s="447">
        <f>$N$11</f>
        <v>30</v>
      </c>
      <c r="O24" s="447">
        <f>$O$11</f>
        <v>35</v>
      </c>
      <c r="P24" s="447">
        <f>$P$11</f>
        <v>41</v>
      </c>
      <c r="Q24" s="447">
        <f>$Q$11</f>
        <v>51</v>
      </c>
      <c r="R24" s="447">
        <f>$R$11</f>
        <v>68</v>
      </c>
      <c r="S24" s="449">
        <f>$S$11</f>
        <v>104</v>
      </c>
      <c r="T24" s="440"/>
      <c r="U24" s="469"/>
      <c r="V24" s="469"/>
      <c r="W24" s="469"/>
      <c r="X24" s="469"/>
      <c r="Y24" s="468"/>
    </row>
    <row r="25" spans="1:40" ht="15" customHeight="1" x14ac:dyDescent="0.2">
      <c r="A25" s="441">
        <f>$A$12</f>
        <v>1.86</v>
      </c>
      <c r="B25" s="446">
        <f>$B$12</f>
        <v>2.2999999999999998</v>
      </c>
      <c r="C25" s="447">
        <f>$C$12</f>
        <v>2.7</v>
      </c>
      <c r="D25" s="447">
        <f>$D$12</f>
        <v>3.7</v>
      </c>
      <c r="E25" s="447">
        <f>$E$12</f>
        <v>5.3</v>
      </c>
      <c r="F25" s="447">
        <f>$F$12</f>
        <v>6.8</v>
      </c>
      <c r="G25" s="447">
        <f>$G$12</f>
        <v>9.8000000000000007</v>
      </c>
      <c r="H25" s="447">
        <f>$H$12</f>
        <v>11</v>
      </c>
      <c r="I25" s="447">
        <f>$I$12</f>
        <v>14</v>
      </c>
      <c r="J25" s="447">
        <f>$J$12</f>
        <v>17</v>
      </c>
      <c r="K25" s="447">
        <f>$K$12</f>
        <v>20</v>
      </c>
      <c r="L25" s="447">
        <f>$L$12</f>
        <v>24</v>
      </c>
      <c r="M25" s="447">
        <f>$M$12</f>
        <v>26</v>
      </c>
      <c r="N25" s="447">
        <f>$N$12</f>
        <v>30</v>
      </c>
      <c r="O25" s="447">
        <f>$O$12</f>
        <v>34</v>
      </c>
      <c r="P25" s="447">
        <f>$P$12</f>
        <v>40</v>
      </c>
      <c r="Q25" s="447">
        <f>$Q$12</f>
        <v>49</v>
      </c>
      <c r="R25" s="447">
        <f>$R$12</f>
        <v>66</v>
      </c>
      <c r="S25" s="449">
        <f>$S$12</f>
        <v>100</v>
      </c>
      <c r="T25" s="440"/>
      <c r="U25" s="468">
        <f>$H$31</f>
        <v>1515.3370000000009</v>
      </c>
      <c r="V25" s="468">
        <f>$F$31</f>
        <v>245840.56520000001</v>
      </c>
      <c r="W25" s="472" t="s">
        <v>210</v>
      </c>
      <c r="X25" s="468">
        <f>MDETERM(U25:V26)</f>
        <v>317808305.88665217</v>
      </c>
      <c r="Y25" s="469"/>
    </row>
    <row r="26" spans="1:40" ht="15" customHeight="1" x14ac:dyDescent="0.2">
      <c r="A26" s="441">
        <f>$A$13</f>
        <v>1.88</v>
      </c>
      <c r="B26" s="446">
        <f>$B$12</f>
        <v>2.2999999999999998</v>
      </c>
      <c r="C26" s="447">
        <f>$C$12</f>
        <v>2.7</v>
      </c>
      <c r="D26" s="447">
        <f>$D$12</f>
        <v>3.7</v>
      </c>
      <c r="E26" s="447">
        <f>$E$12</f>
        <v>5.3</v>
      </c>
      <c r="F26" s="447">
        <f>$F$12</f>
        <v>6.8</v>
      </c>
      <c r="G26" s="447">
        <f>$G$12</f>
        <v>9.8000000000000007</v>
      </c>
      <c r="H26" s="447">
        <f>$H$12</f>
        <v>11</v>
      </c>
      <c r="I26" s="447">
        <f>$I$12</f>
        <v>14</v>
      </c>
      <c r="J26" s="447">
        <f>$J$12</f>
        <v>17</v>
      </c>
      <c r="K26" s="447">
        <f>$K$12</f>
        <v>20</v>
      </c>
      <c r="L26" s="447">
        <f>$L$12</f>
        <v>24</v>
      </c>
      <c r="M26" s="447">
        <f>$M$12</f>
        <v>26</v>
      </c>
      <c r="N26" s="447">
        <f>$N$12</f>
        <v>30</v>
      </c>
      <c r="O26" s="447">
        <f>$O$12</f>
        <v>34</v>
      </c>
      <c r="P26" s="447">
        <f>$P$12</f>
        <v>40</v>
      </c>
      <c r="Q26" s="447">
        <f>$Q$12</f>
        <v>49</v>
      </c>
      <c r="R26" s="447">
        <f>$R$12</f>
        <v>66</v>
      </c>
      <c r="S26" s="449">
        <f>$S$12</f>
        <v>100</v>
      </c>
      <c r="T26" s="440"/>
      <c r="U26" s="468">
        <f>$I$31</f>
        <v>3671.2430600000007</v>
      </c>
      <c r="V26" s="468">
        <f>$G$31</f>
        <v>805331.60263600061</v>
      </c>
      <c r="W26" s="472" t="s">
        <v>211</v>
      </c>
      <c r="X26" s="473">
        <f>X25/$Y$23</f>
        <v>2.1850884776432361E-3</v>
      </c>
      <c r="Y26" s="469"/>
    </row>
    <row r="27" spans="1:40" ht="15" customHeight="1" x14ac:dyDescent="0.2">
      <c r="A27" s="441">
        <f>$A$14</f>
        <v>1.9</v>
      </c>
      <c r="B27" s="446">
        <f>$B$14</f>
        <v>2.2000000000000002</v>
      </c>
      <c r="C27" s="447">
        <f>$C$14</f>
        <v>2.6</v>
      </c>
      <c r="D27" s="447">
        <f>$D$14</f>
        <v>3.4</v>
      </c>
      <c r="E27" s="447">
        <f>$E$14</f>
        <v>4.9000000000000004</v>
      </c>
      <c r="F27" s="447">
        <f>$F$14</f>
        <v>6.3</v>
      </c>
      <c r="G27" s="447">
        <f>$G$14</f>
        <v>9.1</v>
      </c>
      <c r="H27" s="447">
        <f>$H$14</f>
        <v>10</v>
      </c>
      <c r="I27" s="447">
        <f>$I$14</f>
        <v>13</v>
      </c>
      <c r="J27" s="447">
        <f>$J$14</f>
        <v>16</v>
      </c>
      <c r="K27" s="447">
        <f>$K$14</f>
        <v>18</v>
      </c>
      <c r="L27" s="447">
        <f>$L$14</f>
        <v>22</v>
      </c>
      <c r="M27" s="447">
        <f>$M$14</f>
        <v>25</v>
      </c>
      <c r="N27" s="447">
        <f>$N$14</f>
        <v>27</v>
      </c>
      <c r="O27" s="447">
        <f>$O$14</f>
        <v>32</v>
      </c>
      <c r="P27" s="447">
        <f>$P$14</f>
        <v>37</v>
      </c>
      <c r="Q27" s="447">
        <f>$Q$14</f>
        <v>46</v>
      </c>
      <c r="R27" s="447">
        <f>$R$14</f>
        <v>59</v>
      </c>
      <c r="S27" s="449">
        <f>$S$14</f>
        <v>89</v>
      </c>
      <c r="T27" s="440"/>
      <c r="U27" s="474"/>
      <c r="V27" s="474"/>
      <c r="W27" s="475"/>
      <c r="X27" s="476"/>
      <c r="Y27" s="469"/>
    </row>
    <row r="28" spans="1:40" ht="15" customHeight="1" x14ac:dyDescent="0.2">
      <c r="A28" s="441">
        <f>$A$15</f>
        <v>1.92</v>
      </c>
      <c r="B28" s="446">
        <f>$B$15</f>
        <v>2.1</v>
      </c>
      <c r="C28" s="447">
        <f>$C$15</f>
        <v>2.5</v>
      </c>
      <c r="D28" s="447">
        <f>$D$15</f>
        <v>3.3</v>
      </c>
      <c r="E28" s="447">
        <f>$E$15</f>
        <v>4.7</v>
      </c>
      <c r="F28" s="447">
        <f>$F$15</f>
        <v>6</v>
      </c>
      <c r="G28" s="447">
        <f>$G$15</f>
        <v>8.6</v>
      </c>
      <c r="H28" s="447">
        <f>$H$15</f>
        <v>10</v>
      </c>
      <c r="I28" s="447">
        <f>$I$15</f>
        <v>12</v>
      </c>
      <c r="J28" s="447">
        <f>$J$15</f>
        <v>15</v>
      </c>
      <c r="K28" s="447">
        <f>$K$15</f>
        <v>17</v>
      </c>
      <c r="L28" s="447">
        <f>$L$15</f>
        <v>21</v>
      </c>
      <c r="M28" s="447">
        <f>$M$15</f>
        <v>23</v>
      </c>
      <c r="N28" s="447">
        <f>$N$15</f>
        <v>26</v>
      </c>
      <c r="O28" s="447">
        <f>$O$15</f>
        <v>30</v>
      </c>
      <c r="P28" s="447">
        <f>$P$15</f>
        <v>35</v>
      </c>
      <c r="Q28" s="447">
        <f>$Q$15</f>
        <v>43</v>
      </c>
      <c r="R28" s="447">
        <f>$R$15</f>
        <v>56</v>
      </c>
      <c r="S28" s="449">
        <f>$S$15</f>
        <v>83</v>
      </c>
      <c r="T28" s="440"/>
      <c r="U28" s="468">
        <f>$E$31</f>
        <v>255648.38</v>
      </c>
      <c r="V28" s="468">
        <f>$H$31</f>
        <v>1515.3370000000009</v>
      </c>
      <c r="W28" s="472" t="s">
        <v>212</v>
      </c>
      <c r="X28" s="468">
        <f>MDETERM(U28:V29)</f>
        <v>566016036.32677031</v>
      </c>
      <c r="Y28" s="469"/>
    </row>
    <row r="29" spans="1:40" ht="15" customHeight="1" x14ac:dyDescent="0.2">
      <c r="A29" s="453">
        <f>$A$16</f>
        <v>1.94</v>
      </c>
      <c r="B29" s="477">
        <f>$B$16</f>
        <v>2</v>
      </c>
      <c r="C29" s="455">
        <f>$C$16</f>
        <v>2.2999999999999998</v>
      </c>
      <c r="D29" s="455">
        <f>$D$16</f>
        <v>3.1</v>
      </c>
      <c r="E29" s="455">
        <f>$E$16</f>
        <v>4.4000000000000004</v>
      </c>
      <c r="F29" s="455">
        <f>$F$16</f>
        <v>5.7</v>
      </c>
      <c r="G29" s="455">
        <f>$G$16</f>
        <v>8.1</v>
      </c>
      <c r="H29" s="455">
        <f>$H$16</f>
        <v>9.5</v>
      </c>
      <c r="I29" s="455">
        <f>$I$16</f>
        <v>11</v>
      </c>
      <c r="J29" s="455">
        <f>$J$16</f>
        <v>14</v>
      </c>
      <c r="K29" s="455">
        <f>$K$16</f>
        <v>16</v>
      </c>
      <c r="L29" s="455">
        <f>$L$16</f>
        <v>19</v>
      </c>
      <c r="M29" s="455">
        <f>$M$16</f>
        <v>22</v>
      </c>
      <c r="N29" s="455">
        <f>$N$16</f>
        <v>24</v>
      </c>
      <c r="O29" s="455">
        <f>$O$16</f>
        <v>28</v>
      </c>
      <c r="P29" s="455">
        <f>$P$16</f>
        <v>33</v>
      </c>
      <c r="Q29" s="455">
        <f>$Q$16</f>
        <v>40</v>
      </c>
      <c r="R29" s="455">
        <f>$R$16</f>
        <v>48</v>
      </c>
      <c r="S29" s="456">
        <f>$S$16</f>
        <v>75</v>
      </c>
      <c r="T29" s="440"/>
      <c r="U29" s="468">
        <f>$F$31</f>
        <v>245840.56520000001</v>
      </c>
      <c r="V29" s="468">
        <f>$I$31</f>
        <v>3671.2430600000007</v>
      </c>
      <c r="W29" s="472" t="s">
        <v>213</v>
      </c>
      <c r="X29" s="473">
        <f>X28/$Y$23</f>
        <v>3.8916387527644729E-3</v>
      </c>
      <c r="Y29" s="469"/>
    </row>
    <row r="30" spans="1:40" ht="15" customHeight="1" x14ac:dyDescent="0.2">
      <c r="A30" s="478"/>
      <c r="B30" s="447"/>
      <c r="C30" s="447"/>
      <c r="D30" s="447"/>
      <c r="E30" s="447"/>
      <c r="F30" s="447"/>
      <c r="G30" s="447"/>
      <c r="H30" s="447"/>
      <c r="I30" s="447"/>
      <c r="J30" s="447"/>
      <c r="K30" s="447"/>
      <c r="L30" s="447"/>
      <c r="M30" s="447"/>
      <c r="N30" s="447"/>
      <c r="O30" s="447"/>
      <c r="P30" s="447"/>
      <c r="Q30" s="447"/>
      <c r="R30" s="447"/>
      <c r="S30" s="447"/>
      <c r="T30" s="440"/>
      <c r="X30" s="465"/>
      <c r="Y30" s="479"/>
    </row>
    <row r="31" spans="1:40" ht="15" customHeight="1" x14ac:dyDescent="0.2">
      <c r="D31" s="480" t="s">
        <v>214</v>
      </c>
      <c r="E31" s="468">
        <f>SUM(E34:E231)</f>
        <v>255648.38</v>
      </c>
      <c r="F31" s="468">
        <f>SUM(F34:F231)</f>
        <v>245840.56520000001</v>
      </c>
      <c r="G31" s="468">
        <f>SUM(G34:G231)</f>
        <v>805331.60263600061</v>
      </c>
      <c r="H31" s="468">
        <f>SUM(H34:H231)</f>
        <v>1515.3370000000009</v>
      </c>
      <c r="I31" s="468">
        <f>SUM(I34:I231)</f>
        <v>3671.2430600000007</v>
      </c>
      <c r="K31" s="481"/>
      <c r="L31" s="482" t="s">
        <v>215</v>
      </c>
      <c r="M31" s="483">
        <f>B16</f>
        <v>2</v>
      </c>
      <c r="N31" s="483">
        <f>D14</f>
        <v>3.4</v>
      </c>
      <c r="O31" s="483">
        <f>E13</f>
        <v>5.2</v>
      </c>
      <c r="P31" s="483">
        <f>G12</f>
        <v>9.8000000000000007</v>
      </c>
      <c r="Q31" s="483">
        <f>J10</f>
        <v>18</v>
      </c>
      <c r="R31" s="483">
        <f>K8</f>
        <v>21</v>
      </c>
      <c r="S31" s="483">
        <f>L6</f>
        <v>26</v>
      </c>
      <c r="T31" s="483">
        <f>Q6</f>
        <v>55</v>
      </c>
      <c r="U31" s="484">
        <v>1.75</v>
      </c>
      <c r="V31" s="485">
        <v>1.8</v>
      </c>
      <c r="W31" s="485">
        <v>1.85</v>
      </c>
      <c r="X31" s="485">
        <v>1.9</v>
      </c>
      <c r="Y31" s="486"/>
      <c r="AA31" s="482" t="s">
        <v>215</v>
      </c>
      <c r="AB31" s="487">
        <f t="shared" ref="AB31:AN31" si="0">M31</f>
        <v>2</v>
      </c>
      <c r="AC31" s="487">
        <f t="shared" si="0"/>
        <v>3.4</v>
      </c>
      <c r="AD31" s="487">
        <f t="shared" si="0"/>
        <v>5.2</v>
      </c>
      <c r="AE31" s="487">
        <f t="shared" si="0"/>
        <v>9.8000000000000007</v>
      </c>
      <c r="AF31" s="487">
        <f t="shared" si="0"/>
        <v>18</v>
      </c>
      <c r="AG31" s="487">
        <f t="shared" si="0"/>
        <v>21</v>
      </c>
      <c r="AH31" s="487">
        <f t="shared" si="0"/>
        <v>26</v>
      </c>
      <c r="AI31" s="487">
        <f t="shared" si="0"/>
        <v>55</v>
      </c>
      <c r="AJ31" s="487">
        <f t="shared" si="0"/>
        <v>1.75</v>
      </c>
      <c r="AK31" s="487">
        <f t="shared" si="0"/>
        <v>1.8</v>
      </c>
      <c r="AL31" s="487">
        <f t="shared" si="0"/>
        <v>1.85</v>
      </c>
      <c r="AM31" s="487">
        <f t="shared" si="0"/>
        <v>1.9</v>
      </c>
      <c r="AN31" s="488">
        <f t="shared" si="0"/>
        <v>0</v>
      </c>
    </row>
    <row r="32" spans="1:40" ht="15" customHeight="1" x14ac:dyDescent="0.35">
      <c r="A32" s="489" t="s">
        <v>160</v>
      </c>
      <c r="B32" s="490" t="s">
        <v>216</v>
      </c>
      <c r="C32" s="491" t="s">
        <v>217</v>
      </c>
      <c r="D32" s="492" t="s">
        <v>218</v>
      </c>
      <c r="E32" s="493" t="s">
        <v>219</v>
      </c>
      <c r="F32" s="494" t="s">
        <v>220</v>
      </c>
      <c r="G32" s="494" t="s">
        <v>221</v>
      </c>
      <c r="H32" s="494" t="s">
        <v>222</v>
      </c>
      <c r="I32" s="495" t="s">
        <v>223</v>
      </c>
      <c r="J32" s="496"/>
      <c r="K32" s="497"/>
      <c r="L32" s="498" t="s">
        <v>224</v>
      </c>
      <c r="M32" s="499"/>
      <c r="N32" s="499"/>
      <c r="O32" s="499"/>
      <c r="P32" s="499"/>
      <c r="Q32" s="499"/>
      <c r="R32" s="499"/>
      <c r="S32" s="499"/>
      <c r="T32" s="499"/>
      <c r="U32" s="500"/>
      <c r="V32" s="501"/>
      <c r="W32" s="501"/>
      <c r="X32" s="501"/>
      <c r="Y32" s="502"/>
      <c r="Z32" s="503"/>
      <c r="AA32" s="504" t="s">
        <v>225</v>
      </c>
      <c r="AB32" s="505">
        <v>12</v>
      </c>
      <c r="AC32" s="506"/>
      <c r="AD32" s="506"/>
      <c r="AE32" s="506"/>
      <c r="AF32" s="506"/>
      <c r="AG32" s="506"/>
      <c r="AH32" s="506"/>
      <c r="AI32" s="506"/>
      <c r="AJ32" s="506"/>
      <c r="AK32" s="506"/>
      <c r="AL32" s="506"/>
      <c r="AM32" s="506"/>
      <c r="AN32" s="507"/>
    </row>
    <row r="33" spans="1:40" ht="15" customHeight="1" x14ac:dyDescent="0.25">
      <c r="J33" s="508"/>
      <c r="K33" s="509">
        <v>0</v>
      </c>
      <c r="L33" s="510">
        <v>0</v>
      </c>
      <c r="M33" s="511">
        <f>$C$2</f>
        <v>2.14</v>
      </c>
      <c r="N33" s="511">
        <f t="shared" ref="N33:T33" si="1">$C$2</f>
        <v>2.14</v>
      </c>
      <c r="O33" s="511">
        <f t="shared" si="1"/>
        <v>2.14</v>
      </c>
      <c r="P33" s="511">
        <f t="shared" si="1"/>
        <v>2.14</v>
      </c>
      <c r="Q33" s="511">
        <f t="shared" si="1"/>
        <v>2.14</v>
      </c>
      <c r="R33" s="511">
        <f t="shared" si="1"/>
        <v>2.14</v>
      </c>
      <c r="S33" s="511">
        <f t="shared" si="1"/>
        <v>2.14</v>
      </c>
      <c r="T33" s="511">
        <f t="shared" si="1"/>
        <v>2.14</v>
      </c>
      <c r="U33" s="481"/>
      <c r="V33" s="512"/>
      <c r="W33" s="512"/>
      <c r="X33" s="512"/>
      <c r="Y33" s="513">
        <f>IF(L33&gt;$AA$23,1000000,-1000000)</f>
        <v>-1000000</v>
      </c>
      <c r="Z33" s="508"/>
      <c r="AA33" s="514">
        <v>0</v>
      </c>
      <c r="AB33" s="515">
        <v>0</v>
      </c>
      <c r="AC33" s="487">
        <v>0</v>
      </c>
      <c r="AD33" s="487">
        <v>0</v>
      </c>
      <c r="AE33" s="487">
        <v>0</v>
      </c>
      <c r="AF33" s="487">
        <v>0</v>
      </c>
      <c r="AG33" s="487">
        <v>0</v>
      </c>
      <c r="AH33" s="487">
        <v>0</v>
      </c>
      <c r="AI33" s="487">
        <v>0</v>
      </c>
      <c r="AJ33" s="481"/>
      <c r="AK33" s="512"/>
      <c r="AL33" s="512"/>
      <c r="AM33" s="512"/>
      <c r="AN33" s="513">
        <f t="shared" ref="AN33:AN84" si="2">IF(AA33&lt;$AA$23,1000000,-1000000)</f>
        <v>1000000</v>
      </c>
    </row>
    <row r="34" spans="1:40" ht="15" customHeight="1" x14ac:dyDescent="0.2">
      <c r="A34" s="516">
        <f>$B$5</f>
        <v>120</v>
      </c>
      <c r="B34" s="442">
        <f>$B$6</f>
        <v>2.4</v>
      </c>
      <c r="C34" s="517">
        <f t="shared" ref="C34:C51" si="3">$A34*B34</f>
        <v>288</v>
      </c>
      <c r="D34" s="518">
        <f>$C$2-$A$19</f>
        <v>0.39000000000000012</v>
      </c>
      <c r="E34" s="519">
        <f>B34^2</f>
        <v>5.76</v>
      </c>
      <c r="F34" s="520">
        <f>(D34*B34*C34)</f>
        <v>269.5680000000001</v>
      </c>
      <c r="G34" s="520">
        <f>(D34*C34)^2</f>
        <v>12615.782400000007</v>
      </c>
      <c r="H34" s="520">
        <f>(D34*B34)</f>
        <v>0.93600000000000028</v>
      </c>
      <c r="I34" s="521">
        <f>((D34^2)*C34)</f>
        <v>43.804800000000029</v>
      </c>
      <c r="K34" s="509">
        <v>0</v>
      </c>
      <c r="L34" s="522">
        <f t="shared" ref="L34:L84" si="4">($AA$22/$K$84)*$K34</f>
        <v>0</v>
      </c>
      <c r="M34" s="506">
        <f t="shared" ref="M34:T49" si="5">IF(($C$2-(($AA$21/1000)/(1-($L34)/($AA$22)))*M$31)&lt;0,0,($C$2-(($AA$21/1000)/(1-($L34)/($AA$22)))*M$31))</f>
        <v>2.1356298230447135</v>
      </c>
      <c r="N34" s="506">
        <f t="shared" si="5"/>
        <v>2.1325706991760129</v>
      </c>
      <c r="O34" s="506">
        <f t="shared" si="5"/>
        <v>2.1286375399162552</v>
      </c>
      <c r="P34" s="506">
        <f t="shared" si="5"/>
        <v>2.1185861329190963</v>
      </c>
      <c r="Q34" s="506">
        <f t="shared" si="5"/>
        <v>2.1006684074024218</v>
      </c>
      <c r="R34" s="506">
        <f t="shared" si="5"/>
        <v>2.0941131419694923</v>
      </c>
      <c r="S34" s="506">
        <f t="shared" si="5"/>
        <v>2.0831876995812761</v>
      </c>
      <c r="T34" s="506">
        <f t="shared" si="5"/>
        <v>2.0198201337296222</v>
      </c>
      <c r="U34" s="523">
        <f>$U$31</f>
        <v>1.75</v>
      </c>
      <c r="V34" s="506">
        <f>$V$31</f>
        <v>1.8</v>
      </c>
      <c r="W34" s="506">
        <f>$W$31</f>
        <v>1.85</v>
      </c>
      <c r="X34" s="506">
        <f>$X$31</f>
        <v>1.9</v>
      </c>
      <c r="Y34" s="524">
        <f t="shared" ref="Y34:Y84" si="6">IF(L34&gt;$AA$23,1000000,-1000000)</f>
        <v>-1000000</v>
      </c>
      <c r="AA34" s="525">
        <f t="shared" ref="AA34:AA84" si="7">($AB$32/$K$84)*$K34</f>
        <v>0</v>
      </c>
      <c r="AB34" s="523">
        <f>$C$2-(($AA$21/1000)/(1-($AA34*AB$31)/$AA$22))*AB$31</f>
        <v>2.1356298230447135</v>
      </c>
      <c r="AC34" s="506">
        <f t="shared" ref="AC34:AI34" si="8">$C$2-(($AA$21/1000)/(1-($AA34*AC$31)/$AA$22))*AC$31</f>
        <v>2.1325706991760129</v>
      </c>
      <c r="AD34" s="506">
        <f t="shared" si="8"/>
        <v>2.1286375399162552</v>
      </c>
      <c r="AE34" s="506">
        <f t="shared" si="8"/>
        <v>2.1185861329190963</v>
      </c>
      <c r="AF34" s="506">
        <f t="shared" si="8"/>
        <v>2.1006684074024218</v>
      </c>
      <c r="AG34" s="506">
        <f t="shared" si="8"/>
        <v>2.0941131419694923</v>
      </c>
      <c r="AH34" s="506">
        <f t="shared" si="8"/>
        <v>2.0831876995812761</v>
      </c>
      <c r="AI34" s="506">
        <f t="shared" si="8"/>
        <v>2.0198201337296222</v>
      </c>
      <c r="AJ34" s="523">
        <f>$U$31</f>
        <v>1.75</v>
      </c>
      <c r="AK34" s="506">
        <f>$V$31</f>
        <v>1.8</v>
      </c>
      <c r="AL34" s="506">
        <f>$W$31</f>
        <v>1.85</v>
      </c>
      <c r="AM34" s="506">
        <f>$X$31</f>
        <v>1.9</v>
      </c>
      <c r="AN34" s="524">
        <f t="shared" si="2"/>
        <v>1000000</v>
      </c>
    </row>
    <row r="35" spans="1:40" s="463" customFormat="1" ht="15" customHeight="1" x14ac:dyDescent="0.2">
      <c r="A35" s="526">
        <f>$C$5</f>
        <v>100</v>
      </c>
      <c r="B35" s="446">
        <f>$C$6</f>
        <v>2.9</v>
      </c>
      <c r="C35" s="527">
        <f t="shared" si="3"/>
        <v>290</v>
      </c>
      <c r="D35" s="528">
        <f t="shared" ref="D35:D51" si="9">$C$2-$A$19</f>
        <v>0.39000000000000012</v>
      </c>
      <c r="E35" s="529">
        <f t="shared" ref="E35:E98" si="10">B35^2</f>
        <v>8.41</v>
      </c>
      <c r="F35" s="530">
        <f t="shared" ref="F35:F98" si="11">(D35*B35*C35)</f>
        <v>327.99000000000007</v>
      </c>
      <c r="G35" s="530">
        <f t="shared" ref="G35:G98" si="12">(D35*C35)^2</f>
        <v>12791.610000000008</v>
      </c>
      <c r="H35" s="530">
        <f t="shared" ref="H35:H98" si="13">(D35*B35)</f>
        <v>1.1310000000000002</v>
      </c>
      <c r="I35" s="531">
        <f t="shared" ref="I35:I98" si="14">((D35^2)*C35)</f>
        <v>44.10900000000003</v>
      </c>
      <c r="K35" s="509">
        <f>1+K34</f>
        <v>1</v>
      </c>
      <c r="L35" s="522">
        <f t="shared" si="4"/>
        <v>5.1392231578002336</v>
      </c>
      <c r="M35" s="506">
        <f t="shared" si="5"/>
        <v>2.135540635759912</v>
      </c>
      <c r="N35" s="506">
        <f t="shared" si="5"/>
        <v>2.1324190807918502</v>
      </c>
      <c r="O35" s="506">
        <f t="shared" si="5"/>
        <v>2.1284056529757707</v>
      </c>
      <c r="P35" s="506">
        <f t="shared" si="5"/>
        <v>2.1181491152235679</v>
      </c>
      <c r="Q35" s="506">
        <f t="shared" si="5"/>
        <v>2.0998657218392061</v>
      </c>
      <c r="R35" s="506">
        <f t="shared" si="5"/>
        <v>2.0931766754790737</v>
      </c>
      <c r="S35" s="506">
        <f t="shared" si="5"/>
        <v>2.0820282648788528</v>
      </c>
      <c r="T35" s="506">
        <f t="shared" si="5"/>
        <v>2.0173674833975737</v>
      </c>
      <c r="U35" s="523">
        <f t="shared" ref="U35:U84" si="15">$U$31</f>
        <v>1.75</v>
      </c>
      <c r="V35" s="506">
        <f t="shared" ref="V35:V84" si="16">$V$31</f>
        <v>1.8</v>
      </c>
      <c r="W35" s="506">
        <f t="shared" ref="W35:W84" si="17">$W$31</f>
        <v>1.85</v>
      </c>
      <c r="X35" s="506">
        <f t="shared" ref="X35:X84" si="18">$X$31</f>
        <v>1.9</v>
      </c>
      <c r="Y35" s="524">
        <f t="shared" si="6"/>
        <v>-1000000</v>
      </c>
      <c r="AA35" s="525">
        <f t="shared" si="7"/>
        <v>0.24</v>
      </c>
      <c r="AB35" s="523">
        <f t="shared" ref="AB35:AI50" si="19">$C$2-(($AA$21/1000)/(1-($AA35*AB$31)/$AA$22))*AB$31</f>
        <v>2.1356216443349956</v>
      </c>
      <c r="AC35" s="506">
        <f t="shared" si="19"/>
        <v>2.1325470316996404</v>
      </c>
      <c r="AD35" s="506">
        <f t="shared" si="19"/>
        <v>2.1285820857882727</v>
      </c>
      <c r="AE35" s="506">
        <f t="shared" si="19"/>
        <v>2.1183883182929781</v>
      </c>
      <c r="AF35" s="506">
        <f t="shared" si="19"/>
        <v>2.0999958626696453</v>
      </c>
      <c r="AG35" s="506">
        <f t="shared" si="19"/>
        <v>2.0931951175907111</v>
      </c>
      <c r="AH35" s="506">
        <f t="shared" si="19"/>
        <v>2.0817737433057215</v>
      </c>
      <c r="AI35" s="506">
        <f t="shared" si="19"/>
        <v>2.013312229646377</v>
      </c>
      <c r="AJ35" s="523">
        <f t="shared" ref="AJ35:AJ84" si="20">$U$31</f>
        <v>1.75</v>
      </c>
      <c r="AK35" s="506">
        <f t="shared" ref="AK35:AK84" si="21">$V$31</f>
        <v>1.8</v>
      </c>
      <c r="AL35" s="506">
        <f t="shared" ref="AL35:AL84" si="22">$W$31</f>
        <v>1.85</v>
      </c>
      <c r="AM35" s="506">
        <f t="shared" ref="AM35:AM84" si="23">$X$31</f>
        <v>1.9</v>
      </c>
      <c r="AN35" s="524">
        <f t="shared" si="2"/>
        <v>1000000</v>
      </c>
    </row>
    <row r="36" spans="1:40" ht="15" customHeight="1" x14ac:dyDescent="0.2">
      <c r="A36" s="526">
        <f>$D$5</f>
        <v>72</v>
      </c>
      <c r="B36" s="446">
        <f>$D$6</f>
        <v>3.9</v>
      </c>
      <c r="C36" s="527">
        <f t="shared" si="3"/>
        <v>280.8</v>
      </c>
      <c r="D36" s="528">
        <f t="shared" si="9"/>
        <v>0.39000000000000012</v>
      </c>
      <c r="E36" s="529">
        <f t="shared" si="10"/>
        <v>15.209999999999999</v>
      </c>
      <c r="F36" s="530">
        <f t="shared" si="11"/>
        <v>427.09680000000014</v>
      </c>
      <c r="G36" s="530">
        <f t="shared" si="12"/>
        <v>11992.878144000009</v>
      </c>
      <c r="H36" s="530">
        <f t="shared" si="13"/>
        <v>1.5210000000000004</v>
      </c>
      <c r="I36" s="531">
        <f t="shared" si="14"/>
        <v>42.709680000000027</v>
      </c>
      <c r="K36" s="509">
        <f t="shared" ref="K36:K84" si="24">1+K35</f>
        <v>2</v>
      </c>
      <c r="L36" s="522">
        <f t="shared" si="4"/>
        <v>10.278446315600467</v>
      </c>
      <c r="M36" s="506">
        <f t="shared" si="5"/>
        <v>2.1354477323382435</v>
      </c>
      <c r="N36" s="506">
        <f t="shared" si="5"/>
        <v>2.1322611449750135</v>
      </c>
      <c r="O36" s="506">
        <f t="shared" si="5"/>
        <v>2.1281641040794326</v>
      </c>
      <c r="P36" s="506">
        <f t="shared" si="5"/>
        <v>2.1176938884573921</v>
      </c>
      <c r="Q36" s="506">
        <f t="shared" si="5"/>
        <v>2.0990295910441894</v>
      </c>
      <c r="R36" s="506">
        <f t="shared" si="5"/>
        <v>2.0922011895515542</v>
      </c>
      <c r="S36" s="506">
        <f t="shared" si="5"/>
        <v>2.0808205203971624</v>
      </c>
      <c r="T36" s="506">
        <f t="shared" si="5"/>
        <v>2.0148126393016899</v>
      </c>
      <c r="U36" s="523">
        <f t="shared" si="15"/>
        <v>1.75</v>
      </c>
      <c r="V36" s="506">
        <f t="shared" si="16"/>
        <v>1.8</v>
      </c>
      <c r="W36" s="506">
        <f t="shared" si="17"/>
        <v>1.85</v>
      </c>
      <c r="X36" s="506">
        <f t="shared" si="18"/>
        <v>1.9</v>
      </c>
      <c r="Y36" s="524">
        <f t="shared" si="6"/>
        <v>-1000000</v>
      </c>
      <c r="AA36" s="525">
        <f t="shared" si="7"/>
        <v>0.48</v>
      </c>
      <c r="AB36" s="523">
        <f t="shared" si="19"/>
        <v>2.1356134349552547</v>
      </c>
      <c r="AC36" s="506">
        <f t="shared" si="19"/>
        <v>2.1325232129466887</v>
      </c>
      <c r="AD36" s="506">
        <f t="shared" si="19"/>
        <v>2.1285260877213688</v>
      </c>
      <c r="AE36" s="506">
        <f t="shared" si="19"/>
        <v>2.1181868148914491</v>
      </c>
      <c r="AF36" s="506">
        <f t="shared" si="19"/>
        <v>2.0992999176493514</v>
      </c>
      <c r="AG36" s="506">
        <f t="shared" si="19"/>
        <v>2.0922396108628631</v>
      </c>
      <c r="AH36" s="506">
        <f t="shared" si="19"/>
        <v>2.0802876089757469</v>
      </c>
      <c r="AI36" s="506">
        <f t="shared" si="19"/>
        <v>2.0060591494486033</v>
      </c>
      <c r="AJ36" s="523">
        <f t="shared" si="20"/>
        <v>1.75</v>
      </c>
      <c r="AK36" s="506">
        <f t="shared" si="21"/>
        <v>1.8</v>
      </c>
      <c r="AL36" s="506">
        <f t="shared" si="22"/>
        <v>1.85</v>
      </c>
      <c r="AM36" s="506">
        <f t="shared" si="23"/>
        <v>1.9</v>
      </c>
      <c r="AN36" s="524">
        <f t="shared" si="2"/>
        <v>1000000</v>
      </c>
    </row>
    <row r="37" spans="1:40" ht="15" customHeight="1" x14ac:dyDescent="0.2">
      <c r="A37" s="526">
        <f>$E$5</f>
        <v>48</v>
      </c>
      <c r="B37" s="446">
        <f>$E$6</f>
        <v>5.6</v>
      </c>
      <c r="C37" s="527">
        <f t="shared" si="3"/>
        <v>268.79999999999995</v>
      </c>
      <c r="D37" s="528">
        <f t="shared" si="9"/>
        <v>0.39000000000000012</v>
      </c>
      <c r="E37" s="529">
        <f t="shared" si="10"/>
        <v>31.359999999999996</v>
      </c>
      <c r="F37" s="530">
        <f t="shared" si="11"/>
        <v>587.05920000000003</v>
      </c>
      <c r="G37" s="530">
        <f t="shared" si="12"/>
        <v>10989.748224000004</v>
      </c>
      <c r="H37" s="530">
        <f t="shared" si="13"/>
        <v>2.1840000000000006</v>
      </c>
      <c r="I37" s="531">
        <f t="shared" si="14"/>
        <v>40.884480000000018</v>
      </c>
      <c r="K37" s="509">
        <f t="shared" si="24"/>
        <v>3</v>
      </c>
      <c r="L37" s="522">
        <f t="shared" si="4"/>
        <v>15.4176694734007</v>
      </c>
      <c r="M37" s="506">
        <f t="shared" si="5"/>
        <v>2.1353508755794826</v>
      </c>
      <c r="N37" s="506">
        <f t="shared" si="5"/>
        <v>2.1320964884851201</v>
      </c>
      <c r="O37" s="506">
        <f t="shared" si="5"/>
        <v>2.1279122765066547</v>
      </c>
      <c r="P37" s="506">
        <f t="shared" si="5"/>
        <v>2.1172192903394644</v>
      </c>
      <c r="Q37" s="506">
        <f t="shared" si="5"/>
        <v>2.0981578802153424</v>
      </c>
      <c r="R37" s="506">
        <f t="shared" si="5"/>
        <v>2.0911841935845663</v>
      </c>
      <c r="S37" s="506">
        <f t="shared" si="5"/>
        <v>2.0795613825332722</v>
      </c>
      <c r="T37" s="506">
        <f t="shared" si="5"/>
        <v>2.0121490784357681</v>
      </c>
      <c r="U37" s="523">
        <f t="shared" si="15"/>
        <v>1.75</v>
      </c>
      <c r="V37" s="506">
        <f t="shared" si="16"/>
        <v>1.8</v>
      </c>
      <c r="W37" s="506">
        <f t="shared" si="17"/>
        <v>1.85</v>
      </c>
      <c r="X37" s="506">
        <f t="shared" si="18"/>
        <v>1.9</v>
      </c>
      <c r="Y37" s="524">
        <f t="shared" si="6"/>
        <v>-1000000</v>
      </c>
      <c r="AA37" s="525">
        <f t="shared" si="7"/>
        <v>0.72</v>
      </c>
      <c r="AB37" s="523">
        <f t="shared" si="19"/>
        <v>2.1356051947326491</v>
      </c>
      <c r="AC37" s="506">
        <f t="shared" si="19"/>
        <v>2.1324992414621255</v>
      </c>
      <c r="AD37" s="506">
        <f t="shared" si="19"/>
        <v>2.1284695376730105</v>
      </c>
      <c r="AE37" s="506">
        <f t="shared" si="19"/>
        <v>2.117981518563</v>
      </c>
      <c r="AF37" s="506">
        <f t="shared" si="19"/>
        <v>2.0985793294469213</v>
      </c>
      <c r="AG37" s="506">
        <f t="shared" si="19"/>
        <v>2.0912442783754104</v>
      </c>
      <c r="AH37" s="506">
        <f t="shared" si="19"/>
        <v>2.0787236251398249</v>
      </c>
      <c r="AI37" s="506">
        <f t="shared" si="19"/>
        <v>1.9979251330289212</v>
      </c>
      <c r="AJ37" s="523">
        <f t="shared" si="20"/>
        <v>1.75</v>
      </c>
      <c r="AK37" s="506">
        <f t="shared" si="21"/>
        <v>1.8</v>
      </c>
      <c r="AL37" s="506">
        <f t="shared" si="22"/>
        <v>1.85</v>
      </c>
      <c r="AM37" s="506">
        <f t="shared" si="23"/>
        <v>1.9</v>
      </c>
      <c r="AN37" s="524">
        <f t="shared" si="2"/>
        <v>1000000</v>
      </c>
    </row>
    <row r="38" spans="1:40" ht="15" customHeight="1" x14ac:dyDescent="0.2">
      <c r="A38" s="526">
        <f>$F$5</f>
        <v>36</v>
      </c>
      <c r="B38" s="446">
        <f>$F$6</f>
        <v>7.3</v>
      </c>
      <c r="C38" s="527">
        <f t="shared" si="3"/>
        <v>262.8</v>
      </c>
      <c r="D38" s="528">
        <f t="shared" si="9"/>
        <v>0.39000000000000012</v>
      </c>
      <c r="E38" s="529">
        <f t="shared" si="10"/>
        <v>53.29</v>
      </c>
      <c r="F38" s="530">
        <f t="shared" si="11"/>
        <v>748.19160000000022</v>
      </c>
      <c r="G38" s="530">
        <f t="shared" si="12"/>
        <v>10504.610064000006</v>
      </c>
      <c r="H38" s="530">
        <f t="shared" si="13"/>
        <v>2.8470000000000009</v>
      </c>
      <c r="I38" s="531">
        <f t="shared" si="14"/>
        <v>39.971880000000027</v>
      </c>
      <c r="K38" s="509">
        <f t="shared" si="24"/>
        <v>4</v>
      </c>
      <c r="L38" s="522">
        <f t="shared" si="4"/>
        <v>20.556892631200935</v>
      </c>
      <c r="M38" s="506">
        <f t="shared" si="5"/>
        <v>2.1352498076572974</v>
      </c>
      <c r="N38" s="506">
        <f t="shared" si="5"/>
        <v>2.1319246730174055</v>
      </c>
      <c r="O38" s="506">
        <f t="shared" si="5"/>
        <v>2.1276494999089732</v>
      </c>
      <c r="P38" s="506">
        <f t="shared" si="5"/>
        <v>2.1167240575207571</v>
      </c>
      <c r="Q38" s="506">
        <f t="shared" si="5"/>
        <v>2.097248268915676</v>
      </c>
      <c r="R38" s="506">
        <f t="shared" si="5"/>
        <v>2.0901229804016217</v>
      </c>
      <c r="S38" s="506">
        <f t="shared" si="5"/>
        <v>2.0782474995448652</v>
      </c>
      <c r="T38" s="506">
        <f t="shared" si="5"/>
        <v>2.009369710575676</v>
      </c>
      <c r="U38" s="523">
        <f t="shared" si="15"/>
        <v>1.75</v>
      </c>
      <c r="V38" s="506">
        <f t="shared" si="16"/>
        <v>1.8</v>
      </c>
      <c r="W38" s="506">
        <f t="shared" si="17"/>
        <v>1.85</v>
      </c>
      <c r="X38" s="506">
        <f t="shared" si="18"/>
        <v>1.9</v>
      </c>
      <c r="Y38" s="524">
        <f t="shared" si="6"/>
        <v>-1000000</v>
      </c>
      <c r="AA38" s="525">
        <f t="shared" si="7"/>
        <v>0.96</v>
      </c>
      <c r="AB38" s="523">
        <f t="shared" si="19"/>
        <v>2.135596923493035</v>
      </c>
      <c r="AC38" s="506">
        <f t="shared" si="19"/>
        <v>2.1324751157721975</v>
      </c>
      <c r="AD38" s="506">
        <f t="shared" si="19"/>
        <v>2.1284124274413276</v>
      </c>
      <c r="AE38" s="506">
        <f t="shared" si="19"/>
        <v>2.1177723211979522</v>
      </c>
      <c r="AF38" s="506">
        <f t="shared" si="19"/>
        <v>2.0978327655602791</v>
      </c>
      <c r="AG38" s="506">
        <f t="shared" si="19"/>
        <v>2.0902065772122169</v>
      </c>
      <c r="AH38" s="506">
        <f t="shared" si="19"/>
        <v>2.0770755101795162</v>
      </c>
      <c r="AI38" s="506">
        <f t="shared" si="19"/>
        <v>1.9887393101064799</v>
      </c>
      <c r="AJ38" s="523">
        <f t="shared" si="20"/>
        <v>1.75</v>
      </c>
      <c r="AK38" s="506">
        <f t="shared" si="21"/>
        <v>1.8</v>
      </c>
      <c r="AL38" s="506">
        <f t="shared" si="22"/>
        <v>1.85</v>
      </c>
      <c r="AM38" s="506">
        <f t="shared" si="23"/>
        <v>1.9</v>
      </c>
      <c r="AN38" s="524">
        <f t="shared" si="2"/>
        <v>1000000</v>
      </c>
    </row>
    <row r="39" spans="1:40" ht="15" customHeight="1" x14ac:dyDescent="0.2">
      <c r="A39" s="526">
        <f>$G$5</f>
        <v>24</v>
      </c>
      <c r="B39" s="446">
        <f>$G$6</f>
        <v>10</v>
      </c>
      <c r="C39" s="527">
        <f t="shared" si="3"/>
        <v>240</v>
      </c>
      <c r="D39" s="528">
        <f t="shared" si="9"/>
        <v>0.39000000000000012</v>
      </c>
      <c r="E39" s="529">
        <f t="shared" si="10"/>
        <v>100</v>
      </c>
      <c r="F39" s="530">
        <f t="shared" si="11"/>
        <v>936.00000000000034</v>
      </c>
      <c r="G39" s="530">
        <f t="shared" si="12"/>
        <v>8760.9600000000046</v>
      </c>
      <c r="H39" s="530">
        <f t="shared" si="13"/>
        <v>3.9000000000000012</v>
      </c>
      <c r="I39" s="531">
        <f t="shared" si="14"/>
        <v>36.504000000000026</v>
      </c>
      <c r="K39" s="509">
        <f t="shared" si="24"/>
        <v>5</v>
      </c>
      <c r="L39" s="522">
        <f t="shared" si="4"/>
        <v>25.696115789001169</v>
      </c>
      <c r="M39" s="506">
        <f t="shared" si="5"/>
        <v>2.1351442478274598</v>
      </c>
      <c r="N39" s="506">
        <f t="shared" si="5"/>
        <v>2.1317452213066814</v>
      </c>
      <c r="O39" s="506">
        <f t="shared" si="5"/>
        <v>2.1273750443513948</v>
      </c>
      <c r="P39" s="506">
        <f t="shared" si="5"/>
        <v>2.1162068143545514</v>
      </c>
      <c r="Q39" s="506">
        <f t="shared" si="5"/>
        <v>2.0962982304471356</v>
      </c>
      <c r="R39" s="506">
        <f t="shared" si="5"/>
        <v>2.0890146021883247</v>
      </c>
      <c r="S39" s="506">
        <f t="shared" si="5"/>
        <v>2.0768752217569735</v>
      </c>
      <c r="T39" s="506">
        <f t="shared" si="5"/>
        <v>2.0064668152551355</v>
      </c>
      <c r="U39" s="523">
        <f t="shared" si="15"/>
        <v>1.75</v>
      </c>
      <c r="V39" s="506">
        <f t="shared" si="16"/>
        <v>1.8</v>
      </c>
      <c r="W39" s="506">
        <f t="shared" si="17"/>
        <v>1.85</v>
      </c>
      <c r="X39" s="506">
        <f t="shared" si="18"/>
        <v>1.9</v>
      </c>
      <c r="Y39" s="524">
        <f t="shared" si="6"/>
        <v>-1000000</v>
      </c>
      <c r="AA39" s="525">
        <f t="shared" si="7"/>
        <v>1.2</v>
      </c>
      <c r="AB39" s="523">
        <f t="shared" si="19"/>
        <v>2.1355886210609563</v>
      </c>
      <c r="AC39" s="506">
        <f t="shared" si="19"/>
        <v>2.1324508343841293</v>
      </c>
      <c r="AD39" s="506">
        <f t="shared" si="19"/>
        <v>2.1283547486611445</v>
      </c>
      <c r="AE39" s="506">
        <f t="shared" si="19"/>
        <v>2.1175591105386213</v>
      </c>
      <c r="AF39" s="506">
        <f t="shared" si="19"/>
        <v>2.0970587956562698</v>
      </c>
      <c r="AG39" s="506">
        <f t="shared" si="19"/>
        <v>2.0891237432587833</v>
      </c>
      <c r="AH39" s="506">
        <f t="shared" si="19"/>
        <v>2.0753362879849209</v>
      </c>
      <c r="AI39" s="506">
        <f t="shared" si="19"/>
        <v>1.9782835654479536</v>
      </c>
      <c r="AJ39" s="523">
        <f t="shared" si="20"/>
        <v>1.75</v>
      </c>
      <c r="AK39" s="506">
        <f t="shared" si="21"/>
        <v>1.8</v>
      </c>
      <c r="AL39" s="506">
        <f t="shared" si="22"/>
        <v>1.85</v>
      </c>
      <c r="AM39" s="506">
        <f t="shared" si="23"/>
        <v>1.9</v>
      </c>
      <c r="AN39" s="524">
        <f t="shared" si="2"/>
        <v>1000000</v>
      </c>
    </row>
    <row r="40" spans="1:40" ht="15" customHeight="1" x14ac:dyDescent="0.2">
      <c r="A40" s="526">
        <f>$H$5</f>
        <v>20</v>
      </c>
      <c r="B40" s="446">
        <f>$H$6</f>
        <v>12</v>
      </c>
      <c r="C40" s="527">
        <f t="shared" si="3"/>
        <v>240</v>
      </c>
      <c r="D40" s="528">
        <f t="shared" si="9"/>
        <v>0.39000000000000012</v>
      </c>
      <c r="E40" s="529">
        <f t="shared" si="10"/>
        <v>144</v>
      </c>
      <c r="F40" s="530">
        <f t="shared" si="11"/>
        <v>1123.2000000000003</v>
      </c>
      <c r="G40" s="530">
        <f t="shared" si="12"/>
        <v>8760.9600000000046</v>
      </c>
      <c r="H40" s="530">
        <f t="shared" si="13"/>
        <v>4.6800000000000015</v>
      </c>
      <c r="I40" s="531">
        <f t="shared" si="14"/>
        <v>36.504000000000026</v>
      </c>
      <c r="K40" s="509">
        <f t="shared" si="24"/>
        <v>6</v>
      </c>
      <c r="L40" s="522">
        <f t="shared" si="4"/>
        <v>30.8353389468014</v>
      </c>
      <c r="M40" s="506">
        <f t="shared" si="5"/>
        <v>2.1350338898235384</v>
      </c>
      <c r="N40" s="506">
        <f t="shared" si="5"/>
        <v>2.1315576127000151</v>
      </c>
      <c r="O40" s="506">
        <f t="shared" si="5"/>
        <v>2.1270881135411992</v>
      </c>
      <c r="P40" s="506">
        <f t="shared" si="5"/>
        <v>2.1156660601353368</v>
      </c>
      <c r="Q40" s="506">
        <f t="shared" si="5"/>
        <v>2.095305008411843</v>
      </c>
      <c r="R40" s="506">
        <f t="shared" si="5"/>
        <v>2.0878558431471501</v>
      </c>
      <c r="S40" s="506">
        <f t="shared" si="5"/>
        <v>2.0754405677059955</v>
      </c>
      <c r="T40" s="506">
        <f t="shared" si="5"/>
        <v>2.003431970147298</v>
      </c>
      <c r="U40" s="523">
        <f t="shared" si="15"/>
        <v>1.75</v>
      </c>
      <c r="V40" s="506">
        <f t="shared" si="16"/>
        <v>1.8</v>
      </c>
      <c r="W40" s="506">
        <f t="shared" si="17"/>
        <v>1.85</v>
      </c>
      <c r="X40" s="506">
        <f t="shared" si="18"/>
        <v>1.9</v>
      </c>
      <c r="Y40" s="524">
        <f t="shared" si="6"/>
        <v>-1000000</v>
      </c>
      <c r="AA40" s="525">
        <f t="shared" si="7"/>
        <v>1.44</v>
      </c>
      <c r="AB40" s="523">
        <f t="shared" si="19"/>
        <v>2.1355802872596295</v>
      </c>
      <c r="AC40" s="506">
        <f t="shared" si="19"/>
        <v>2.1324263957858154</v>
      </c>
      <c r="AD40" s="506">
        <f t="shared" si="19"/>
        <v>2.1282964927998975</v>
      </c>
      <c r="AE40" s="506">
        <f t="shared" si="19"/>
        <v>2.1173417699784491</v>
      </c>
      <c r="AF40" s="506">
        <f t="shared" si="19"/>
        <v>2.0962558824244502</v>
      </c>
      <c r="AG40" s="506">
        <f t="shared" si="19"/>
        <v>2.0879927666161002</v>
      </c>
      <c r="AH40" s="506">
        <f t="shared" si="19"/>
        <v>2.0734981892483231</v>
      </c>
      <c r="AI40" s="506">
        <f t="shared" si="19"/>
        <v>1.966274997539053</v>
      </c>
      <c r="AJ40" s="523">
        <f t="shared" si="20"/>
        <v>1.75</v>
      </c>
      <c r="AK40" s="506">
        <f t="shared" si="21"/>
        <v>1.8</v>
      </c>
      <c r="AL40" s="506">
        <f t="shared" si="22"/>
        <v>1.85</v>
      </c>
      <c r="AM40" s="506">
        <f t="shared" si="23"/>
        <v>1.9</v>
      </c>
      <c r="AN40" s="524">
        <f t="shared" si="2"/>
        <v>1000000</v>
      </c>
    </row>
    <row r="41" spans="1:40" ht="15" customHeight="1" x14ac:dyDescent="0.2">
      <c r="A41" s="526">
        <f>$I$5</f>
        <v>16</v>
      </c>
      <c r="B41" s="446">
        <f>$I$6</f>
        <v>14</v>
      </c>
      <c r="C41" s="527">
        <f t="shared" si="3"/>
        <v>224</v>
      </c>
      <c r="D41" s="528">
        <f t="shared" si="9"/>
        <v>0.39000000000000012</v>
      </c>
      <c r="E41" s="529">
        <f t="shared" si="10"/>
        <v>196</v>
      </c>
      <c r="F41" s="530">
        <f t="shared" si="11"/>
        <v>1223.0400000000004</v>
      </c>
      <c r="G41" s="530">
        <f t="shared" si="12"/>
        <v>7631.7696000000051</v>
      </c>
      <c r="H41" s="530">
        <f t="shared" si="13"/>
        <v>5.4600000000000017</v>
      </c>
      <c r="I41" s="531">
        <f t="shared" si="14"/>
        <v>34.070400000000021</v>
      </c>
      <c r="K41" s="509">
        <f t="shared" si="24"/>
        <v>7</v>
      </c>
      <c r="L41" s="522">
        <f t="shared" si="4"/>
        <v>35.974562104601638</v>
      </c>
      <c r="M41" s="506">
        <f t="shared" si="5"/>
        <v>2.134918398889202</v>
      </c>
      <c r="N41" s="506">
        <f t="shared" si="5"/>
        <v>2.1313612781116431</v>
      </c>
      <c r="O41" s="506">
        <f t="shared" si="5"/>
        <v>2.1267878371119249</v>
      </c>
      <c r="P41" s="506">
        <f t="shared" si="5"/>
        <v>2.1151001545570889</v>
      </c>
      <c r="Q41" s="506">
        <f t="shared" si="5"/>
        <v>2.094265590002816</v>
      </c>
      <c r="R41" s="506">
        <f t="shared" si="5"/>
        <v>2.0866431883366188</v>
      </c>
      <c r="S41" s="506">
        <f t="shared" si="5"/>
        <v>2.0739391855596234</v>
      </c>
      <c r="T41" s="506">
        <f t="shared" si="5"/>
        <v>2.0002559694530491</v>
      </c>
      <c r="U41" s="523">
        <f t="shared" si="15"/>
        <v>1.75</v>
      </c>
      <c r="V41" s="506">
        <f t="shared" si="16"/>
        <v>1.8</v>
      </c>
      <c r="W41" s="506">
        <f t="shared" si="17"/>
        <v>1.85</v>
      </c>
      <c r="X41" s="506">
        <f t="shared" si="18"/>
        <v>1.9</v>
      </c>
      <c r="Y41" s="524">
        <f t="shared" si="6"/>
        <v>-1000000</v>
      </c>
      <c r="AA41" s="525">
        <f t="shared" si="7"/>
        <v>1.68</v>
      </c>
      <c r="AB41" s="523">
        <f t="shared" si="19"/>
        <v>2.1355719219109335</v>
      </c>
      <c r="AC41" s="506">
        <f t="shared" si="19"/>
        <v>2.1324017984455073</v>
      </c>
      <c r="AD41" s="506">
        <f t="shared" si="19"/>
        <v>2.1282376511534267</v>
      </c>
      <c r="AE41" s="506">
        <f t="shared" si="19"/>
        <v>2.1171201783493494</v>
      </c>
      <c r="AF41" s="506">
        <f t="shared" si="19"/>
        <v>2.0954223713852285</v>
      </c>
      <c r="AG41" s="506">
        <f t="shared" si="19"/>
        <v>2.0868103636606583</v>
      </c>
      <c r="AH41" s="506">
        <f t="shared" si="19"/>
        <v>2.071552535430631</v>
      </c>
      <c r="AI41" s="506">
        <f t="shared" si="19"/>
        <v>1.9523399349648265</v>
      </c>
      <c r="AJ41" s="523">
        <f t="shared" si="20"/>
        <v>1.75</v>
      </c>
      <c r="AK41" s="506">
        <f t="shared" si="21"/>
        <v>1.8</v>
      </c>
      <c r="AL41" s="506">
        <f t="shared" si="22"/>
        <v>1.85</v>
      </c>
      <c r="AM41" s="506">
        <f t="shared" si="23"/>
        <v>1.9</v>
      </c>
      <c r="AN41" s="524">
        <f t="shared" si="2"/>
        <v>1000000</v>
      </c>
    </row>
    <row r="42" spans="1:40" ht="15" customHeight="1" x14ac:dyDescent="0.2">
      <c r="A42" s="526">
        <f>$J$5</f>
        <v>12</v>
      </c>
      <c r="B42" s="446">
        <f>$J$6</f>
        <v>18</v>
      </c>
      <c r="C42" s="527">
        <f t="shared" si="3"/>
        <v>216</v>
      </c>
      <c r="D42" s="528">
        <f t="shared" si="9"/>
        <v>0.39000000000000012</v>
      </c>
      <c r="E42" s="529">
        <f t="shared" si="10"/>
        <v>324</v>
      </c>
      <c r="F42" s="530">
        <f t="shared" si="11"/>
        <v>1516.3200000000004</v>
      </c>
      <c r="G42" s="530">
        <f t="shared" si="12"/>
        <v>7096.3776000000043</v>
      </c>
      <c r="H42" s="530">
        <f t="shared" si="13"/>
        <v>7.0200000000000022</v>
      </c>
      <c r="I42" s="531">
        <f t="shared" si="14"/>
        <v>32.853600000000021</v>
      </c>
      <c r="K42" s="509">
        <f t="shared" si="24"/>
        <v>8</v>
      </c>
      <c r="L42" s="522">
        <f t="shared" si="4"/>
        <v>41.113785262401869</v>
      </c>
      <c r="M42" s="506">
        <f t="shared" si="5"/>
        <v>2.134797408386564</v>
      </c>
      <c r="N42" s="506">
        <f t="shared" si="5"/>
        <v>2.1311555942571583</v>
      </c>
      <c r="O42" s="506">
        <f t="shared" si="5"/>
        <v>2.1264732618050659</v>
      </c>
      <c r="P42" s="506">
        <f t="shared" si="5"/>
        <v>2.1145073010941622</v>
      </c>
      <c r="Q42" s="506">
        <f t="shared" si="5"/>
        <v>2.0931766754790737</v>
      </c>
      <c r="R42" s="506">
        <f t="shared" si="5"/>
        <v>2.085372788058919</v>
      </c>
      <c r="S42" s="506">
        <f t="shared" si="5"/>
        <v>2.0723663090253286</v>
      </c>
      <c r="T42" s="506">
        <f t="shared" si="5"/>
        <v>1.9969287306305026</v>
      </c>
      <c r="U42" s="523">
        <f t="shared" si="15"/>
        <v>1.75</v>
      </c>
      <c r="V42" s="506">
        <f t="shared" si="16"/>
        <v>1.8</v>
      </c>
      <c r="W42" s="506">
        <f t="shared" si="17"/>
        <v>1.85</v>
      </c>
      <c r="X42" s="506">
        <f t="shared" si="18"/>
        <v>1.9</v>
      </c>
      <c r="Y42" s="524">
        <f t="shared" si="6"/>
        <v>-1000000</v>
      </c>
      <c r="AA42" s="525">
        <f t="shared" si="7"/>
        <v>1.92</v>
      </c>
      <c r="AB42" s="523">
        <f t="shared" si="19"/>
        <v>2.1355635248353968</v>
      </c>
      <c r="AC42" s="506">
        <f t="shared" si="19"/>
        <v>2.1323770408114915</v>
      </c>
      <c r="AD42" s="506">
        <f t="shared" si="19"/>
        <v>2.1281782148416402</v>
      </c>
      <c r="AE42" s="506">
        <f t="shared" si="19"/>
        <v>2.1168942096964525</v>
      </c>
      <c r="AF42" s="506">
        <f t="shared" si="19"/>
        <v>2.0945564795101914</v>
      </c>
      <c r="AG42" s="506">
        <f t="shared" si="19"/>
        <v>2.0855729452044369</v>
      </c>
      <c r="AH42" s="506">
        <f t="shared" si="19"/>
        <v>2.069489601745051</v>
      </c>
      <c r="AI42" s="506">
        <f t="shared" si="19"/>
        <v>1.9359743568138961</v>
      </c>
      <c r="AJ42" s="523">
        <f t="shared" si="20"/>
        <v>1.75</v>
      </c>
      <c r="AK42" s="506">
        <f t="shared" si="21"/>
        <v>1.8</v>
      </c>
      <c r="AL42" s="506">
        <f t="shared" si="22"/>
        <v>1.85</v>
      </c>
      <c r="AM42" s="506">
        <f t="shared" si="23"/>
        <v>1.9</v>
      </c>
      <c r="AN42" s="524">
        <f t="shared" si="2"/>
        <v>1000000</v>
      </c>
    </row>
    <row r="43" spans="1:40" ht="15" customHeight="1" x14ac:dyDescent="0.2">
      <c r="A43" s="526">
        <f>$K$5</f>
        <v>10</v>
      </c>
      <c r="B43" s="446">
        <f>$K$6</f>
        <v>22</v>
      </c>
      <c r="C43" s="527">
        <f t="shared" si="3"/>
        <v>220</v>
      </c>
      <c r="D43" s="528">
        <f t="shared" si="9"/>
        <v>0.39000000000000012</v>
      </c>
      <c r="E43" s="529">
        <f t="shared" si="10"/>
        <v>484</v>
      </c>
      <c r="F43" s="530">
        <f t="shared" si="11"/>
        <v>1887.6000000000004</v>
      </c>
      <c r="G43" s="530">
        <f t="shared" si="12"/>
        <v>7361.640000000004</v>
      </c>
      <c r="H43" s="530">
        <f t="shared" si="13"/>
        <v>8.5800000000000018</v>
      </c>
      <c r="I43" s="531">
        <f t="shared" si="14"/>
        <v>33.462000000000025</v>
      </c>
      <c r="K43" s="509">
        <f t="shared" si="24"/>
        <v>9</v>
      </c>
      <c r="L43" s="522">
        <f t="shared" si="4"/>
        <v>46.2530084202021</v>
      </c>
      <c r="M43" s="506">
        <f t="shared" si="5"/>
        <v>2.1346705159081876</v>
      </c>
      <c r="N43" s="506">
        <f t="shared" si="5"/>
        <v>2.1309398770439185</v>
      </c>
      <c r="O43" s="506">
        <f t="shared" si="5"/>
        <v>2.1261433413612871</v>
      </c>
      <c r="P43" s="506">
        <f t="shared" si="5"/>
        <v>2.1138855279501176</v>
      </c>
      <c r="Q43" s="506">
        <f t="shared" si="5"/>
        <v>2.0920346431736854</v>
      </c>
      <c r="R43" s="506">
        <f t="shared" si="5"/>
        <v>2.0840404170359661</v>
      </c>
      <c r="S43" s="506">
        <f t="shared" si="5"/>
        <v>2.0707167068064343</v>
      </c>
      <c r="T43" s="506">
        <f t="shared" si="5"/>
        <v>1.9934391874751489</v>
      </c>
      <c r="U43" s="523">
        <f t="shared" si="15"/>
        <v>1.75</v>
      </c>
      <c r="V43" s="506">
        <f t="shared" si="16"/>
        <v>1.8</v>
      </c>
      <c r="W43" s="506">
        <f t="shared" si="17"/>
        <v>1.85</v>
      </c>
      <c r="X43" s="506">
        <f t="shared" si="18"/>
        <v>1.9</v>
      </c>
      <c r="Y43" s="524">
        <f t="shared" si="6"/>
        <v>-1000000</v>
      </c>
      <c r="AA43" s="525">
        <f t="shared" si="7"/>
        <v>2.16</v>
      </c>
      <c r="AB43" s="523">
        <f t="shared" si="19"/>
        <v>2.1355550958521827</v>
      </c>
      <c r="AC43" s="506">
        <f t="shared" si="19"/>
        <v>2.1323521213117647</v>
      </c>
      <c r="AD43" s="506">
        <f t="shared" si="19"/>
        <v>2.1281181748040461</v>
      </c>
      <c r="AE43" s="506">
        <f t="shared" si="19"/>
        <v>2.1166637330393678</v>
      </c>
      <c r="AF43" s="506">
        <f t="shared" si="19"/>
        <v>2.0936562824898921</v>
      </c>
      <c r="AG43" s="506">
        <f t="shared" si="19"/>
        <v>2.0842765801046195</v>
      </c>
      <c r="AH43" s="506">
        <f t="shared" si="19"/>
        <v>2.0672984545936393</v>
      </c>
      <c r="AI43" s="506">
        <f t="shared" si="19"/>
        <v>1.9164816243325966</v>
      </c>
      <c r="AJ43" s="523">
        <f t="shared" si="20"/>
        <v>1.75</v>
      </c>
      <c r="AK43" s="506">
        <f t="shared" si="21"/>
        <v>1.8</v>
      </c>
      <c r="AL43" s="506">
        <f t="shared" si="22"/>
        <v>1.85</v>
      </c>
      <c r="AM43" s="506">
        <f t="shared" si="23"/>
        <v>1.9</v>
      </c>
      <c r="AN43" s="524">
        <f t="shared" si="2"/>
        <v>1000000</v>
      </c>
    </row>
    <row r="44" spans="1:40" ht="15" customHeight="1" x14ac:dyDescent="0.2">
      <c r="A44" s="526">
        <f>$L$5</f>
        <v>8</v>
      </c>
      <c r="B44" s="446">
        <f>$L$6</f>
        <v>26</v>
      </c>
      <c r="C44" s="527">
        <f t="shared" si="3"/>
        <v>208</v>
      </c>
      <c r="D44" s="528">
        <f t="shared" si="9"/>
        <v>0.39000000000000012</v>
      </c>
      <c r="E44" s="529">
        <f t="shared" si="10"/>
        <v>676</v>
      </c>
      <c r="F44" s="530">
        <f t="shared" si="11"/>
        <v>2109.1200000000008</v>
      </c>
      <c r="G44" s="530">
        <f t="shared" si="12"/>
        <v>6580.4544000000051</v>
      </c>
      <c r="H44" s="530">
        <f t="shared" si="13"/>
        <v>10.140000000000004</v>
      </c>
      <c r="I44" s="531">
        <f t="shared" si="14"/>
        <v>31.636800000000019</v>
      </c>
      <c r="K44" s="509">
        <f t="shared" si="24"/>
        <v>10</v>
      </c>
      <c r="L44" s="522">
        <f t="shared" si="4"/>
        <v>51.392231578002338</v>
      </c>
      <c r="M44" s="506">
        <f t="shared" si="5"/>
        <v>2.1345372788058921</v>
      </c>
      <c r="N44" s="506">
        <f t="shared" si="5"/>
        <v>2.1307133739700164</v>
      </c>
      <c r="O44" s="506">
        <f t="shared" si="5"/>
        <v>2.1257969248953192</v>
      </c>
      <c r="P44" s="506">
        <f t="shared" si="5"/>
        <v>2.1132326661488703</v>
      </c>
      <c r="Q44" s="506">
        <f t="shared" si="5"/>
        <v>2.0908355092530275</v>
      </c>
      <c r="R44" s="506">
        <f t="shared" si="5"/>
        <v>2.0826414274618652</v>
      </c>
      <c r="S44" s="506">
        <f t="shared" si="5"/>
        <v>2.0689846244765948</v>
      </c>
      <c r="T44" s="506">
        <f t="shared" si="5"/>
        <v>1.9897751671620276</v>
      </c>
      <c r="U44" s="523">
        <f t="shared" si="15"/>
        <v>1.75</v>
      </c>
      <c r="V44" s="506">
        <f t="shared" si="16"/>
        <v>1.8</v>
      </c>
      <c r="W44" s="506">
        <f t="shared" si="17"/>
        <v>1.85</v>
      </c>
      <c r="X44" s="506">
        <f t="shared" si="18"/>
        <v>1.9</v>
      </c>
      <c r="Y44" s="524">
        <f t="shared" si="6"/>
        <v>-1000000</v>
      </c>
      <c r="AA44" s="525">
        <f t="shared" si="7"/>
        <v>2.4</v>
      </c>
      <c r="AB44" s="523">
        <f t="shared" si="19"/>
        <v>2.1355466347790788</v>
      </c>
      <c r="AC44" s="506">
        <f t="shared" si="19"/>
        <v>2.1323270383537007</v>
      </c>
      <c r="AD44" s="506">
        <f t="shared" si="19"/>
        <v>2.1280575217951494</v>
      </c>
      <c r="AE44" s="506">
        <f t="shared" si="19"/>
        <v>2.1164286121190146</v>
      </c>
      <c r="AF44" s="506">
        <f t="shared" si="19"/>
        <v>2.0927197004577782</v>
      </c>
      <c r="AG44" s="506">
        <f t="shared" si="19"/>
        <v>2.0829169535458725</v>
      </c>
      <c r="AH44" s="506">
        <f t="shared" si="19"/>
        <v>2.0649667577212751</v>
      </c>
      <c r="AI44" s="506">
        <f t="shared" si="19"/>
        <v>1.8928707470917931</v>
      </c>
      <c r="AJ44" s="523">
        <f t="shared" si="20"/>
        <v>1.75</v>
      </c>
      <c r="AK44" s="506">
        <f t="shared" si="21"/>
        <v>1.8</v>
      </c>
      <c r="AL44" s="506">
        <f t="shared" si="22"/>
        <v>1.85</v>
      </c>
      <c r="AM44" s="506">
        <f t="shared" si="23"/>
        <v>1.9</v>
      </c>
      <c r="AN44" s="524">
        <f t="shared" si="2"/>
        <v>1000000</v>
      </c>
    </row>
    <row r="45" spans="1:40" ht="15" customHeight="1" x14ac:dyDescent="0.2">
      <c r="A45" s="526">
        <f>$M$5</f>
        <v>7</v>
      </c>
      <c r="B45" s="446">
        <f>$M$6</f>
        <v>29</v>
      </c>
      <c r="C45" s="527">
        <f t="shared" si="3"/>
        <v>203</v>
      </c>
      <c r="D45" s="528">
        <f t="shared" si="9"/>
        <v>0.39000000000000012</v>
      </c>
      <c r="E45" s="529">
        <f t="shared" si="10"/>
        <v>841</v>
      </c>
      <c r="F45" s="530">
        <f t="shared" si="11"/>
        <v>2295.9300000000007</v>
      </c>
      <c r="G45" s="530">
        <f t="shared" si="12"/>
        <v>6267.8889000000045</v>
      </c>
      <c r="H45" s="530">
        <f t="shared" si="13"/>
        <v>11.310000000000004</v>
      </c>
      <c r="I45" s="531">
        <f t="shared" si="14"/>
        <v>30.876300000000018</v>
      </c>
      <c r="K45" s="509">
        <f t="shared" si="24"/>
        <v>11</v>
      </c>
      <c r="L45" s="522">
        <f t="shared" si="4"/>
        <v>56.531454735802569</v>
      </c>
      <c r="M45" s="506">
        <f t="shared" si="5"/>
        <v>2.1343972090316843</v>
      </c>
      <c r="N45" s="506">
        <f t="shared" si="5"/>
        <v>2.1304752553538631</v>
      </c>
      <c r="O45" s="506">
        <f t="shared" si="5"/>
        <v>2.1254327434823788</v>
      </c>
      <c r="P45" s="506">
        <f t="shared" si="5"/>
        <v>2.1125463242552516</v>
      </c>
      <c r="Q45" s="506">
        <f t="shared" si="5"/>
        <v>2.0895748812851562</v>
      </c>
      <c r="R45" s="506">
        <f t="shared" si="5"/>
        <v>2.0811706948326822</v>
      </c>
      <c r="S45" s="506">
        <f t="shared" si="5"/>
        <v>2.0671637174118924</v>
      </c>
      <c r="T45" s="506">
        <f t="shared" si="5"/>
        <v>1.9859232483713103</v>
      </c>
      <c r="U45" s="523">
        <f t="shared" si="15"/>
        <v>1.75</v>
      </c>
      <c r="V45" s="506">
        <f t="shared" si="16"/>
        <v>1.8</v>
      </c>
      <c r="W45" s="506">
        <f t="shared" si="17"/>
        <v>1.85</v>
      </c>
      <c r="X45" s="506">
        <f t="shared" si="18"/>
        <v>1.9</v>
      </c>
      <c r="Y45" s="524">
        <f t="shared" si="6"/>
        <v>-1000000</v>
      </c>
      <c r="AA45" s="525">
        <f t="shared" si="7"/>
        <v>2.6399999999999997</v>
      </c>
      <c r="AB45" s="523">
        <f t="shared" si="19"/>
        <v>2.1355381414324812</v>
      </c>
      <c r="AC45" s="506">
        <f t="shared" si="19"/>
        <v>2.1323017903237114</v>
      </c>
      <c r="AD45" s="506">
        <f t="shared" si="19"/>
        <v>2.1279962463797046</v>
      </c>
      <c r="AE45" s="506">
        <f t="shared" si="19"/>
        <v>2.1161887051289927</v>
      </c>
      <c r="AF45" s="506">
        <f t="shared" si="19"/>
        <v>2.0917444819473379</v>
      </c>
      <c r="AG45" s="506">
        <f t="shared" si="19"/>
        <v>2.0814893190625208</v>
      </c>
      <c r="AH45" s="506">
        <f t="shared" si="19"/>
        <v>2.0624805398312347</v>
      </c>
      <c r="AI45" s="506">
        <f t="shared" si="19"/>
        <v>1.8636825550582183</v>
      </c>
      <c r="AJ45" s="523">
        <f t="shared" si="20"/>
        <v>1.75</v>
      </c>
      <c r="AK45" s="506">
        <f t="shared" si="21"/>
        <v>1.8</v>
      </c>
      <c r="AL45" s="506">
        <f t="shared" si="22"/>
        <v>1.85</v>
      </c>
      <c r="AM45" s="506">
        <f t="shared" si="23"/>
        <v>1.9</v>
      </c>
      <c r="AN45" s="524">
        <f t="shared" si="2"/>
        <v>1000000</v>
      </c>
    </row>
    <row r="46" spans="1:40" ht="15" customHeight="1" x14ac:dyDescent="0.2">
      <c r="A46" s="526">
        <f>$N$5</f>
        <v>6</v>
      </c>
      <c r="B46" s="446">
        <f>$N$6</f>
        <v>33</v>
      </c>
      <c r="C46" s="527">
        <f t="shared" si="3"/>
        <v>198</v>
      </c>
      <c r="D46" s="528">
        <f t="shared" si="9"/>
        <v>0.39000000000000012</v>
      </c>
      <c r="E46" s="529">
        <f t="shared" si="10"/>
        <v>1089</v>
      </c>
      <c r="F46" s="530">
        <f t="shared" si="11"/>
        <v>2548.2600000000011</v>
      </c>
      <c r="G46" s="530">
        <f t="shared" si="12"/>
        <v>5962.9284000000043</v>
      </c>
      <c r="H46" s="530">
        <f t="shared" si="13"/>
        <v>12.870000000000005</v>
      </c>
      <c r="I46" s="531">
        <f t="shared" si="14"/>
        <v>30.115800000000018</v>
      </c>
      <c r="K46" s="509">
        <f t="shared" si="24"/>
        <v>12</v>
      </c>
      <c r="L46" s="522">
        <f t="shared" si="4"/>
        <v>61.6706778936028</v>
      </c>
      <c r="M46" s="506">
        <f t="shared" si="5"/>
        <v>2.1342497671640968</v>
      </c>
      <c r="N46" s="506">
        <f t="shared" si="5"/>
        <v>2.1302246041789648</v>
      </c>
      <c r="O46" s="506">
        <f t="shared" si="5"/>
        <v>2.1250493946266515</v>
      </c>
      <c r="P46" s="506">
        <f t="shared" si="5"/>
        <v>2.1118238591040743</v>
      </c>
      <c r="Q46" s="506">
        <f t="shared" si="5"/>
        <v>2.0882479044768707</v>
      </c>
      <c r="R46" s="506">
        <f t="shared" si="5"/>
        <v>2.0796225552230161</v>
      </c>
      <c r="S46" s="506">
        <f t="shared" si="5"/>
        <v>2.0652469731332577</v>
      </c>
      <c r="T46" s="506">
        <f t="shared" si="5"/>
        <v>1.9818685970126606</v>
      </c>
      <c r="U46" s="523">
        <f t="shared" si="15"/>
        <v>1.75</v>
      </c>
      <c r="V46" s="506">
        <f t="shared" si="16"/>
        <v>1.8</v>
      </c>
      <c r="W46" s="506">
        <f t="shared" si="17"/>
        <v>1.85</v>
      </c>
      <c r="X46" s="506">
        <f t="shared" si="18"/>
        <v>1.9</v>
      </c>
      <c r="Y46" s="524">
        <f t="shared" si="6"/>
        <v>-1000000</v>
      </c>
      <c r="AA46" s="525">
        <f t="shared" si="7"/>
        <v>2.88</v>
      </c>
      <c r="AB46" s="523">
        <f t="shared" si="19"/>
        <v>2.1355296156273837</v>
      </c>
      <c r="AC46" s="506">
        <f t="shared" si="19"/>
        <v>2.132276375586899</v>
      </c>
      <c r="AD46" s="506">
        <f t="shared" si="19"/>
        <v>2.1279343389278234</v>
      </c>
      <c r="AE46" s="506">
        <f t="shared" si="19"/>
        <v>2.1159438644303794</v>
      </c>
      <c r="AF46" s="506">
        <f t="shared" si="19"/>
        <v>2.0907281858220048</v>
      </c>
      <c r="AG46" s="506">
        <f t="shared" si="19"/>
        <v>2.079988443176549</v>
      </c>
      <c r="AH46" s="506">
        <f t="shared" si="19"/>
        <v>2.059823914417279</v>
      </c>
      <c r="AI46" s="506">
        <f t="shared" si="19"/>
        <v>1.8266761891498369</v>
      </c>
      <c r="AJ46" s="523">
        <f t="shared" si="20"/>
        <v>1.75</v>
      </c>
      <c r="AK46" s="506">
        <f t="shared" si="21"/>
        <v>1.8</v>
      </c>
      <c r="AL46" s="506">
        <f t="shared" si="22"/>
        <v>1.85</v>
      </c>
      <c r="AM46" s="506">
        <f t="shared" si="23"/>
        <v>1.9</v>
      </c>
      <c r="AN46" s="524">
        <f t="shared" si="2"/>
        <v>1000000</v>
      </c>
    </row>
    <row r="47" spans="1:40" ht="15" customHeight="1" x14ac:dyDescent="0.2">
      <c r="A47" s="526">
        <f>$O$5</f>
        <v>5</v>
      </c>
      <c r="B47" s="446">
        <f>$O$6</f>
        <v>37</v>
      </c>
      <c r="C47" s="527">
        <f t="shared" si="3"/>
        <v>185</v>
      </c>
      <c r="D47" s="528">
        <f t="shared" si="9"/>
        <v>0.39000000000000012</v>
      </c>
      <c r="E47" s="529">
        <f t="shared" si="10"/>
        <v>1369</v>
      </c>
      <c r="F47" s="530">
        <f t="shared" si="11"/>
        <v>2669.5500000000011</v>
      </c>
      <c r="G47" s="530">
        <f t="shared" si="12"/>
        <v>5205.6225000000031</v>
      </c>
      <c r="H47" s="530">
        <f t="shared" si="13"/>
        <v>14.430000000000005</v>
      </c>
      <c r="I47" s="531">
        <f t="shared" si="14"/>
        <v>28.138500000000018</v>
      </c>
      <c r="K47" s="509">
        <f t="shared" si="24"/>
        <v>13</v>
      </c>
      <c r="L47" s="522">
        <f t="shared" si="4"/>
        <v>66.809901051403031</v>
      </c>
      <c r="M47" s="506">
        <f t="shared" si="5"/>
        <v>2.1340943554658294</v>
      </c>
      <c r="N47" s="506">
        <f t="shared" si="5"/>
        <v>2.1299604042919094</v>
      </c>
      <c r="O47" s="506">
        <f t="shared" si="5"/>
        <v>2.1246453242111558</v>
      </c>
      <c r="P47" s="506">
        <f t="shared" si="5"/>
        <v>2.1110623417825627</v>
      </c>
      <c r="Q47" s="506">
        <f t="shared" si="5"/>
        <v>2.086849199192462</v>
      </c>
      <c r="R47" s="506">
        <f t="shared" si="5"/>
        <v>2.0779907323912057</v>
      </c>
      <c r="S47" s="506">
        <f t="shared" si="5"/>
        <v>2.0632266210557781</v>
      </c>
      <c r="T47" s="506">
        <f t="shared" si="5"/>
        <v>1.9775947753103003</v>
      </c>
      <c r="U47" s="523">
        <f t="shared" si="15"/>
        <v>1.75</v>
      </c>
      <c r="V47" s="506">
        <f t="shared" si="16"/>
        <v>1.8</v>
      </c>
      <c r="W47" s="506">
        <f t="shared" si="17"/>
        <v>1.85</v>
      </c>
      <c r="X47" s="506">
        <f t="shared" si="18"/>
        <v>1.9</v>
      </c>
      <c r="Y47" s="524">
        <f t="shared" si="6"/>
        <v>-1000000</v>
      </c>
      <c r="AA47" s="525">
        <f t="shared" si="7"/>
        <v>3.12</v>
      </c>
      <c r="AB47" s="523">
        <f t="shared" si="19"/>
        <v>2.1355210571773635</v>
      </c>
      <c r="AC47" s="506">
        <f t="shared" si="19"/>
        <v>2.1322507924867065</v>
      </c>
      <c r="AD47" s="506">
        <f t="shared" si="19"/>
        <v>2.127871789609928</v>
      </c>
      <c r="AE47" s="506">
        <f t="shared" si="19"/>
        <v>2.1156939362487481</v>
      </c>
      <c r="AF47" s="506">
        <f t="shared" si="19"/>
        <v>2.0896681608725194</v>
      </c>
      <c r="AG47" s="506">
        <f t="shared" si="19"/>
        <v>2.0784085412906443</v>
      </c>
      <c r="AH47" s="506">
        <f t="shared" si="19"/>
        <v>2.0569787399425459</v>
      </c>
      <c r="AI47" s="506">
        <f t="shared" si="19"/>
        <v>1.778224710685226</v>
      </c>
      <c r="AJ47" s="523">
        <f t="shared" si="20"/>
        <v>1.75</v>
      </c>
      <c r="AK47" s="506">
        <f t="shared" si="21"/>
        <v>1.8</v>
      </c>
      <c r="AL47" s="506">
        <f t="shared" si="22"/>
        <v>1.85</v>
      </c>
      <c r="AM47" s="506">
        <f t="shared" si="23"/>
        <v>1.9</v>
      </c>
      <c r="AN47" s="524">
        <f t="shared" si="2"/>
        <v>1000000</v>
      </c>
    </row>
    <row r="48" spans="1:40" ht="15" customHeight="1" x14ac:dyDescent="0.2">
      <c r="A48" s="526">
        <f>$P$5</f>
        <v>4</v>
      </c>
      <c r="B48" s="446">
        <f>$P$6</f>
        <v>44</v>
      </c>
      <c r="C48" s="527">
        <f t="shared" si="3"/>
        <v>176</v>
      </c>
      <c r="D48" s="528">
        <f t="shared" si="9"/>
        <v>0.39000000000000012</v>
      </c>
      <c r="E48" s="529">
        <f t="shared" si="10"/>
        <v>1936</v>
      </c>
      <c r="F48" s="530">
        <f t="shared" si="11"/>
        <v>3020.1600000000008</v>
      </c>
      <c r="G48" s="530">
        <f t="shared" si="12"/>
        <v>4711.4496000000017</v>
      </c>
      <c r="H48" s="530">
        <f t="shared" si="13"/>
        <v>17.160000000000004</v>
      </c>
      <c r="I48" s="531">
        <f t="shared" si="14"/>
        <v>26.769600000000018</v>
      </c>
      <c r="K48" s="509">
        <f t="shared" si="24"/>
        <v>14</v>
      </c>
      <c r="L48" s="522">
        <f t="shared" si="4"/>
        <v>71.949124209203276</v>
      </c>
      <c r="M48" s="506">
        <f t="shared" si="5"/>
        <v>2.1339303097843243</v>
      </c>
      <c r="N48" s="506">
        <f t="shared" si="5"/>
        <v>2.1296815266333513</v>
      </c>
      <c r="O48" s="506">
        <f t="shared" si="5"/>
        <v>2.1242188054392432</v>
      </c>
      <c r="P48" s="506">
        <f t="shared" si="5"/>
        <v>2.1102585179431892</v>
      </c>
      <c r="Q48" s="506">
        <f t="shared" si="5"/>
        <v>2.085372788058919</v>
      </c>
      <c r="R48" s="506">
        <f t="shared" si="5"/>
        <v>2.0762682527354057</v>
      </c>
      <c r="S48" s="506">
        <f t="shared" si="5"/>
        <v>2.0610940271962166</v>
      </c>
      <c r="T48" s="506">
        <f t="shared" si="5"/>
        <v>1.9730835190689195</v>
      </c>
      <c r="U48" s="523">
        <f t="shared" si="15"/>
        <v>1.75</v>
      </c>
      <c r="V48" s="506">
        <f t="shared" si="16"/>
        <v>1.8</v>
      </c>
      <c r="W48" s="506">
        <f t="shared" si="17"/>
        <v>1.85</v>
      </c>
      <c r="X48" s="506">
        <f t="shared" si="18"/>
        <v>1.9</v>
      </c>
      <c r="Y48" s="524">
        <f t="shared" si="6"/>
        <v>-1000000</v>
      </c>
      <c r="AA48" s="525">
        <f t="shared" si="7"/>
        <v>3.36</v>
      </c>
      <c r="AB48" s="523">
        <f t="shared" si="19"/>
        <v>2.1355124658945663</v>
      </c>
      <c r="AC48" s="506">
        <f t="shared" si="19"/>
        <v>2.1322250393445539</v>
      </c>
      <c r="AD48" s="506">
        <f t="shared" si="19"/>
        <v>2.1278085883915505</v>
      </c>
      <c r="AE48" s="506">
        <f t="shared" si="19"/>
        <v>2.1154387603521028</v>
      </c>
      <c r="AF48" s="506">
        <f t="shared" si="19"/>
        <v>2.0885615227227565</v>
      </c>
      <c r="AG48" s="506">
        <f t="shared" si="19"/>
        <v>2.0767432031811124</v>
      </c>
      <c r="AH48" s="506">
        <f t="shared" si="19"/>
        <v>2.0539242050018442</v>
      </c>
      <c r="AI48" s="506">
        <f t="shared" si="19"/>
        <v>1.7120473659946966</v>
      </c>
      <c r="AJ48" s="523">
        <f t="shared" si="20"/>
        <v>1.75</v>
      </c>
      <c r="AK48" s="506">
        <f t="shared" si="21"/>
        <v>1.8</v>
      </c>
      <c r="AL48" s="506">
        <f t="shared" si="22"/>
        <v>1.85</v>
      </c>
      <c r="AM48" s="506">
        <f t="shared" si="23"/>
        <v>1.9</v>
      </c>
      <c r="AN48" s="524">
        <f t="shared" si="2"/>
        <v>1000000</v>
      </c>
    </row>
    <row r="49" spans="1:40" ht="15" customHeight="1" x14ac:dyDescent="0.2">
      <c r="A49" s="526">
        <f>$Q$5</f>
        <v>3</v>
      </c>
      <c r="B49" s="446">
        <f>$Q$6</f>
        <v>55</v>
      </c>
      <c r="C49" s="527">
        <f t="shared" si="3"/>
        <v>165</v>
      </c>
      <c r="D49" s="528">
        <f t="shared" si="9"/>
        <v>0.39000000000000012</v>
      </c>
      <c r="E49" s="529">
        <f t="shared" si="10"/>
        <v>3025</v>
      </c>
      <c r="F49" s="530">
        <f t="shared" si="11"/>
        <v>3539.2500000000009</v>
      </c>
      <c r="G49" s="530">
        <f t="shared" si="12"/>
        <v>4140.9225000000033</v>
      </c>
      <c r="H49" s="530">
        <f t="shared" si="13"/>
        <v>21.450000000000006</v>
      </c>
      <c r="I49" s="531">
        <f t="shared" si="14"/>
        <v>25.096500000000017</v>
      </c>
      <c r="K49" s="509">
        <f t="shared" si="24"/>
        <v>15</v>
      </c>
      <c r="L49" s="522">
        <f t="shared" si="4"/>
        <v>77.088347367003507</v>
      </c>
      <c r="M49" s="506">
        <f t="shared" si="5"/>
        <v>2.1337568900638768</v>
      </c>
      <c r="N49" s="506">
        <f t="shared" si="5"/>
        <v>2.1293867131085902</v>
      </c>
      <c r="O49" s="506">
        <f t="shared" si="5"/>
        <v>2.1237679141660788</v>
      </c>
      <c r="P49" s="506">
        <f t="shared" si="5"/>
        <v>2.1094087613129946</v>
      </c>
      <c r="Q49" s="506">
        <f t="shared" si="5"/>
        <v>2.0838120105748885</v>
      </c>
      <c r="R49" s="506">
        <f t="shared" si="5"/>
        <v>2.0744473456707029</v>
      </c>
      <c r="S49" s="506">
        <f t="shared" si="5"/>
        <v>2.0588395708303944</v>
      </c>
      <c r="T49" s="506">
        <f t="shared" si="5"/>
        <v>1.968314476756603</v>
      </c>
      <c r="U49" s="523">
        <f t="shared" si="15"/>
        <v>1.75</v>
      </c>
      <c r="V49" s="506">
        <f t="shared" si="16"/>
        <v>1.8</v>
      </c>
      <c r="W49" s="506">
        <f t="shared" si="17"/>
        <v>1.85</v>
      </c>
      <c r="X49" s="506">
        <f t="shared" si="18"/>
        <v>1.9</v>
      </c>
      <c r="Y49" s="524">
        <f t="shared" si="6"/>
        <v>-1000000</v>
      </c>
      <c r="AA49" s="525">
        <f t="shared" si="7"/>
        <v>3.5999999999999996</v>
      </c>
      <c r="AB49" s="523">
        <f t="shared" si="19"/>
        <v>2.1355038415896952</v>
      </c>
      <c r="AC49" s="506">
        <f t="shared" si="19"/>
        <v>2.1321991144594743</v>
      </c>
      <c r="AD49" s="506">
        <f t="shared" si="19"/>
        <v>2.1277447250279651</v>
      </c>
      <c r="AE49" s="506">
        <f t="shared" si="19"/>
        <v>2.1151781697083072</v>
      </c>
      <c r="AF49" s="506">
        <f t="shared" si="19"/>
        <v>2.0874051276204493</v>
      </c>
      <c r="AG49" s="506">
        <f t="shared" si="19"/>
        <v>2.0749853060675498</v>
      </c>
      <c r="AH49" s="506">
        <f t="shared" si="19"/>
        <v>2.0506363184091807</v>
      </c>
      <c r="AI49" s="506">
        <f t="shared" si="19"/>
        <v>1.6162389563395165</v>
      </c>
      <c r="AJ49" s="523">
        <f t="shared" si="20"/>
        <v>1.75</v>
      </c>
      <c r="AK49" s="506">
        <f t="shared" si="21"/>
        <v>1.8</v>
      </c>
      <c r="AL49" s="506">
        <f t="shared" si="22"/>
        <v>1.85</v>
      </c>
      <c r="AM49" s="506">
        <f t="shared" si="23"/>
        <v>1.9</v>
      </c>
      <c r="AN49" s="524">
        <f t="shared" si="2"/>
        <v>1000000</v>
      </c>
    </row>
    <row r="50" spans="1:40" ht="15" customHeight="1" x14ac:dyDescent="0.2">
      <c r="A50" s="526">
        <f>$R$5</f>
        <v>2</v>
      </c>
      <c r="B50" s="446">
        <f>$R$6</f>
        <v>75</v>
      </c>
      <c r="C50" s="527">
        <f t="shared" si="3"/>
        <v>150</v>
      </c>
      <c r="D50" s="528">
        <f t="shared" si="9"/>
        <v>0.39000000000000012</v>
      </c>
      <c r="E50" s="529">
        <f t="shared" si="10"/>
        <v>5625</v>
      </c>
      <c r="F50" s="530">
        <f t="shared" si="11"/>
        <v>4387.5000000000018</v>
      </c>
      <c r="G50" s="530">
        <f t="shared" si="12"/>
        <v>3422.2500000000023</v>
      </c>
      <c r="H50" s="530">
        <f t="shared" si="13"/>
        <v>29.250000000000011</v>
      </c>
      <c r="I50" s="531">
        <f t="shared" si="14"/>
        <v>22.815000000000015</v>
      </c>
      <c r="K50" s="509">
        <f t="shared" si="24"/>
        <v>16</v>
      </c>
      <c r="L50" s="522">
        <f t="shared" si="4"/>
        <v>82.227570524803738</v>
      </c>
      <c r="M50" s="506">
        <f t="shared" ref="M50:T65" si="25">IF(($C$2-(($AA$21/1000)/(1-($L50)/($AA$22)))*M$31)&lt;0,0,($C$2-(($AA$21/1000)/(1-($L50)/($AA$22)))*M$31))</f>
        <v>2.1335732691834024</v>
      </c>
      <c r="N50" s="506">
        <f t="shared" si="25"/>
        <v>2.129074557611784</v>
      </c>
      <c r="O50" s="506">
        <f t="shared" si="25"/>
        <v>2.123290499876846</v>
      </c>
      <c r="P50" s="506">
        <f t="shared" si="25"/>
        <v>2.1085090189986713</v>
      </c>
      <c r="Q50" s="506">
        <f t="shared" si="25"/>
        <v>2.0821594226506202</v>
      </c>
      <c r="R50" s="506">
        <f t="shared" si="25"/>
        <v>2.0725193264257236</v>
      </c>
      <c r="S50" s="506">
        <f t="shared" si="25"/>
        <v>2.0564524993842292</v>
      </c>
      <c r="T50" s="506">
        <f t="shared" si="25"/>
        <v>1.9632649025435618</v>
      </c>
      <c r="U50" s="523">
        <f t="shared" si="15"/>
        <v>1.75</v>
      </c>
      <c r="V50" s="506">
        <f t="shared" si="16"/>
        <v>1.8</v>
      </c>
      <c r="W50" s="506">
        <f t="shared" si="17"/>
        <v>1.85</v>
      </c>
      <c r="X50" s="506">
        <f t="shared" si="18"/>
        <v>1.9</v>
      </c>
      <c r="Y50" s="524">
        <f t="shared" si="6"/>
        <v>-1000000</v>
      </c>
      <c r="AA50" s="525">
        <f t="shared" si="7"/>
        <v>3.84</v>
      </c>
      <c r="AB50" s="523">
        <f t="shared" si="19"/>
        <v>2.1354951840719942</v>
      </c>
      <c r="AC50" s="506">
        <f t="shared" si="19"/>
        <v>2.1321730161077372</v>
      </c>
      <c r="AD50" s="506">
        <f t="shared" si="19"/>
        <v>2.1276801890586516</v>
      </c>
      <c r="AE50" s="506">
        <f t="shared" si="19"/>
        <v>2.1149119901204783</v>
      </c>
      <c r="AF50" s="506">
        <f t="shared" si="19"/>
        <v>2.0861955426113283</v>
      </c>
      <c r="AG50" s="506">
        <f t="shared" si="19"/>
        <v>2.0731269127735135</v>
      </c>
      <c r="AH50" s="506">
        <f t="shared" si="19"/>
        <v>2.0470872777795472</v>
      </c>
      <c r="AI50" s="506">
        <f t="shared" si="19"/>
        <v>1.4651578627855568</v>
      </c>
      <c r="AJ50" s="523">
        <f t="shared" si="20"/>
        <v>1.75</v>
      </c>
      <c r="AK50" s="506">
        <f t="shared" si="21"/>
        <v>1.8</v>
      </c>
      <c r="AL50" s="506">
        <f t="shared" si="22"/>
        <v>1.85</v>
      </c>
      <c r="AM50" s="506">
        <f t="shared" si="23"/>
        <v>1.9</v>
      </c>
      <c r="AN50" s="524">
        <f t="shared" si="2"/>
        <v>1000000</v>
      </c>
    </row>
    <row r="51" spans="1:40" ht="15" customHeight="1" x14ac:dyDescent="0.2">
      <c r="A51" s="532">
        <f>$S$5</f>
        <v>1</v>
      </c>
      <c r="B51" s="477">
        <f>$S$6</f>
        <v>116</v>
      </c>
      <c r="C51" s="533">
        <f t="shared" si="3"/>
        <v>116</v>
      </c>
      <c r="D51" s="534">
        <f t="shared" si="9"/>
        <v>0.39000000000000012</v>
      </c>
      <c r="E51" s="535">
        <f t="shared" si="10"/>
        <v>13456</v>
      </c>
      <c r="F51" s="536">
        <f t="shared" si="11"/>
        <v>5247.840000000002</v>
      </c>
      <c r="G51" s="536">
        <f t="shared" si="12"/>
        <v>2046.6576000000014</v>
      </c>
      <c r="H51" s="536">
        <f t="shared" si="13"/>
        <v>45.240000000000016</v>
      </c>
      <c r="I51" s="537">
        <f t="shared" si="14"/>
        <v>17.64360000000001</v>
      </c>
      <c r="K51" s="509">
        <f t="shared" si="24"/>
        <v>17</v>
      </c>
      <c r="L51" s="522">
        <f t="shared" si="4"/>
        <v>87.366793682603969</v>
      </c>
      <c r="M51" s="506">
        <f t="shared" si="25"/>
        <v>2.1333785197647175</v>
      </c>
      <c r="N51" s="506">
        <f t="shared" si="25"/>
        <v>2.1287434836000196</v>
      </c>
      <c r="O51" s="506">
        <f t="shared" si="25"/>
        <v>2.1227841513882657</v>
      </c>
      <c r="P51" s="506">
        <f t="shared" si="25"/>
        <v>2.1075547468471156</v>
      </c>
      <c r="Q51" s="506">
        <f t="shared" si="25"/>
        <v>2.0804066778824573</v>
      </c>
      <c r="R51" s="506">
        <f t="shared" si="25"/>
        <v>2.0704744575295333</v>
      </c>
      <c r="S51" s="506">
        <f t="shared" si="25"/>
        <v>2.0539207569413271</v>
      </c>
      <c r="T51" s="506">
        <f t="shared" si="25"/>
        <v>1.9579092935297304</v>
      </c>
      <c r="U51" s="523">
        <f t="shared" si="15"/>
        <v>1.75</v>
      </c>
      <c r="V51" s="506">
        <f t="shared" si="16"/>
        <v>1.8</v>
      </c>
      <c r="W51" s="506">
        <f t="shared" si="17"/>
        <v>1.85</v>
      </c>
      <c r="X51" s="506">
        <f t="shared" si="18"/>
        <v>1.9</v>
      </c>
      <c r="Y51" s="524">
        <f t="shared" si="6"/>
        <v>-1000000</v>
      </c>
      <c r="AA51" s="525">
        <f t="shared" si="7"/>
        <v>4.08</v>
      </c>
      <c r="AB51" s="523">
        <f t="shared" ref="AB51:AI82" si="26">$C$2-(($AA$21/1000)/(1-($AA51*AB$31)/$AA$22))*AB$31</f>
        <v>2.1354864931492359</v>
      </c>
      <c r="AC51" s="506">
        <f t="shared" si="26"/>
        <v>2.1321467425424681</v>
      </c>
      <c r="AD51" s="506">
        <f t="shared" si="26"/>
        <v>2.1276149698015843</v>
      </c>
      <c r="AE51" s="506">
        <f t="shared" si="26"/>
        <v>2.1146400398386587</v>
      </c>
      <c r="AF51" s="506">
        <f t="shared" si="26"/>
        <v>2.0849290115007388</v>
      </c>
      <c r="AG51" s="506">
        <f t="shared" si="26"/>
        <v>2.0711591519072661</v>
      </c>
      <c r="AH51" s="506">
        <f t="shared" si="26"/>
        <v>2.0432446814291252</v>
      </c>
      <c r="AI51" s="506">
        <f t="shared" si="26"/>
        <v>1.1915829413616716</v>
      </c>
      <c r="AJ51" s="523">
        <f t="shared" si="20"/>
        <v>1.75</v>
      </c>
      <c r="AK51" s="506">
        <f t="shared" si="21"/>
        <v>1.8</v>
      </c>
      <c r="AL51" s="506">
        <f t="shared" si="22"/>
        <v>1.85</v>
      </c>
      <c r="AM51" s="506">
        <f t="shared" si="23"/>
        <v>1.9</v>
      </c>
      <c r="AN51" s="524">
        <f t="shared" si="2"/>
        <v>1000000</v>
      </c>
    </row>
    <row r="52" spans="1:40" ht="15" customHeight="1" x14ac:dyDescent="0.2">
      <c r="B52" s="446">
        <f>$B$7</f>
        <v>2.4</v>
      </c>
      <c r="C52" s="527">
        <f t="shared" ref="C52:C69" si="27">$A34*B52</f>
        <v>288</v>
      </c>
      <c r="D52" s="528">
        <f>$C$2-$A$20</f>
        <v>0.3600000000000001</v>
      </c>
      <c r="E52" s="519">
        <f t="shared" si="10"/>
        <v>5.76</v>
      </c>
      <c r="F52" s="520">
        <f t="shared" si="11"/>
        <v>248.83200000000005</v>
      </c>
      <c r="G52" s="520">
        <f t="shared" si="12"/>
        <v>10749.542400000008</v>
      </c>
      <c r="H52" s="520">
        <f t="shared" si="13"/>
        <v>0.86400000000000021</v>
      </c>
      <c r="I52" s="521">
        <f t="shared" si="14"/>
        <v>37.324800000000025</v>
      </c>
      <c r="K52" s="509">
        <f t="shared" si="24"/>
        <v>18</v>
      </c>
      <c r="L52" s="522">
        <f t="shared" si="4"/>
        <v>92.5060168404042</v>
      </c>
      <c r="M52" s="506">
        <f t="shared" si="25"/>
        <v>2.1331715985073649</v>
      </c>
      <c r="N52" s="506">
        <f t="shared" si="25"/>
        <v>2.1283917174625206</v>
      </c>
      <c r="O52" s="506">
        <f t="shared" si="25"/>
        <v>2.1222461561191488</v>
      </c>
      <c r="P52" s="506">
        <f t="shared" si="25"/>
        <v>2.1065408326860879</v>
      </c>
      <c r="Q52" s="506">
        <f t="shared" si="25"/>
        <v>2.0785443865662843</v>
      </c>
      <c r="R52" s="506">
        <f t="shared" si="25"/>
        <v>2.0683017843273315</v>
      </c>
      <c r="S52" s="506">
        <f t="shared" si="25"/>
        <v>2.0512307805957435</v>
      </c>
      <c r="T52" s="506">
        <f t="shared" si="25"/>
        <v>1.9522189589525345</v>
      </c>
      <c r="U52" s="523">
        <f t="shared" si="15"/>
        <v>1.75</v>
      </c>
      <c r="V52" s="506">
        <f t="shared" si="16"/>
        <v>1.8</v>
      </c>
      <c r="W52" s="506">
        <f t="shared" si="17"/>
        <v>1.85</v>
      </c>
      <c r="X52" s="506">
        <f t="shared" si="18"/>
        <v>1.9</v>
      </c>
      <c r="Y52" s="524">
        <f t="shared" si="6"/>
        <v>-1000000</v>
      </c>
      <c r="AA52" s="525">
        <f t="shared" si="7"/>
        <v>4.32</v>
      </c>
      <c r="AB52" s="523">
        <f t="shared" si="26"/>
        <v>2.1354777686277058</v>
      </c>
      <c r="AC52" s="506">
        <f t="shared" si="26"/>
        <v>2.1321202919932567</v>
      </c>
      <c r="AD52" s="506">
        <f t="shared" si="26"/>
        <v>2.1275490563473372</v>
      </c>
      <c r="AE52" s="506">
        <f t="shared" si="26"/>
        <v>2.1143621291459613</v>
      </c>
      <c r="AF52" s="506">
        <f t="shared" si="26"/>
        <v>2.0836014158918825</v>
      </c>
      <c r="AG52" s="506">
        <f t="shared" si="26"/>
        <v>2.0690720762468753</v>
      </c>
      <c r="AH52" s="506">
        <f t="shared" si="26"/>
        <v>2.0390705362778441</v>
      </c>
      <c r="AI52" s="506">
        <f t="shared" si="26"/>
        <v>0.54497361948405332</v>
      </c>
      <c r="AJ52" s="523">
        <f t="shared" si="20"/>
        <v>1.75</v>
      </c>
      <c r="AK52" s="506">
        <f t="shared" si="21"/>
        <v>1.8</v>
      </c>
      <c r="AL52" s="506">
        <f t="shared" si="22"/>
        <v>1.85</v>
      </c>
      <c r="AM52" s="506">
        <f t="shared" si="23"/>
        <v>1.9</v>
      </c>
      <c r="AN52" s="524">
        <f t="shared" si="2"/>
        <v>1000000</v>
      </c>
    </row>
    <row r="53" spans="1:40" ht="15" customHeight="1" x14ac:dyDescent="0.2">
      <c r="B53" s="446">
        <f>$C$7</f>
        <v>2.9</v>
      </c>
      <c r="C53" s="527">
        <f t="shared" si="27"/>
        <v>290</v>
      </c>
      <c r="D53" s="528">
        <f t="shared" ref="D53:D69" si="28">$C$2-$A$20</f>
        <v>0.3600000000000001</v>
      </c>
      <c r="E53" s="529">
        <f t="shared" si="10"/>
        <v>8.41</v>
      </c>
      <c r="F53" s="530">
        <f t="shared" si="11"/>
        <v>302.76000000000005</v>
      </c>
      <c r="G53" s="530">
        <f t="shared" si="12"/>
        <v>10899.360000000008</v>
      </c>
      <c r="H53" s="530">
        <f t="shared" si="13"/>
        <v>1.0440000000000003</v>
      </c>
      <c r="I53" s="531">
        <f t="shared" si="14"/>
        <v>37.584000000000024</v>
      </c>
      <c r="K53" s="509">
        <f t="shared" si="24"/>
        <v>19</v>
      </c>
      <c r="L53" s="522">
        <f t="shared" si="4"/>
        <v>97.645239998204445</v>
      </c>
      <c r="M53" s="506">
        <f t="shared" si="25"/>
        <v>2.1329513274914738</v>
      </c>
      <c r="N53" s="506">
        <f t="shared" si="25"/>
        <v>2.1280172567355051</v>
      </c>
      <c r="O53" s="506">
        <f t="shared" si="25"/>
        <v>2.121673451477831</v>
      </c>
      <c r="P53" s="506">
        <f t="shared" si="25"/>
        <v>2.1054615047082201</v>
      </c>
      <c r="Q53" s="506">
        <f t="shared" si="25"/>
        <v>2.0765619474232611</v>
      </c>
      <c r="R53" s="506">
        <f t="shared" si="25"/>
        <v>2.0659889386604711</v>
      </c>
      <c r="S53" s="506">
        <f t="shared" si="25"/>
        <v>2.0483672573891547</v>
      </c>
      <c r="T53" s="506">
        <f t="shared" si="25"/>
        <v>1.9461615060155195</v>
      </c>
      <c r="U53" s="523">
        <f t="shared" si="15"/>
        <v>1.75</v>
      </c>
      <c r="V53" s="506">
        <f t="shared" si="16"/>
        <v>1.8</v>
      </c>
      <c r="W53" s="506">
        <f t="shared" si="17"/>
        <v>1.85</v>
      </c>
      <c r="X53" s="506">
        <f t="shared" si="18"/>
        <v>1.9</v>
      </c>
      <c r="Y53" s="524">
        <f t="shared" si="6"/>
        <v>-1000000</v>
      </c>
      <c r="AA53" s="525">
        <f t="shared" si="7"/>
        <v>4.5599999999999996</v>
      </c>
      <c r="AB53" s="523">
        <f t="shared" si="26"/>
        <v>2.1354690103121898</v>
      </c>
      <c r="AC53" s="506">
        <f t="shared" si="26"/>
        <v>2.1320936626657616</v>
      </c>
      <c r="AD53" s="506">
        <f t="shared" si="26"/>
        <v>2.1274824375530015</v>
      </c>
      <c r="AE53" s="506">
        <f t="shared" si="26"/>
        <v>2.1140780599171993</v>
      </c>
      <c r="AF53" s="506">
        <f t="shared" si="26"/>
        <v>2.0822082304493414</v>
      </c>
      <c r="AG53" s="506">
        <f t="shared" si="26"/>
        <v>2.06685449455953</v>
      </c>
      <c r="AH53" s="506">
        <f t="shared" si="26"/>
        <v>2.0345199973717554</v>
      </c>
      <c r="AI53" s="506"/>
      <c r="AJ53" s="523">
        <f t="shared" si="20"/>
        <v>1.75</v>
      </c>
      <c r="AK53" s="506">
        <f t="shared" si="21"/>
        <v>1.8</v>
      </c>
      <c r="AL53" s="506">
        <f t="shared" si="22"/>
        <v>1.85</v>
      </c>
      <c r="AM53" s="506">
        <f t="shared" si="23"/>
        <v>1.9</v>
      </c>
      <c r="AN53" s="524">
        <f t="shared" si="2"/>
        <v>1000000</v>
      </c>
    </row>
    <row r="54" spans="1:40" ht="15" customHeight="1" x14ac:dyDescent="0.2">
      <c r="B54" s="446">
        <f>$D$7</f>
        <v>3.9</v>
      </c>
      <c r="C54" s="527">
        <f t="shared" si="27"/>
        <v>280.8</v>
      </c>
      <c r="D54" s="528">
        <f t="shared" si="28"/>
        <v>0.3600000000000001</v>
      </c>
      <c r="E54" s="529">
        <f t="shared" si="10"/>
        <v>15.209999999999999</v>
      </c>
      <c r="F54" s="530">
        <f t="shared" si="11"/>
        <v>394.24320000000012</v>
      </c>
      <c r="G54" s="530">
        <f t="shared" si="12"/>
        <v>10218.783744000008</v>
      </c>
      <c r="H54" s="530">
        <f t="shared" si="13"/>
        <v>1.4040000000000004</v>
      </c>
      <c r="I54" s="531">
        <f t="shared" si="14"/>
        <v>36.391680000000022</v>
      </c>
      <c r="K54" s="509">
        <f t="shared" si="24"/>
        <v>20</v>
      </c>
      <c r="L54" s="522">
        <f t="shared" si="4"/>
        <v>102.78446315600468</v>
      </c>
      <c r="M54" s="506">
        <f t="shared" si="25"/>
        <v>2.1327163717411892</v>
      </c>
      <c r="N54" s="506">
        <f t="shared" si="25"/>
        <v>2.1276178319600216</v>
      </c>
      <c r="O54" s="506">
        <f t="shared" si="25"/>
        <v>2.1210625665270921</v>
      </c>
      <c r="P54" s="506">
        <f t="shared" si="25"/>
        <v>2.1043102215318275</v>
      </c>
      <c r="Q54" s="506">
        <f t="shared" si="25"/>
        <v>2.0744473456707029</v>
      </c>
      <c r="R54" s="506">
        <f t="shared" si="25"/>
        <v>2.0635219032824867</v>
      </c>
      <c r="S54" s="506">
        <f t="shared" si="25"/>
        <v>2.0453128326354597</v>
      </c>
      <c r="T54" s="506">
        <f t="shared" si="25"/>
        <v>1.9397002228827034</v>
      </c>
      <c r="U54" s="523">
        <f t="shared" si="15"/>
        <v>1.75</v>
      </c>
      <c r="V54" s="506">
        <f t="shared" si="16"/>
        <v>1.8</v>
      </c>
      <c r="W54" s="506">
        <f t="shared" si="17"/>
        <v>1.85</v>
      </c>
      <c r="X54" s="506">
        <f t="shared" si="18"/>
        <v>1.9</v>
      </c>
      <c r="Y54" s="524">
        <f t="shared" si="6"/>
        <v>-1000000</v>
      </c>
      <c r="AA54" s="525">
        <f t="shared" si="7"/>
        <v>4.8</v>
      </c>
      <c r="AB54" s="523">
        <f t="shared" si="26"/>
        <v>2.1354602180059574</v>
      </c>
      <c r="AC54" s="506">
        <f t="shared" si="26"/>
        <v>2.1320668527413029</v>
      </c>
      <c r="AD54" s="506">
        <f t="shared" si="26"/>
        <v>2.1274151020359033</v>
      </c>
      <c r="AE54" s="506">
        <f t="shared" si="26"/>
        <v>2.1137876251478431</v>
      </c>
      <c r="AF54" s="506">
        <f t="shared" si="26"/>
        <v>2.0807444713640528</v>
      </c>
      <c r="AG54" s="506">
        <f t="shared" si="26"/>
        <v>2.0644937708533213</v>
      </c>
      <c r="AH54" s="506">
        <f t="shared" si="26"/>
        <v>2.0295397503240711</v>
      </c>
      <c r="AI54" s="506"/>
      <c r="AJ54" s="523">
        <f t="shared" si="20"/>
        <v>1.75</v>
      </c>
      <c r="AK54" s="506">
        <f t="shared" si="21"/>
        <v>1.8</v>
      </c>
      <c r="AL54" s="506">
        <f t="shared" si="22"/>
        <v>1.85</v>
      </c>
      <c r="AM54" s="506">
        <f t="shared" si="23"/>
        <v>1.9</v>
      </c>
      <c r="AN54" s="524">
        <f t="shared" si="2"/>
        <v>1000000</v>
      </c>
    </row>
    <row r="55" spans="1:40" ht="15" customHeight="1" x14ac:dyDescent="0.2">
      <c r="B55" s="446">
        <f>$E$7</f>
        <v>5.6</v>
      </c>
      <c r="C55" s="527">
        <f t="shared" si="27"/>
        <v>268.79999999999995</v>
      </c>
      <c r="D55" s="528">
        <f t="shared" si="28"/>
        <v>0.3600000000000001</v>
      </c>
      <c r="E55" s="529">
        <f t="shared" si="10"/>
        <v>31.359999999999996</v>
      </c>
      <c r="F55" s="530">
        <f t="shared" si="11"/>
        <v>541.9008</v>
      </c>
      <c r="G55" s="530">
        <f t="shared" si="12"/>
        <v>9364.0458240000025</v>
      </c>
      <c r="H55" s="530">
        <f t="shared" si="13"/>
        <v>2.0160000000000005</v>
      </c>
      <c r="I55" s="531">
        <f t="shared" si="14"/>
        <v>34.836480000000016</v>
      </c>
      <c r="K55" s="509">
        <f t="shared" si="24"/>
        <v>21</v>
      </c>
      <c r="L55" s="522">
        <f t="shared" si="4"/>
        <v>107.92368631380491</v>
      </c>
      <c r="M55" s="506">
        <f t="shared" si="25"/>
        <v>2.1324652121460579</v>
      </c>
      <c r="N55" s="506">
        <f t="shared" si="25"/>
        <v>2.1271908606482985</v>
      </c>
      <c r="O55" s="506">
        <f t="shared" si="25"/>
        <v>2.1204095515797503</v>
      </c>
      <c r="P55" s="506">
        <f t="shared" si="25"/>
        <v>2.1030795395156834</v>
      </c>
      <c r="Q55" s="506">
        <f t="shared" si="25"/>
        <v>2.0721869093145204</v>
      </c>
      <c r="R55" s="506">
        <f t="shared" si="25"/>
        <v>2.0608847275336073</v>
      </c>
      <c r="S55" s="506">
        <f t="shared" si="25"/>
        <v>2.0420477578987515</v>
      </c>
      <c r="T55" s="506">
        <f t="shared" si="25"/>
        <v>1.9327933340165899</v>
      </c>
      <c r="U55" s="523">
        <f t="shared" si="15"/>
        <v>1.75</v>
      </c>
      <c r="V55" s="506">
        <f t="shared" si="16"/>
        <v>1.8</v>
      </c>
      <c r="W55" s="506">
        <f t="shared" si="17"/>
        <v>1.85</v>
      </c>
      <c r="X55" s="506">
        <f t="shared" si="18"/>
        <v>1.9</v>
      </c>
      <c r="Y55" s="524">
        <f t="shared" si="6"/>
        <v>-1000000</v>
      </c>
      <c r="AA55" s="525">
        <f t="shared" si="7"/>
        <v>5.04</v>
      </c>
      <c r="AB55" s="523">
        <f t="shared" si="26"/>
        <v>2.1354513915107489</v>
      </c>
      <c r="AC55" s="506">
        <f t="shared" si="26"/>
        <v>2.1320398603764481</v>
      </c>
      <c r="AD55" s="506">
        <f t="shared" si="26"/>
        <v>2.1273470381671231</v>
      </c>
      <c r="AE55" s="506">
        <f t="shared" si="26"/>
        <v>2.1134906084509555</v>
      </c>
      <c r="AF55" s="506">
        <f t="shared" si="26"/>
        <v>2.0792046367830359</v>
      </c>
      <c r="AG55" s="506">
        <f t="shared" si="26"/>
        <v>2.0619755834584348</v>
      </c>
      <c r="AH55" s="506">
        <f t="shared" si="26"/>
        <v>2.0240659128091729</v>
      </c>
      <c r="AI55" s="506"/>
      <c r="AJ55" s="523">
        <f t="shared" si="20"/>
        <v>1.75</v>
      </c>
      <c r="AK55" s="506">
        <f t="shared" si="21"/>
        <v>1.8</v>
      </c>
      <c r="AL55" s="506">
        <f t="shared" si="22"/>
        <v>1.85</v>
      </c>
      <c r="AM55" s="506">
        <f t="shared" si="23"/>
        <v>1.9</v>
      </c>
      <c r="AN55" s="524">
        <f t="shared" si="2"/>
        <v>1000000</v>
      </c>
    </row>
    <row r="56" spans="1:40" ht="15" customHeight="1" x14ac:dyDescent="0.2">
      <c r="B56" s="446">
        <f>$F$7</f>
        <v>7.2</v>
      </c>
      <c r="C56" s="527">
        <f t="shared" si="27"/>
        <v>259.2</v>
      </c>
      <c r="D56" s="528">
        <f t="shared" si="28"/>
        <v>0.3600000000000001</v>
      </c>
      <c r="E56" s="529">
        <f t="shared" si="10"/>
        <v>51.84</v>
      </c>
      <c r="F56" s="530">
        <f t="shared" si="11"/>
        <v>671.84640000000024</v>
      </c>
      <c r="G56" s="530">
        <f t="shared" si="12"/>
        <v>8707.1293440000045</v>
      </c>
      <c r="H56" s="530">
        <f t="shared" si="13"/>
        <v>2.592000000000001</v>
      </c>
      <c r="I56" s="531">
        <f t="shared" si="14"/>
        <v>33.592320000000015</v>
      </c>
      <c r="K56" s="509">
        <f t="shared" si="24"/>
        <v>22</v>
      </c>
      <c r="L56" s="522">
        <f t="shared" si="4"/>
        <v>113.06290947160514</v>
      </c>
      <c r="M56" s="506">
        <f t="shared" si="25"/>
        <v>2.1321961125798459</v>
      </c>
      <c r="N56" s="506">
        <f t="shared" si="25"/>
        <v>2.1267333913857378</v>
      </c>
      <c r="O56" s="506">
        <f t="shared" si="25"/>
        <v>2.1197098927075988</v>
      </c>
      <c r="P56" s="506">
        <f t="shared" si="25"/>
        <v>2.1017609516412437</v>
      </c>
      <c r="Q56" s="506">
        <f t="shared" si="25"/>
        <v>2.0697650132186105</v>
      </c>
      <c r="R56" s="506">
        <f t="shared" si="25"/>
        <v>2.0580591820883787</v>
      </c>
      <c r="S56" s="506">
        <f t="shared" si="25"/>
        <v>2.0385494635379926</v>
      </c>
      <c r="T56" s="506">
        <f t="shared" si="25"/>
        <v>1.9253930959457537</v>
      </c>
      <c r="U56" s="523">
        <f t="shared" si="15"/>
        <v>1.75</v>
      </c>
      <c r="V56" s="506">
        <f t="shared" si="16"/>
        <v>1.8</v>
      </c>
      <c r="W56" s="506">
        <f t="shared" si="17"/>
        <v>1.85</v>
      </c>
      <c r="X56" s="506">
        <f t="shared" si="18"/>
        <v>1.9</v>
      </c>
      <c r="Y56" s="524">
        <f t="shared" si="6"/>
        <v>-1000000</v>
      </c>
      <c r="AA56" s="525">
        <f t="shared" si="7"/>
        <v>5.2799999999999994</v>
      </c>
      <c r="AB56" s="523">
        <f t="shared" si="26"/>
        <v>2.1354425306267597</v>
      </c>
      <c r="AC56" s="506">
        <f t="shared" si="26"/>
        <v>2.132012683702591</v>
      </c>
      <c r="AD56" s="506">
        <f t="shared" si="26"/>
        <v>2.1272782340647991</v>
      </c>
      <c r="AE56" s="506">
        <f t="shared" si="26"/>
        <v>2.1131867835195295</v>
      </c>
      <c r="AF56" s="506">
        <f t="shared" si="26"/>
        <v>2.0775826377032391</v>
      </c>
      <c r="AG56" s="506">
        <f t="shared" si="26"/>
        <v>2.0592836342361709</v>
      </c>
      <c r="AH56" s="506">
        <f t="shared" si="26"/>
        <v>2.0180212795784715</v>
      </c>
      <c r="AI56" s="506"/>
      <c r="AJ56" s="523">
        <f t="shared" si="20"/>
        <v>1.75</v>
      </c>
      <c r="AK56" s="506">
        <f t="shared" si="21"/>
        <v>1.8</v>
      </c>
      <c r="AL56" s="506">
        <f t="shared" si="22"/>
        <v>1.85</v>
      </c>
      <c r="AM56" s="506">
        <f t="shared" si="23"/>
        <v>1.9</v>
      </c>
      <c r="AN56" s="524">
        <f t="shared" si="2"/>
        <v>1000000</v>
      </c>
    </row>
    <row r="57" spans="1:40" ht="15" customHeight="1" x14ac:dyDescent="0.2">
      <c r="B57" s="446">
        <f>$G$7</f>
        <v>10</v>
      </c>
      <c r="C57" s="527">
        <f t="shared" si="27"/>
        <v>240</v>
      </c>
      <c r="D57" s="528">
        <f t="shared" si="28"/>
        <v>0.3600000000000001</v>
      </c>
      <c r="E57" s="529">
        <f t="shared" si="10"/>
        <v>100</v>
      </c>
      <c r="F57" s="530">
        <f t="shared" si="11"/>
        <v>864.00000000000023</v>
      </c>
      <c r="G57" s="530">
        <f t="shared" si="12"/>
        <v>7464.9600000000037</v>
      </c>
      <c r="H57" s="530">
        <f t="shared" si="13"/>
        <v>3.600000000000001</v>
      </c>
      <c r="I57" s="531">
        <f t="shared" si="14"/>
        <v>31.104000000000017</v>
      </c>
      <c r="K57" s="509">
        <f t="shared" si="24"/>
        <v>23</v>
      </c>
      <c r="L57" s="522">
        <f t="shared" si="4"/>
        <v>118.20213262940537</v>
      </c>
      <c r="M57" s="506">
        <f t="shared" si="25"/>
        <v>2.1319070797124327</v>
      </c>
      <c r="N57" s="506">
        <f t="shared" si="25"/>
        <v>2.1262420355111353</v>
      </c>
      <c r="O57" s="506">
        <f t="shared" si="25"/>
        <v>2.1189584072523244</v>
      </c>
      <c r="P57" s="506">
        <f t="shared" si="25"/>
        <v>2.1003446905909193</v>
      </c>
      <c r="Q57" s="506">
        <f t="shared" si="25"/>
        <v>2.0671637174118924</v>
      </c>
      <c r="R57" s="506">
        <f t="shared" si="25"/>
        <v>2.0550243369805408</v>
      </c>
      <c r="S57" s="506">
        <f t="shared" si="25"/>
        <v>2.0347920362616221</v>
      </c>
      <c r="T57" s="506">
        <f t="shared" si="25"/>
        <v>1.9174446920918928</v>
      </c>
      <c r="U57" s="523">
        <f t="shared" si="15"/>
        <v>1.75</v>
      </c>
      <c r="V57" s="506">
        <f t="shared" si="16"/>
        <v>1.8</v>
      </c>
      <c r="W57" s="506">
        <f t="shared" si="17"/>
        <v>1.85</v>
      </c>
      <c r="X57" s="506">
        <f t="shared" si="18"/>
        <v>1.9</v>
      </c>
      <c r="Y57" s="524">
        <f t="shared" si="6"/>
        <v>-1000000</v>
      </c>
      <c r="AA57" s="525">
        <f t="shared" si="7"/>
        <v>5.52</v>
      </c>
      <c r="AB57" s="523">
        <f t="shared" si="26"/>
        <v>2.1354336351526255</v>
      </c>
      <c r="AC57" s="506">
        <f t="shared" si="26"/>
        <v>2.1319853208255193</v>
      </c>
      <c r="AD57" s="506">
        <f t="shared" si="26"/>
        <v>2.1272086775872108</v>
      </c>
      <c r="AE57" s="506">
        <f t="shared" si="26"/>
        <v>2.1128759135514286</v>
      </c>
      <c r="AF57" s="506">
        <f t="shared" si="26"/>
        <v>2.0758717174997834</v>
      </c>
      <c r="AG57" s="506">
        <f t="shared" si="26"/>
        <v>2.0563992954407748</v>
      </c>
      <c r="AH57" s="506">
        <f t="shared" si="26"/>
        <v>2.0113116582242156</v>
      </c>
      <c r="AI57" s="506"/>
      <c r="AJ57" s="523">
        <f t="shared" si="20"/>
        <v>1.75</v>
      </c>
      <c r="AK57" s="506">
        <f t="shared" si="21"/>
        <v>1.8</v>
      </c>
      <c r="AL57" s="506">
        <f t="shared" si="22"/>
        <v>1.85</v>
      </c>
      <c r="AM57" s="506">
        <f t="shared" si="23"/>
        <v>1.9</v>
      </c>
      <c r="AN57" s="524">
        <f t="shared" si="2"/>
        <v>1000000</v>
      </c>
    </row>
    <row r="58" spans="1:40" ht="15" customHeight="1" x14ac:dyDescent="0.2">
      <c r="B58" s="446">
        <f>$H$7</f>
        <v>12</v>
      </c>
      <c r="C58" s="527">
        <f t="shared" si="27"/>
        <v>240</v>
      </c>
      <c r="D58" s="528">
        <f t="shared" si="28"/>
        <v>0.3600000000000001</v>
      </c>
      <c r="E58" s="529">
        <f t="shared" si="10"/>
        <v>144</v>
      </c>
      <c r="F58" s="530">
        <f t="shared" si="11"/>
        <v>1036.8000000000002</v>
      </c>
      <c r="G58" s="530">
        <f t="shared" si="12"/>
        <v>7464.9600000000037</v>
      </c>
      <c r="H58" s="530">
        <f t="shared" si="13"/>
        <v>4.3200000000000012</v>
      </c>
      <c r="I58" s="531">
        <f t="shared" si="14"/>
        <v>31.104000000000017</v>
      </c>
      <c r="K58" s="509">
        <f t="shared" si="24"/>
        <v>24</v>
      </c>
      <c r="L58" s="522">
        <f t="shared" si="4"/>
        <v>123.3413557872056</v>
      </c>
      <c r="M58" s="506">
        <f t="shared" si="25"/>
        <v>2.1315958135475261</v>
      </c>
      <c r="N58" s="506">
        <f t="shared" si="25"/>
        <v>2.1257128830307943</v>
      </c>
      <c r="O58" s="506">
        <f t="shared" si="25"/>
        <v>2.1181491152235679</v>
      </c>
      <c r="P58" s="506">
        <f t="shared" si="25"/>
        <v>2.0988194863828777</v>
      </c>
      <c r="Q58" s="506">
        <f t="shared" si="25"/>
        <v>2.0643623219277343</v>
      </c>
      <c r="R58" s="506">
        <f t="shared" si="25"/>
        <v>2.0517560422490231</v>
      </c>
      <c r="S58" s="506">
        <f t="shared" si="25"/>
        <v>2.0307455761178383</v>
      </c>
      <c r="T58" s="506">
        <f t="shared" si="25"/>
        <v>1.9088848725569656</v>
      </c>
      <c r="U58" s="523">
        <f t="shared" si="15"/>
        <v>1.75</v>
      </c>
      <c r="V58" s="506">
        <f t="shared" si="16"/>
        <v>1.8</v>
      </c>
      <c r="W58" s="506">
        <f t="shared" si="17"/>
        <v>1.85</v>
      </c>
      <c r="X58" s="506">
        <f t="shared" si="18"/>
        <v>1.9</v>
      </c>
      <c r="Y58" s="524">
        <f t="shared" si="6"/>
        <v>-1000000</v>
      </c>
      <c r="AA58" s="525">
        <f t="shared" si="7"/>
        <v>5.76</v>
      </c>
      <c r="AB58" s="523">
        <f t="shared" si="26"/>
        <v>2.1354247048854051</v>
      </c>
      <c r="AC58" s="506">
        <f t="shared" si="26"/>
        <v>2.1319577698249743</v>
      </c>
      <c r="AD58" s="506">
        <f t="shared" si="26"/>
        <v>2.1271383563256392</v>
      </c>
      <c r="AE58" s="506">
        <f t="shared" si="26"/>
        <v>2.1125577506338504</v>
      </c>
      <c r="AF58" s="506">
        <f t="shared" si="26"/>
        <v>2.0740643578463569</v>
      </c>
      <c r="AG58" s="506">
        <f t="shared" si="26"/>
        <v>2.0533011780606327</v>
      </c>
      <c r="AH58" s="506">
        <f t="shared" si="26"/>
        <v>2.0038209252089549</v>
      </c>
      <c r="AI58" s="506"/>
      <c r="AJ58" s="523">
        <f t="shared" si="20"/>
        <v>1.75</v>
      </c>
      <c r="AK58" s="506">
        <f t="shared" si="21"/>
        <v>1.8</v>
      </c>
      <c r="AL58" s="506">
        <f t="shared" si="22"/>
        <v>1.85</v>
      </c>
      <c r="AM58" s="506">
        <f t="shared" si="23"/>
        <v>1.9</v>
      </c>
      <c r="AN58" s="524">
        <f t="shared" si="2"/>
        <v>1000000</v>
      </c>
    </row>
    <row r="59" spans="1:40" ht="15" customHeight="1" x14ac:dyDescent="0.2">
      <c r="B59" s="446">
        <f>$I$7</f>
        <v>14</v>
      </c>
      <c r="C59" s="527">
        <f t="shared" si="27"/>
        <v>224</v>
      </c>
      <c r="D59" s="528">
        <f t="shared" si="28"/>
        <v>0.3600000000000001</v>
      </c>
      <c r="E59" s="529">
        <f t="shared" si="10"/>
        <v>196</v>
      </c>
      <c r="F59" s="530">
        <f t="shared" si="11"/>
        <v>1128.9600000000003</v>
      </c>
      <c r="G59" s="530">
        <f t="shared" si="12"/>
        <v>6502.8096000000023</v>
      </c>
      <c r="H59" s="530">
        <f t="shared" si="13"/>
        <v>5.0400000000000009</v>
      </c>
      <c r="I59" s="531">
        <f t="shared" si="14"/>
        <v>29.030400000000018</v>
      </c>
      <c r="K59" s="509">
        <f t="shared" si="24"/>
        <v>25</v>
      </c>
      <c r="L59" s="522">
        <f t="shared" si="4"/>
        <v>128.48057894500585</v>
      </c>
      <c r="M59" s="506">
        <f t="shared" si="25"/>
        <v>2.1312596460894273</v>
      </c>
      <c r="N59" s="506">
        <f t="shared" si="25"/>
        <v>2.1251413983520262</v>
      </c>
      <c r="O59" s="506">
        <f t="shared" si="25"/>
        <v>2.1172750798325106</v>
      </c>
      <c r="P59" s="506">
        <f t="shared" si="25"/>
        <v>2.0971722658381928</v>
      </c>
      <c r="Q59" s="506">
        <f t="shared" si="25"/>
        <v>2.0613368148048434</v>
      </c>
      <c r="R59" s="506">
        <f t="shared" si="25"/>
        <v>2.048226283938984</v>
      </c>
      <c r="S59" s="506">
        <f t="shared" si="25"/>
        <v>2.0263753991625517</v>
      </c>
      <c r="T59" s="506">
        <f t="shared" si="25"/>
        <v>1.8996402674592441</v>
      </c>
      <c r="U59" s="523">
        <f t="shared" si="15"/>
        <v>1.75</v>
      </c>
      <c r="V59" s="506">
        <f t="shared" si="16"/>
        <v>1.8</v>
      </c>
      <c r="W59" s="506">
        <f t="shared" si="17"/>
        <v>1.85</v>
      </c>
      <c r="X59" s="506">
        <f t="shared" si="18"/>
        <v>1.9</v>
      </c>
      <c r="Y59" s="524">
        <f t="shared" si="6"/>
        <v>-1000000</v>
      </c>
      <c r="AA59" s="525">
        <f t="shared" si="7"/>
        <v>6</v>
      </c>
      <c r="AB59" s="523">
        <f t="shared" si="26"/>
        <v>2.1354157396205693</v>
      </c>
      <c r="AC59" s="506">
        <f t="shared" si="26"/>
        <v>2.1319300287542027</v>
      </c>
      <c r="AD59" s="506">
        <f t="shared" si="26"/>
        <v>2.1270672575969845</v>
      </c>
      <c r="AE59" s="506">
        <f t="shared" si="26"/>
        <v>2.1122320350839594</v>
      </c>
      <c r="AF59" s="506">
        <f t="shared" si="26"/>
        <v>2.072152168265271</v>
      </c>
      <c r="AG59" s="506">
        <f t="shared" si="26"/>
        <v>2.0499646004859184</v>
      </c>
      <c r="AH59" s="506">
        <f t="shared" si="26"/>
        <v>1.9954042484943133</v>
      </c>
      <c r="AI59" s="506"/>
      <c r="AJ59" s="523">
        <f t="shared" si="20"/>
        <v>1.75</v>
      </c>
      <c r="AK59" s="506">
        <f t="shared" si="21"/>
        <v>1.8</v>
      </c>
      <c r="AL59" s="506">
        <f t="shared" si="22"/>
        <v>1.85</v>
      </c>
      <c r="AM59" s="506">
        <f t="shared" si="23"/>
        <v>1.9</v>
      </c>
      <c r="AN59" s="524">
        <f t="shared" si="2"/>
        <v>1000000</v>
      </c>
    </row>
    <row r="60" spans="1:40" ht="15" customHeight="1" x14ac:dyDescent="0.2">
      <c r="B60" s="446">
        <f>$J$7</f>
        <v>18</v>
      </c>
      <c r="C60" s="527">
        <f t="shared" si="27"/>
        <v>216</v>
      </c>
      <c r="D60" s="528">
        <f t="shared" si="28"/>
        <v>0.3600000000000001</v>
      </c>
      <c r="E60" s="529">
        <f t="shared" si="10"/>
        <v>324</v>
      </c>
      <c r="F60" s="530">
        <f t="shared" si="11"/>
        <v>1399.6800000000005</v>
      </c>
      <c r="G60" s="530">
        <f t="shared" si="12"/>
        <v>6046.6176000000032</v>
      </c>
      <c r="H60" s="530">
        <f t="shared" si="13"/>
        <v>6.4800000000000022</v>
      </c>
      <c r="I60" s="531">
        <f t="shared" si="14"/>
        <v>27.993600000000015</v>
      </c>
      <c r="K60" s="509">
        <f t="shared" si="24"/>
        <v>26</v>
      </c>
      <c r="L60" s="522">
        <f t="shared" si="4"/>
        <v>133.61980210280606</v>
      </c>
      <c r="M60" s="506">
        <f t="shared" si="25"/>
        <v>2.1308954646764868</v>
      </c>
      <c r="N60" s="506">
        <f t="shared" si="25"/>
        <v>2.1245222899500273</v>
      </c>
      <c r="O60" s="506">
        <f t="shared" si="25"/>
        <v>2.116328208158865</v>
      </c>
      <c r="P60" s="506">
        <f t="shared" si="25"/>
        <v>2.0953877769147842</v>
      </c>
      <c r="Q60" s="506">
        <f t="shared" si="25"/>
        <v>2.0580591820883787</v>
      </c>
      <c r="R60" s="506">
        <f t="shared" si="25"/>
        <v>2.0444023791031087</v>
      </c>
      <c r="S60" s="506">
        <f t="shared" si="25"/>
        <v>2.0216410407943251</v>
      </c>
      <c r="T60" s="506">
        <f t="shared" si="25"/>
        <v>1.8896252786033794</v>
      </c>
      <c r="U60" s="523">
        <f t="shared" si="15"/>
        <v>1.75</v>
      </c>
      <c r="V60" s="506">
        <f t="shared" si="16"/>
        <v>1.8</v>
      </c>
      <c r="W60" s="506">
        <f t="shared" si="17"/>
        <v>1.85</v>
      </c>
      <c r="X60" s="506">
        <f t="shared" si="18"/>
        <v>1.9</v>
      </c>
      <c r="Y60" s="524">
        <f t="shared" si="6"/>
        <v>-1000000</v>
      </c>
      <c r="AA60" s="525">
        <f t="shared" si="7"/>
        <v>6.24</v>
      </c>
      <c r="AB60" s="523">
        <f t="shared" si="26"/>
        <v>2.1354067391519806</v>
      </c>
      <c r="AC60" s="506">
        <f t="shared" si="26"/>
        <v>2.1319020956394974</v>
      </c>
      <c r="AD60" s="506">
        <f t="shared" si="26"/>
        <v>2.1269953684361411</v>
      </c>
      <c r="AE60" s="506">
        <f t="shared" si="26"/>
        <v>2.1118984947419945</v>
      </c>
      <c r="AF60" s="506">
        <f t="shared" si="26"/>
        <v>2.0701257558846615</v>
      </c>
      <c r="AG60" s="506">
        <f t="shared" si="26"/>
        <v>2.0463609295766396</v>
      </c>
      <c r="AH60" s="506">
        <f t="shared" si="26"/>
        <v>1.9858786313091517</v>
      </c>
      <c r="AI60" s="506"/>
      <c r="AJ60" s="523">
        <f t="shared" si="20"/>
        <v>1.75</v>
      </c>
      <c r="AK60" s="506">
        <f t="shared" si="21"/>
        <v>1.8</v>
      </c>
      <c r="AL60" s="506">
        <f t="shared" si="22"/>
        <v>1.85</v>
      </c>
      <c r="AM60" s="506">
        <f t="shared" si="23"/>
        <v>1.9</v>
      </c>
      <c r="AN60" s="524">
        <f t="shared" si="2"/>
        <v>1000000</v>
      </c>
    </row>
    <row r="61" spans="1:40" ht="15" customHeight="1" x14ac:dyDescent="0.2">
      <c r="B61" s="446">
        <f>$K$7</f>
        <v>21</v>
      </c>
      <c r="C61" s="527">
        <f t="shared" si="27"/>
        <v>210</v>
      </c>
      <c r="D61" s="528">
        <f t="shared" si="28"/>
        <v>0.3600000000000001</v>
      </c>
      <c r="E61" s="529">
        <f t="shared" si="10"/>
        <v>441</v>
      </c>
      <c r="F61" s="530">
        <f t="shared" si="11"/>
        <v>1587.6000000000004</v>
      </c>
      <c r="G61" s="530">
        <f t="shared" si="12"/>
        <v>5715.3600000000033</v>
      </c>
      <c r="H61" s="530">
        <f t="shared" si="13"/>
        <v>7.5600000000000023</v>
      </c>
      <c r="I61" s="531">
        <f t="shared" si="14"/>
        <v>27.216000000000015</v>
      </c>
      <c r="K61" s="509">
        <f t="shared" si="24"/>
        <v>27</v>
      </c>
      <c r="L61" s="522">
        <f t="shared" si="4"/>
        <v>138.75902526060631</v>
      </c>
      <c r="M61" s="506">
        <f t="shared" si="25"/>
        <v>2.1304996153145948</v>
      </c>
      <c r="N61" s="506">
        <f t="shared" si="25"/>
        <v>2.1238493460348109</v>
      </c>
      <c r="O61" s="506">
        <f t="shared" si="25"/>
        <v>2.1152989998179463</v>
      </c>
      <c r="P61" s="506">
        <f t="shared" si="25"/>
        <v>2.0934481150415136</v>
      </c>
      <c r="Q61" s="506">
        <f t="shared" si="25"/>
        <v>2.0544965378313518</v>
      </c>
      <c r="R61" s="506">
        <f t="shared" si="25"/>
        <v>2.0402459608032437</v>
      </c>
      <c r="S61" s="506">
        <f t="shared" si="25"/>
        <v>2.0164949990897303</v>
      </c>
      <c r="T61" s="506">
        <f t="shared" si="25"/>
        <v>1.8787394211513524</v>
      </c>
      <c r="U61" s="523">
        <f t="shared" si="15"/>
        <v>1.75</v>
      </c>
      <c r="V61" s="506">
        <f t="shared" si="16"/>
        <v>1.8</v>
      </c>
      <c r="W61" s="506">
        <f t="shared" si="17"/>
        <v>1.85</v>
      </c>
      <c r="X61" s="506">
        <f t="shared" si="18"/>
        <v>1.9</v>
      </c>
      <c r="Y61" s="524">
        <f t="shared" si="6"/>
        <v>-1000000</v>
      </c>
      <c r="AA61" s="525">
        <f t="shared" si="7"/>
        <v>6.4799999999999995</v>
      </c>
      <c r="AB61" s="523">
        <f t="shared" si="26"/>
        <v>2.1353977032718801</v>
      </c>
      <c r="AC61" s="506">
        <f t="shared" si="26"/>
        <v>2.1318739684797294</v>
      </c>
      <c r="AD61" s="506">
        <f t="shared" si="26"/>
        <v>2.1269226755881165</v>
      </c>
      <c r="AE61" s="506">
        <f t="shared" si="26"/>
        <v>2.1115568442128141</v>
      </c>
      <c r="AF61" s="506">
        <f t="shared" si="26"/>
        <v>2.0679745711373485</v>
      </c>
      <c r="AG61" s="506">
        <f t="shared" si="26"/>
        <v>2.0424567568902465</v>
      </c>
      <c r="AH61" s="506">
        <f t="shared" si="26"/>
        <v>1.9750094545989376</v>
      </c>
      <c r="AI61" s="506"/>
      <c r="AJ61" s="523">
        <f t="shared" si="20"/>
        <v>1.75</v>
      </c>
      <c r="AK61" s="506">
        <f t="shared" si="21"/>
        <v>1.8</v>
      </c>
      <c r="AL61" s="506">
        <f t="shared" si="22"/>
        <v>1.85</v>
      </c>
      <c r="AM61" s="506">
        <f t="shared" si="23"/>
        <v>1.9</v>
      </c>
      <c r="AN61" s="524">
        <f t="shared" si="2"/>
        <v>1000000</v>
      </c>
    </row>
    <row r="62" spans="1:40" ht="15" customHeight="1" x14ac:dyDescent="0.2">
      <c r="B62" s="446">
        <f>$L$7</f>
        <v>25</v>
      </c>
      <c r="C62" s="527">
        <f t="shared" si="27"/>
        <v>200</v>
      </c>
      <c r="D62" s="528">
        <f t="shared" si="28"/>
        <v>0.3600000000000001</v>
      </c>
      <c r="E62" s="529">
        <f t="shared" si="10"/>
        <v>625</v>
      </c>
      <c r="F62" s="530">
        <f t="shared" si="11"/>
        <v>1800.0000000000005</v>
      </c>
      <c r="G62" s="530">
        <f t="shared" si="12"/>
        <v>5184.0000000000018</v>
      </c>
      <c r="H62" s="530">
        <f t="shared" si="13"/>
        <v>9.0000000000000018</v>
      </c>
      <c r="I62" s="531">
        <f t="shared" si="14"/>
        <v>25.920000000000016</v>
      </c>
      <c r="K62" s="509">
        <f t="shared" si="24"/>
        <v>28</v>
      </c>
      <c r="L62" s="522">
        <f t="shared" si="4"/>
        <v>143.89824841840655</v>
      </c>
      <c r="M62" s="506">
        <f t="shared" si="25"/>
        <v>2.1300677796470762</v>
      </c>
      <c r="N62" s="506">
        <f t="shared" si="25"/>
        <v>2.1231152254000296</v>
      </c>
      <c r="O62" s="506">
        <f t="shared" si="25"/>
        <v>2.1141762270823983</v>
      </c>
      <c r="P62" s="506">
        <f t="shared" si="25"/>
        <v>2.0913321202706734</v>
      </c>
      <c r="Q62" s="506">
        <f t="shared" si="25"/>
        <v>2.0506100168236858</v>
      </c>
      <c r="R62" s="506">
        <f t="shared" si="25"/>
        <v>2.0357116862943001</v>
      </c>
      <c r="S62" s="506">
        <f t="shared" si="25"/>
        <v>2.0108811354119909</v>
      </c>
      <c r="T62" s="506">
        <f t="shared" si="25"/>
        <v>1.8668639402945955</v>
      </c>
      <c r="U62" s="523">
        <f t="shared" si="15"/>
        <v>1.75</v>
      </c>
      <c r="V62" s="506">
        <f t="shared" si="16"/>
        <v>1.8</v>
      </c>
      <c r="W62" s="506">
        <f t="shared" si="17"/>
        <v>1.85</v>
      </c>
      <c r="X62" s="506">
        <f t="shared" si="18"/>
        <v>1.9</v>
      </c>
      <c r="Y62" s="524">
        <f t="shared" si="6"/>
        <v>-1000000</v>
      </c>
      <c r="AA62" s="525">
        <f t="shared" si="7"/>
        <v>6.72</v>
      </c>
      <c r="AB62" s="523">
        <f t="shared" si="26"/>
        <v>2.1353886317708715</v>
      </c>
      <c r="AC62" s="506">
        <f t="shared" si="26"/>
        <v>2.1318456452458698</v>
      </c>
      <c r="AD62" s="506">
        <f t="shared" si="26"/>
        <v>2.1268491654998822</v>
      </c>
      <c r="AE62" s="506">
        <f t="shared" si="26"/>
        <v>2.1112067840514346</v>
      </c>
      <c r="AF62" s="506">
        <f t="shared" si="26"/>
        <v>2.0656867240519712</v>
      </c>
      <c r="AG62" s="506">
        <f t="shared" si="26"/>
        <v>2.0382128598658409</v>
      </c>
      <c r="AH62" s="506">
        <f t="shared" si="26"/>
        <v>1.9624908929721725</v>
      </c>
      <c r="AI62" s="506"/>
      <c r="AJ62" s="523">
        <f t="shared" si="20"/>
        <v>1.75</v>
      </c>
      <c r="AK62" s="506">
        <f t="shared" si="21"/>
        <v>1.8</v>
      </c>
      <c r="AL62" s="506">
        <f t="shared" si="22"/>
        <v>1.85</v>
      </c>
      <c r="AM62" s="506">
        <f t="shared" si="23"/>
        <v>1.9</v>
      </c>
      <c r="AN62" s="524">
        <f t="shared" si="2"/>
        <v>1000000</v>
      </c>
    </row>
    <row r="63" spans="1:40" ht="15" customHeight="1" x14ac:dyDescent="0.2">
      <c r="B63" s="446">
        <f>$M$7</f>
        <v>28</v>
      </c>
      <c r="C63" s="527">
        <f t="shared" si="27"/>
        <v>196</v>
      </c>
      <c r="D63" s="528">
        <f t="shared" si="28"/>
        <v>0.3600000000000001</v>
      </c>
      <c r="E63" s="529">
        <f t="shared" si="10"/>
        <v>784</v>
      </c>
      <c r="F63" s="530">
        <f t="shared" si="11"/>
        <v>1975.6800000000003</v>
      </c>
      <c r="G63" s="530">
        <f t="shared" si="12"/>
        <v>4978.7136000000028</v>
      </c>
      <c r="H63" s="530">
        <f t="shared" si="13"/>
        <v>10.080000000000002</v>
      </c>
      <c r="I63" s="531">
        <f t="shared" si="14"/>
        <v>25.401600000000016</v>
      </c>
      <c r="K63" s="509">
        <f t="shared" si="24"/>
        <v>29</v>
      </c>
      <c r="L63" s="522">
        <f t="shared" si="4"/>
        <v>149.03747157620677</v>
      </c>
      <c r="M63" s="506">
        <f t="shared" si="25"/>
        <v>2.1295948167731278</v>
      </c>
      <c r="N63" s="506">
        <f t="shared" si="25"/>
        <v>2.1223111885143169</v>
      </c>
      <c r="O63" s="506">
        <f t="shared" si="25"/>
        <v>2.1129465236101317</v>
      </c>
      <c r="P63" s="506">
        <f t="shared" si="25"/>
        <v>2.0890146021883247</v>
      </c>
      <c r="Q63" s="506">
        <f t="shared" si="25"/>
        <v>2.0463533509581473</v>
      </c>
      <c r="R63" s="506">
        <f t="shared" si="25"/>
        <v>2.0307455761178383</v>
      </c>
      <c r="S63" s="506">
        <f t="shared" si="25"/>
        <v>2.0047326180506571</v>
      </c>
      <c r="T63" s="506">
        <f t="shared" si="25"/>
        <v>1.853857461261005</v>
      </c>
      <c r="U63" s="523">
        <f t="shared" si="15"/>
        <v>1.75</v>
      </c>
      <c r="V63" s="506">
        <f t="shared" si="16"/>
        <v>1.8</v>
      </c>
      <c r="W63" s="506">
        <f t="shared" si="17"/>
        <v>1.85</v>
      </c>
      <c r="X63" s="506">
        <f t="shared" si="18"/>
        <v>1.9</v>
      </c>
      <c r="Y63" s="524">
        <f t="shared" si="6"/>
        <v>-1000000</v>
      </c>
      <c r="AA63" s="525">
        <f t="shared" si="7"/>
        <v>6.96</v>
      </c>
      <c r="AB63" s="523">
        <f t="shared" si="26"/>
        <v>2.1353795244379028</v>
      </c>
      <c r="AC63" s="506">
        <f t="shared" si="26"/>
        <v>2.1318171238805022</v>
      </c>
      <c r="AD63" s="506">
        <f t="shared" si="26"/>
        <v>2.1267748243119509</v>
      </c>
      <c r="AE63" s="506">
        <f t="shared" si="26"/>
        <v>2.1108479998876724</v>
      </c>
      <c r="AF63" s="506">
        <f t="shared" si="26"/>
        <v>2.0632487643830286</v>
      </c>
      <c r="AG63" s="506">
        <f t="shared" si="26"/>
        <v>2.0335828794933848</v>
      </c>
      <c r="AH63" s="506">
        <f t="shared" si="26"/>
        <v>1.947916683070573</v>
      </c>
      <c r="AI63" s="506"/>
      <c r="AJ63" s="523">
        <f t="shared" si="20"/>
        <v>1.75</v>
      </c>
      <c r="AK63" s="506">
        <f t="shared" si="21"/>
        <v>1.8</v>
      </c>
      <c r="AL63" s="506">
        <f t="shared" si="22"/>
        <v>1.85</v>
      </c>
      <c r="AM63" s="506">
        <f t="shared" si="23"/>
        <v>1.9</v>
      </c>
      <c r="AN63" s="524">
        <f t="shared" si="2"/>
        <v>1000000</v>
      </c>
    </row>
    <row r="64" spans="1:40" ht="15" customHeight="1" x14ac:dyDescent="0.2">
      <c r="B64" s="446">
        <f>$N$7</f>
        <v>32</v>
      </c>
      <c r="C64" s="527">
        <f t="shared" si="27"/>
        <v>192</v>
      </c>
      <c r="D64" s="528">
        <f t="shared" si="28"/>
        <v>0.3600000000000001</v>
      </c>
      <c r="E64" s="529">
        <f t="shared" si="10"/>
        <v>1024</v>
      </c>
      <c r="F64" s="530">
        <f t="shared" si="11"/>
        <v>2211.8400000000006</v>
      </c>
      <c r="G64" s="530">
        <f t="shared" si="12"/>
        <v>4777.5744000000022</v>
      </c>
      <c r="H64" s="530">
        <f t="shared" si="13"/>
        <v>11.520000000000003</v>
      </c>
      <c r="I64" s="531">
        <f t="shared" si="14"/>
        <v>24.883200000000016</v>
      </c>
      <c r="K64" s="509">
        <f t="shared" si="24"/>
        <v>30</v>
      </c>
      <c r="L64" s="522">
        <f t="shared" si="4"/>
        <v>154.17669473400701</v>
      </c>
      <c r="M64" s="506">
        <f t="shared" si="25"/>
        <v>2.129074557611784</v>
      </c>
      <c r="N64" s="506">
        <f t="shared" si="25"/>
        <v>2.1214267479400326</v>
      </c>
      <c r="O64" s="506">
        <f t="shared" si="25"/>
        <v>2.1115938497906379</v>
      </c>
      <c r="P64" s="506">
        <f t="shared" si="25"/>
        <v>2.0864653322977409</v>
      </c>
      <c r="Q64" s="506">
        <f t="shared" si="25"/>
        <v>2.0416710185060545</v>
      </c>
      <c r="R64" s="506">
        <f t="shared" si="25"/>
        <v>2.0252828549237303</v>
      </c>
      <c r="S64" s="506">
        <f t="shared" si="25"/>
        <v>1.9979692489531897</v>
      </c>
      <c r="T64" s="506">
        <f t="shared" si="25"/>
        <v>1.8395503343240551</v>
      </c>
      <c r="U64" s="523">
        <f t="shared" si="15"/>
        <v>1.75</v>
      </c>
      <c r="V64" s="506">
        <f t="shared" si="16"/>
        <v>1.8</v>
      </c>
      <c r="W64" s="506">
        <f t="shared" si="17"/>
        <v>1.85</v>
      </c>
      <c r="X64" s="506">
        <f t="shared" si="18"/>
        <v>1.9</v>
      </c>
      <c r="Y64" s="524">
        <f t="shared" si="6"/>
        <v>-1000000</v>
      </c>
      <c r="AA64" s="525">
        <f t="shared" si="7"/>
        <v>7.1999999999999993</v>
      </c>
      <c r="AB64" s="523">
        <f t="shared" si="26"/>
        <v>2.1353703810602527</v>
      </c>
      <c r="AC64" s="506">
        <f t="shared" si="26"/>
        <v>2.131788402297325</v>
      </c>
      <c r="AD64" s="506">
        <f t="shared" si="26"/>
        <v>2.1266996378496645</v>
      </c>
      <c r="AE64" s="506">
        <f t="shared" si="26"/>
        <v>2.110480161484519</v>
      </c>
      <c r="AF64" s="506">
        <f t="shared" si="26"/>
        <v>2.0606454169939319</v>
      </c>
      <c r="AG64" s="506">
        <f t="shared" si="26"/>
        <v>2.028511619892472</v>
      </c>
      <c r="AH64" s="506">
        <f t="shared" si="26"/>
        <v>1.930735203664377</v>
      </c>
      <c r="AI64" s="506"/>
      <c r="AJ64" s="523">
        <f t="shared" si="20"/>
        <v>1.75</v>
      </c>
      <c r="AK64" s="506">
        <f t="shared" si="21"/>
        <v>1.8</v>
      </c>
      <c r="AL64" s="506">
        <f t="shared" si="22"/>
        <v>1.85</v>
      </c>
      <c r="AM64" s="506">
        <f t="shared" si="23"/>
        <v>1.9</v>
      </c>
      <c r="AN64" s="524">
        <f t="shared" si="2"/>
        <v>1000000</v>
      </c>
    </row>
    <row r="65" spans="2:40" ht="15" customHeight="1" x14ac:dyDescent="0.2">
      <c r="B65" s="446">
        <f>$O$7</f>
        <v>37</v>
      </c>
      <c r="C65" s="527">
        <f t="shared" si="27"/>
        <v>185</v>
      </c>
      <c r="D65" s="528">
        <f t="shared" si="28"/>
        <v>0.3600000000000001</v>
      </c>
      <c r="E65" s="529">
        <f t="shared" si="10"/>
        <v>1369</v>
      </c>
      <c r="F65" s="530">
        <f t="shared" si="11"/>
        <v>2464.2000000000007</v>
      </c>
      <c r="G65" s="530">
        <f t="shared" si="12"/>
        <v>4435.5600000000031</v>
      </c>
      <c r="H65" s="530">
        <f t="shared" si="13"/>
        <v>13.320000000000004</v>
      </c>
      <c r="I65" s="531">
        <f t="shared" si="14"/>
        <v>23.976000000000013</v>
      </c>
      <c r="K65" s="509">
        <f t="shared" si="24"/>
        <v>31</v>
      </c>
      <c r="L65" s="522">
        <f t="shared" si="4"/>
        <v>159.31591789180723</v>
      </c>
      <c r="M65" s="506">
        <f t="shared" si="25"/>
        <v>2.1284995343281938</v>
      </c>
      <c r="N65" s="506">
        <f t="shared" si="25"/>
        <v>2.1204492083579289</v>
      </c>
      <c r="O65" s="506">
        <f t="shared" si="25"/>
        <v>2.1100987892533034</v>
      </c>
      <c r="P65" s="506">
        <f t="shared" si="25"/>
        <v>2.0836477182081481</v>
      </c>
      <c r="Q65" s="506">
        <f t="shared" si="25"/>
        <v>2.0364958089537417</v>
      </c>
      <c r="R65" s="506">
        <f t="shared" si="25"/>
        <v>2.0192451104460321</v>
      </c>
      <c r="S65" s="506">
        <f t="shared" si="25"/>
        <v>1.9904939462665157</v>
      </c>
      <c r="T65" s="506">
        <f t="shared" si="25"/>
        <v>1.8237371940253213</v>
      </c>
      <c r="U65" s="523">
        <f t="shared" si="15"/>
        <v>1.75</v>
      </c>
      <c r="V65" s="506">
        <f t="shared" si="16"/>
        <v>1.8</v>
      </c>
      <c r="W65" s="506">
        <f t="shared" si="17"/>
        <v>1.85</v>
      </c>
      <c r="X65" s="506">
        <f t="shared" si="18"/>
        <v>1.9</v>
      </c>
      <c r="Y65" s="524">
        <f t="shared" si="6"/>
        <v>-1000000</v>
      </c>
      <c r="AA65" s="525">
        <f t="shared" si="7"/>
        <v>7.4399999999999995</v>
      </c>
      <c r="AB65" s="523">
        <f t="shared" si="26"/>
        <v>2.1353612014235126</v>
      </c>
      <c r="AC65" s="506">
        <f t="shared" si="26"/>
        <v>2.1317594783806411</v>
      </c>
      <c r="AD65" s="506">
        <f t="shared" si="26"/>
        <v>2.126623591614186</v>
      </c>
      <c r="AE65" s="506">
        <f t="shared" si="26"/>
        <v>2.1101029217243137</v>
      </c>
      <c r="AF65" s="506">
        <f t="shared" si="26"/>
        <v>2.05785926149552</v>
      </c>
      <c r="AG65" s="506">
        <f t="shared" si="26"/>
        <v>2.0229328373654134</v>
      </c>
      <c r="AH65" s="506">
        <f t="shared" si="26"/>
        <v>1.9101780795106369</v>
      </c>
      <c r="AI65" s="506"/>
      <c r="AJ65" s="523">
        <f t="shared" si="20"/>
        <v>1.75</v>
      </c>
      <c r="AK65" s="506">
        <f t="shared" si="21"/>
        <v>1.8</v>
      </c>
      <c r="AL65" s="506">
        <f t="shared" si="22"/>
        <v>1.85</v>
      </c>
      <c r="AM65" s="506">
        <f t="shared" si="23"/>
        <v>1.9</v>
      </c>
      <c r="AN65" s="524">
        <f t="shared" si="2"/>
        <v>1000000</v>
      </c>
    </row>
    <row r="66" spans="2:40" ht="15" customHeight="1" x14ac:dyDescent="0.2">
      <c r="B66" s="446">
        <f>$P$7</f>
        <v>44</v>
      </c>
      <c r="C66" s="527">
        <f t="shared" si="27"/>
        <v>176</v>
      </c>
      <c r="D66" s="528">
        <f t="shared" si="28"/>
        <v>0.3600000000000001</v>
      </c>
      <c r="E66" s="529">
        <f t="shared" si="10"/>
        <v>1936</v>
      </c>
      <c r="F66" s="530">
        <f t="shared" si="11"/>
        <v>2787.8400000000006</v>
      </c>
      <c r="G66" s="530">
        <f t="shared" si="12"/>
        <v>4014.4896000000017</v>
      </c>
      <c r="H66" s="530">
        <f t="shared" si="13"/>
        <v>15.840000000000003</v>
      </c>
      <c r="I66" s="531">
        <f t="shared" si="14"/>
        <v>22.809600000000014</v>
      </c>
      <c r="K66" s="509">
        <f t="shared" si="24"/>
        <v>32</v>
      </c>
      <c r="L66" s="522">
        <f t="shared" si="4"/>
        <v>164.45514104960748</v>
      </c>
      <c r="M66" s="506">
        <f t="shared" ref="M66:T81" si="29">IF(($C$2-(($AA$21/1000)/(1-($L66)/($AA$22)))*M$31)&lt;0,0,($C$2-(($AA$21/1000)/(1-($L66)/($AA$22)))*M$31))</f>
        <v>2.1278606195686489</v>
      </c>
      <c r="N66" s="506">
        <f t="shared" si="29"/>
        <v>2.1193630532667029</v>
      </c>
      <c r="O66" s="506">
        <f t="shared" si="29"/>
        <v>2.1084376108784868</v>
      </c>
      <c r="P66" s="506">
        <f t="shared" si="29"/>
        <v>2.0805170358863787</v>
      </c>
      <c r="Q66" s="506">
        <f t="shared" si="29"/>
        <v>2.0307455761178383</v>
      </c>
      <c r="R66" s="506">
        <f t="shared" si="29"/>
        <v>2.0125365054708113</v>
      </c>
      <c r="S66" s="506">
        <f t="shared" si="29"/>
        <v>1.9821880543924331</v>
      </c>
      <c r="T66" s="506">
        <f t="shared" si="29"/>
        <v>1.806167038137839</v>
      </c>
      <c r="U66" s="523">
        <f t="shared" si="15"/>
        <v>1.75</v>
      </c>
      <c r="V66" s="506">
        <f t="shared" si="16"/>
        <v>1.8</v>
      </c>
      <c r="W66" s="506">
        <f t="shared" si="17"/>
        <v>1.85</v>
      </c>
      <c r="X66" s="506">
        <f t="shared" si="18"/>
        <v>1.9</v>
      </c>
      <c r="Y66" s="524">
        <f t="shared" si="6"/>
        <v>-1000000</v>
      </c>
      <c r="AA66" s="525">
        <f t="shared" si="7"/>
        <v>7.68</v>
      </c>
      <c r="AB66" s="523">
        <f t="shared" si="26"/>
        <v>2.1353519853115692</v>
      </c>
      <c r="AC66" s="506">
        <f t="shared" si="26"/>
        <v>2.1317303499848395</v>
      </c>
      <c r="AD66" s="506">
        <f t="shared" si="26"/>
        <v>2.1265466707731746</v>
      </c>
      <c r="AE66" s="506">
        <f t="shared" si="26"/>
        <v>2.1097159155161762</v>
      </c>
      <c r="AF66" s="506">
        <f t="shared" si="26"/>
        <v>2.0548703419411125</v>
      </c>
      <c r="AG66" s="506">
        <f t="shared" si="26"/>
        <v>2.0167663306812385</v>
      </c>
      <c r="AH66" s="506">
        <f t="shared" si="26"/>
        <v>1.8851421194029991</v>
      </c>
      <c r="AI66" s="506"/>
      <c r="AJ66" s="523">
        <f t="shared" si="20"/>
        <v>1.75</v>
      </c>
      <c r="AK66" s="506">
        <f t="shared" si="21"/>
        <v>1.8</v>
      </c>
      <c r="AL66" s="506">
        <f t="shared" si="22"/>
        <v>1.85</v>
      </c>
      <c r="AM66" s="506">
        <f t="shared" si="23"/>
        <v>1.9</v>
      </c>
      <c r="AN66" s="524">
        <f t="shared" si="2"/>
        <v>1000000</v>
      </c>
    </row>
    <row r="67" spans="2:40" ht="15" customHeight="1" x14ac:dyDescent="0.2">
      <c r="B67" s="446">
        <f>$Q$7</f>
        <v>54</v>
      </c>
      <c r="C67" s="527">
        <f t="shared" si="27"/>
        <v>162</v>
      </c>
      <c r="D67" s="528">
        <f t="shared" si="28"/>
        <v>0.3600000000000001</v>
      </c>
      <c r="E67" s="529">
        <f t="shared" si="10"/>
        <v>2916</v>
      </c>
      <c r="F67" s="530">
        <f t="shared" si="11"/>
        <v>3149.2800000000007</v>
      </c>
      <c r="G67" s="530">
        <f t="shared" si="12"/>
        <v>3401.2224000000015</v>
      </c>
      <c r="H67" s="530">
        <f t="shared" si="13"/>
        <v>19.440000000000005</v>
      </c>
      <c r="I67" s="531">
        <f t="shared" si="14"/>
        <v>20.995200000000011</v>
      </c>
      <c r="K67" s="509">
        <f t="shared" si="24"/>
        <v>33</v>
      </c>
      <c r="L67" s="522">
        <f t="shared" si="4"/>
        <v>169.59436420740772</v>
      </c>
      <c r="M67" s="506">
        <f t="shared" si="29"/>
        <v>2.1271465383668047</v>
      </c>
      <c r="N67" s="506">
        <f t="shared" si="29"/>
        <v>2.1181491152235679</v>
      </c>
      <c r="O67" s="506">
        <f t="shared" si="29"/>
        <v>2.106580999753692</v>
      </c>
      <c r="P67" s="506">
        <f t="shared" si="29"/>
        <v>2.077018037997342</v>
      </c>
      <c r="Q67" s="506">
        <f t="shared" si="29"/>
        <v>2.0243188453012406</v>
      </c>
      <c r="R67" s="506">
        <f t="shared" si="29"/>
        <v>2.0050386528514474</v>
      </c>
      <c r="S67" s="506">
        <f t="shared" si="29"/>
        <v>1.9729049987684586</v>
      </c>
      <c r="T67" s="506">
        <f t="shared" si="29"/>
        <v>1.7865298050871237</v>
      </c>
      <c r="U67" s="523">
        <f t="shared" si="15"/>
        <v>1.75</v>
      </c>
      <c r="V67" s="506">
        <f t="shared" si="16"/>
        <v>1.8</v>
      </c>
      <c r="W67" s="506">
        <f t="shared" si="17"/>
        <v>1.85</v>
      </c>
      <c r="X67" s="506">
        <f t="shared" si="18"/>
        <v>1.9</v>
      </c>
      <c r="Y67" s="524">
        <f t="shared" si="6"/>
        <v>-1000000</v>
      </c>
      <c r="Z67" s="538"/>
      <c r="AA67" s="525">
        <f t="shared" si="7"/>
        <v>7.92</v>
      </c>
      <c r="AB67" s="523">
        <f t="shared" si="26"/>
        <v>2.1353427325065897</v>
      </c>
      <c r="AC67" s="506">
        <f t="shared" si="26"/>
        <v>2.1317010149338658</v>
      </c>
      <c r="AD67" s="506">
        <f t="shared" si="26"/>
        <v>2.1264688601511454</v>
      </c>
      <c r="AE67" s="506">
        <f t="shared" si="26"/>
        <v>2.109318758617468</v>
      </c>
      <c r="AF67" s="506">
        <f t="shared" si="26"/>
        <v>2.0516556880897241</v>
      </c>
      <c r="AG67" s="506">
        <f t="shared" si="26"/>
        <v>2.0099140606107238</v>
      </c>
      <c r="AH67" s="506">
        <f t="shared" si="26"/>
        <v>1.8539846527492796</v>
      </c>
      <c r="AI67" s="506"/>
      <c r="AJ67" s="523">
        <f t="shared" si="20"/>
        <v>1.75</v>
      </c>
      <c r="AK67" s="506">
        <f t="shared" si="21"/>
        <v>1.8</v>
      </c>
      <c r="AL67" s="506">
        <f t="shared" si="22"/>
        <v>1.85</v>
      </c>
      <c r="AM67" s="506">
        <f t="shared" si="23"/>
        <v>1.9</v>
      </c>
      <c r="AN67" s="524">
        <f t="shared" si="2"/>
        <v>1000000</v>
      </c>
    </row>
    <row r="68" spans="2:40" ht="15" customHeight="1" x14ac:dyDescent="0.2">
      <c r="B68" s="446">
        <f>$R$7</f>
        <v>73</v>
      </c>
      <c r="C68" s="527">
        <f t="shared" si="27"/>
        <v>146</v>
      </c>
      <c r="D68" s="528">
        <f t="shared" si="28"/>
        <v>0.3600000000000001</v>
      </c>
      <c r="E68" s="529">
        <f t="shared" si="10"/>
        <v>5329</v>
      </c>
      <c r="F68" s="530">
        <f t="shared" si="11"/>
        <v>3836.880000000001</v>
      </c>
      <c r="G68" s="530">
        <f t="shared" si="12"/>
        <v>2762.5536000000016</v>
      </c>
      <c r="H68" s="530">
        <f t="shared" si="13"/>
        <v>26.280000000000008</v>
      </c>
      <c r="I68" s="531">
        <f t="shared" si="14"/>
        <v>18.921600000000012</v>
      </c>
      <c r="K68" s="509">
        <f t="shared" si="24"/>
        <v>34</v>
      </c>
      <c r="L68" s="522">
        <f t="shared" si="4"/>
        <v>174.73358736520794</v>
      </c>
      <c r="M68" s="506">
        <f t="shared" si="29"/>
        <v>2.1263431970147297</v>
      </c>
      <c r="N68" s="506">
        <f t="shared" si="29"/>
        <v>2.1167834349250407</v>
      </c>
      <c r="O68" s="506">
        <f t="shared" si="29"/>
        <v>2.1044923122382975</v>
      </c>
      <c r="P68" s="506">
        <f t="shared" si="29"/>
        <v>2.0730816653721762</v>
      </c>
      <c r="Q68" s="506">
        <f t="shared" si="29"/>
        <v>2.017088773132568</v>
      </c>
      <c r="R68" s="506">
        <f t="shared" si="29"/>
        <v>1.9966035686546628</v>
      </c>
      <c r="S68" s="506">
        <f t="shared" si="29"/>
        <v>1.9624615611914873</v>
      </c>
      <c r="T68" s="506">
        <f t="shared" si="29"/>
        <v>1.7644379179050689</v>
      </c>
      <c r="U68" s="523">
        <f t="shared" si="15"/>
        <v>1.75</v>
      </c>
      <c r="V68" s="506">
        <f t="shared" si="16"/>
        <v>1.8</v>
      </c>
      <c r="W68" s="506">
        <f t="shared" si="17"/>
        <v>1.85</v>
      </c>
      <c r="X68" s="506">
        <f t="shared" si="18"/>
        <v>1.9</v>
      </c>
      <c r="Y68" s="524">
        <f t="shared" si="6"/>
        <v>-1000000</v>
      </c>
      <c r="Z68" s="538"/>
      <c r="AA68" s="525">
        <f t="shared" si="7"/>
        <v>8.16</v>
      </c>
      <c r="AB68" s="523">
        <f t="shared" si="26"/>
        <v>2.1353334427890016</v>
      </c>
      <c r="AC68" s="506">
        <f t="shared" si="26"/>
        <v>2.1316714710206774</v>
      </c>
      <c r="AD68" s="506">
        <f t="shared" si="26"/>
        <v>2.1263901442194864</v>
      </c>
      <c r="AE68" s="506">
        <f t="shared" si="26"/>
        <v>2.1089110463612881</v>
      </c>
      <c r="AF68" s="506">
        <f t="shared" si="26"/>
        <v>2.048188723944655</v>
      </c>
      <c r="AG68" s="506">
        <f t="shared" si="26"/>
        <v>2.002254898624102</v>
      </c>
      <c r="AH68" s="506">
        <f t="shared" si="26"/>
        <v>1.8141478304237029</v>
      </c>
      <c r="AI68" s="506"/>
      <c r="AJ68" s="523">
        <f t="shared" si="20"/>
        <v>1.75</v>
      </c>
      <c r="AK68" s="506">
        <f t="shared" si="21"/>
        <v>1.8</v>
      </c>
      <c r="AL68" s="506">
        <f t="shared" si="22"/>
        <v>1.85</v>
      </c>
      <c r="AM68" s="506">
        <f t="shared" si="23"/>
        <v>1.9</v>
      </c>
      <c r="AN68" s="524">
        <f t="shared" si="2"/>
        <v>1000000</v>
      </c>
    </row>
    <row r="69" spans="2:40" ht="15" customHeight="1" x14ac:dyDescent="0.2">
      <c r="B69" s="446">
        <f>$S$7</f>
        <v>114</v>
      </c>
      <c r="C69" s="527">
        <f t="shared" si="27"/>
        <v>114</v>
      </c>
      <c r="D69" s="528">
        <f t="shared" si="28"/>
        <v>0.3600000000000001</v>
      </c>
      <c r="E69" s="535">
        <f t="shared" si="10"/>
        <v>12996</v>
      </c>
      <c r="F69" s="536">
        <f t="shared" si="11"/>
        <v>4678.5600000000013</v>
      </c>
      <c r="G69" s="536">
        <f t="shared" si="12"/>
        <v>1684.2816000000012</v>
      </c>
      <c r="H69" s="536">
        <f t="shared" si="13"/>
        <v>41.040000000000013</v>
      </c>
      <c r="I69" s="537">
        <f t="shared" si="14"/>
        <v>14.774400000000009</v>
      </c>
      <c r="K69" s="509">
        <f t="shared" si="24"/>
        <v>35</v>
      </c>
      <c r="L69" s="522">
        <f t="shared" si="4"/>
        <v>179.87281052300818</v>
      </c>
      <c r="M69" s="506">
        <f t="shared" si="29"/>
        <v>2.1254327434823788</v>
      </c>
      <c r="N69" s="506">
        <f t="shared" si="29"/>
        <v>2.1152356639200436</v>
      </c>
      <c r="O69" s="506">
        <f t="shared" si="29"/>
        <v>2.1021251330541841</v>
      </c>
      <c r="P69" s="506">
        <f t="shared" si="29"/>
        <v>2.0686204430636543</v>
      </c>
      <c r="Q69" s="506">
        <f t="shared" si="29"/>
        <v>2.0088946913414061</v>
      </c>
      <c r="R69" s="506">
        <f t="shared" si="29"/>
        <v>1.9870438065649736</v>
      </c>
      <c r="S69" s="506">
        <f t="shared" si="29"/>
        <v>1.9506256652709197</v>
      </c>
      <c r="T69" s="506">
        <f t="shared" si="29"/>
        <v>1.7394004457654069</v>
      </c>
      <c r="U69" s="523">
        <f t="shared" si="15"/>
        <v>1.75</v>
      </c>
      <c r="V69" s="506">
        <f t="shared" si="16"/>
        <v>1.8</v>
      </c>
      <c r="W69" s="506">
        <f t="shared" si="17"/>
        <v>1.85</v>
      </c>
      <c r="X69" s="506">
        <f t="shared" si="18"/>
        <v>1.9</v>
      </c>
      <c r="Y69" s="524">
        <f t="shared" si="6"/>
        <v>-1000000</v>
      </c>
      <c r="Z69" s="538"/>
      <c r="AA69" s="525">
        <f t="shared" si="7"/>
        <v>8.4</v>
      </c>
      <c r="AB69" s="523">
        <f t="shared" si="26"/>
        <v>2.1353241159374785</v>
      </c>
      <c r="AC69" s="506">
        <f t="shared" si="26"/>
        <v>2.1316417160066927</v>
      </c>
      <c r="AD69" s="506">
        <f t="shared" si="26"/>
        <v>2.1263105070861261</v>
      </c>
      <c r="AE69" s="506">
        <f t="shared" si="26"/>
        <v>2.108492352281143</v>
      </c>
      <c r="AF69" s="506">
        <f t="shared" si="26"/>
        <v>2.0444385313364046</v>
      </c>
      <c r="AG69" s="506">
        <f t="shared" si="26"/>
        <v>1.9936374044232077</v>
      </c>
      <c r="AH69" s="506">
        <f t="shared" si="26"/>
        <v>1.7614181498483494</v>
      </c>
      <c r="AI69" s="506"/>
      <c r="AJ69" s="523">
        <f t="shared" si="20"/>
        <v>1.75</v>
      </c>
      <c r="AK69" s="506">
        <f t="shared" si="21"/>
        <v>1.8</v>
      </c>
      <c r="AL69" s="506">
        <f t="shared" si="22"/>
        <v>1.85</v>
      </c>
      <c r="AM69" s="506">
        <f t="shared" si="23"/>
        <v>1.9</v>
      </c>
      <c r="AN69" s="524">
        <f t="shared" si="2"/>
        <v>1000000</v>
      </c>
    </row>
    <row r="70" spans="2:40" ht="15" customHeight="1" x14ac:dyDescent="0.2">
      <c r="B70" s="539">
        <f>$B$8</f>
        <v>2.4</v>
      </c>
      <c r="C70" s="517">
        <f t="shared" ref="C70:C87" si="30">$A34*B70</f>
        <v>288</v>
      </c>
      <c r="D70" s="518">
        <f>$C$2-$A$21</f>
        <v>0.34000000000000008</v>
      </c>
      <c r="E70" s="519">
        <f t="shared" si="10"/>
        <v>5.76</v>
      </c>
      <c r="F70" s="520">
        <f t="shared" si="11"/>
        <v>235.00800000000004</v>
      </c>
      <c r="G70" s="520">
        <f t="shared" si="12"/>
        <v>9588.3264000000036</v>
      </c>
      <c r="H70" s="520">
        <f t="shared" si="13"/>
        <v>0.81600000000000017</v>
      </c>
      <c r="I70" s="521">
        <f t="shared" si="14"/>
        <v>33.292800000000014</v>
      </c>
      <c r="K70" s="509">
        <f t="shared" si="24"/>
        <v>36</v>
      </c>
      <c r="L70" s="522">
        <f t="shared" si="4"/>
        <v>185.0120336808084</v>
      </c>
      <c r="M70" s="506">
        <f t="shared" si="29"/>
        <v>2.1243922251596912</v>
      </c>
      <c r="N70" s="506">
        <f t="shared" si="29"/>
        <v>2.113466782771475</v>
      </c>
      <c r="O70" s="506">
        <f t="shared" si="29"/>
        <v>2.099419785415197</v>
      </c>
      <c r="P70" s="506">
        <f t="shared" si="29"/>
        <v>2.0635219032824867</v>
      </c>
      <c r="Q70" s="506">
        <f t="shared" si="29"/>
        <v>1.9995300264372207</v>
      </c>
      <c r="R70" s="506">
        <f t="shared" si="29"/>
        <v>1.9761183641767575</v>
      </c>
      <c r="S70" s="506">
        <f t="shared" si="29"/>
        <v>1.9370989270759853</v>
      </c>
      <c r="T70" s="506">
        <f t="shared" si="29"/>
        <v>1.7107861918915073</v>
      </c>
      <c r="U70" s="523">
        <f t="shared" si="15"/>
        <v>1.75</v>
      </c>
      <c r="V70" s="506">
        <f t="shared" si="16"/>
        <v>1.8</v>
      </c>
      <c r="W70" s="506">
        <f t="shared" si="17"/>
        <v>1.85</v>
      </c>
      <c r="X70" s="506">
        <f t="shared" si="18"/>
        <v>1.9</v>
      </c>
      <c r="Y70" s="524">
        <f t="shared" si="6"/>
        <v>-1000000</v>
      </c>
      <c r="Z70" s="538"/>
      <c r="AA70" s="525">
        <f t="shared" si="7"/>
        <v>8.64</v>
      </c>
      <c r="AB70" s="523">
        <f t="shared" si="26"/>
        <v>2.1353147517289202</v>
      </c>
      <c r="AC70" s="506">
        <f t="shared" si="26"/>
        <v>2.1316117476212244</v>
      </c>
      <c r="AD70" s="506">
        <f t="shared" si="26"/>
        <v>2.1262299324848399</v>
      </c>
      <c r="AE70" s="506">
        <f t="shared" si="26"/>
        <v>2.1080622266229625</v>
      </c>
      <c r="AF70" s="506">
        <f t="shared" si="26"/>
        <v>2.0403689253380746</v>
      </c>
      <c r="AG70" s="506">
        <f t="shared" si="26"/>
        <v>1.9838697114704411</v>
      </c>
      <c r="AH70" s="506">
        <f t="shared" si="26"/>
        <v>1.6883282329281279</v>
      </c>
      <c r="AI70" s="506"/>
      <c r="AJ70" s="523">
        <f t="shared" si="20"/>
        <v>1.75</v>
      </c>
      <c r="AK70" s="506">
        <f t="shared" si="21"/>
        <v>1.8</v>
      </c>
      <c r="AL70" s="506">
        <f t="shared" si="22"/>
        <v>1.85</v>
      </c>
      <c r="AM70" s="506">
        <f t="shared" si="23"/>
        <v>1.9</v>
      </c>
      <c r="AN70" s="524">
        <f t="shared" si="2"/>
        <v>1000000</v>
      </c>
    </row>
    <row r="71" spans="2:40" ht="15" customHeight="1" x14ac:dyDescent="0.2">
      <c r="B71" s="540">
        <f>$C$8</f>
        <v>2.8</v>
      </c>
      <c r="C71" s="527">
        <f t="shared" si="30"/>
        <v>280</v>
      </c>
      <c r="D71" s="528">
        <f t="shared" ref="D71:D87" si="31">$C$2-$A$21</f>
        <v>0.34000000000000008</v>
      </c>
      <c r="E71" s="529">
        <f t="shared" si="10"/>
        <v>7.839999999999999</v>
      </c>
      <c r="F71" s="530">
        <f t="shared" si="11"/>
        <v>266.56000000000006</v>
      </c>
      <c r="G71" s="530">
        <f t="shared" si="12"/>
        <v>9063.0400000000027</v>
      </c>
      <c r="H71" s="530">
        <f t="shared" si="13"/>
        <v>0.95200000000000018</v>
      </c>
      <c r="I71" s="531">
        <f t="shared" si="14"/>
        <v>32.368000000000016</v>
      </c>
      <c r="K71" s="509">
        <f t="shared" si="24"/>
        <v>37</v>
      </c>
      <c r="L71" s="522">
        <f t="shared" si="4"/>
        <v>190.15125683860865</v>
      </c>
      <c r="M71" s="506">
        <f t="shared" si="29"/>
        <v>2.1231916270950522</v>
      </c>
      <c r="N71" s="506">
        <f t="shared" si="29"/>
        <v>2.1114257660615885</v>
      </c>
      <c r="O71" s="506">
        <f t="shared" si="29"/>
        <v>2.0962982304471356</v>
      </c>
      <c r="P71" s="506">
        <f t="shared" si="29"/>
        <v>2.0576389727657549</v>
      </c>
      <c r="Q71" s="506">
        <f t="shared" si="29"/>
        <v>1.9887246438554684</v>
      </c>
      <c r="R71" s="506">
        <f t="shared" si="29"/>
        <v>1.9635120844980465</v>
      </c>
      <c r="S71" s="506">
        <f t="shared" si="29"/>
        <v>1.9214911522356766</v>
      </c>
      <c r="T71" s="506">
        <f t="shared" si="29"/>
        <v>1.6777697451139311</v>
      </c>
      <c r="U71" s="523">
        <f t="shared" si="15"/>
        <v>1.75</v>
      </c>
      <c r="V71" s="506">
        <f t="shared" si="16"/>
        <v>1.8</v>
      </c>
      <c r="W71" s="506">
        <f t="shared" si="17"/>
        <v>1.85</v>
      </c>
      <c r="X71" s="506">
        <f t="shared" si="18"/>
        <v>1.9</v>
      </c>
      <c r="Y71" s="524">
        <f t="shared" si="6"/>
        <v>-1000000</v>
      </c>
      <c r="Z71" s="501"/>
      <c r="AA71" s="525">
        <f t="shared" si="7"/>
        <v>8.879999999999999</v>
      </c>
      <c r="AB71" s="523">
        <f t="shared" si="26"/>
        <v>2.1353053499384353</v>
      </c>
      <c r="AC71" s="506">
        <f t="shared" si="26"/>
        <v>2.1315815635609017</v>
      </c>
      <c r="AD71" s="506">
        <f t="shared" si="26"/>
        <v>2.1261484037641702</v>
      </c>
      <c r="AE71" s="506">
        <f t="shared" si="26"/>
        <v>2.1076201947335544</v>
      </c>
      <c r="AF71" s="506">
        <f t="shared" si="26"/>
        <v>2.0359372829247198</v>
      </c>
      <c r="AG71" s="506">
        <f t="shared" si="26"/>
        <v>1.9727050728954485</v>
      </c>
      <c r="AH71" s="506">
        <f t="shared" si="26"/>
        <v>1.5802643257038316</v>
      </c>
      <c r="AI71" s="506"/>
      <c r="AJ71" s="523">
        <f t="shared" si="20"/>
        <v>1.75</v>
      </c>
      <c r="AK71" s="506">
        <f t="shared" si="21"/>
        <v>1.8</v>
      </c>
      <c r="AL71" s="506">
        <f t="shared" si="22"/>
        <v>1.85</v>
      </c>
      <c r="AM71" s="506">
        <f t="shared" si="23"/>
        <v>1.9</v>
      </c>
      <c r="AN71" s="524">
        <f t="shared" si="2"/>
        <v>1000000</v>
      </c>
    </row>
    <row r="72" spans="2:40" ht="15" customHeight="1" x14ac:dyDescent="0.2">
      <c r="B72" s="540">
        <f>$D$8</f>
        <v>3.9</v>
      </c>
      <c r="C72" s="527">
        <f t="shared" si="30"/>
        <v>280.8</v>
      </c>
      <c r="D72" s="528">
        <f t="shared" si="31"/>
        <v>0.34000000000000008</v>
      </c>
      <c r="E72" s="529">
        <f t="shared" si="10"/>
        <v>15.209999999999999</v>
      </c>
      <c r="F72" s="530">
        <f t="shared" si="11"/>
        <v>372.34080000000012</v>
      </c>
      <c r="G72" s="530">
        <f t="shared" si="12"/>
        <v>9114.9027840000035</v>
      </c>
      <c r="H72" s="530">
        <f t="shared" si="13"/>
        <v>1.3260000000000003</v>
      </c>
      <c r="I72" s="531">
        <f t="shared" si="14"/>
        <v>32.460480000000018</v>
      </c>
      <c r="K72" s="509">
        <f t="shared" si="24"/>
        <v>38</v>
      </c>
      <c r="L72" s="522">
        <f t="shared" si="4"/>
        <v>195.29047999640889</v>
      </c>
      <c r="M72" s="506">
        <f t="shared" si="29"/>
        <v>2.1217909293529731</v>
      </c>
      <c r="N72" s="506">
        <f t="shared" si="29"/>
        <v>2.1090445799000541</v>
      </c>
      <c r="O72" s="506">
        <f t="shared" si="29"/>
        <v>2.0926564163177299</v>
      </c>
      <c r="P72" s="506">
        <f t="shared" si="29"/>
        <v>2.0507755538295678</v>
      </c>
      <c r="Q72" s="506">
        <f t="shared" si="29"/>
        <v>1.9761183641767575</v>
      </c>
      <c r="R72" s="506">
        <f t="shared" si="29"/>
        <v>1.9488047582062169</v>
      </c>
      <c r="S72" s="506">
        <f t="shared" si="29"/>
        <v>1.9032820815886495</v>
      </c>
      <c r="T72" s="506">
        <f t="shared" si="29"/>
        <v>1.6392505572067586</v>
      </c>
      <c r="U72" s="523">
        <f t="shared" si="15"/>
        <v>1.75</v>
      </c>
      <c r="V72" s="506">
        <f t="shared" si="16"/>
        <v>1.8</v>
      </c>
      <c r="W72" s="506">
        <f t="shared" si="17"/>
        <v>1.85</v>
      </c>
      <c r="X72" s="506">
        <f t="shared" si="18"/>
        <v>1.9</v>
      </c>
      <c r="Y72" s="524">
        <f t="shared" si="6"/>
        <v>-1000000</v>
      </c>
      <c r="Z72" s="538"/>
      <c r="AA72" s="525">
        <f t="shared" si="7"/>
        <v>9.1199999999999992</v>
      </c>
      <c r="AB72" s="523">
        <f t="shared" si="26"/>
        <v>2.1352959103393254</v>
      </c>
      <c r="AC72" s="506">
        <f t="shared" si="26"/>
        <v>2.1315511614890812</v>
      </c>
      <c r="AD72" s="506">
        <f t="shared" si="26"/>
        <v>2.1260659038759577</v>
      </c>
      <c r="AE72" s="506">
        <f t="shared" si="26"/>
        <v>2.1071657553133485</v>
      </c>
      <c r="AF72" s="506">
        <f t="shared" si="26"/>
        <v>2.0310930444692255</v>
      </c>
      <c r="AG72" s="506">
        <f t="shared" si="26"/>
        <v>1.9598207282445781</v>
      </c>
      <c r="AH72" s="506">
        <f t="shared" si="26"/>
        <v>1.4042287018269417</v>
      </c>
      <c r="AI72" s="506"/>
      <c r="AJ72" s="523">
        <f t="shared" si="20"/>
        <v>1.75</v>
      </c>
      <c r="AK72" s="506">
        <f t="shared" si="21"/>
        <v>1.8</v>
      </c>
      <c r="AL72" s="506">
        <f t="shared" si="22"/>
        <v>1.85</v>
      </c>
      <c r="AM72" s="506">
        <f t="shared" si="23"/>
        <v>1.9</v>
      </c>
      <c r="AN72" s="524">
        <f t="shared" si="2"/>
        <v>1000000</v>
      </c>
    </row>
    <row r="73" spans="2:40" ht="15" customHeight="1" x14ac:dyDescent="0.2">
      <c r="B73" s="540">
        <f>$E$8</f>
        <v>5.6</v>
      </c>
      <c r="C73" s="527">
        <f t="shared" si="30"/>
        <v>268.79999999999995</v>
      </c>
      <c r="D73" s="528">
        <f t="shared" si="31"/>
        <v>0.34000000000000008</v>
      </c>
      <c r="E73" s="529">
        <f t="shared" si="10"/>
        <v>31.359999999999996</v>
      </c>
      <c r="F73" s="530">
        <f t="shared" si="11"/>
        <v>511.79520000000002</v>
      </c>
      <c r="G73" s="530">
        <f t="shared" si="12"/>
        <v>8352.4976640000023</v>
      </c>
      <c r="H73" s="530">
        <f t="shared" si="13"/>
        <v>1.9040000000000004</v>
      </c>
      <c r="I73" s="531">
        <f t="shared" si="14"/>
        <v>31.073280000000008</v>
      </c>
      <c r="K73" s="509">
        <f t="shared" si="24"/>
        <v>39</v>
      </c>
      <c r="L73" s="522">
        <f t="shared" si="4"/>
        <v>200.42970315420911</v>
      </c>
      <c r="M73" s="506">
        <f t="shared" si="29"/>
        <v>2.1201355592941526</v>
      </c>
      <c r="N73" s="506">
        <f t="shared" si="29"/>
        <v>2.1062304508000591</v>
      </c>
      <c r="O73" s="506">
        <f t="shared" si="29"/>
        <v>2.0883524541647964</v>
      </c>
      <c r="P73" s="506">
        <f t="shared" si="29"/>
        <v>2.0426642405413471</v>
      </c>
      <c r="Q73" s="506">
        <f t="shared" si="29"/>
        <v>1.9612200336473717</v>
      </c>
      <c r="R73" s="506">
        <f t="shared" si="29"/>
        <v>1.9314233725886003</v>
      </c>
      <c r="S73" s="506">
        <f t="shared" si="29"/>
        <v>1.8817622708239814</v>
      </c>
      <c r="T73" s="506">
        <f t="shared" si="29"/>
        <v>1.5937278805891912</v>
      </c>
      <c r="U73" s="523">
        <f t="shared" si="15"/>
        <v>1.75</v>
      </c>
      <c r="V73" s="506">
        <f t="shared" si="16"/>
        <v>1.8</v>
      </c>
      <c r="W73" s="506">
        <f t="shared" si="17"/>
        <v>1.85</v>
      </c>
      <c r="X73" s="506">
        <f t="shared" si="18"/>
        <v>1.9</v>
      </c>
      <c r="Y73" s="524">
        <f t="shared" si="6"/>
        <v>-1000000</v>
      </c>
      <c r="Z73" s="538"/>
      <c r="AA73" s="525">
        <f t="shared" si="7"/>
        <v>9.36</v>
      </c>
      <c r="AB73" s="523">
        <f t="shared" si="26"/>
        <v>2.1352864327030634</v>
      </c>
      <c r="AC73" s="506">
        <f t="shared" si="26"/>
        <v>2.1315205390352423</v>
      </c>
      <c r="AD73" s="506">
        <f t="shared" si="26"/>
        <v>2.1259824153634543</v>
      </c>
      <c r="AE73" s="506">
        <f t="shared" si="26"/>
        <v>2.1066983785199178</v>
      </c>
      <c r="AF73" s="506">
        <f t="shared" si="26"/>
        <v>2.0257757762608031</v>
      </c>
      <c r="AG73" s="506">
        <f t="shared" si="26"/>
        <v>1.9447861898123686</v>
      </c>
      <c r="AH73" s="506">
        <f t="shared" si="26"/>
        <v>1.0666682575083326</v>
      </c>
      <c r="AI73" s="506"/>
      <c r="AJ73" s="523">
        <f t="shared" si="20"/>
        <v>1.75</v>
      </c>
      <c r="AK73" s="506">
        <f t="shared" si="21"/>
        <v>1.8</v>
      </c>
      <c r="AL73" s="506">
        <f t="shared" si="22"/>
        <v>1.85</v>
      </c>
      <c r="AM73" s="506">
        <f t="shared" si="23"/>
        <v>1.9</v>
      </c>
      <c r="AN73" s="524">
        <f t="shared" si="2"/>
        <v>1000000</v>
      </c>
    </row>
    <row r="74" spans="2:40" ht="15" customHeight="1" x14ac:dyDescent="0.2">
      <c r="B74" s="540">
        <f>$F$8</f>
        <v>7.2</v>
      </c>
      <c r="C74" s="527">
        <f t="shared" si="30"/>
        <v>259.2</v>
      </c>
      <c r="D74" s="528">
        <f t="shared" si="31"/>
        <v>0.34000000000000008</v>
      </c>
      <c r="E74" s="529">
        <f t="shared" si="10"/>
        <v>51.84</v>
      </c>
      <c r="F74" s="530">
        <f t="shared" si="11"/>
        <v>634.52160000000015</v>
      </c>
      <c r="G74" s="530">
        <f t="shared" si="12"/>
        <v>7766.5443840000025</v>
      </c>
      <c r="H74" s="530">
        <f t="shared" si="13"/>
        <v>2.4480000000000008</v>
      </c>
      <c r="I74" s="531">
        <f t="shared" si="14"/>
        <v>29.963520000000013</v>
      </c>
      <c r="K74" s="509">
        <f t="shared" si="24"/>
        <v>40</v>
      </c>
      <c r="L74" s="522">
        <f t="shared" si="4"/>
        <v>205.56892631200935</v>
      </c>
      <c r="M74" s="506">
        <f t="shared" si="29"/>
        <v>2.1181491152235679</v>
      </c>
      <c r="N74" s="506">
        <f t="shared" si="29"/>
        <v>2.1028534958800651</v>
      </c>
      <c r="O74" s="506">
        <f t="shared" si="29"/>
        <v>2.0831876995812761</v>
      </c>
      <c r="P74" s="506">
        <f t="shared" si="29"/>
        <v>2.0329306645954817</v>
      </c>
      <c r="Q74" s="506">
        <f t="shared" si="29"/>
        <v>1.9433420370121088</v>
      </c>
      <c r="R74" s="506">
        <f t="shared" si="29"/>
        <v>1.9105657098474602</v>
      </c>
      <c r="S74" s="506">
        <f t="shared" si="29"/>
        <v>1.8559384979063793</v>
      </c>
      <c r="T74" s="506">
        <f t="shared" si="29"/>
        <v>1.5391006686481101</v>
      </c>
      <c r="U74" s="523">
        <f t="shared" si="15"/>
        <v>1.75</v>
      </c>
      <c r="V74" s="506">
        <f t="shared" si="16"/>
        <v>1.8</v>
      </c>
      <c r="W74" s="506">
        <f t="shared" si="17"/>
        <v>1.85</v>
      </c>
      <c r="X74" s="506">
        <f t="shared" si="18"/>
        <v>1.9</v>
      </c>
      <c r="Y74" s="524">
        <f t="shared" si="6"/>
        <v>-1000000</v>
      </c>
      <c r="Z74" s="538"/>
      <c r="AA74" s="525">
        <f t="shared" si="7"/>
        <v>9.6</v>
      </c>
      <c r="AB74" s="523">
        <f t="shared" si="26"/>
        <v>2.1352769167992776</v>
      </c>
      <c r="AC74" s="506">
        <f t="shared" si="26"/>
        <v>2.1314896937943728</v>
      </c>
      <c r="AD74" s="506">
        <f t="shared" si="26"/>
        <v>2.1258979203490105</v>
      </c>
      <c r="AE74" s="506">
        <f t="shared" si="26"/>
        <v>2.1062175039071893</v>
      </c>
      <c r="AF74" s="506">
        <f t="shared" si="26"/>
        <v>2.0199126363168611</v>
      </c>
      <c r="AG74" s="506">
        <f t="shared" si="26"/>
        <v>1.9270142059730788</v>
      </c>
      <c r="AH74" s="506">
        <f t="shared" si="26"/>
        <v>0.15681274656542632</v>
      </c>
      <c r="AI74" s="506"/>
      <c r="AJ74" s="523">
        <f t="shared" si="20"/>
        <v>1.75</v>
      </c>
      <c r="AK74" s="506">
        <f t="shared" si="21"/>
        <v>1.8</v>
      </c>
      <c r="AL74" s="506">
        <f t="shared" si="22"/>
        <v>1.85</v>
      </c>
      <c r="AM74" s="506">
        <f t="shared" si="23"/>
        <v>1.9</v>
      </c>
      <c r="AN74" s="524">
        <f t="shared" si="2"/>
        <v>1000000</v>
      </c>
    </row>
    <row r="75" spans="2:40" ht="15" customHeight="1" x14ac:dyDescent="0.2">
      <c r="B75" s="540">
        <f>$G$8</f>
        <v>10</v>
      </c>
      <c r="C75" s="527">
        <f t="shared" si="30"/>
        <v>240</v>
      </c>
      <c r="D75" s="528">
        <f t="shared" si="31"/>
        <v>0.34000000000000008</v>
      </c>
      <c r="E75" s="529">
        <f t="shared" si="10"/>
        <v>100</v>
      </c>
      <c r="F75" s="530">
        <f t="shared" si="11"/>
        <v>816.00000000000023</v>
      </c>
      <c r="G75" s="530">
        <f t="shared" si="12"/>
        <v>6658.560000000004</v>
      </c>
      <c r="H75" s="530">
        <f t="shared" si="13"/>
        <v>3.4000000000000008</v>
      </c>
      <c r="I75" s="531">
        <f t="shared" si="14"/>
        <v>27.74400000000001</v>
      </c>
      <c r="K75" s="509">
        <f t="shared" si="24"/>
        <v>41</v>
      </c>
      <c r="L75" s="522">
        <f t="shared" si="4"/>
        <v>210.70814946980957</v>
      </c>
      <c r="M75" s="506">
        <f t="shared" si="29"/>
        <v>2.1157212391372977</v>
      </c>
      <c r="N75" s="506">
        <f t="shared" si="29"/>
        <v>2.0987261065334057</v>
      </c>
      <c r="O75" s="506">
        <f t="shared" si="29"/>
        <v>2.0768752217569735</v>
      </c>
      <c r="P75" s="506">
        <f t="shared" si="29"/>
        <v>2.0210340717727573</v>
      </c>
      <c r="Q75" s="506">
        <f t="shared" si="29"/>
        <v>1.9214911522356766</v>
      </c>
      <c r="R75" s="506">
        <f t="shared" si="29"/>
        <v>1.8850730109416227</v>
      </c>
      <c r="S75" s="506">
        <f t="shared" si="29"/>
        <v>1.824376108784866</v>
      </c>
      <c r="T75" s="506">
        <f t="shared" si="29"/>
        <v>1.4723340762756782</v>
      </c>
      <c r="U75" s="523">
        <f t="shared" si="15"/>
        <v>1.75</v>
      </c>
      <c r="V75" s="506">
        <f t="shared" si="16"/>
        <v>1.8</v>
      </c>
      <c r="W75" s="506">
        <f t="shared" si="17"/>
        <v>1.85</v>
      </c>
      <c r="X75" s="506">
        <f t="shared" si="18"/>
        <v>1.9</v>
      </c>
      <c r="Y75" s="524">
        <f t="shared" si="6"/>
        <v>1000000</v>
      </c>
      <c r="Z75" s="538"/>
      <c r="AA75" s="525">
        <f t="shared" si="7"/>
        <v>9.84</v>
      </c>
      <c r="AB75" s="523">
        <f t="shared" si="26"/>
        <v>2.1352673623957314</v>
      </c>
      <c r="AC75" s="506">
        <f t="shared" si="26"/>
        <v>2.131458623326338</v>
      </c>
      <c r="AD75" s="506">
        <f t="shared" si="26"/>
        <v>2.125812400521311</v>
      </c>
      <c r="AE75" s="506">
        <f t="shared" si="26"/>
        <v>2.1057225381834872</v>
      </c>
      <c r="AF75" s="506">
        <f t="shared" si="26"/>
        <v>2.0134150174844061</v>
      </c>
      <c r="AG75" s="506">
        <f t="shared" si="26"/>
        <v>1.9056822564133737</v>
      </c>
      <c r="AH75" s="506"/>
      <c r="AI75" s="506"/>
      <c r="AJ75" s="523">
        <f t="shared" si="20"/>
        <v>1.75</v>
      </c>
      <c r="AK75" s="506">
        <f t="shared" si="21"/>
        <v>1.8</v>
      </c>
      <c r="AL75" s="506">
        <f t="shared" si="22"/>
        <v>1.85</v>
      </c>
      <c r="AM75" s="506">
        <f t="shared" si="23"/>
        <v>1.9</v>
      </c>
      <c r="AN75" s="524">
        <f t="shared" si="2"/>
        <v>1000000</v>
      </c>
    </row>
    <row r="76" spans="2:40" ht="15" customHeight="1" x14ac:dyDescent="0.2">
      <c r="B76" s="540">
        <f>$H$8</f>
        <v>12</v>
      </c>
      <c r="C76" s="527">
        <f t="shared" si="30"/>
        <v>240</v>
      </c>
      <c r="D76" s="528">
        <f t="shared" si="31"/>
        <v>0.34000000000000008</v>
      </c>
      <c r="E76" s="529">
        <f t="shared" si="10"/>
        <v>144</v>
      </c>
      <c r="F76" s="530">
        <f t="shared" si="11"/>
        <v>979.20000000000027</v>
      </c>
      <c r="G76" s="530">
        <f t="shared" si="12"/>
        <v>6658.560000000004</v>
      </c>
      <c r="H76" s="530">
        <f t="shared" si="13"/>
        <v>4.080000000000001</v>
      </c>
      <c r="I76" s="531">
        <f t="shared" si="14"/>
        <v>27.74400000000001</v>
      </c>
      <c r="K76" s="509">
        <f t="shared" si="24"/>
        <v>42</v>
      </c>
      <c r="L76" s="522">
        <f t="shared" si="4"/>
        <v>215.84737262760981</v>
      </c>
      <c r="M76" s="506">
        <f t="shared" si="29"/>
        <v>2.1126863940294598</v>
      </c>
      <c r="N76" s="506">
        <f t="shared" si="29"/>
        <v>2.0935668698500813</v>
      </c>
      <c r="O76" s="506">
        <f t="shared" si="29"/>
        <v>2.0689846244765948</v>
      </c>
      <c r="P76" s="506">
        <f t="shared" si="29"/>
        <v>2.0061633307443518</v>
      </c>
      <c r="Q76" s="506">
        <f t="shared" si="29"/>
        <v>1.894177546265136</v>
      </c>
      <c r="R76" s="506">
        <f t="shared" si="29"/>
        <v>1.8532071373093255</v>
      </c>
      <c r="S76" s="506">
        <f t="shared" si="29"/>
        <v>1.7849231223829742</v>
      </c>
      <c r="T76" s="506">
        <f t="shared" si="29"/>
        <v>1.3888758358101378</v>
      </c>
      <c r="U76" s="523">
        <f t="shared" si="15"/>
        <v>1.75</v>
      </c>
      <c r="V76" s="506">
        <f t="shared" si="16"/>
        <v>1.8</v>
      </c>
      <c r="W76" s="506">
        <f t="shared" si="17"/>
        <v>1.85</v>
      </c>
      <c r="X76" s="506">
        <f t="shared" si="18"/>
        <v>1.9</v>
      </c>
      <c r="Y76" s="524">
        <f t="shared" si="6"/>
        <v>1000000</v>
      </c>
      <c r="Z76" s="501"/>
      <c r="AA76" s="525">
        <f t="shared" si="7"/>
        <v>10.08</v>
      </c>
      <c r="AB76" s="523">
        <f t="shared" si="26"/>
        <v>2.1352577692583066</v>
      </c>
      <c r="AC76" s="506">
        <f t="shared" si="26"/>
        <v>2.1314273251552383</v>
      </c>
      <c r="AD76" s="506">
        <f t="shared" si="26"/>
        <v>2.1257258371221477</v>
      </c>
      <c r="AE76" s="506">
        <f t="shared" si="26"/>
        <v>2.1052128527695637</v>
      </c>
      <c r="AF76" s="506">
        <f t="shared" si="26"/>
        <v>2.0061740384032354</v>
      </c>
      <c r="AG76" s="506">
        <f t="shared" si="26"/>
        <v>1.8796016197268037</v>
      </c>
      <c r="AH76" s="506"/>
      <c r="AI76" s="506"/>
      <c r="AJ76" s="523">
        <f t="shared" si="20"/>
        <v>1.75</v>
      </c>
      <c r="AK76" s="506">
        <f t="shared" si="21"/>
        <v>1.8</v>
      </c>
      <c r="AL76" s="506">
        <f t="shared" si="22"/>
        <v>1.85</v>
      </c>
      <c r="AM76" s="506">
        <f t="shared" si="23"/>
        <v>1.9</v>
      </c>
      <c r="AN76" s="524">
        <f t="shared" si="2"/>
        <v>1000000</v>
      </c>
    </row>
    <row r="77" spans="2:40" ht="15" customHeight="1" x14ac:dyDescent="0.2">
      <c r="B77" s="540">
        <f>$I$8</f>
        <v>14</v>
      </c>
      <c r="C77" s="527">
        <f t="shared" si="30"/>
        <v>224</v>
      </c>
      <c r="D77" s="528">
        <f t="shared" si="31"/>
        <v>0.34000000000000008</v>
      </c>
      <c r="E77" s="529">
        <f t="shared" si="10"/>
        <v>196</v>
      </c>
      <c r="F77" s="530">
        <f t="shared" si="11"/>
        <v>1066.2400000000002</v>
      </c>
      <c r="G77" s="530">
        <f t="shared" si="12"/>
        <v>5800.3456000000042</v>
      </c>
      <c r="H77" s="530">
        <f t="shared" si="13"/>
        <v>4.7600000000000016</v>
      </c>
      <c r="I77" s="531">
        <f t="shared" si="14"/>
        <v>25.894400000000012</v>
      </c>
      <c r="K77" s="509">
        <f t="shared" si="24"/>
        <v>43</v>
      </c>
      <c r="L77" s="522">
        <f t="shared" si="4"/>
        <v>220.98659578541006</v>
      </c>
      <c r="M77" s="506">
        <f t="shared" si="29"/>
        <v>2.1087844503193827</v>
      </c>
      <c r="N77" s="506">
        <f t="shared" si="29"/>
        <v>2.08693356554295</v>
      </c>
      <c r="O77" s="506">
        <f t="shared" si="29"/>
        <v>2.0588395708303944</v>
      </c>
      <c r="P77" s="506">
        <f t="shared" si="29"/>
        <v>1.9870438065649736</v>
      </c>
      <c r="Q77" s="506">
        <f t="shared" si="29"/>
        <v>1.8590600528744412</v>
      </c>
      <c r="R77" s="506">
        <f t="shared" si="29"/>
        <v>1.8122367283535148</v>
      </c>
      <c r="S77" s="506">
        <f t="shared" si="29"/>
        <v>1.7341978541519705</v>
      </c>
      <c r="T77" s="506">
        <f t="shared" si="29"/>
        <v>1.2815723837830146</v>
      </c>
      <c r="U77" s="523">
        <f t="shared" si="15"/>
        <v>1.75</v>
      </c>
      <c r="V77" s="506">
        <f t="shared" si="16"/>
        <v>1.8</v>
      </c>
      <c r="W77" s="506">
        <f t="shared" si="17"/>
        <v>1.85</v>
      </c>
      <c r="X77" s="506">
        <f t="shared" si="18"/>
        <v>1.9</v>
      </c>
      <c r="Y77" s="524">
        <f t="shared" si="6"/>
        <v>1000000</v>
      </c>
      <c r="Z77" s="541"/>
      <c r="AA77" s="525">
        <f t="shared" si="7"/>
        <v>10.32</v>
      </c>
      <c r="AB77" s="523">
        <f t="shared" si="26"/>
        <v>2.1352481371509815</v>
      </c>
      <c r="AC77" s="506">
        <f t="shared" si="26"/>
        <v>2.13139579676875</v>
      </c>
      <c r="AD77" s="506">
        <f t="shared" si="26"/>
        <v>2.1256382109326992</v>
      </c>
      <c r="AE77" s="506">
        <f t="shared" si="26"/>
        <v>2.1046877811354716</v>
      </c>
      <c r="AF77" s="506">
        <f t="shared" si="26"/>
        <v>1.9980543930037729</v>
      </c>
      <c r="AG77" s="506">
        <f t="shared" si="26"/>
        <v>1.8469880493080792</v>
      </c>
      <c r="AH77" s="506"/>
      <c r="AI77" s="506"/>
      <c r="AJ77" s="523">
        <f t="shared" si="20"/>
        <v>1.75</v>
      </c>
      <c r="AK77" s="506">
        <f t="shared" si="21"/>
        <v>1.8</v>
      </c>
      <c r="AL77" s="506">
        <f t="shared" si="22"/>
        <v>1.85</v>
      </c>
      <c r="AM77" s="506">
        <f t="shared" si="23"/>
        <v>1.9</v>
      </c>
      <c r="AN77" s="524">
        <f t="shared" si="2"/>
        <v>1000000</v>
      </c>
    </row>
    <row r="78" spans="2:40" ht="15" customHeight="1" x14ac:dyDescent="0.2">
      <c r="B78" s="540">
        <f>$J$8</f>
        <v>18</v>
      </c>
      <c r="C78" s="527">
        <f t="shared" si="30"/>
        <v>216</v>
      </c>
      <c r="D78" s="528">
        <f t="shared" si="31"/>
        <v>0.34000000000000008</v>
      </c>
      <c r="E78" s="529">
        <f t="shared" si="10"/>
        <v>324</v>
      </c>
      <c r="F78" s="530">
        <f t="shared" si="11"/>
        <v>1321.9200000000003</v>
      </c>
      <c r="G78" s="530">
        <f t="shared" si="12"/>
        <v>5393.4336000000021</v>
      </c>
      <c r="H78" s="530">
        <f t="shared" si="13"/>
        <v>6.120000000000001</v>
      </c>
      <c r="I78" s="531">
        <f t="shared" si="14"/>
        <v>24.96960000000001</v>
      </c>
      <c r="K78" s="509">
        <f t="shared" si="24"/>
        <v>44</v>
      </c>
      <c r="L78" s="522">
        <f t="shared" si="4"/>
        <v>226.12581894321028</v>
      </c>
      <c r="M78" s="506">
        <f t="shared" si="29"/>
        <v>2.1035818587059461</v>
      </c>
      <c r="N78" s="506">
        <f t="shared" si="29"/>
        <v>2.0780891598001086</v>
      </c>
      <c r="O78" s="506">
        <f t="shared" si="29"/>
        <v>2.0453128326354597</v>
      </c>
      <c r="P78" s="506">
        <f t="shared" si="29"/>
        <v>1.9615511076591359</v>
      </c>
      <c r="Q78" s="506">
        <f t="shared" si="29"/>
        <v>1.8122367283535148</v>
      </c>
      <c r="R78" s="506">
        <f t="shared" si="29"/>
        <v>1.7576095164124337</v>
      </c>
      <c r="S78" s="506">
        <f t="shared" si="29"/>
        <v>1.6665641631772989</v>
      </c>
      <c r="T78" s="506">
        <f t="shared" si="29"/>
        <v>1.1385011144135169</v>
      </c>
      <c r="U78" s="523">
        <f t="shared" si="15"/>
        <v>1.75</v>
      </c>
      <c r="V78" s="506">
        <f t="shared" si="16"/>
        <v>1.8</v>
      </c>
      <c r="W78" s="506">
        <f t="shared" si="17"/>
        <v>1.85</v>
      </c>
      <c r="X78" s="506">
        <f t="shared" si="18"/>
        <v>1.9</v>
      </c>
      <c r="Y78" s="524">
        <f t="shared" si="6"/>
        <v>1000000</v>
      </c>
      <c r="Z78" s="541"/>
      <c r="AA78" s="525">
        <f t="shared" si="7"/>
        <v>10.559999999999999</v>
      </c>
      <c r="AB78" s="523">
        <f t="shared" si="26"/>
        <v>2.1352384658358132</v>
      </c>
      <c r="AC78" s="506">
        <f t="shared" si="26"/>
        <v>2.1313640356174544</v>
      </c>
      <c r="AD78" s="506">
        <f t="shared" si="26"/>
        <v>2.1255495022593092</v>
      </c>
      <c r="AE78" s="506">
        <f t="shared" si="26"/>
        <v>2.1041466158925637</v>
      </c>
      <c r="AF78" s="506">
        <f t="shared" si="26"/>
        <v>1.9888858163587315</v>
      </c>
      <c r="AG78" s="506">
        <f t="shared" si="26"/>
        <v>1.8050354454732407</v>
      </c>
      <c r="AH78" s="506"/>
      <c r="AI78" s="506"/>
      <c r="AJ78" s="523">
        <f t="shared" si="20"/>
        <v>1.75</v>
      </c>
      <c r="AK78" s="506">
        <f t="shared" si="21"/>
        <v>1.8</v>
      </c>
      <c r="AL78" s="506">
        <f t="shared" si="22"/>
        <v>1.85</v>
      </c>
      <c r="AM78" s="506">
        <f t="shared" si="23"/>
        <v>1.9</v>
      </c>
      <c r="AN78" s="524">
        <f t="shared" si="2"/>
        <v>1000000</v>
      </c>
    </row>
    <row r="79" spans="2:40" ht="15" customHeight="1" x14ac:dyDescent="0.2">
      <c r="B79" s="540">
        <f>$K$8</f>
        <v>21</v>
      </c>
      <c r="C79" s="527">
        <f t="shared" si="30"/>
        <v>210</v>
      </c>
      <c r="D79" s="528">
        <f t="shared" si="31"/>
        <v>0.34000000000000008</v>
      </c>
      <c r="E79" s="529">
        <f t="shared" si="10"/>
        <v>441</v>
      </c>
      <c r="F79" s="530">
        <f t="shared" si="11"/>
        <v>1499.4000000000003</v>
      </c>
      <c r="G79" s="530">
        <f t="shared" si="12"/>
        <v>5097.9600000000028</v>
      </c>
      <c r="H79" s="530">
        <f t="shared" si="13"/>
        <v>7.1400000000000015</v>
      </c>
      <c r="I79" s="531">
        <f t="shared" si="14"/>
        <v>24.27600000000001</v>
      </c>
      <c r="K79" s="509">
        <f t="shared" si="24"/>
        <v>45</v>
      </c>
      <c r="L79" s="522">
        <f t="shared" si="4"/>
        <v>231.26504210101052</v>
      </c>
      <c r="M79" s="506">
        <f t="shared" si="29"/>
        <v>2.0962982304471356</v>
      </c>
      <c r="N79" s="506">
        <f t="shared" si="29"/>
        <v>2.0657069917601301</v>
      </c>
      <c r="O79" s="506">
        <f t="shared" si="29"/>
        <v>2.0263753991625517</v>
      </c>
      <c r="P79" s="506">
        <f t="shared" si="29"/>
        <v>1.925861329190963</v>
      </c>
      <c r="Q79" s="506">
        <f t="shared" si="29"/>
        <v>1.7466840740242175</v>
      </c>
      <c r="R79" s="506">
        <f t="shared" si="29"/>
        <v>1.6811314196949203</v>
      </c>
      <c r="S79" s="506">
        <f t="shared" si="29"/>
        <v>1.5718769958127585</v>
      </c>
      <c r="T79" s="506">
        <f t="shared" si="29"/>
        <v>0.93820133729621991</v>
      </c>
      <c r="U79" s="523">
        <f t="shared" si="15"/>
        <v>1.75</v>
      </c>
      <c r="V79" s="506">
        <f t="shared" si="16"/>
        <v>1.8</v>
      </c>
      <c r="W79" s="506">
        <f t="shared" si="17"/>
        <v>1.85</v>
      </c>
      <c r="X79" s="506">
        <f t="shared" si="18"/>
        <v>1.9</v>
      </c>
      <c r="Y79" s="524">
        <f t="shared" si="6"/>
        <v>1000000</v>
      </c>
      <c r="Z79" s="541"/>
      <c r="AA79" s="525">
        <f t="shared" si="7"/>
        <v>10.799999999999999</v>
      </c>
      <c r="AB79" s="523">
        <f t="shared" si="26"/>
        <v>2.135228755072919</v>
      </c>
      <c r="AC79" s="506">
        <f t="shared" si="26"/>
        <v>2.1313320391141501</v>
      </c>
      <c r="AD79" s="506">
        <f t="shared" si="26"/>
        <v>2.1254596909187278</v>
      </c>
      <c r="AE79" s="506">
        <f t="shared" si="26"/>
        <v>2.1035886056139366</v>
      </c>
      <c r="AF79" s="506">
        <f t="shared" si="26"/>
        <v>1.9784510147126688</v>
      </c>
      <c r="AG79" s="506">
        <f t="shared" si="26"/>
        <v>1.7490620852670014</v>
      </c>
      <c r="AH79" s="506"/>
      <c r="AI79" s="506"/>
      <c r="AJ79" s="523">
        <f t="shared" si="20"/>
        <v>1.75</v>
      </c>
      <c r="AK79" s="506">
        <f t="shared" si="21"/>
        <v>1.8</v>
      </c>
      <c r="AL79" s="506">
        <f t="shared" si="22"/>
        <v>1.85</v>
      </c>
      <c r="AM79" s="506">
        <f t="shared" si="23"/>
        <v>1.9</v>
      </c>
      <c r="AN79" s="524">
        <f t="shared" si="2"/>
        <v>1000000</v>
      </c>
    </row>
    <row r="80" spans="2:40" ht="15" customHeight="1" x14ac:dyDescent="0.2">
      <c r="B80" s="540">
        <f>$L$8</f>
        <v>25</v>
      </c>
      <c r="C80" s="527">
        <f t="shared" si="30"/>
        <v>200</v>
      </c>
      <c r="D80" s="528">
        <f t="shared" si="31"/>
        <v>0.34000000000000008</v>
      </c>
      <c r="E80" s="529">
        <f t="shared" si="10"/>
        <v>625</v>
      </c>
      <c r="F80" s="530">
        <f t="shared" si="11"/>
        <v>1700.0000000000005</v>
      </c>
      <c r="G80" s="530">
        <f t="shared" si="12"/>
        <v>4624.0000000000018</v>
      </c>
      <c r="H80" s="530">
        <f t="shared" si="13"/>
        <v>8.5000000000000018</v>
      </c>
      <c r="I80" s="531">
        <f t="shared" si="14"/>
        <v>23.120000000000012</v>
      </c>
      <c r="K80" s="509">
        <f t="shared" si="24"/>
        <v>46</v>
      </c>
      <c r="L80" s="522">
        <f t="shared" si="4"/>
        <v>236.40426525881074</v>
      </c>
      <c r="M80" s="506">
        <f t="shared" si="29"/>
        <v>2.0853727880589195</v>
      </c>
      <c r="N80" s="506">
        <f t="shared" si="29"/>
        <v>2.0471337397001625</v>
      </c>
      <c r="O80" s="506">
        <f t="shared" si="29"/>
        <v>1.9979692489531899</v>
      </c>
      <c r="P80" s="506">
        <f t="shared" si="29"/>
        <v>1.872326661488704</v>
      </c>
      <c r="Q80" s="506">
        <f t="shared" si="29"/>
        <v>1.6483550925302723</v>
      </c>
      <c r="R80" s="506">
        <f t="shared" si="29"/>
        <v>1.5664142746186511</v>
      </c>
      <c r="S80" s="506">
        <f t="shared" si="29"/>
        <v>1.429846244765949</v>
      </c>
      <c r="T80" s="506">
        <f t="shared" si="29"/>
        <v>0.63775167162027668</v>
      </c>
      <c r="U80" s="523">
        <f t="shared" si="15"/>
        <v>1.75</v>
      </c>
      <c r="V80" s="506">
        <f t="shared" si="16"/>
        <v>1.8</v>
      </c>
      <c r="W80" s="506">
        <f t="shared" si="17"/>
        <v>1.85</v>
      </c>
      <c r="X80" s="506">
        <f t="shared" si="18"/>
        <v>1.9</v>
      </c>
      <c r="Y80" s="524">
        <f t="shared" si="6"/>
        <v>1000000</v>
      </c>
      <c r="Z80" s="541"/>
      <c r="AA80" s="525">
        <f t="shared" si="7"/>
        <v>11.04</v>
      </c>
      <c r="AB80" s="523">
        <f t="shared" si="26"/>
        <v>2.1352190046204536</v>
      </c>
      <c r="AC80" s="506">
        <f t="shared" si="26"/>
        <v>2.1312998046331506</v>
      </c>
      <c r="AD80" s="506">
        <f t="shared" si="26"/>
        <v>2.1253687562228039</v>
      </c>
      <c r="AE80" s="506">
        <f t="shared" si="26"/>
        <v>2.1030129513532643</v>
      </c>
      <c r="AF80" s="506">
        <f t="shared" si="26"/>
        <v>1.9664682238183113</v>
      </c>
      <c r="AG80" s="506">
        <f t="shared" si="26"/>
        <v>1.6706291125958761</v>
      </c>
      <c r="AH80" s="506"/>
      <c r="AI80" s="506"/>
      <c r="AJ80" s="523">
        <f t="shared" si="20"/>
        <v>1.75</v>
      </c>
      <c r="AK80" s="506">
        <f t="shared" si="21"/>
        <v>1.8</v>
      </c>
      <c r="AL80" s="506">
        <f t="shared" si="22"/>
        <v>1.85</v>
      </c>
      <c r="AM80" s="506">
        <f t="shared" si="23"/>
        <v>1.9</v>
      </c>
      <c r="AN80" s="524">
        <f t="shared" si="2"/>
        <v>1000000</v>
      </c>
    </row>
    <row r="81" spans="2:40" ht="15" customHeight="1" x14ac:dyDescent="0.2">
      <c r="B81" s="540">
        <f>$M$8</f>
        <v>28</v>
      </c>
      <c r="C81" s="527">
        <f t="shared" si="30"/>
        <v>196</v>
      </c>
      <c r="D81" s="528">
        <f t="shared" si="31"/>
        <v>0.34000000000000008</v>
      </c>
      <c r="E81" s="529">
        <f t="shared" si="10"/>
        <v>784</v>
      </c>
      <c r="F81" s="530">
        <f t="shared" si="11"/>
        <v>1865.9200000000005</v>
      </c>
      <c r="G81" s="530">
        <f t="shared" si="12"/>
        <v>4440.8896000000022</v>
      </c>
      <c r="H81" s="530">
        <f t="shared" si="13"/>
        <v>9.5200000000000031</v>
      </c>
      <c r="I81" s="531">
        <f t="shared" si="14"/>
        <v>22.657600000000009</v>
      </c>
      <c r="K81" s="509">
        <f t="shared" si="24"/>
        <v>47</v>
      </c>
      <c r="L81" s="522">
        <f t="shared" si="4"/>
        <v>241.54348841661098</v>
      </c>
      <c r="M81" s="506">
        <f t="shared" si="29"/>
        <v>2.0671637174118924</v>
      </c>
      <c r="N81" s="506">
        <f t="shared" si="29"/>
        <v>2.016178319600217</v>
      </c>
      <c r="O81" s="506">
        <f t="shared" si="29"/>
        <v>1.9506256652709197</v>
      </c>
      <c r="P81" s="506">
        <f t="shared" si="29"/>
        <v>1.7831022153182718</v>
      </c>
      <c r="Q81" s="506">
        <f t="shared" si="29"/>
        <v>1.4844734567070299</v>
      </c>
      <c r="R81" s="506">
        <f t="shared" si="29"/>
        <v>1.3752190328248681</v>
      </c>
      <c r="S81" s="506">
        <f t="shared" si="29"/>
        <v>1.1931283263545986</v>
      </c>
      <c r="T81" s="506">
        <f t="shared" si="29"/>
        <v>0.13700222882703539</v>
      </c>
      <c r="U81" s="523">
        <f t="shared" si="15"/>
        <v>1.75</v>
      </c>
      <c r="V81" s="506">
        <f t="shared" si="16"/>
        <v>1.8</v>
      </c>
      <c r="W81" s="506">
        <f t="shared" si="17"/>
        <v>1.85</v>
      </c>
      <c r="X81" s="506">
        <f t="shared" si="18"/>
        <v>1.9</v>
      </c>
      <c r="Y81" s="524">
        <f t="shared" si="6"/>
        <v>1000000</v>
      </c>
      <c r="Z81" s="501"/>
      <c r="AA81" s="525">
        <f t="shared" si="7"/>
        <v>11.28</v>
      </c>
      <c r="AB81" s="523">
        <f t="shared" si="26"/>
        <v>2.135209214234592</v>
      </c>
      <c r="AC81" s="506">
        <f t="shared" si="26"/>
        <v>2.1312673295095652</v>
      </c>
      <c r="AD81" s="506">
        <f t="shared" si="26"/>
        <v>2.1252766769625957</v>
      </c>
      <c r="AE81" s="506">
        <f t="shared" si="26"/>
        <v>2.1024188028281134</v>
      </c>
      <c r="AF81" s="506">
        <f t="shared" si="26"/>
        <v>1.9525653830329919</v>
      </c>
      <c r="AG81" s="506">
        <f t="shared" si="26"/>
        <v>1.5528256828597131</v>
      </c>
      <c r="AH81" s="506"/>
      <c r="AI81" s="506"/>
      <c r="AJ81" s="523">
        <f t="shared" si="20"/>
        <v>1.75</v>
      </c>
      <c r="AK81" s="506">
        <f t="shared" si="21"/>
        <v>1.8</v>
      </c>
      <c r="AL81" s="506">
        <f t="shared" si="22"/>
        <v>1.85</v>
      </c>
      <c r="AM81" s="506">
        <f t="shared" si="23"/>
        <v>1.9</v>
      </c>
      <c r="AN81" s="524">
        <f t="shared" si="2"/>
        <v>1000000</v>
      </c>
    </row>
    <row r="82" spans="2:40" ht="15" customHeight="1" x14ac:dyDescent="0.2">
      <c r="B82" s="540">
        <f>$N$8</f>
        <v>32</v>
      </c>
      <c r="C82" s="527">
        <f t="shared" si="30"/>
        <v>192</v>
      </c>
      <c r="D82" s="528">
        <f t="shared" si="31"/>
        <v>0.34000000000000008</v>
      </c>
      <c r="E82" s="529">
        <f t="shared" si="10"/>
        <v>1024</v>
      </c>
      <c r="F82" s="530">
        <f t="shared" si="11"/>
        <v>2088.9600000000005</v>
      </c>
      <c r="G82" s="530">
        <f t="shared" si="12"/>
        <v>4261.4784000000018</v>
      </c>
      <c r="H82" s="530">
        <f t="shared" si="13"/>
        <v>10.880000000000003</v>
      </c>
      <c r="I82" s="531">
        <f t="shared" si="14"/>
        <v>22.19520000000001</v>
      </c>
      <c r="K82" s="509">
        <f t="shared" si="24"/>
        <v>48</v>
      </c>
      <c r="L82" s="522">
        <f t="shared" si="4"/>
        <v>246.6827115744112</v>
      </c>
      <c r="M82" s="506">
        <f t="shared" ref="M82:T83" si="32">IF(($C$2-(($AA$21/1000)/(1-($L82)/($AA$22)))*M$31)&lt;0,0,($C$2-(($AA$21/1000)/(1-($L82)/($AA$22)))*M$31))</f>
        <v>2.0307455761178383</v>
      </c>
      <c r="N82" s="506">
        <f t="shared" si="32"/>
        <v>1.9542674794003252</v>
      </c>
      <c r="O82" s="506">
        <f t="shared" si="32"/>
        <v>1.8559384979063798</v>
      </c>
      <c r="P82" s="506">
        <f t="shared" si="32"/>
        <v>1.6046533229774078</v>
      </c>
      <c r="Q82" s="506">
        <f t="shared" si="32"/>
        <v>1.1567101850605448</v>
      </c>
      <c r="R82" s="506">
        <f t="shared" si="32"/>
        <v>0.99282854923730213</v>
      </c>
      <c r="S82" s="506">
        <f t="shared" si="32"/>
        <v>0.71969248953189791</v>
      </c>
      <c r="T82" s="506">
        <f t="shared" si="32"/>
        <v>0</v>
      </c>
      <c r="U82" s="523">
        <f t="shared" si="15"/>
        <v>1.75</v>
      </c>
      <c r="V82" s="506">
        <f t="shared" si="16"/>
        <v>1.8</v>
      </c>
      <c r="W82" s="506">
        <f t="shared" si="17"/>
        <v>1.85</v>
      </c>
      <c r="X82" s="506">
        <f t="shared" si="18"/>
        <v>1.9</v>
      </c>
      <c r="Y82" s="524">
        <f t="shared" si="6"/>
        <v>1000000</v>
      </c>
      <c r="Z82" s="501"/>
      <c r="AA82" s="525">
        <f t="shared" si="7"/>
        <v>11.52</v>
      </c>
      <c r="AB82" s="523">
        <f t="shared" si="26"/>
        <v>2.1351993836695069</v>
      </c>
      <c r="AC82" s="506">
        <f t="shared" si="26"/>
        <v>2.1312346110385665</v>
      </c>
      <c r="AD82" s="506">
        <f t="shared" si="26"/>
        <v>2.125183431391882</v>
      </c>
      <c r="AE82" s="506">
        <f t="shared" si="26"/>
        <v>2.1018052542293897</v>
      </c>
      <c r="AF82" s="506">
        <f t="shared" si="26"/>
        <v>1.9362408136127984</v>
      </c>
      <c r="AG82" s="506">
        <f t="shared" si="26"/>
        <v>1.3560749685844349</v>
      </c>
      <c r="AH82" s="506"/>
      <c r="AI82" s="506"/>
      <c r="AJ82" s="523">
        <f t="shared" si="20"/>
        <v>1.75</v>
      </c>
      <c r="AK82" s="506">
        <f t="shared" si="21"/>
        <v>1.8</v>
      </c>
      <c r="AL82" s="506">
        <f t="shared" si="22"/>
        <v>1.85</v>
      </c>
      <c r="AM82" s="506">
        <f t="shared" si="23"/>
        <v>1.9</v>
      </c>
      <c r="AN82" s="524">
        <f t="shared" si="2"/>
        <v>1000000</v>
      </c>
    </row>
    <row r="83" spans="2:40" ht="15" customHeight="1" x14ac:dyDescent="0.2">
      <c r="B83" s="540">
        <f>$O$8</f>
        <v>36</v>
      </c>
      <c r="C83" s="527">
        <f t="shared" si="30"/>
        <v>180</v>
      </c>
      <c r="D83" s="528">
        <f t="shared" si="31"/>
        <v>0.34000000000000008</v>
      </c>
      <c r="E83" s="529">
        <f t="shared" si="10"/>
        <v>1296</v>
      </c>
      <c r="F83" s="530">
        <f t="shared" si="11"/>
        <v>2203.2000000000003</v>
      </c>
      <c r="G83" s="530">
        <f t="shared" si="12"/>
        <v>3745.4400000000019</v>
      </c>
      <c r="H83" s="530">
        <f t="shared" si="13"/>
        <v>12.240000000000002</v>
      </c>
      <c r="I83" s="531">
        <f t="shared" si="14"/>
        <v>20.80800000000001</v>
      </c>
      <c r="K83" s="509">
        <f t="shared" si="24"/>
        <v>49</v>
      </c>
      <c r="L83" s="522">
        <f t="shared" si="4"/>
        <v>251.82193473221145</v>
      </c>
      <c r="M83" s="506">
        <f t="shared" si="32"/>
        <v>1.9214911522356768</v>
      </c>
      <c r="N83" s="506">
        <f t="shared" si="32"/>
        <v>1.7685349588006503</v>
      </c>
      <c r="O83" s="506">
        <f t="shared" si="32"/>
        <v>1.5718769958127592</v>
      </c>
      <c r="P83" s="506">
        <f t="shared" si="32"/>
        <v>1.0693066459548153</v>
      </c>
      <c r="Q83" s="506">
        <f t="shared" si="32"/>
        <v>0.17342037012108946</v>
      </c>
      <c r="R83" s="506">
        <f t="shared" si="32"/>
        <v>0</v>
      </c>
      <c r="S83" s="506">
        <f t="shared" si="32"/>
        <v>0</v>
      </c>
      <c r="T83" s="506">
        <f t="shared" si="32"/>
        <v>0</v>
      </c>
      <c r="U83" s="523">
        <f t="shared" si="15"/>
        <v>1.75</v>
      </c>
      <c r="V83" s="506">
        <f t="shared" si="16"/>
        <v>1.8</v>
      </c>
      <c r="W83" s="506">
        <f t="shared" si="17"/>
        <v>1.85</v>
      </c>
      <c r="X83" s="506">
        <f t="shared" si="18"/>
        <v>1.9</v>
      </c>
      <c r="Y83" s="524">
        <f t="shared" si="6"/>
        <v>1000000</v>
      </c>
      <c r="Z83" s="501"/>
      <c r="AA83" s="525">
        <f t="shared" si="7"/>
        <v>11.76</v>
      </c>
      <c r="AB83" s="523">
        <f t="shared" ref="AB83:AG84" si="33">$C$2-(($AA$21/1000)/(1-($AA83*AB$31)/$AA$22))*AB$31</f>
        <v>2.1351895126773499</v>
      </c>
      <c r="AC83" s="506">
        <f t="shared" si="33"/>
        <v>2.1312016464746368</v>
      </c>
      <c r="AD83" s="506">
        <f t="shared" si="33"/>
        <v>2.125088997210038</v>
      </c>
      <c r="AE83" s="506">
        <f t="shared" si="33"/>
        <v>2.1011713396134852</v>
      </c>
      <c r="AF83" s="506">
        <f t="shared" si="33"/>
        <v>1.9168013883372603</v>
      </c>
      <c r="AG83" s="506">
        <f t="shared" si="33"/>
        <v>0.9610224954822586</v>
      </c>
      <c r="AH83" s="506"/>
      <c r="AI83" s="506"/>
      <c r="AJ83" s="523">
        <f t="shared" si="20"/>
        <v>1.75</v>
      </c>
      <c r="AK83" s="506">
        <f t="shared" si="21"/>
        <v>1.8</v>
      </c>
      <c r="AL83" s="506">
        <f t="shared" si="22"/>
        <v>1.85</v>
      </c>
      <c r="AM83" s="506">
        <f t="shared" si="23"/>
        <v>1.9</v>
      </c>
      <c r="AN83" s="524">
        <f t="shared" si="2"/>
        <v>1000000</v>
      </c>
    </row>
    <row r="84" spans="2:40" ht="15" customHeight="1" x14ac:dyDescent="0.2">
      <c r="B84" s="540">
        <f>$P$8</f>
        <v>43</v>
      </c>
      <c r="C84" s="527">
        <f t="shared" si="30"/>
        <v>172</v>
      </c>
      <c r="D84" s="528">
        <f t="shared" si="31"/>
        <v>0.34000000000000008</v>
      </c>
      <c r="E84" s="529">
        <f t="shared" si="10"/>
        <v>1849</v>
      </c>
      <c r="F84" s="530">
        <f t="shared" si="11"/>
        <v>2514.6400000000003</v>
      </c>
      <c r="G84" s="530">
        <f t="shared" si="12"/>
        <v>3419.9104000000011</v>
      </c>
      <c r="H84" s="530">
        <f t="shared" si="13"/>
        <v>14.620000000000003</v>
      </c>
      <c r="I84" s="531">
        <f t="shared" si="14"/>
        <v>19.883200000000009</v>
      </c>
      <c r="K84" s="542">
        <f t="shared" si="24"/>
        <v>50</v>
      </c>
      <c r="L84" s="543">
        <f t="shared" si="4"/>
        <v>256.96115789001169</v>
      </c>
      <c r="M84" s="544"/>
      <c r="N84" s="544"/>
      <c r="O84" s="544"/>
      <c r="P84" s="544"/>
      <c r="Q84" s="544"/>
      <c r="R84" s="544"/>
      <c r="S84" s="544"/>
      <c r="T84" s="544"/>
      <c r="U84" s="545">
        <f t="shared" si="15"/>
        <v>1.75</v>
      </c>
      <c r="V84" s="544">
        <f t="shared" si="16"/>
        <v>1.8</v>
      </c>
      <c r="W84" s="544">
        <f t="shared" si="17"/>
        <v>1.85</v>
      </c>
      <c r="X84" s="544">
        <f t="shared" si="18"/>
        <v>1.9</v>
      </c>
      <c r="Y84" s="546">
        <f t="shared" si="6"/>
        <v>1000000</v>
      </c>
      <c r="Z84" s="501"/>
      <c r="AA84" s="547">
        <f t="shared" si="7"/>
        <v>12</v>
      </c>
      <c r="AB84" s="523">
        <f t="shared" si="33"/>
        <v>2.1351796010082298</v>
      </c>
      <c r="AC84" s="506">
        <f t="shared" si="33"/>
        <v>2.1311684330308025</v>
      </c>
      <c r="AD84" s="506">
        <f t="shared" si="33"/>
        <v>2.1249933515442549</v>
      </c>
      <c r="AE84" s="506">
        <f t="shared" si="33"/>
        <v>2.1005160278278217</v>
      </c>
      <c r="AF84" s="506">
        <f t="shared" si="33"/>
        <v>1.8932615752057045</v>
      </c>
      <c r="AG84" s="506"/>
      <c r="AH84" s="506"/>
      <c r="AI84" s="506"/>
      <c r="AJ84" s="545">
        <f t="shared" si="20"/>
        <v>1.75</v>
      </c>
      <c r="AK84" s="544">
        <f t="shared" si="21"/>
        <v>1.8</v>
      </c>
      <c r="AL84" s="544">
        <f t="shared" si="22"/>
        <v>1.85</v>
      </c>
      <c r="AM84" s="544">
        <f t="shared" si="23"/>
        <v>1.9</v>
      </c>
      <c r="AN84" s="546">
        <f t="shared" si="2"/>
        <v>1000000</v>
      </c>
    </row>
    <row r="85" spans="2:40" ht="15" customHeight="1" x14ac:dyDescent="0.2">
      <c r="B85" s="540">
        <f>$Q$8</f>
        <v>53</v>
      </c>
      <c r="C85" s="527">
        <f t="shared" si="30"/>
        <v>159</v>
      </c>
      <c r="D85" s="528">
        <f t="shared" si="31"/>
        <v>0.34000000000000008</v>
      </c>
      <c r="E85" s="529">
        <f t="shared" si="10"/>
        <v>2809</v>
      </c>
      <c r="F85" s="530">
        <f t="shared" si="11"/>
        <v>2865.1800000000003</v>
      </c>
      <c r="G85" s="530">
        <f t="shared" si="12"/>
        <v>2922.4836000000009</v>
      </c>
      <c r="H85" s="530">
        <f t="shared" si="13"/>
        <v>18.020000000000003</v>
      </c>
      <c r="I85" s="531">
        <f t="shared" si="14"/>
        <v>18.380400000000009</v>
      </c>
      <c r="K85" s="548"/>
      <c r="U85" s="501"/>
      <c r="V85" s="501"/>
      <c r="W85" s="501"/>
      <c r="X85" s="501"/>
      <c r="Y85" s="501"/>
      <c r="Z85" s="501"/>
      <c r="AA85" s="501"/>
      <c r="AB85" s="501"/>
      <c r="AC85" s="501"/>
      <c r="AD85" s="501"/>
      <c r="AE85" s="501"/>
      <c r="AF85" s="501"/>
      <c r="AG85" s="501"/>
      <c r="AH85" s="501"/>
    </row>
    <row r="86" spans="2:40" ht="15" customHeight="1" x14ac:dyDescent="0.2">
      <c r="B86" s="540">
        <f>$R$8</f>
        <v>72</v>
      </c>
      <c r="C86" s="527">
        <f t="shared" si="30"/>
        <v>144</v>
      </c>
      <c r="D86" s="528">
        <f t="shared" si="31"/>
        <v>0.34000000000000008</v>
      </c>
      <c r="E86" s="529">
        <f t="shared" si="10"/>
        <v>5184</v>
      </c>
      <c r="F86" s="530">
        <f t="shared" si="11"/>
        <v>3525.1200000000008</v>
      </c>
      <c r="G86" s="530">
        <f t="shared" si="12"/>
        <v>2397.0816000000009</v>
      </c>
      <c r="H86" s="530">
        <f t="shared" si="13"/>
        <v>24.480000000000004</v>
      </c>
      <c r="I86" s="531">
        <f t="shared" si="14"/>
        <v>16.646400000000007</v>
      </c>
      <c r="K86" s="548"/>
      <c r="U86" s="501"/>
      <c r="V86" s="501"/>
      <c r="W86" s="501"/>
      <c r="X86" s="501"/>
      <c r="Y86" s="501"/>
      <c r="Z86" s="501"/>
      <c r="AA86" s="501"/>
      <c r="AB86" s="501"/>
      <c r="AC86" s="501"/>
      <c r="AD86" s="501"/>
      <c r="AE86" s="501"/>
      <c r="AF86" s="501"/>
      <c r="AG86" s="501"/>
      <c r="AH86" s="501"/>
    </row>
    <row r="87" spans="2:40" ht="15" customHeight="1" x14ac:dyDescent="0.2">
      <c r="B87" s="540">
        <f>$S$8</f>
        <v>111</v>
      </c>
      <c r="C87" s="527">
        <f t="shared" si="30"/>
        <v>111</v>
      </c>
      <c r="D87" s="528">
        <f t="shared" si="31"/>
        <v>0.34000000000000008</v>
      </c>
      <c r="E87" s="535">
        <f t="shared" si="10"/>
        <v>12321</v>
      </c>
      <c r="F87" s="536">
        <f t="shared" si="11"/>
        <v>4189.1400000000012</v>
      </c>
      <c r="G87" s="536">
        <f t="shared" si="12"/>
        <v>1424.3076000000008</v>
      </c>
      <c r="H87" s="536">
        <f t="shared" si="13"/>
        <v>37.740000000000009</v>
      </c>
      <c r="I87" s="537">
        <f t="shared" si="14"/>
        <v>12.831600000000005</v>
      </c>
      <c r="K87" s="548"/>
      <c r="U87" s="501"/>
      <c r="V87" s="501"/>
      <c r="W87" s="501"/>
      <c r="X87" s="501"/>
      <c r="Y87" s="501"/>
      <c r="Z87" s="501"/>
      <c r="AA87" s="501"/>
      <c r="AB87" s="501"/>
      <c r="AC87" s="501"/>
      <c r="AD87" s="501"/>
      <c r="AE87" s="501"/>
      <c r="AF87" s="501"/>
      <c r="AG87" s="501"/>
      <c r="AH87" s="501"/>
    </row>
    <row r="88" spans="2:40" ht="15" customHeight="1" x14ac:dyDescent="0.2">
      <c r="B88" s="442">
        <f>$B$9</f>
        <v>2.4</v>
      </c>
      <c r="C88" s="517">
        <f t="shared" ref="C88:C105" si="34">$A34*B88</f>
        <v>288</v>
      </c>
      <c r="D88" s="518">
        <f>$C$2-$A$22</f>
        <v>0.33000000000000007</v>
      </c>
      <c r="E88" s="519">
        <f t="shared" si="10"/>
        <v>5.76</v>
      </c>
      <c r="F88" s="520">
        <f t="shared" si="11"/>
        <v>228.09600000000003</v>
      </c>
      <c r="G88" s="520">
        <f t="shared" si="12"/>
        <v>9032.6016000000036</v>
      </c>
      <c r="H88" s="520">
        <f t="shared" si="13"/>
        <v>0.79200000000000015</v>
      </c>
      <c r="I88" s="521">
        <f t="shared" si="14"/>
        <v>31.363200000000013</v>
      </c>
      <c r="K88" s="548"/>
      <c r="U88" s="501"/>
      <c r="V88" s="501"/>
      <c r="W88" s="501"/>
      <c r="X88" s="501"/>
      <c r="Y88" s="501"/>
      <c r="Z88" s="501"/>
      <c r="AA88" s="501"/>
      <c r="AB88" s="501"/>
      <c r="AC88" s="501"/>
      <c r="AD88" s="501"/>
      <c r="AE88" s="501"/>
      <c r="AF88" s="501"/>
      <c r="AG88" s="501"/>
      <c r="AH88" s="501"/>
    </row>
    <row r="89" spans="2:40" ht="15" customHeight="1" x14ac:dyDescent="0.2">
      <c r="B89" s="446">
        <f>$C$9</f>
        <v>2.8</v>
      </c>
      <c r="C89" s="527">
        <f t="shared" si="34"/>
        <v>280</v>
      </c>
      <c r="D89" s="528">
        <f t="shared" ref="D89:D105" si="35">$C$2-$A$22</f>
        <v>0.33000000000000007</v>
      </c>
      <c r="E89" s="529">
        <f t="shared" si="10"/>
        <v>7.839999999999999</v>
      </c>
      <c r="F89" s="530">
        <f t="shared" si="11"/>
        <v>258.72000000000003</v>
      </c>
      <c r="G89" s="530">
        <f t="shared" si="12"/>
        <v>8537.7600000000039</v>
      </c>
      <c r="H89" s="530">
        <f t="shared" si="13"/>
        <v>0.92400000000000015</v>
      </c>
      <c r="I89" s="531">
        <f t="shared" si="14"/>
        <v>30.492000000000015</v>
      </c>
      <c r="U89" s="501"/>
      <c r="V89" s="501"/>
      <c r="W89" s="501"/>
      <c r="X89" s="501"/>
      <c r="Y89" s="501"/>
      <c r="Z89" s="501"/>
      <c r="AA89" s="501"/>
      <c r="AB89" s="501"/>
      <c r="AC89" s="501"/>
      <c r="AD89" s="501"/>
      <c r="AE89" s="501"/>
      <c r="AF89" s="501"/>
      <c r="AG89" s="501"/>
      <c r="AH89" s="501"/>
    </row>
    <row r="90" spans="2:40" ht="15" customHeight="1" x14ac:dyDescent="0.2">
      <c r="B90" s="446">
        <f>$D$9</f>
        <v>3.8</v>
      </c>
      <c r="C90" s="527">
        <f t="shared" si="34"/>
        <v>273.59999999999997</v>
      </c>
      <c r="D90" s="528">
        <f t="shared" si="35"/>
        <v>0.33000000000000007</v>
      </c>
      <c r="E90" s="529">
        <f t="shared" si="10"/>
        <v>14.44</v>
      </c>
      <c r="F90" s="530">
        <f t="shared" si="11"/>
        <v>343.09440000000001</v>
      </c>
      <c r="G90" s="530">
        <f t="shared" si="12"/>
        <v>8151.9229440000017</v>
      </c>
      <c r="H90" s="530">
        <f t="shared" si="13"/>
        <v>1.2540000000000002</v>
      </c>
      <c r="I90" s="531">
        <f t="shared" si="14"/>
        <v>29.795040000000011</v>
      </c>
      <c r="U90" s="501"/>
      <c r="V90" s="501"/>
      <c r="W90" s="501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</row>
    <row r="91" spans="2:40" ht="15" customHeight="1" x14ac:dyDescent="0.2">
      <c r="B91" s="446">
        <f>$E$9</f>
        <v>5.5</v>
      </c>
      <c r="C91" s="527">
        <f t="shared" si="34"/>
        <v>264</v>
      </c>
      <c r="D91" s="528">
        <f t="shared" si="35"/>
        <v>0.33000000000000007</v>
      </c>
      <c r="E91" s="529">
        <f t="shared" si="10"/>
        <v>30.25</v>
      </c>
      <c r="F91" s="530">
        <f t="shared" si="11"/>
        <v>479.16000000000008</v>
      </c>
      <c r="G91" s="530">
        <f t="shared" si="12"/>
        <v>7589.8944000000029</v>
      </c>
      <c r="H91" s="530">
        <f t="shared" si="13"/>
        <v>1.8150000000000004</v>
      </c>
      <c r="I91" s="531">
        <f t="shared" si="14"/>
        <v>28.749600000000015</v>
      </c>
      <c r="U91" s="501"/>
      <c r="V91" s="501"/>
      <c r="W91" s="501"/>
      <c r="X91" s="501"/>
      <c r="Y91" s="501"/>
      <c r="Z91" s="501"/>
      <c r="AA91" s="501"/>
      <c r="AB91" s="501"/>
      <c r="AC91" s="501"/>
      <c r="AD91" s="501"/>
      <c r="AE91" s="501"/>
      <c r="AF91" s="501"/>
      <c r="AG91" s="501"/>
      <c r="AH91" s="501"/>
    </row>
    <row r="92" spans="2:40" ht="15" customHeight="1" x14ac:dyDescent="0.2">
      <c r="B92" s="446">
        <f>$F$9</f>
        <v>7.1</v>
      </c>
      <c r="C92" s="527">
        <f t="shared" si="34"/>
        <v>255.6</v>
      </c>
      <c r="D92" s="528">
        <f t="shared" si="35"/>
        <v>0.33000000000000007</v>
      </c>
      <c r="E92" s="529">
        <f t="shared" si="10"/>
        <v>50.41</v>
      </c>
      <c r="F92" s="530">
        <f t="shared" si="11"/>
        <v>598.87080000000014</v>
      </c>
      <c r="G92" s="530">
        <f t="shared" si="12"/>
        <v>7114.5851040000025</v>
      </c>
      <c r="H92" s="530">
        <f t="shared" si="13"/>
        <v>2.3430000000000004</v>
      </c>
      <c r="I92" s="531">
        <f t="shared" si="14"/>
        <v>27.834840000000014</v>
      </c>
      <c r="U92" s="501"/>
      <c r="V92" s="501"/>
      <c r="W92" s="501"/>
      <c r="X92" s="501"/>
      <c r="Y92" s="501"/>
      <c r="Z92" s="501"/>
      <c r="AA92" s="501"/>
      <c r="AB92" s="501"/>
      <c r="AC92" s="501"/>
      <c r="AD92" s="501"/>
      <c r="AE92" s="501"/>
      <c r="AF92" s="501"/>
      <c r="AG92" s="501"/>
      <c r="AH92" s="501"/>
    </row>
    <row r="93" spans="2:40" ht="15" customHeight="1" x14ac:dyDescent="0.2">
      <c r="B93" s="446">
        <f>$G$9</f>
        <v>10</v>
      </c>
      <c r="C93" s="527">
        <f t="shared" si="34"/>
        <v>240</v>
      </c>
      <c r="D93" s="528">
        <f t="shared" si="35"/>
        <v>0.33000000000000007</v>
      </c>
      <c r="E93" s="529">
        <f t="shared" si="10"/>
        <v>100</v>
      </c>
      <c r="F93" s="530">
        <f t="shared" si="11"/>
        <v>792.00000000000023</v>
      </c>
      <c r="G93" s="530">
        <f t="shared" si="12"/>
        <v>6272.6400000000031</v>
      </c>
      <c r="H93" s="530">
        <f t="shared" si="13"/>
        <v>3.3000000000000007</v>
      </c>
      <c r="I93" s="531">
        <f t="shared" si="14"/>
        <v>26.136000000000013</v>
      </c>
      <c r="U93" s="501"/>
      <c r="V93" s="501"/>
      <c r="W93" s="501"/>
      <c r="X93" s="501"/>
      <c r="Y93" s="501"/>
      <c r="Z93" s="501"/>
      <c r="AA93" s="501"/>
      <c r="AB93" s="501"/>
      <c r="AC93" s="501"/>
      <c r="AD93" s="501"/>
      <c r="AE93" s="501"/>
      <c r="AF93" s="501"/>
      <c r="AG93" s="501"/>
      <c r="AH93" s="501"/>
    </row>
    <row r="94" spans="2:40" ht="15" customHeight="1" x14ac:dyDescent="0.2">
      <c r="B94" s="446">
        <f>$H$9</f>
        <v>12</v>
      </c>
      <c r="C94" s="527">
        <f t="shared" si="34"/>
        <v>240</v>
      </c>
      <c r="D94" s="528">
        <f t="shared" si="35"/>
        <v>0.33000000000000007</v>
      </c>
      <c r="E94" s="529">
        <f t="shared" si="10"/>
        <v>144</v>
      </c>
      <c r="F94" s="530">
        <f t="shared" si="11"/>
        <v>950.4000000000002</v>
      </c>
      <c r="G94" s="530">
        <f t="shared" si="12"/>
        <v>6272.6400000000031</v>
      </c>
      <c r="H94" s="530">
        <f t="shared" si="13"/>
        <v>3.9600000000000009</v>
      </c>
      <c r="I94" s="531">
        <f t="shared" si="14"/>
        <v>26.136000000000013</v>
      </c>
      <c r="U94" s="501"/>
      <c r="V94" s="501"/>
      <c r="W94" s="501"/>
      <c r="X94" s="501"/>
      <c r="Y94" s="501"/>
      <c r="Z94" s="501"/>
      <c r="AA94" s="501"/>
      <c r="AB94" s="501"/>
      <c r="AC94" s="501"/>
      <c r="AD94" s="501"/>
      <c r="AE94" s="501"/>
      <c r="AF94" s="501"/>
      <c r="AG94" s="501"/>
      <c r="AH94" s="501"/>
    </row>
    <row r="95" spans="2:40" ht="15" customHeight="1" x14ac:dyDescent="0.2">
      <c r="B95" s="446">
        <f>$I$9</f>
        <v>14</v>
      </c>
      <c r="C95" s="527">
        <f t="shared" si="34"/>
        <v>224</v>
      </c>
      <c r="D95" s="528">
        <f t="shared" si="35"/>
        <v>0.33000000000000007</v>
      </c>
      <c r="E95" s="529">
        <f t="shared" si="10"/>
        <v>196</v>
      </c>
      <c r="F95" s="530">
        <f t="shared" si="11"/>
        <v>1034.8800000000001</v>
      </c>
      <c r="G95" s="530">
        <f t="shared" si="12"/>
        <v>5464.1664000000028</v>
      </c>
      <c r="H95" s="530">
        <f t="shared" si="13"/>
        <v>4.620000000000001</v>
      </c>
      <c r="I95" s="531">
        <f t="shared" si="14"/>
        <v>24.393600000000013</v>
      </c>
      <c r="U95" s="501"/>
      <c r="V95" s="501"/>
      <c r="W95" s="501"/>
      <c r="X95" s="501"/>
      <c r="Y95" s="501"/>
      <c r="Z95" s="501"/>
      <c r="AA95" s="501"/>
      <c r="AB95" s="501"/>
      <c r="AC95" s="501"/>
      <c r="AD95" s="501"/>
      <c r="AE95" s="501"/>
      <c r="AF95" s="501"/>
      <c r="AG95" s="501"/>
      <c r="AH95" s="501"/>
    </row>
    <row r="96" spans="2:40" ht="15" customHeight="1" x14ac:dyDescent="0.2">
      <c r="B96" s="446">
        <f>$J$9</f>
        <v>18</v>
      </c>
      <c r="C96" s="527">
        <f t="shared" si="34"/>
        <v>216</v>
      </c>
      <c r="D96" s="528">
        <f t="shared" si="35"/>
        <v>0.33000000000000007</v>
      </c>
      <c r="E96" s="529">
        <f t="shared" si="10"/>
        <v>324</v>
      </c>
      <c r="F96" s="530">
        <f t="shared" si="11"/>
        <v>1283.0400000000002</v>
      </c>
      <c r="G96" s="530">
        <f t="shared" si="12"/>
        <v>5080.8384000000024</v>
      </c>
      <c r="H96" s="530">
        <f t="shared" si="13"/>
        <v>5.9400000000000013</v>
      </c>
      <c r="I96" s="531">
        <f t="shared" si="14"/>
        <v>23.522400000000012</v>
      </c>
      <c r="U96" s="501"/>
      <c r="V96" s="501"/>
      <c r="W96" s="501"/>
      <c r="X96" s="501"/>
      <c r="Y96" s="501"/>
      <c r="Z96" s="501"/>
      <c r="AA96" s="501"/>
      <c r="AB96" s="501"/>
      <c r="AC96" s="501"/>
      <c r="AD96" s="501"/>
      <c r="AE96" s="501"/>
      <c r="AF96" s="501"/>
      <c r="AG96" s="501"/>
      <c r="AH96" s="501"/>
    </row>
    <row r="97" spans="2:34" ht="15" customHeight="1" x14ac:dyDescent="0.2">
      <c r="B97" s="446">
        <f>$K$9</f>
        <v>21</v>
      </c>
      <c r="C97" s="527">
        <f t="shared" si="34"/>
        <v>210</v>
      </c>
      <c r="D97" s="528">
        <f t="shared" si="35"/>
        <v>0.33000000000000007</v>
      </c>
      <c r="E97" s="529">
        <f t="shared" si="10"/>
        <v>441</v>
      </c>
      <c r="F97" s="530">
        <f t="shared" si="11"/>
        <v>1455.3000000000004</v>
      </c>
      <c r="G97" s="530">
        <f t="shared" si="12"/>
        <v>4802.4900000000016</v>
      </c>
      <c r="H97" s="530">
        <f t="shared" si="13"/>
        <v>6.9300000000000015</v>
      </c>
      <c r="I97" s="531">
        <f t="shared" si="14"/>
        <v>22.86900000000001</v>
      </c>
      <c r="U97" s="501"/>
      <c r="V97" s="501"/>
      <c r="W97" s="501"/>
      <c r="X97" s="501"/>
      <c r="Y97" s="501"/>
      <c r="Z97" s="501"/>
      <c r="AA97" s="501"/>
      <c r="AB97" s="501"/>
      <c r="AC97" s="501"/>
      <c r="AD97" s="501"/>
      <c r="AE97" s="501"/>
      <c r="AF97" s="501"/>
      <c r="AG97" s="501"/>
      <c r="AH97" s="501"/>
    </row>
    <row r="98" spans="2:34" ht="15" customHeight="1" x14ac:dyDescent="0.2">
      <c r="B98" s="446">
        <f>$L$9</f>
        <v>25</v>
      </c>
      <c r="C98" s="527">
        <f t="shared" si="34"/>
        <v>200</v>
      </c>
      <c r="D98" s="528">
        <f t="shared" si="35"/>
        <v>0.33000000000000007</v>
      </c>
      <c r="E98" s="529">
        <f t="shared" si="10"/>
        <v>625</v>
      </c>
      <c r="F98" s="530">
        <f t="shared" si="11"/>
        <v>1650.0000000000005</v>
      </c>
      <c r="G98" s="530">
        <f t="shared" si="12"/>
        <v>4356.0000000000018</v>
      </c>
      <c r="H98" s="530">
        <f t="shared" si="13"/>
        <v>8.2500000000000018</v>
      </c>
      <c r="I98" s="531">
        <f t="shared" si="14"/>
        <v>21.780000000000012</v>
      </c>
      <c r="U98" s="501"/>
      <c r="V98" s="501"/>
      <c r="W98" s="501"/>
      <c r="X98" s="501"/>
      <c r="Y98" s="501"/>
      <c r="Z98" s="501"/>
      <c r="AA98" s="501"/>
      <c r="AB98" s="501"/>
      <c r="AC98" s="501"/>
      <c r="AD98" s="501"/>
      <c r="AE98" s="501"/>
      <c r="AF98" s="501"/>
      <c r="AG98" s="501"/>
      <c r="AH98" s="501"/>
    </row>
    <row r="99" spans="2:34" ht="15" customHeight="1" x14ac:dyDescent="0.2">
      <c r="B99" s="446">
        <f>$M$9</f>
        <v>28</v>
      </c>
      <c r="C99" s="527">
        <f t="shared" si="34"/>
        <v>196</v>
      </c>
      <c r="D99" s="528">
        <f t="shared" si="35"/>
        <v>0.33000000000000007</v>
      </c>
      <c r="E99" s="529">
        <f t="shared" ref="E99:E162" si="36">B99^2</f>
        <v>784</v>
      </c>
      <c r="F99" s="530">
        <f t="shared" ref="F99:F162" si="37">(D99*B99*C99)</f>
        <v>1811.0400000000004</v>
      </c>
      <c r="G99" s="530">
        <f t="shared" ref="G99:G162" si="38">(D99*C99)^2</f>
        <v>4183.5024000000012</v>
      </c>
      <c r="H99" s="530">
        <f t="shared" ref="H99:H162" si="39">(D99*B99)</f>
        <v>9.240000000000002</v>
      </c>
      <c r="I99" s="531">
        <f t="shared" ref="I99:I162" si="40">((D99^2)*C99)</f>
        <v>21.344400000000011</v>
      </c>
      <c r="U99" s="501"/>
      <c r="V99" s="501"/>
      <c r="W99" s="501"/>
      <c r="X99" s="501"/>
      <c r="Y99" s="501"/>
      <c r="Z99" s="501"/>
      <c r="AA99" s="501"/>
      <c r="AB99" s="501"/>
      <c r="AC99" s="501"/>
      <c r="AD99" s="501"/>
      <c r="AE99" s="501"/>
      <c r="AF99" s="501"/>
      <c r="AG99" s="501"/>
      <c r="AH99" s="501"/>
    </row>
    <row r="100" spans="2:34" ht="15" customHeight="1" x14ac:dyDescent="0.2">
      <c r="B100" s="446">
        <f>$N$9</f>
        <v>31</v>
      </c>
      <c r="C100" s="527">
        <f t="shared" si="34"/>
        <v>186</v>
      </c>
      <c r="D100" s="528">
        <f t="shared" si="35"/>
        <v>0.33000000000000007</v>
      </c>
      <c r="E100" s="529">
        <f t="shared" si="36"/>
        <v>961</v>
      </c>
      <c r="F100" s="530">
        <f t="shared" si="37"/>
        <v>1902.7800000000004</v>
      </c>
      <c r="G100" s="530">
        <f t="shared" si="38"/>
        <v>3767.5044000000012</v>
      </c>
      <c r="H100" s="530">
        <f t="shared" si="39"/>
        <v>10.230000000000002</v>
      </c>
      <c r="I100" s="531">
        <f t="shared" si="40"/>
        <v>20.255400000000009</v>
      </c>
      <c r="U100" s="501"/>
      <c r="V100" s="501"/>
      <c r="W100" s="501"/>
      <c r="X100" s="501"/>
      <c r="Y100" s="501"/>
      <c r="Z100" s="501"/>
      <c r="AA100" s="501"/>
      <c r="AB100" s="501"/>
      <c r="AC100" s="501"/>
      <c r="AD100" s="501"/>
      <c r="AE100" s="501"/>
      <c r="AF100" s="501"/>
      <c r="AG100" s="501"/>
      <c r="AH100" s="501"/>
    </row>
    <row r="101" spans="2:34" ht="15" customHeight="1" x14ac:dyDescent="0.2">
      <c r="B101" s="446">
        <f>$O$9</f>
        <v>36</v>
      </c>
      <c r="C101" s="527">
        <f t="shared" si="34"/>
        <v>180</v>
      </c>
      <c r="D101" s="528">
        <f t="shared" si="35"/>
        <v>0.33000000000000007</v>
      </c>
      <c r="E101" s="529">
        <f t="shared" si="36"/>
        <v>1296</v>
      </c>
      <c r="F101" s="530">
        <f t="shared" si="37"/>
        <v>2138.4000000000005</v>
      </c>
      <c r="G101" s="530">
        <f t="shared" si="38"/>
        <v>3528.3600000000015</v>
      </c>
      <c r="H101" s="530">
        <f t="shared" si="39"/>
        <v>11.880000000000003</v>
      </c>
      <c r="I101" s="531">
        <f t="shared" si="40"/>
        <v>19.602000000000011</v>
      </c>
    </row>
    <row r="102" spans="2:34" ht="15" customHeight="1" x14ac:dyDescent="0.2">
      <c r="B102" s="446">
        <f>$P$9</f>
        <v>43</v>
      </c>
      <c r="C102" s="527">
        <f t="shared" si="34"/>
        <v>172</v>
      </c>
      <c r="D102" s="528">
        <f t="shared" si="35"/>
        <v>0.33000000000000007</v>
      </c>
      <c r="E102" s="529">
        <f t="shared" si="36"/>
        <v>1849</v>
      </c>
      <c r="F102" s="530">
        <f t="shared" si="37"/>
        <v>2440.6800000000007</v>
      </c>
      <c r="G102" s="530">
        <f t="shared" si="38"/>
        <v>3221.6976000000013</v>
      </c>
      <c r="H102" s="530">
        <f t="shared" si="39"/>
        <v>14.190000000000003</v>
      </c>
      <c r="I102" s="531">
        <f t="shared" si="40"/>
        <v>18.730800000000009</v>
      </c>
    </row>
    <row r="103" spans="2:34" ht="15" customHeight="1" x14ac:dyDescent="0.2">
      <c r="B103" s="446">
        <f>$Q$9</f>
        <v>53</v>
      </c>
      <c r="C103" s="527">
        <f t="shared" si="34"/>
        <v>159</v>
      </c>
      <c r="D103" s="528">
        <f t="shared" si="35"/>
        <v>0.33000000000000007</v>
      </c>
      <c r="E103" s="529">
        <f t="shared" si="36"/>
        <v>2809</v>
      </c>
      <c r="F103" s="530">
        <f t="shared" si="37"/>
        <v>2780.9100000000003</v>
      </c>
      <c r="G103" s="530">
        <f t="shared" si="38"/>
        <v>2753.1009000000013</v>
      </c>
      <c r="H103" s="530">
        <f t="shared" si="39"/>
        <v>17.490000000000002</v>
      </c>
      <c r="I103" s="531">
        <f t="shared" si="40"/>
        <v>17.315100000000008</v>
      </c>
    </row>
    <row r="104" spans="2:34" ht="15" customHeight="1" x14ac:dyDescent="0.2">
      <c r="B104" s="446">
        <f>$R$9</f>
        <v>71</v>
      </c>
      <c r="C104" s="527">
        <f t="shared" si="34"/>
        <v>142</v>
      </c>
      <c r="D104" s="528">
        <f t="shared" si="35"/>
        <v>0.33000000000000007</v>
      </c>
      <c r="E104" s="529">
        <f t="shared" si="36"/>
        <v>5041</v>
      </c>
      <c r="F104" s="530">
        <f t="shared" si="37"/>
        <v>3327.0600000000009</v>
      </c>
      <c r="G104" s="530">
        <f t="shared" si="38"/>
        <v>2195.8596000000011</v>
      </c>
      <c r="H104" s="530">
        <f t="shared" si="39"/>
        <v>23.430000000000007</v>
      </c>
      <c r="I104" s="531">
        <f t="shared" si="40"/>
        <v>15.463800000000008</v>
      </c>
    </row>
    <row r="105" spans="2:34" ht="15" customHeight="1" x14ac:dyDescent="0.2">
      <c r="B105" s="477">
        <f>$S$9</f>
        <v>109</v>
      </c>
      <c r="C105" s="533">
        <f t="shared" si="34"/>
        <v>109</v>
      </c>
      <c r="D105" s="534">
        <f t="shared" si="35"/>
        <v>0.33000000000000007</v>
      </c>
      <c r="E105" s="535">
        <f t="shared" si="36"/>
        <v>11881</v>
      </c>
      <c r="F105" s="536">
        <f t="shared" si="37"/>
        <v>3920.7300000000005</v>
      </c>
      <c r="G105" s="536">
        <f t="shared" si="38"/>
        <v>1293.8409000000004</v>
      </c>
      <c r="H105" s="536">
        <f t="shared" si="39"/>
        <v>35.970000000000006</v>
      </c>
      <c r="I105" s="537">
        <f t="shared" si="40"/>
        <v>11.870100000000006</v>
      </c>
    </row>
    <row r="106" spans="2:34" ht="15" customHeight="1" x14ac:dyDescent="0.2">
      <c r="B106" s="446">
        <f>$B$10</f>
        <v>2.4</v>
      </c>
      <c r="C106" s="527">
        <f t="shared" ref="C106:C123" si="41">$A34*B106</f>
        <v>288</v>
      </c>
      <c r="D106" s="528">
        <f>$C$2-$A$23</f>
        <v>0.31000000000000005</v>
      </c>
      <c r="E106" s="519">
        <f t="shared" si="36"/>
        <v>5.76</v>
      </c>
      <c r="F106" s="520">
        <f t="shared" si="37"/>
        <v>214.27200000000002</v>
      </c>
      <c r="G106" s="520">
        <f t="shared" si="38"/>
        <v>7970.9184000000023</v>
      </c>
      <c r="H106" s="520">
        <f t="shared" si="39"/>
        <v>0.74400000000000011</v>
      </c>
      <c r="I106" s="521">
        <f t="shared" si="40"/>
        <v>27.676800000000011</v>
      </c>
    </row>
    <row r="107" spans="2:34" ht="15" customHeight="1" x14ac:dyDescent="0.2">
      <c r="B107" s="446">
        <f>$C$10</f>
        <v>2.8</v>
      </c>
      <c r="C107" s="527">
        <f t="shared" si="41"/>
        <v>280</v>
      </c>
      <c r="D107" s="528">
        <f t="shared" ref="D107:D123" si="42">$C$2-$A$23</f>
        <v>0.31000000000000005</v>
      </c>
      <c r="E107" s="529">
        <f t="shared" si="36"/>
        <v>7.839999999999999</v>
      </c>
      <c r="F107" s="530">
        <f t="shared" si="37"/>
        <v>243.04000000000002</v>
      </c>
      <c r="G107" s="530">
        <f t="shared" si="38"/>
        <v>7534.2400000000016</v>
      </c>
      <c r="H107" s="530">
        <f t="shared" si="39"/>
        <v>0.8680000000000001</v>
      </c>
      <c r="I107" s="531">
        <f t="shared" si="40"/>
        <v>26.908000000000008</v>
      </c>
    </row>
    <row r="108" spans="2:34" ht="15" customHeight="1" x14ac:dyDescent="0.2">
      <c r="B108" s="446">
        <f>$D$10</f>
        <v>3.8</v>
      </c>
      <c r="C108" s="527">
        <f t="shared" si="41"/>
        <v>273.59999999999997</v>
      </c>
      <c r="D108" s="528">
        <f t="shared" si="42"/>
        <v>0.31000000000000005</v>
      </c>
      <c r="E108" s="529">
        <f t="shared" si="36"/>
        <v>14.44</v>
      </c>
      <c r="F108" s="530">
        <f t="shared" si="37"/>
        <v>322.30079999999998</v>
      </c>
      <c r="G108" s="530">
        <f t="shared" si="38"/>
        <v>7193.7538560000003</v>
      </c>
      <c r="H108" s="530">
        <f t="shared" si="39"/>
        <v>1.1780000000000002</v>
      </c>
      <c r="I108" s="531">
        <f t="shared" si="40"/>
        <v>26.292960000000004</v>
      </c>
    </row>
    <row r="109" spans="2:34" ht="15" customHeight="1" x14ac:dyDescent="0.2">
      <c r="B109" s="446">
        <f>$E$10</f>
        <v>5.5</v>
      </c>
      <c r="C109" s="527">
        <f t="shared" si="41"/>
        <v>264</v>
      </c>
      <c r="D109" s="528">
        <f t="shared" si="42"/>
        <v>0.31000000000000005</v>
      </c>
      <c r="E109" s="529">
        <f t="shared" si="36"/>
        <v>30.25</v>
      </c>
      <c r="F109" s="530">
        <f t="shared" si="37"/>
        <v>450.12000000000006</v>
      </c>
      <c r="G109" s="530">
        <f t="shared" si="38"/>
        <v>6697.7856000000029</v>
      </c>
      <c r="H109" s="530">
        <f t="shared" si="39"/>
        <v>1.7050000000000003</v>
      </c>
      <c r="I109" s="531">
        <f t="shared" si="40"/>
        <v>25.370400000000007</v>
      </c>
    </row>
    <row r="110" spans="2:34" ht="15" customHeight="1" x14ac:dyDescent="0.2">
      <c r="B110" s="446">
        <f>$F$10</f>
        <v>7.1</v>
      </c>
      <c r="C110" s="527">
        <f t="shared" si="41"/>
        <v>255.6</v>
      </c>
      <c r="D110" s="528">
        <f t="shared" si="42"/>
        <v>0.31000000000000005</v>
      </c>
      <c r="E110" s="529">
        <f t="shared" si="36"/>
        <v>50.41</v>
      </c>
      <c r="F110" s="530">
        <f t="shared" si="37"/>
        <v>562.57560000000001</v>
      </c>
      <c r="G110" s="530">
        <f t="shared" si="38"/>
        <v>6278.3436960000026</v>
      </c>
      <c r="H110" s="530">
        <f t="shared" si="39"/>
        <v>2.2010000000000001</v>
      </c>
      <c r="I110" s="531">
        <f t="shared" si="40"/>
        <v>24.563160000000007</v>
      </c>
    </row>
    <row r="111" spans="2:34" ht="15" customHeight="1" x14ac:dyDescent="0.2">
      <c r="B111" s="446">
        <f>$G$10</f>
        <v>10</v>
      </c>
      <c r="C111" s="527">
        <f t="shared" si="41"/>
        <v>240</v>
      </c>
      <c r="D111" s="528">
        <f t="shared" si="42"/>
        <v>0.31000000000000005</v>
      </c>
      <c r="E111" s="529">
        <f t="shared" si="36"/>
        <v>100</v>
      </c>
      <c r="F111" s="530">
        <f t="shared" si="37"/>
        <v>744.00000000000011</v>
      </c>
      <c r="G111" s="530">
        <f t="shared" si="38"/>
        <v>5535.3600000000006</v>
      </c>
      <c r="H111" s="530">
        <f t="shared" si="39"/>
        <v>3.1000000000000005</v>
      </c>
      <c r="I111" s="531">
        <f t="shared" si="40"/>
        <v>23.064000000000007</v>
      </c>
    </row>
    <row r="112" spans="2:34" ht="15" customHeight="1" x14ac:dyDescent="0.2">
      <c r="B112" s="446">
        <f>$H$10</f>
        <v>11</v>
      </c>
      <c r="C112" s="527">
        <f t="shared" si="41"/>
        <v>220</v>
      </c>
      <c r="D112" s="528">
        <f t="shared" si="42"/>
        <v>0.31000000000000005</v>
      </c>
      <c r="E112" s="529">
        <f t="shared" si="36"/>
        <v>121</v>
      </c>
      <c r="F112" s="530">
        <f t="shared" si="37"/>
        <v>750.20000000000016</v>
      </c>
      <c r="G112" s="530">
        <f t="shared" si="38"/>
        <v>4651.2400000000025</v>
      </c>
      <c r="H112" s="530">
        <f t="shared" si="39"/>
        <v>3.4100000000000006</v>
      </c>
      <c r="I112" s="531">
        <f t="shared" si="40"/>
        <v>21.142000000000007</v>
      </c>
    </row>
    <row r="113" spans="2:9" ht="15" customHeight="1" x14ac:dyDescent="0.2">
      <c r="B113" s="446">
        <f>$I$10</f>
        <v>14</v>
      </c>
      <c r="C113" s="527">
        <f t="shared" si="41"/>
        <v>224</v>
      </c>
      <c r="D113" s="528">
        <f t="shared" si="42"/>
        <v>0.31000000000000005</v>
      </c>
      <c r="E113" s="529">
        <f t="shared" si="36"/>
        <v>196</v>
      </c>
      <c r="F113" s="530">
        <f t="shared" si="37"/>
        <v>972.1600000000002</v>
      </c>
      <c r="G113" s="530">
        <f t="shared" si="38"/>
        <v>4821.9136000000017</v>
      </c>
      <c r="H113" s="530">
        <f t="shared" si="39"/>
        <v>4.3400000000000007</v>
      </c>
      <c r="I113" s="531">
        <f t="shared" si="40"/>
        <v>21.526400000000006</v>
      </c>
    </row>
    <row r="114" spans="2:9" ht="15" customHeight="1" x14ac:dyDescent="0.2">
      <c r="B114" s="446">
        <f>$J$10</f>
        <v>18</v>
      </c>
      <c r="C114" s="527">
        <f t="shared" si="41"/>
        <v>216</v>
      </c>
      <c r="D114" s="528">
        <f t="shared" si="42"/>
        <v>0.31000000000000005</v>
      </c>
      <c r="E114" s="529">
        <f t="shared" si="36"/>
        <v>324</v>
      </c>
      <c r="F114" s="530">
        <f t="shared" si="37"/>
        <v>1205.2800000000002</v>
      </c>
      <c r="G114" s="530">
        <f t="shared" si="38"/>
        <v>4483.6416000000008</v>
      </c>
      <c r="H114" s="530">
        <f t="shared" si="39"/>
        <v>5.580000000000001</v>
      </c>
      <c r="I114" s="531">
        <f t="shared" si="40"/>
        <v>20.757600000000007</v>
      </c>
    </row>
    <row r="115" spans="2:9" ht="15" customHeight="1" x14ac:dyDescent="0.2">
      <c r="B115" s="446">
        <f>$K$10</f>
        <v>20</v>
      </c>
      <c r="C115" s="527">
        <f t="shared" si="41"/>
        <v>200</v>
      </c>
      <c r="D115" s="528">
        <f t="shared" si="42"/>
        <v>0.31000000000000005</v>
      </c>
      <c r="E115" s="529">
        <f t="shared" si="36"/>
        <v>400</v>
      </c>
      <c r="F115" s="530">
        <f t="shared" si="37"/>
        <v>1240.0000000000002</v>
      </c>
      <c r="G115" s="530">
        <f t="shared" si="38"/>
        <v>3844.0000000000018</v>
      </c>
      <c r="H115" s="530">
        <f t="shared" si="39"/>
        <v>6.2000000000000011</v>
      </c>
      <c r="I115" s="531">
        <f t="shared" si="40"/>
        <v>19.220000000000006</v>
      </c>
    </row>
    <row r="116" spans="2:9" ht="15" customHeight="1" x14ac:dyDescent="0.2">
      <c r="B116" s="446">
        <f>$L$10</f>
        <v>24</v>
      </c>
      <c r="C116" s="527">
        <f t="shared" si="41"/>
        <v>192</v>
      </c>
      <c r="D116" s="528">
        <f t="shared" si="42"/>
        <v>0.31000000000000005</v>
      </c>
      <c r="E116" s="529">
        <f t="shared" si="36"/>
        <v>576</v>
      </c>
      <c r="F116" s="530">
        <f t="shared" si="37"/>
        <v>1428.4800000000002</v>
      </c>
      <c r="G116" s="530">
        <f t="shared" si="38"/>
        <v>3542.6304000000014</v>
      </c>
      <c r="H116" s="530">
        <f t="shared" si="39"/>
        <v>7.4400000000000013</v>
      </c>
      <c r="I116" s="531">
        <f t="shared" si="40"/>
        <v>18.451200000000007</v>
      </c>
    </row>
    <row r="117" spans="2:9" ht="15" customHeight="1" x14ac:dyDescent="0.2">
      <c r="B117" s="446">
        <f>$M$10</f>
        <v>27</v>
      </c>
      <c r="C117" s="527">
        <f t="shared" si="41"/>
        <v>189</v>
      </c>
      <c r="D117" s="528">
        <f t="shared" si="42"/>
        <v>0.31000000000000005</v>
      </c>
      <c r="E117" s="529">
        <f t="shared" si="36"/>
        <v>729</v>
      </c>
      <c r="F117" s="530">
        <f t="shared" si="37"/>
        <v>1581.9300000000003</v>
      </c>
      <c r="G117" s="530">
        <f t="shared" si="38"/>
        <v>3432.7881000000011</v>
      </c>
      <c r="H117" s="530">
        <f t="shared" si="39"/>
        <v>8.370000000000001</v>
      </c>
      <c r="I117" s="531">
        <f t="shared" si="40"/>
        <v>18.162900000000008</v>
      </c>
    </row>
    <row r="118" spans="2:9" ht="15" customHeight="1" x14ac:dyDescent="0.2">
      <c r="B118" s="446">
        <f>$N$10</f>
        <v>31</v>
      </c>
      <c r="C118" s="527">
        <f t="shared" si="41"/>
        <v>186</v>
      </c>
      <c r="D118" s="528">
        <f t="shared" si="42"/>
        <v>0.31000000000000005</v>
      </c>
      <c r="E118" s="529">
        <f t="shared" si="36"/>
        <v>961</v>
      </c>
      <c r="F118" s="530">
        <f t="shared" si="37"/>
        <v>1787.4600000000003</v>
      </c>
      <c r="G118" s="530">
        <f t="shared" si="38"/>
        <v>3324.6756000000014</v>
      </c>
      <c r="H118" s="530">
        <f t="shared" si="39"/>
        <v>9.6100000000000012</v>
      </c>
      <c r="I118" s="531">
        <f t="shared" si="40"/>
        <v>17.874600000000004</v>
      </c>
    </row>
    <row r="119" spans="2:9" ht="15" customHeight="1" x14ac:dyDescent="0.2">
      <c r="B119" s="446">
        <f>$O$10</f>
        <v>35</v>
      </c>
      <c r="C119" s="527">
        <f t="shared" si="41"/>
        <v>175</v>
      </c>
      <c r="D119" s="528">
        <f t="shared" si="42"/>
        <v>0.31000000000000005</v>
      </c>
      <c r="E119" s="529">
        <f t="shared" si="36"/>
        <v>1225</v>
      </c>
      <c r="F119" s="530">
        <f t="shared" si="37"/>
        <v>1898.7500000000002</v>
      </c>
      <c r="G119" s="530">
        <f t="shared" si="38"/>
        <v>2943.0625000000009</v>
      </c>
      <c r="H119" s="530">
        <f t="shared" si="39"/>
        <v>10.850000000000001</v>
      </c>
      <c r="I119" s="531">
        <f t="shared" si="40"/>
        <v>16.817500000000006</v>
      </c>
    </row>
    <row r="120" spans="2:9" ht="15" customHeight="1" x14ac:dyDescent="0.2">
      <c r="B120" s="446">
        <f>$P$10</f>
        <v>41</v>
      </c>
      <c r="C120" s="527">
        <f t="shared" si="41"/>
        <v>164</v>
      </c>
      <c r="D120" s="528">
        <f t="shared" si="42"/>
        <v>0.31000000000000005</v>
      </c>
      <c r="E120" s="529">
        <f t="shared" si="36"/>
        <v>1681</v>
      </c>
      <c r="F120" s="530">
        <f t="shared" si="37"/>
        <v>2084.4400000000005</v>
      </c>
      <c r="G120" s="530">
        <f t="shared" si="38"/>
        <v>2584.7056000000011</v>
      </c>
      <c r="H120" s="530">
        <f t="shared" si="39"/>
        <v>12.710000000000003</v>
      </c>
      <c r="I120" s="531">
        <f t="shared" si="40"/>
        <v>15.760400000000006</v>
      </c>
    </row>
    <row r="121" spans="2:9" ht="15" customHeight="1" x14ac:dyDescent="0.2">
      <c r="B121" s="446">
        <f>$Q$10</f>
        <v>52</v>
      </c>
      <c r="C121" s="527">
        <f t="shared" si="41"/>
        <v>156</v>
      </c>
      <c r="D121" s="528">
        <f t="shared" si="42"/>
        <v>0.31000000000000005</v>
      </c>
      <c r="E121" s="529">
        <f t="shared" si="36"/>
        <v>2704</v>
      </c>
      <c r="F121" s="530">
        <f t="shared" si="37"/>
        <v>2514.7200000000007</v>
      </c>
      <c r="G121" s="530">
        <f t="shared" si="38"/>
        <v>2338.6896000000006</v>
      </c>
      <c r="H121" s="530">
        <f t="shared" si="39"/>
        <v>16.120000000000005</v>
      </c>
      <c r="I121" s="531">
        <f t="shared" si="40"/>
        <v>14.991600000000005</v>
      </c>
    </row>
    <row r="122" spans="2:9" ht="15" customHeight="1" x14ac:dyDescent="0.2">
      <c r="B122" s="446">
        <f>$R$10</f>
        <v>69</v>
      </c>
      <c r="C122" s="527">
        <f t="shared" si="41"/>
        <v>138</v>
      </c>
      <c r="D122" s="528">
        <f t="shared" si="42"/>
        <v>0.31000000000000005</v>
      </c>
      <c r="E122" s="529">
        <f t="shared" si="36"/>
        <v>4761</v>
      </c>
      <c r="F122" s="530">
        <f t="shared" si="37"/>
        <v>2951.8200000000006</v>
      </c>
      <c r="G122" s="530">
        <f t="shared" si="38"/>
        <v>1830.1284000000007</v>
      </c>
      <c r="H122" s="530">
        <f t="shared" si="39"/>
        <v>21.390000000000004</v>
      </c>
      <c r="I122" s="531">
        <f t="shared" si="40"/>
        <v>13.261800000000004</v>
      </c>
    </row>
    <row r="123" spans="2:9" ht="15" customHeight="1" x14ac:dyDescent="0.2">
      <c r="B123" s="446">
        <f>$S$10</f>
        <v>106</v>
      </c>
      <c r="C123" s="527">
        <f t="shared" si="41"/>
        <v>106</v>
      </c>
      <c r="D123" s="528">
        <f t="shared" si="42"/>
        <v>0.31000000000000005</v>
      </c>
      <c r="E123" s="535">
        <f t="shared" si="36"/>
        <v>11236</v>
      </c>
      <c r="F123" s="536">
        <f t="shared" si="37"/>
        <v>3483.1600000000008</v>
      </c>
      <c r="G123" s="536">
        <f t="shared" si="38"/>
        <v>1079.7796000000005</v>
      </c>
      <c r="H123" s="536">
        <f t="shared" si="39"/>
        <v>32.860000000000007</v>
      </c>
      <c r="I123" s="537">
        <f t="shared" si="40"/>
        <v>10.186600000000004</v>
      </c>
    </row>
    <row r="124" spans="2:9" ht="15" customHeight="1" x14ac:dyDescent="0.2">
      <c r="B124" s="442">
        <f>$B$11</f>
        <v>2.4</v>
      </c>
      <c r="C124" s="517">
        <f t="shared" ref="C124:C141" si="43">$A34*B124</f>
        <v>288</v>
      </c>
      <c r="D124" s="518">
        <f>$C$2-$A$24</f>
        <v>0.30000000000000004</v>
      </c>
      <c r="E124" s="519">
        <f t="shared" si="36"/>
        <v>5.76</v>
      </c>
      <c r="F124" s="520">
        <f t="shared" si="37"/>
        <v>207.36</v>
      </c>
      <c r="G124" s="520">
        <f t="shared" si="38"/>
        <v>7464.9600000000009</v>
      </c>
      <c r="H124" s="520">
        <f t="shared" si="39"/>
        <v>0.72000000000000008</v>
      </c>
      <c r="I124" s="521">
        <f t="shared" si="40"/>
        <v>25.920000000000009</v>
      </c>
    </row>
    <row r="125" spans="2:9" ht="15" customHeight="1" x14ac:dyDescent="0.2">
      <c r="B125" s="446">
        <f>$C$11</f>
        <v>2.8</v>
      </c>
      <c r="C125" s="527">
        <f t="shared" si="43"/>
        <v>280</v>
      </c>
      <c r="D125" s="528">
        <f t="shared" ref="D125:D141" si="44">$C$2-$A$24</f>
        <v>0.30000000000000004</v>
      </c>
      <c r="E125" s="529">
        <f t="shared" si="36"/>
        <v>7.839999999999999</v>
      </c>
      <c r="F125" s="530">
        <f t="shared" si="37"/>
        <v>235.20000000000002</v>
      </c>
      <c r="G125" s="530">
        <f t="shared" si="38"/>
        <v>7056.0000000000027</v>
      </c>
      <c r="H125" s="530">
        <f t="shared" si="39"/>
        <v>0.84000000000000008</v>
      </c>
      <c r="I125" s="531">
        <f t="shared" si="40"/>
        <v>25.200000000000006</v>
      </c>
    </row>
    <row r="126" spans="2:9" ht="15" customHeight="1" x14ac:dyDescent="0.2">
      <c r="B126" s="446">
        <f>$D$11</f>
        <v>3.8</v>
      </c>
      <c r="C126" s="527">
        <f t="shared" si="43"/>
        <v>273.59999999999997</v>
      </c>
      <c r="D126" s="528">
        <f t="shared" si="44"/>
        <v>0.30000000000000004</v>
      </c>
      <c r="E126" s="529">
        <f t="shared" si="36"/>
        <v>14.44</v>
      </c>
      <c r="F126" s="530">
        <f t="shared" si="37"/>
        <v>311.904</v>
      </c>
      <c r="G126" s="530">
        <f t="shared" si="38"/>
        <v>6737.1264000000001</v>
      </c>
      <c r="H126" s="530">
        <f t="shared" si="39"/>
        <v>1.1400000000000001</v>
      </c>
      <c r="I126" s="531">
        <f t="shared" si="40"/>
        <v>24.624000000000002</v>
      </c>
    </row>
    <row r="127" spans="2:9" ht="15" customHeight="1" x14ac:dyDescent="0.2">
      <c r="B127" s="446">
        <f>$E$11</f>
        <v>5.4</v>
      </c>
      <c r="C127" s="527">
        <f t="shared" si="43"/>
        <v>259.20000000000005</v>
      </c>
      <c r="D127" s="528">
        <f t="shared" si="44"/>
        <v>0.30000000000000004</v>
      </c>
      <c r="E127" s="529">
        <f t="shared" si="36"/>
        <v>29.160000000000004</v>
      </c>
      <c r="F127" s="530">
        <f t="shared" si="37"/>
        <v>419.90400000000017</v>
      </c>
      <c r="G127" s="530">
        <f t="shared" si="38"/>
        <v>6046.6176000000032</v>
      </c>
      <c r="H127" s="530">
        <f t="shared" si="39"/>
        <v>1.6200000000000003</v>
      </c>
      <c r="I127" s="531">
        <f t="shared" si="40"/>
        <v>23.32800000000001</v>
      </c>
    </row>
    <row r="128" spans="2:9" ht="15" customHeight="1" x14ac:dyDescent="0.2">
      <c r="B128" s="446">
        <f>$F$11</f>
        <v>7</v>
      </c>
      <c r="C128" s="527">
        <f t="shared" si="43"/>
        <v>252</v>
      </c>
      <c r="D128" s="528">
        <f t="shared" si="44"/>
        <v>0.30000000000000004</v>
      </c>
      <c r="E128" s="529">
        <f t="shared" si="36"/>
        <v>49</v>
      </c>
      <c r="F128" s="530">
        <f t="shared" si="37"/>
        <v>529.20000000000016</v>
      </c>
      <c r="G128" s="530">
        <f t="shared" si="38"/>
        <v>5715.3600000000015</v>
      </c>
      <c r="H128" s="530">
        <f t="shared" si="39"/>
        <v>2.1000000000000005</v>
      </c>
      <c r="I128" s="531">
        <f t="shared" si="40"/>
        <v>22.680000000000007</v>
      </c>
    </row>
    <row r="129" spans="2:9" ht="15" customHeight="1" x14ac:dyDescent="0.2">
      <c r="B129" s="446">
        <f>$G$11</f>
        <v>10</v>
      </c>
      <c r="C129" s="527">
        <f t="shared" si="43"/>
        <v>240</v>
      </c>
      <c r="D129" s="528">
        <f t="shared" si="44"/>
        <v>0.30000000000000004</v>
      </c>
      <c r="E129" s="529">
        <f t="shared" si="36"/>
        <v>100</v>
      </c>
      <c r="F129" s="530">
        <f t="shared" si="37"/>
        <v>720.00000000000011</v>
      </c>
      <c r="G129" s="530">
        <f t="shared" si="38"/>
        <v>5184.0000000000018</v>
      </c>
      <c r="H129" s="530">
        <f t="shared" si="39"/>
        <v>3.0000000000000004</v>
      </c>
      <c r="I129" s="531">
        <f t="shared" si="40"/>
        <v>21.600000000000005</v>
      </c>
    </row>
    <row r="130" spans="2:9" ht="15" customHeight="1" x14ac:dyDescent="0.2">
      <c r="B130" s="446">
        <f>$H$11</f>
        <v>11</v>
      </c>
      <c r="C130" s="527">
        <f t="shared" si="43"/>
        <v>220</v>
      </c>
      <c r="D130" s="528">
        <f t="shared" si="44"/>
        <v>0.30000000000000004</v>
      </c>
      <c r="E130" s="529">
        <f t="shared" si="36"/>
        <v>121</v>
      </c>
      <c r="F130" s="530">
        <f t="shared" si="37"/>
        <v>726.00000000000011</v>
      </c>
      <c r="G130" s="530">
        <f t="shared" si="38"/>
        <v>4356.0000000000018</v>
      </c>
      <c r="H130" s="530">
        <f t="shared" si="39"/>
        <v>3.3000000000000007</v>
      </c>
      <c r="I130" s="531">
        <f t="shared" si="40"/>
        <v>19.800000000000004</v>
      </c>
    </row>
    <row r="131" spans="2:9" ht="15" customHeight="1" x14ac:dyDescent="0.2">
      <c r="B131" s="446">
        <f>$I$11</f>
        <v>14</v>
      </c>
      <c r="C131" s="527">
        <f t="shared" si="43"/>
        <v>224</v>
      </c>
      <c r="D131" s="528">
        <f t="shared" si="44"/>
        <v>0.30000000000000004</v>
      </c>
      <c r="E131" s="529">
        <f t="shared" si="36"/>
        <v>196</v>
      </c>
      <c r="F131" s="530">
        <f t="shared" si="37"/>
        <v>940.80000000000018</v>
      </c>
      <c r="G131" s="530">
        <f t="shared" si="38"/>
        <v>4515.840000000002</v>
      </c>
      <c r="H131" s="530">
        <f t="shared" si="39"/>
        <v>4.2000000000000011</v>
      </c>
      <c r="I131" s="531">
        <f t="shared" si="40"/>
        <v>20.160000000000004</v>
      </c>
    </row>
    <row r="132" spans="2:9" ht="15" customHeight="1" x14ac:dyDescent="0.2">
      <c r="B132" s="446">
        <f>$J$11</f>
        <v>18</v>
      </c>
      <c r="C132" s="527">
        <f t="shared" si="43"/>
        <v>216</v>
      </c>
      <c r="D132" s="528">
        <f t="shared" si="44"/>
        <v>0.30000000000000004</v>
      </c>
      <c r="E132" s="529">
        <f t="shared" si="36"/>
        <v>324</v>
      </c>
      <c r="F132" s="530">
        <f t="shared" si="37"/>
        <v>1166.4000000000001</v>
      </c>
      <c r="G132" s="530">
        <f t="shared" si="38"/>
        <v>4199.0400000000018</v>
      </c>
      <c r="H132" s="530">
        <f t="shared" si="39"/>
        <v>5.4</v>
      </c>
      <c r="I132" s="531">
        <f t="shared" si="40"/>
        <v>19.440000000000005</v>
      </c>
    </row>
    <row r="133" spans="2:9" ht="15" customHeight="1" x14ac:dyDescent="0.2">
      <c r="B133" s="446">
        <f>$K$11</f>
        <v>20</v>
      </c>
      <c r="C133" s="527">
        <f t="shared" si="43"/>
        <v>200</v>
      </c>
      <c r="D133" s="528">
        <f t="shared" si="44"/>
        <v>0.30000000000000004</v>
      </c>
      <c r="E133" s="529">
        <f t="shared" si="36"/>
        <v>400</v>
      </c>
      <c r="F133" s="530">
        <f t="shared" si="37"/>
        <v>1200.0000000000002</v>
      </c>
      <c r="G133" s="530">
        <f t="shared" si="38"/>
        <v>3600.0000000000009</v>
      </c>
      <c r="H133" s="530">
        <f t="shared" si="39"/>
        <v>6.0000000000000009</v>
      </c>
      <c r="I133" s="531">
        <f t="shared" si="40"/>
        <v>18.000000000000004</v>
      </c>
    </row>
    <row r="134" spans="2:9" ht="15" customHeight="1" x14ac:dyDescent="0.2">
      <c r="B134" s="446">
        <f>$L$11</f>
        <v>24</v>
      </c>
      <c r="C134" s="527">
        <f t="shared" si="43"/>
        <v>192</v>
      </c>
      <c r="D134" s="528">
        <f t="shared" si="44"/>
        <v>0.30000000000000004</v>
      </c>
      <c r="E134" s="529">
        <f t="shared" si="36"/>
        <v>576</v>
      </c>
      <c r="F134" s="530">
        <f t="shared" si="37"/>
        <v>1382.4</v>
      </c>
      <c r="G134" s="530">
        <f t="shared" si="38"/>
        <v>3317.7600000000011</v>
      </c>
      <c r="H134" s="530">
        <f t="shared" si="39"/>
        <v>7.2000000000000011</v>
      </c>
      <c r="I134" s="531">
        <f t="shared" si="40"/>
        <v>17.280000000000005</v>
      </c>
    </row>
    <row r="135" spans="2:9" ht="15" customHeight="1" x14ac:dyDescent="0.2">
      <c r="B135" s="446">
        <f>$M$11</f>
        <v>27</v>
      </c>
      <c r="C135" s="527">
        <f t="shared" si="43"/>
        <v>189</v>
      </c>
      <c r="D135" s="528">
        <f t="shared" si="44"/>
        <v>0.30000000000000004</v>
      </c>
      <c r="E135" s="529">
        <f t="shared" si="36"/>
        <v>729</v>
      </c>
      <c r="F135" s="530">
        <f t="shared" si="37"/>
        <v>1530.9000000000003</v>
      </c>
      <c r="G135" s="530">
        <f t="shared" si="38"/>
        <v>3214.8900000000012</v>
      </c>
      <c r="H135" s="530">
        <f t="shared" si="39"/>
        <v>8.1000000000000014</v>
      </c>
      <c r="I135" s="531">
        <f t="shared" si="40"/>
        <v>17.010000000000005</v>
      </c>
    </row>
    <row r="136" spans="2:9" ht="15" customHeight="1" x14ac:dyDescent="0.2">
      <c r="B136" s="446">
        <f>$N$11</f>
        <v>30</v>
      </c>
      <c r="C136" s="527">
        <f t="shared" si="43"/>
        <v>180</v>
      </c>
      <c r="D136" s="528">
        <f t="shared" si="44"/>
        <v>0.30000000000000004</v>
      </c>
      <c r="E136" s="529">
        <f t="shared" si="36"/>
        <v>900</v>
      </c>
      <c r="F136" s="530">
        <f t="shared" si="37"/>
        <v>1620.0000000000002</v>
      </c>
      <c r="G136" s="530">
        <f t="shared" si="38"/>
        <v>2916.0000000000009</v>
      </c>
      <c r="H136" s="530">
        <f t="shared" si="39"/>
        <v>9.0000000000000018</v>
      </c>
      <c r="I136" s="531">
        <f t="shared" si="40"/>
        <v>16.200000000000003</v>
      </c>
    </row>
    <row r="137" spans="2:9" ht="15" customHeight="1" x14ac:dyDescent="0.2">
      <c r="B137" s="446">
        <f>$O$11</f>
        <v>35</v>
      </c>
      <c r="C137" s="527">
        <f t="shared" si="43"/>
        <v>175</v>
      </c>
      <c r="D137" s="528">
        <f t="shared" si="44"/>
        <v>0.30000000000000004</v>
      </c>
      <c r="E137" s="529">
        <f t="shared" si="36"/>
        <v>1225</v>
      </c>
      <c r="F137" s="530">
        <f t="shared" si="37"/>
        <v>1837.5000000000002</v>
      </c>
      <c r="G137" s="530">
        <f t="shared" si="38"/>
        <v>2756.2500000000009</v>
      </c>
      <c r="H137" s="530">
        <f t="shared" si="39"/>
        <v>10.500000000000002</v>
      </c>
      <c r="I137" s="531">
        <f t="shared" si="40"/>
        <v>15.750000000000004</v>
      </c>
    </row>
    <row r="138" spans="2:9" ht="15" customHeight="1" x14ac:dyDescent="0.2">
      <c r="B138" s="446">
        <f>$P$11</f>
        <v>41</v>
      </c>
      <c r="C138" s="527">
        <f t="shared" si="43"/>
        <v>164</v>
      </c>
      <c r="D138" s="528">
        <f t="shared" si="44"/>
        <v>0.30000000000000004</v>
      </c>
      <c r="E138" s="529">
        <f t="shared" si="36"/>
        <v>1681</v>
      </c>
      <c r="F138" s="530">
        <f t="shared" si="37"/>
        <v>2017.2000000000005</v>
      </c>
      <c r="G138" s="530">
        <f t="shared" si="38"/>
        <v>2420.6400000000008</v>
      </c>
      <c r="H138" s="530">
        <f t="shared" si="39"/>
        <v>12.300000000000002</v>
      </c>
      <c r="I138" s="531">
        <f t="shared" si="40"/>
        <v>14.760000000000003</v>
      </c>
    </row>
    <row r="139" spans="2:9" ht="15" customHeight="1" x14ac:dyDescent="0.2">
      <c r="B139" s="446">
        <f>$Q$11</f>
        <v>51</v>
      </c>
      <c r="C139" s="527">
        <f t="shared" si="43"/>
        <v>153</v>
      </c>
      <c r="D139" s="528">
        <f t="shared" si="44"/>
        <v>0.30000000000000004</v>
      </c>
      <c r="E139" s="529">
        <f t="shared" si="36"/>
        <v>2601</v>
      </c>
      <c r="F139" s="530">
        <f t="shared" si="37"/>
        <v>2340.9000000000005</v>
      </c>
      <c r="G139" s="530">
        <f t="shared" si="38"/>
        <v>2106.8100000000004</v>
      </c>
      <c r="H139" s="530">
        <f t="shared" si="39"/>
        <v>15.300000000000002</v>
      </c>
      <c r="I139" s="531">
        <f t="shared" si="40"/>
        <v>13.770000000000003</v>
      </c>
    </row>
    <row r="140" spans="2:9" ht="15" customHeight="1" x14ac:dyDescent="0.2">
      <c r="B140" s="446">
        <f>$R$11</f>
        <v>68</v>
      </c>
      <c r="C140" s="527">
        <f t="shared" si="43"/>
        <v>136</v>
      </c>
      <c r="D140" s="528">
        <f t="shared" si="44"/>
        <v>0.30000000000000004</v>
      </c>
      <c r="E140" s="529">
        <f t="shared" si="36"/>
        <v>4624</v>
      </c>
      <c r="F140" s="530">
        <f t="shared" si="37"/>
        <v>2774.4</v>
      </c>
      <c r="G140" s="530">
        <f t="shared" si="38"/>
        <v>1664.6400000000003</v>
      </c>
      <c r="H140" s="530">
        <f t="shared" si="39"/>
        <v>20.400000000000002</v>
      </c>
      <c r="I140" s="531">
        <f t="shared" si="40"/>
        <v>12.240000000000004</v>
      </c>
    </row>
    <row r="141" spans="2:9" ht="15" customHeight="1" x14ac:dyDescent="0.2">
      <c r="B141" s="477">
        <f>$S$11</f>
        <v>104</v>
      </c>
      <c r="C141" s="533">
        <f t="shared" si="43"/>
        <v>104</v>
      </c>
      <c r="D141" s="534">
        <f t="shared" si="44"/>
        <v>0.30000000000000004</v>
      </c>
      <c r="E141" s="535">
        <f t="shared" si="36"/>
        <v>10816</v>
      </c>
      <c r="F141" s="536">
        <f t="shared" si="37"/>
        <v>3244.8</v>
      </c>
      <c r="G141" s="536">
        <f t="shared" si="38"/>
        <v>973.44000000000017</v>
      </c>
      <c r="H141" s="536">
        <f t="shared" si="39"/>
        <v>31.200000000000003</v>
      </c>
      <c r="I141" s="537">
        <f t="shared" si="40"/>
        <v>9.360000000000003</v>
      </c>
    </row>
    <row r="142" spans="2:9" ht="15" customHeight="1" x14ac:dyDescent="0.2">
      <c r="B142" s="446">
        <f>$B$12</f>
        <v>2.2999999999999998</v>
      </c>
      <c r="C142" s="527">
        <f t="shared" ref="C142:C159" si="45">$A34*B142</f>
        <v>276</v>
      </c>
      <c r="D142" s="528">
        <f>$C$2-$A$25</f>
        <v>0.28000000000000003</v>
      </c>
      <c r="E142" s="519">
        <f t="shared" si="36"/>
        <v>5.2899999999999991</v>
      </c>
      <c r="F142" s="520">
        <f t="shared" si="37"/>
        <v>177.744</v>
      </c>
      <c r="G142" s="520">
        <f t="shared" si="38"/>
        <v>5972.1984000000002</v>
      </c>
      <c r="H142" s="520">
        <f t="shared" si="39"/>
        <v>0.64400000000000002</v>
      </c>
      <c r="I142" s="521">
        <f t="shared" si="40"/>
        <v>21.638400000000004</v>
      </c>
    </row>
    <row r="143" spans="2:9" ht="15" customHeight="1" x14ac:dyDescent="0.2">
      <c r="B143" s="446">
        <f>$C$12</f>
        <v>2.7</v>
      </c>
      <c r="C143" s="527">
        <f t="shared" si="45"/>
        <v>270</v>
      </c>
      <c r="D143" s="528">
        <f t="shared" ref="D143:D159" si="46">$C$2-$A$25</f>
        <v>0.28000000000000003</v>
      </c>
      <c r="E143" s="529">
        <f t="shared" si="36"/>
        <v>7.2900000000000009</v>
      </c>
      <c r="F143" s="530">
        <f t="shared" si="37"/>
        <v>204.12000000000003</v>
      </c>
      <c r="G143" s="530">
        <f t="shared" si="38"/>
        <v>5715.3600000000015</v>
      </c>
      <c r="H143" s="530">
        <f t="shared" si="39"/>
        <v>0.75600000000000012</v>
      </c>
      <c r="I143" s="531">
        <f t="shared" si="40"/>
        <v>21.168000000000003</v>
      </c>
    </row>
    <row r="144" spans="2:9" ht="15" customHeight="1" x14ac:dyDescent="0.2">
      <c r="B144" s="446">
        <f>$D$12</f>
        <v>3.7</v>
      </c>
      <c r="C144" s="527">
        <f t="shared" si="45"/>
        <v>266.40000000000003</v>
      </c>
      <c r="D144" s="528">
        <f t="shared" si="46"/>
        <v>0.28000000000000003</v>
      </c>
      <c r="E144" s="529">
        <f t="shared" si="36"/>
        <v>13.690000000000001</v>
      </c>
      <c r="F144" s="530">
        <f t="shared" si="37"/>
        <v>275.99040000000008</v>
      </c>
      <c r="G144" s="530">
        <f t="shared" si="38"/>
        <v>5563.9664640000019</v>
      </c>
      <c r="H144" s="530">
        <f t="shared" si="39"/>
        <v>1.0360000000000003</v>
      </c>
      <c r="I144" s="531">
        <f t="shared" si="40"/>
        <v>20.885760000000005</v>
      </c>
    </row>
    <row r="145" spans="2:9" ht="15" customHeight="1" x14ac:dyDescent="0.2">
      <c r="B145" s="446">
        <f>$E$12</f>
        <v>5.3</v>
      </c>
      <c r="C145" s="527">
        <f t="shared" si="45"/>
        <v>254.39999999999998</v>
      </c>
      <c r="D145" s="528">
        <f t="shared" si="46"/>
        <v>0.28000000000000003</v>
      </c>
      <c r="E145" s="529">
        <f t="shared" si="36"/>
        <v>28.09</v>
      </c>
      <c r="F145" s="530">
        <f t="shared" si="37"/>
        <v>377.52959999999996</v>
      </c>
      <c r="G145" s="530">
        <f t="shared" si="38"/>
        <v>5073.997824</v>
      </c>
      <c r="H145" s="530">
        <f t="shared" si="39"/>
        <v>1.484</v>
      </c>
      <c r="I145" s="531">
        <f t="shared" si="40"/>
        <v>19.944960000000002</v>
      </c>
    </row>
    <row r="146" spans="2:9" ht="15" customHeight="1" x14ac:dyDescent="0.2">
      <c r="B146" s="446">
        <f>$F$12</f>
        <v>6.8</v>
      </c>
      <c r="C146" s="527">
        <f t="shared" si="45"/>
        <v>244.79999999999998</v>
      </c>
      <c r="D146" s="528">
        <f t="shared" si="46"/>
        <v>0.28000000000000003</v>
      </c>
      <c r="E146" s="529">
        <f t="shared" si="36"/>
        <v>46.239999999999995</v>
      </c>
      <c r="F146" s="530">
        <f t="shared" si="37"/>
        <v>466.0992</v>
      </c>
      <c r="G146" s="530">
        <f t="shared" si="38"/>
        <v>4698.2799359999999</v>
      </c>
      <c r="H146" s="530">
        <f t="shared" si="39"/>
        <v>1.9040000000000001</v>
      </c>
      <c r="I146" s="531">
        <f t="shared" si="40"/>
        <v>19.192320000000002</v>
      </c>
    </row>
    <row r="147" spans="2:9" ht="15" customHeight="1" x14ac:dyDescent="0.2">
      <c r="B147" s="446">
        <f>$G$12</f>
        <v>9.8000000000000007</v>
      </c>
      <c r="C147" s="527">
        <f t="shared" si="45"/>
        <v>235.20000000000002</v>
      </c>
      <c r="D147" s="528">
        <f t="shared" si="46"/>
        <v>0.28000000000000003</v>
      </c>
      <c r="E147" s="529">
        <f t="shared" si="36"/>
        <v>96.04000000000002</v>
      </c>
      <c r="F147" s="530">
        <f t="shared" si="37"/>
        <v>645.38880000000017</v>
      </c>
      <c r="G147" s="530">
        <f t="shared" si="38"/>
        <v>4337.0127360000015</v>
      </c>
      <c r="H147" s="530">
        <f t="shared" si="39"/>
        <v>2.7440000000000007</v>
      </c>
      <c r="I147" s="531">
        <f t="shared" si="40"/>
        <v>18.439680000000003</v>
      </c>
    </row>
    <row r="148" spans="2:9" ht="15" customHeight="1" x14ac:dyDescent="0.2">
      <c r="B148" s="446">
        <f>$H$12</f>
        <v>11</v>
      </c>
      <c r="C148" s="527">
        <f t="shared" si="45"/>
        <v>220</v>
      </c>
      <c r="D148" s="528">
        <f t="shared" si="46"/>
        <v>0.28000000000000003</v>
      </c>
      <c r="E148" s="529">
        <f t="shared" si="36"/>
        <v>121</v>
      </c>
      <c r="F148" s="530">
        <f t="shared" si="37"/>
        <v>677.6</v>
      </c>
      <c r="G148" s="530">
        <f t="shared" si="38"/>
        <v>3794.5600000000009</v>
      </c>
      <c r="H148" s="530">
        <f t="shared" si="39"/>
        <v>3.08</v>
      </c>
      <c r="I148" s="531">
        <f t="shared" si="40"/>
        <v>17.248000000000001</v>
      </c>
    </row>
    <row r="149" spans="2:9" ht="15" customHeight="1" x14ac:dyDescent="0.2">
      <c r="B149" s="446">
        <f>$I$12</f>
        <v>14</v>
      </c>
      <c r="C149" s="527">
        <f t="shared" si="45"/>
        <v>224</v>
      </c>
      <c r="D149" s="528">
        <f t="shared" si="46"/>
        <v>0.28000000000000003</v>
      </c>
      <c r="E149" s="529">
        <f t="shared" si="36"/>
        <v>196</v>
      </c>
      <c r="F149" s="530">
        <f t="shared" si="37"/>
        <v>878.08</v>
      </c>
      <c r="G149" s="530">
        <f t="shared" si="38"/>
        <v>3933.7984000000006</v>
      </c>
      <c r="H149" s="530">
        <f t="shared" si="39"/>
        <v>3.9200000000000004</v>
      </c>
      <c r="I149" s="531">
        <f t="shared" si="40"/>
        <v>17.561600000000002</v>
      </c>
    </row>
    <row r="150" spans="2:9" ht="15" customHeight="1" x14ac:dyDescent="0.2">
      <c r="B150" s="446">
        <f>$J$12</f>
        <v>17</v>
      </c>
      <c r="C150" s="527">
        <f t="shared" si="45"/>
        <v>204</v>
      </c>
      <c r="D150" s="528">
        <f t="shared" si="46"/>
        <v>0.28000000000000003</v>
      </c>
      <c r="E150" s="529">
        <f t="shared" si="36"/>
        <v>289</v>
      </c>
      <c r="F150" s="530">
        <f t="shared" si="37"/>
        <v>971.04000000000019</v>
      </c>
      <c r="G150" s="530">
        <f t="shared" si="38"/>
        <v>3262.6944000000003</v>
      </c>
      <c r="H150" s="530">
        <f t="shared" si="39"/>
        <v>4.7600000000000007</v>
      </c>
      <c r="I150" s="531">
        <f t="shared" si="40"/>
        <v>15.993600000000002</v>
      </c>
    </row>
    <row r="151" spans="2:9" ht="15" customHeight="1" x14ac:dyDescent="0.2">
      <c r="B151" s="446">
        <f>$K$12</f>
        <v>20</v>
      </c>
      <c r="C151" s="527">
        <f t="shared" si="45"/>
        <v>200</v>
      </c>
      <c r="D151" s="528">
        <f t="shared" si="46"/>
        <v>0.28000000000000003</v>
      </c>
      <c r="E151" s="529">
        <f t="shared" si="36"/>
        <v>400</v>
      </c>
      <c r="F151" s="530">
        <f t="shared" si="37"/>
        <v>1120</v>
      </c>
      <c r="G151" s="530">
        <f t="shared" si="38"/>
        <v>3136.0000000000009</v>
      </c>
      <c r="H151" s="530">
        <f t="shared" si="39"/>
        <v>5.6000000000000005</v>
      </c>
      <c r="I151" s="531">
        <f t="shared" si="40"/>
        <v>15.680000000000001</v>
      </c>
    </row>
    <row r="152" spans="2:9" ht="15" customHeight="1" x14ac:dyDescent="0.2">
      <c r="B152" s="446">
        <f>$L$12</f>
        <v>24</v>
      </c>
      <c r="C152" s="527">
        <f t="shared" si="45"/>
        <v>192</v>
      </c>
      <c r="D152" s="528">
        <f t="shared" si="46"/>
        <v>0.28000000000000003</v>
      </c>
      <c r="E152" s="529">
        <f t="shared" si="36"/>
        <v>576</v>
      </c>
      <c r="F152" s="530">
        <f t="shared" si="37"/>
        <v>1290.2400000000002</v>
      </c>
      <c r="G152" s="530">
        <f t="shared" si="38"/>
        <v>2890.1376000000005</v>
      </c>
      <c r="H152" s="530">
        <f t="shared" si="39"/>
        <v>6.7200000000000006</v>
      </c>
      <c r="I152" s="531">
        <f t="shared" si="40"/>
        <v>15.052800000000001</v>
      </c>
    </row>
    <row r="153" spans="2:9" ht="15" customHeight="1" x14ac:dyDescent="0.2">
      <c r="B153" s="446">
        <f>$M$12</f>
        <v>26</v>
      </c>
      <c r="C153" s="527">
        <f t="shared" si="45"/>
        <v>182</v>
      </c>
      <c r="D153" s="528">
        <f t="shared" si="46"/>
        <v>0.28000000000000003</v>
      </c>
      <c r="E153" s="529">
        <f t="shared" si="36"/>
        <v>676</v>
      </c>
      <c r="F153" s="530">
        <f t="shared" si="37"/>
        <v>1324.9600000000003</v>
      </c>
      <c r="G153" s="530">
        <f t="shared" si="38"/>
        <v>2596.921600000001</v>
      </c>
      <c r="H153" s="530">
        <f t="shared" si="39"/>
        <v>7.2800000000000011</v>
      </c>
      <c r="I153" s="531">
        <f t="shared" si="40"/>
        <v>14.268800000000002</v>
      </c>
    </row>
    <row r="154" spans="2:9" ht="15" customHeight="1" x14ac:dyDescent="0.2">
      <c r="B154" s="446">
        <f>$N$12</f>
        <v>30</v>
      </c>
      <c r="C154" s="527">
        <f t="shared" si="45"/>
        <v>180</v>
      </c>
      <c r="D154" s="528">
        <f t="shared" si="46"/>
        <v>0.28000000000000003</v>
      </c>
      <c r="E154" s="529">
        <f t="shared" si="36"/>
        <v>900</v>
      </c>
      <c r="F154" s="530">
        <f t="shared" si="37"/>
        <v>1512</v>
      </c>
      <c r="G154" s="530">
        <f t="shared" si="38"/>
        <v>2540.1600000000008</v>
      </c>
      <c r="H154" s="530">
        <f t="shared" si="39"/>
        <v>8.4</v>
      </c>
      <c r="I154" s="531">
        <f t="shared" si="40"/>
        <v>14.112000000000002</v>
      </c>
    </row>
    <row r="155" spans="2:9" ht="15" customHeight="1" x14ac:dyDescent="0.2">
      <c r="B155" s="446">
        <f>$O$12</f>
        <v>34</v>
      </c>
      <c r="C155" s="527">
        <f t="shared" si="45"/>
        <v>170</v>
      </c>
      <c r="D155" s="528">
        <f t="shared" si="46"/>
        <v>0.28000000000000003</v>
      </c>
      <c r="E155" s="529">
        <f t="shared" si="36"/>
        <v>1156</v>
      </c>
      <c r="F155" s="530">
        <f t="shared" si="37"/>
        <v>1618.4000000000003</v>
      </c>
      <c r="G155" s="530">
        <f t="shared" si="38"/>
        <v>2265.7600000000002</v>
      </c>
      <c r="H155" s="530">
        <f t="shared" si="39"/>
        <v>9.5200000000000014</v>
      </c>
      <c r="I155" s="531">
        <f t="shared" si="40"/>
        <v>13.328000000000001</v>
      </c>
    </row>
    <row r="156" spans="2:9" ht="15" customHeight="1" x14ac:dyDescent="0.2">
      <c r="B156" s="446">
        <f>$P$12</f>
        <v>40</v>
      </c>
      <c r="C156" s="527">
        <f t="shared" si="45"/>
        <v>160</v>
      </c>
      <c r="D156" s="528">
        <f t="shared" si="46"/>
        <v>0.28000000000000003</v>
      </c>
      <c r="E156" s="529">
        <f t="shared" si="36"/>
        <v>1600</v>
      </c>
      <c r="F156" s="530">
        <f t="shared" si="37"/>
        <v>1792.0000000000002</v>
      </c>
      <c r="G156" s="530">
        <f t="shared" si="38"/>
        <v>2007.0400000000004</v>
      </c>
      <c r="H156" s="530">
        <f t="shared" si="39"/>
        <v>11.200000000000001</v>
      </c>
      <c r="I156" s="531">
        <f t="shared" si="40"/>
        <v>12.544000000000002</v>
      </c>
    </row>
    <row r="157" spans="2:9" ht="15" customHeight="1" x14ac:dyDescent="0.2">
      <c r="B157" s="446">
        <f>$Q$12</f>
        <v>49</v>
      </c>
      <c r="C157" s="527">
        <f t="shared" si="45"/>
        <v>147</v>
      </c>
      <c r="D157" s="528">
        <f t="shared" si="46"/>
        <v>0.28000000000000003</v>
      </c>
      <c r="E157" s="529">
        <f t="shared" si="36"/>
        <v>2401</v>
      </c>
      <c r="F157" s="530">
        <f t="shared" si="37"/>
        <v>2016.8400000000001</v>
      </c>
      <c r="G157" s="530">
        <f t="shared" si="38"/>
        <v>1694.1456000000003</v>
      </c>
      <c r="H157" s="530">
        <f t="shared" si="39"/>
        <v>13.72</v>
      </c>
      <c r="I157" s="531">
        <f t="shared" si="40"/>
        <v>11.524800000000001</v>
      </c>
    </row>
    <row r="158" spans="2:9" ht="15" customHeight="1" x14ac:dyDescent="0.2">
      <c r="B158" s="446">
        <f>$R$12</f>
        <v>66</v>
      </c>
      <c r="C158" s="527">
        <f t="shared" si="45"/>
        <v>132</v>
      </c>
      <c r="D158" s="528">
        <f t="shared" si="46"/>
        <v>0.28000000000000003</v>
      </c>
      <c r="E158" s="529">
        <f t="shared" si="36"/>
        <v>4356</v>
      </c>
      <c r="F158" s="530">
        <f t="shared" si="37"/>
        <v>2439.36</v>
      </c>
      <c r="G158" s="530">
        <f t="shared" si="38"/>
        <v>1366.0416</v>
      </c>
      <c r="H158" s="530">
        <f t="shared" si="39"/>
        <v>18.48</v>
      </c>
      <c r="I158" s="531">
        <f t="shared" si="40"/>
        <v>10.348800000000001</v>
      </c>
    </row>
    <row r="159" spans="2:9" ht="15" customHeight="1" x14ac:dyDescent="0.2">
      <c r="B159" s="446">
        <f>$S$12</f>
        <v>100</v>
      </c>
      <c r="C159" s="527">
        <f t="shared" si="45"/>
        <v>100</v>
      </c>
      <c r="D159" s="528">
        <f t="shared" si="46"/>
        <v>0.28000000000000003</v>
      </c>
      <c r="E159" s="535">
        <f t="shared" si="36"/>
        <v>10000</v>
      </c>
      <c r="F159" s="536">
        <f t="shared" si="37"/>
        <v>2800.0000000000005</v>
      </c>
      <c r="G159" s="536">
        <f t="shared" si="38"/>
        <v>784.00000000000023</v>
      </c>
      <c r="H159" s="536">
        <f t="shared" si="39"/>
        <v>28.000000000000004</v>
      </c>
      <c r="I159" s="537">
        <f t="shared" si="40"/>
        <v>7.8400000000000007</v>
      </c>
    </row>
    <row r="160" spans="2:9" ht="15" customHeight="1" x14ac:dyDescent="0.2">
      <c r="B160" s="442">
        <f>$B$12</f>
        <v>2.2999999999999998</v>
      </c>
      <c r="C160" s="517">
        <f t="shared" ref="C160:C177" si="47">$A34*B160</f>
        <v>276</v>
      </c>
      <c r="D160" s="518">
        <f>$C$2-$A$26</f>
        <v>0.26000000000000023</v>
      </c>
      <c r="E160" s="519">
        <f t="shared" si="36"/>
        <v>5.2899999999999991</v>
      </c>
      <c r="F160" s="520">
        <f t="shared" si="37"/>
        <v>165.04800000000014</v>
      </c>
      <c r="G160" s="520">
        <f t="shared" si="38"/>
        <v>5149.4976000000088</v>
      </c>
      <c r="H160" s="520">
        <f t="shared" si="39"/>
        <v>0.59800000000000053</v>
      </c>
      <c r="I160" s="521">
        <f t="shared" si="40"/>
        <v>18.657600000000034</v>
      </c>
    </row>
    <row r="161" spans="2:9" ht="15" customHeight="1" x14ac:dyDescent="0.2">
      <c r="B161" s="446">
        <f>$C$12</f>
        <v>2.7</v>
      </c>
      <c r="C161" s="527">
        <f t="shared" si="47"/>
        <v>270</v>
      </c>
      <c r="D161" s="528">
        <f t="shared" ref="D161:D177" si="48">$C$2-$A$26</f>
        <v>0.26000000000000023</v>
      </c>
      <c r="E161" s="529">
        <f t="shared" si="36"/>
        <v>7.2900000000000009</v>
      </c>
      <c r="F161" s="530">
        <f t="shared" si="37"/>
        <v>189.54000000000016</v>
      </c>
      <c r="G161" s="530">
        <f t="shared" si="38"/>
        <v>4928.0400000000081</v>
      </c>
      <c r="H161" s="530">
        <f t="shared" si="39"/>
        <v>0.70200000000000062</v>
      </c>
      <c r="I161" s="531">
        <f t="shared" si="40"/>
        <v>18.252000000000031</v>
      </c>
    </row>
    <row r="162" spans="2:9" ht="15" customHeight="1" x14ac:dyDescent="0.2">
      <c r="B162" s="446">
        <f>$D$12</f>
        <v>3.7</v>
      </c>
      <c r="C162" s="527">
        <f t="shared" si="47"/>
        <v>266.40000000000003</v>
      </c>
      <c r="D162" s="528">
        <f t="shared" si="48"/>
        <v>0.26000000000000023</v>
      </c>
      <c r="E162" s="529">
        <f t="shared" si="36"/>
        <v>13.690000000000001</v>
      </c>
      <c r="F162" s="530">
        <f t="shared" si="37"/>
        <v>256.27680000000026</v>
      </c>
      <c r="G162" s="530">
        <f t="shared" si="38"/>
        <v>4797.5016960000094</v>
      </c>
      <c r="H162" s="530">
        <f t="shared" si="39"/>
        <v>0.96200000000000085</v>
      </c>
      <c r="I162" s="531">
        <f t="shared" si="40"/>
        <v>18.008640000000035</v>
      </c>
    </row>
    <row r="163" spans="2:9" ht="15" customHeight="1" x14ac:dyDescent="0.2">
      <c r="B163" s="446">
        <f>$E$12</f>
        <v>5.3</v>
      </c>
      <c r="C163" s="527">
        <f t="shared" si="47"/>
        <v>254.39999999999998</v>
      </c>
      <c r="D163" s="528">
        <f t="shared" si="48"/>
        <v>0.26000000000000023</v>
      </c>
      <c r="E163" s="529">
        <f t="shared" ref="E163:E226" si="49">B163^2</f>
        <v>28.09</v>
      </c>
      <c r="F163" s="530">
        <f t="shared" ref="F163:F226" si="50">(D163*B163*C163)</f>
        <v>350.56320000000028</v>
      </c>
      <c r="G163" s="530">
        <f t="shared" ref="G163:G226" si="51">(D163*C163)^2</f>
        <v>4375.0287360000066</v>
      </c>
      <c r="H163" s="530">
        <f t="shared" ref="H163:H226" si="52">(D163*B163)</f>
        <v>1.3780000000000012</v>
      </c>
      <c r="I163" s="531">
        <f t="shared" ref="I163:I226" si="53">((D163^2)*C163)</f>
        <v>17.197440000000029</v>
      </c>
    </row>
    <row r="164" spans="2:9" ht="15" customHeight="1" x14ac:dyDescent="0.2">
      <c r="B164" s="446">
        <f>$F$12</f>
        <v>6.8</v>
      </c>
      <c r="C164" s="527">
        <f t="shared" si="47"/>
        <v>244.79999999999998</v>
      </c>
      <c r="D164" s="528">
        <f t="shared" si="48"/>
        <v>0.26000000000000023</v>
      </c>
      <c r="E164" s="529">
        <f t="shared" si="49"/>
        <v>46.239999999999995</v>
      </c>
      <c r="F164" s="530">
        <f t="shared" si="50"/>
        <v>432.80640000000034</v>
      </c>
      <c r="G164" s="530">
        <f t="shared" si="51"/>
        <v>4051.0679040000068</v>
      </c>
      <c r="H164" s="530">
        <f t="shared" si="52"/>
        <v>1.7680000000000016</v>
      </c>
      <c r="I164" s="531">
        <f t="shared" si="53"/>
        <v>16.548480000000026</v>
      </c>
    </row>
    <row r="165" spans="2:9" ht="15" customHeight="1" x14ac:dyDescent="0.2">
      <c r="B165" s="446">
        <f>$G$12</f>
        <v>9.8000000000000007</v>
      </c>
      <c r="C165" s="527">
        <f t="shared" si="47"/>
        <v>235.20000000000002</v>
      </c>
      <c r="D165" s="528">
        <f t="shared" si="48"/>
        <v>0.26000000000000023</v>
      </c>
      <c r="E165" s="529">
        <f t="shared" si="49"/>
        <v>96.04000000000002</v>
      </c>
      <c r="F165" s="530">
        <f t="shared" si="50"/>
        <v>599.28960000000063</v>
      </c>
      <c r="G165" s="530">
        <f t="shared" si="51"/>
        <v>3739.567104000007</v>
      </c>
      <c r="H165" s="530">
        <f t="shared" si="52"/>
        <v>2.5480000000000023</v>
      </c>
      <c r="I165" s="531">
        <f t="shared" si="53"/>
        <v>15.899520000000029</v>
      </c>
    </row>
    <row r="166" spans="2:9" ht="15" customHeight="1" x14ac:dyDescent="0.2">
      <c r="B166" s="446">
        <f>$H$12</f>
        <v>11</v>
      </c>
      <c r="C166" s="527">
        <f t="shared" si="47"/>
        <v>220</v>
      </c>
      <c r="D166" s="528">
        <f t="shared" si="48"/>
        <v>0.26000000000000023</v>
      </c>
      <c r="E166" s="529">
        <f t="shared" si="49"/>
        <v>121</v>
      </c>
      <c r="F166" s="530">
        <f t="shared" si="50"/>
        <v>629.20000000000061</v>
      </c>
      <c r="G166" s="530">
        <f t="shared" si="51"/>
        <v>3271.8400000000061</v>
      </c>
      <c r="H166" s="530">
        <f t="shared" si="52"/>
        <v>2.8600000000000025</v>
      </c>
      <c r="I166" s="531">
        <f t="shared" si="53"/>
        <v>14.872000000000027</v>
      </c>
    </row>
    <row r="167" spans="2:9" ht="15" customHeight="1" x14ac:dyDescent="0.2">
      <c r="B167" s="446">
        <f>$I$12</f>
        <v>14</v>
      </c>
      <c r="C167" s="527">
        <f t="shared" si="47"/>
        <v>224</v>
      </c>
      <c r="D167" s="528">
        <f t="shared" si="48"/>
        <v>0.26000000000000023</v>
      </c>
      <c r="E167" s="529">
        <f t="shared" si="49"/>
        <v>196</v>
      </c>
      <c r="F167" s="530">
        <f t="shared" si="50"/>
        <v>815.3600000000007</v>
      </c>
      <c r="G167" s="530">
        <f t="shared" si="51"/>
        <v>3391.8976000000062</v>
      </c>
      <c r="H167" s="530">
        <f t="shared" si="52"/>
        <v>3.6400000000000032</v>
      </c>
      <c r="I167" s="531">
        <f t="shared" si="53"/>
        <v>15.142400000000027</v>
      </c>
    </row>
    <row r="168" spans="2:9" ht="15" customHeight="1" x14ac:dyDescent="0.2">
      <c r="B168" s="446">
        <f>$J$12</f>
        <v>17</v>
      </c>
      <c r="C168" s="527">
        <f t="shared" si="47"/>
        <v>204</v>
      </c>
      <c r="D168" s="528">
        <f t="shared" si="48"/>
        <v>0.26000000000000023</v>
      </c>
      <c r="E168" s="529">
        <f t="shared" si="49"/>
        <v>289</v>
      </c>
      <c r="F168" s="530">
        <f t="shared" si="50"/>
        <v>901.68000000000075</v>
      </c>
      <c r="G168" s="530">
        <f t="shared" si="51"/>
        <v>2813.2416000000053</v>
      </c>
      <c r="H168" s="530">
        <f t="shared" si="52"/>
        <v>4.4200000000000035</v>
      </c>
      <c r="I168" s="531">
        <f t="shared" si="53"/>
        <v>13.790400000000025</v>
      </c>
    </row>
    <row r="169" spans="2:9" ht="15" customHeight="1" x14ac:dyDescent="0.2">
      <c r="B169" s="446">
        <f>$K$12</f>
        <v>20</v>
      </c>
      <c r="C169" s="527">
        <f t="shared" si="47"/>
        <v>200</v>
      </c>
      <c r="D169" s="528">
        <f t="shared" si="48"/>
        <v>0.26000000000000023</v>
      </c>
      <c r="E169" s="529">
        <f t="shared" si="49"/>
        <v>400</v>
      </c>
      <c r="F169" s="530">
        <f t="shared" si="50"/>
        <v>1040.0000000000009</v>
      </c>
      <c r="G169" s="530">
        <f t="shared" si="51"/>
        <v>2704.0000000000045</v>
      </c>
      <c r="H169" s="530">
        <f t="shared" si="52"/>
        <v>5.2000000000000046</v>
      </c>
      <c r="I169" s="531">
        <f t="shared" si="53"/>
        <v>13.520000000000024</v>
      </c>
    </row>
    <row r="170" spans="2:9" ht="15" customHeight="1" x14ac:dyDescent="0.2">
      <c r="B170" s="446">
        <f>$L$12</f>
        <v>24</v>
      </c>
      <c r="C170" s="527">
        <f t="shared" si="47"/>
        <v>192</v>
      </c>
      <c r="D170" s="528">
        <f t="shared" si="48"/>
        <v>0.26000000000000023</v>
      </c>
      <c r="E170" s="529">
        <f t="shared" si="49"/>
        <v>576</v>
      </c>
      <c r="F170" s="530">
        <f t="shared" si="50"/>
        <v>1198.0800000000011</v>
      </c>
      <c r="G170" s="530">
        <f t="shared" si="51"/>
        <v>2492.0064000000043</v>
      </c>
      <c r="H170" s="530">
        <f t="shared" si="52"/>
        <v>6.2400000000000055</v>
      </c>
      <c r="I170" s="531">
        <f t="shared" si="53"/>
        <v>12.979200000000024</v>
      </c>
    </row>
    <row r="171" spans="2:9" ht="15" customHeight="1" x14ac:dyDescent="0.2">
      <c r="B171" s="446">
        <f>$M$12</f>
        <v>26</v>
      </c>
      <c r="C171" s="527">
        <f t="shared" si="47"/>
        <v>182</v>
      </c>
      <c r="D171" s="528">
        <f t="shared" si="48"/>
        <v>0.26000000000000023</v>
      </c>
      <c r="E171" s="529">
        <f t="shared" si="49"/>
        <v>676</v>
      </c>
      <c r="F171" s="530">
        <f t="shared" si="50"/>
        <v>1230.3200000000011</v>
      </c>
      <c r="G171" s="530">
        <f t="shared" si="51"/>
        <v>2239.1824000000042</v>
      </c>
      <c r="H171" s="530">
        <f t="shared" si="52"/>
        <v>6.760000000000006</v>
      </c>
      <c r="I171" s="531">
        <f t="shared" si="53"/>
        <v>12.303200000000022</v>
      </c>
    </row>
    <row r="172" spans="2:9" ht="15" customHeight="1" x14ac:dyDescent="0.2">
      <c r="B172" s="446">
        <f>$N$12</f>
        <v>30</v>
      </c>
      <c r="C172" s="527">
        <f t="shared" si="47"/>
        <v>180</v>
      </c>
      <c r="D172" s="528">
        <f t="shared" si="48"/>
        <v>0.26000000000000023</v>
      </c>
      <c r="E172" s="529">
        <f t="shared" si="49"/>
        <v>900</v>
      </c>
      <c r="F172" s="530">
        <f t="shared" si="50"/>
        <v>1404.0000000000011</v>
      </c>
      <c r="G172" s="530">
        <f t="shared" si="51"/>
        <v>2190.2400000000039</v>
      </c>
      <c r="H172" s="530">
        <f t="shared" si="52"/>
        <v>7.8000000000000069</v>
      </c>
      <c r="I172" s="531">
        <f t="shared" si="53"/>
        <v>12.168000000000021</v>
      </c>
    </row>
    <row r="173" spans="2:9" ht="15" customHeight="1" x14ac:dyDescent="0.2">
      <c r="B173" s="446">
        <f>$O$12</f>
        <v>34</v>
      </c>
      <c r="C173" s="527">
        <f t="shared" si="47"/>
        <v>170</v>
      </c>
      <c r="D173" s="528">
        <f t="shared" si="48"/>
        <v>0.26000000000000023</v>
      </c>
      <c r="E173" s="529">
        <f t="shared" si="49"/>
        <v>1156</v>
      </c>
      <c r="F173" s="530">
        <f t="shared" si="50"/>
        <v>1502.8000000000011</v>
      </c>
      <c r="G173" s="530">
        <f t="shared" si="51"/>
        <v>1953.6400000000033</v>
      </c>
      <c r="H173" s="530">
        <f t="shared" si="52"/>
        <v>8.840000000000007</v>
      </c>
      <c r="I173" s="531">
        <f t="shared" si="53"/>
        <v>11.49200000000002</v>
      </c>
    </row>
    <row r="174" spans="2:9" ht="15" customHeight="1" x14ac:dyDescent="0.2">
      <c r="B174" s="446">
        <f>$P$12</f>
        <v>40</v>
      </c>
      <c r="C174" s="527">
        <f t="shared" si="47"/>
        <v>160</v>
      </c>
      <c r="D174" s="528">
        <f t="shared" si="48"/>
        <v>0.26000000000000023</v>
      </c>
      <c r="E174" s="529">
        <f t="shared" si="49"/>
        <v>1600</v>
      </c>
      <c r="F174" s="530">
        <f t="shared" si="50"/>
        <v>1664.0000000000014</v>
      </c>
      <c r="G174" s="530">
        <f t="shared" si="51"/>
        <v>1730.5600000000031</v>
      </c>
      <c r="H174" s="530">
        <f t="shared" si="52"/>
        <v>10.400000000000009</v>
      </c>
      <c r="I174" s="531">
        <f t="shared" si="53"/>
        <v>10.816000000000018</v>
      </c>
    </row>
    <row r="175" spans="2:9" ht="15" customHeight="1" x14ac:dyDescent="0.2">
      <c r="B175" s="446">
        <f>$Q$12</f>
        <v>49</v>
      </c>
      <c r="C175" s="527">
        <f t="shared" si="47"/>
        <v>147</v>
      </c>
      <c r="D175" s="528">
        <f t="shared" si="48"/>
        <v>0.26000000000000023</v>
      </c>
      <c r="E175" s="529">
        <f t="shared" si="49"/>
        <v>2401</v>
      </c>
      <c r="F175" s="530">
        <f t="shared" si="50"/>
        <v>1872.7800000000016</v>
      </c>
      <c r="G175" s="530">
        <f t="shared" si="51"/>
        <v>1460.7684000000027</v>
      </c>
      <c r="H175" s="530">
        <f t="shared" si="52"/>
        <v>12.740000000000011</v>
      </c>
      <c r="I175" s="531">
        <f t="shared" si="53"/>
        <v>9.9372000000000167</v>
      </c>
    </row>
    <row r="176" spans="2:9" ht="15" customHeight="1" x14ac:dyDescent="0.2">
      <c r="B176" s="446">
        <f>$R$12</f>
        <v>66</v>
      </c>
      <c r="C176" s="527">
        <f t="shared" si="47"/>
        <v>132</v>
      </c>
      <c r="D176" s="528">
        <f t="shared" si="48"/>
        <v>0.26000000000000023</v>
      </c>
      <c r="E176" s="529">
        <f t="shared" si="49"/>
        <v>4356</v>
      </c>
      <c r="F176" s="530">
        <f t="shared" si="50"/>
        <v>2265.1200000000017</v>
      </c>
      <c r="G176" s="530">
        <f t="shared" si="51"/>
        <v>1177.862400000002</v>
      </c>
      <c r="H176" s="530">
        <f t="shared" si="52"/>
        <v>17.160000000000014</v>
      </c>
      <c r="I176" s="531">
        <f t="shared" si="53"/>
        <v>8.9232000000000156</v>
      </c>
    </row>
    <row r="177" spans="2:9" ht="15" customHeight="1" x14ac:dyDescent="0.2">
      <c r="B177" s="477">
        <f>$S$12</f>
        <v>100</v>
      </c>
      <c r="C177" s="533">
        <f t="shared" si="47"/>
        <v>100</v>
      </c>
      <c r="D177" s="534">
        <f t="shared" si="48"/>
        <v>0.26000000000000023</v>
      </c>
      <c r="E177" s="535">
        <f t="shared" si="49"/>
        <v>10000</v>
      </c>
      <c r="F177" s="536">
        <f t="shared" si="50"/>
        <v>2600.0000000000023</v>
      </c>
      <c r="G177" s="536">
        <f t="shared" si="51"/>
        <v>676.00000000000114</v>
      </c>
      <c r="H177" s="536">
        <f t="shared" si="52"/>
        <v>26.000000000000021</v>
      </c>
      <c r="I177" s="537">
        <f t="shared" si="53"/>
        <v>6.7600000000000122</v>
      </c>
    </row>
    <row r="178" spans="2:9" ht="15" customHeight="1" x14ac:dyDescent="0.2">
      <c r="B178" s="446">
        <f>$B$14</f>
        <v>2.2000000000000002</v>
      </c>
      <c r="C178" s="527">
        <f t="shared" ref="C178:C195" si="54">$A34*B178</f>
        <v>264</v>
      </c>
      <c r="D178" s="528">
        <f>$C$2-$A$27</f>
        <v>0.24000000000000021</v>
      </c>
      <c r="E178" s="519">
        <f t="shared" si="49"/>
        <v>4.8400000000000007</v>
      </c>
      <c r="F178" s="520">
        <f t="shared" si="50"/>
        <v>139.39200000000011</v>
      </c>
      <c r="G178" s="520">
        <f t="shared" si="51"/>
        <v>4014.4896000000072</v>
      </c>
      <c r="H178" s="520">
        <f t="shared" si="52"/>
        <v>0.52800000000000047</v>
      </c>
      <c r="I178" s="521">
        <f t="shared" si="53"/>
        <v>15.206400000000027</v>
      </c>
    </row>
    <row r="179" spans="2:9" ht="15" customHeight="1" x14ac:dyDescent="0.2">
      <c r="B179" s="446">
        <f>$C$14</f>
        <v>2.6</v>
      </c>
      <c r="C179" s="527">
        <f t="shared" si="54"/>
        <v>260</v>
      </c>
      <c r="D179" s="528">
        <f t="shared" ref="D179:D195" si="55">$C$2-$A$27</f>
        <v>0.24000000000000021</v>
      </c>
      <c r="E179" s="529">
        <f t="shared" si="49"/>
        <v>6.7600000000000007</v>
      </c>
      <c r="F179" s="530">
        <f t="shared" si="50"/>
        <v>162.24000000000015</v>
      </c>
      <c r="G179" s="530">
        <f t="shared" si="51"/>
        <v>3893.760000000007</v>
      </c>
      <c r="H179" s="530">
        <f t="shared" si="52"/>
        <v>0.62400000000000055</v>
      </c>
      <c r="I179" s="531">
        <f t="shared" si="53"/>
        <v>14.976000000000028</v>
      </c>
    </row>
    <row r="180" spans="2:9" ht="15" customHeight="1" x14ac:dyDescent="0.2">
      <c r="B180" s="446">
        <f>$D$14</f>
        <v>3.4</v>
      </c>
      <c r="C180" s="527">
        <f t="shared" si="54"/>
        <v>244.79999999999998</v>
      </c>
      <c r="D180" s="528">
        <f t="shared" si="55"/>
        <v>0.24000000000000021</v>
      </c>
      <c r="E180" s="529">
        <f t="shared" si="49"/>
        <v>11.559999999999999</v>
      </c>
      <c r="F180" s="530">
        <f t="shared" si="50"/>
        <v>199.75680000000017</v>
      </c>
      <c r="G180" s="530">
        <f t="shared" si="51"/>
        <v>3451.7975040000051</v>
      </c>
      <c r="H180" s="530">
        <f t="shared" si="52"/>
        <v>0.81600000000000072</v>
      </c>
      <c r="I180" s="531">
        <f t="shared" si="53"/>
        <v>14.100480000000024</v>
      </c>
    </row>
    <row r="181" spans="2:9" ht="15" customHeight="1" x14ac:dyDescent="0.2">
      <c r="B181" s="446">
        <f>$E$14</f>
        <v>4.9000000000000004</v>
      </c>
      <c r="C181" s="527">
        <f t="shared" si="54"/>
        <v>235.20000000000002</v>
      </c>
      <c r="D181" s="528">
        <f t="shared" si="55"/>
        <v>0.24000000000000021</v>
      </c>
      <c r="E181" s="529">
        <f t="shared" si="49"/>
        <v>24.010000000000005</v>
      </c>
      <c r="F181" s="530">
        <f t="shared" si="50"/>
        <v>276.59520000000026</v>
      </c>
      <c r="G181" s="530">
        <f t="shared" si="51"/>
        <v>3186.3767040000066</v>
      </c>
      <c r="H181" s="530">
        <f t="shared" si="52"/>
        <v>1.176000000000001</v>
      </c>
      <c r="I181" s="531">
        <f t="shared" si="53"/>
        <v>13.547520000000025</v>
      </c>
    </row>
    <row r="182" spans="2:9" ht="15" customHeight="1" x14ac:dyDescent="0.2">
      <c r="B182" s="446">
        <f>$F$14</f>
        <v>6.3</v>
      </c>
      <c r="C182" s="527">
        <f t="shared" si="54"/>
        <v>226.79999999999998</v>
      </c>
      <c r="D182" s="528">
        <f t="shared" si="55"/>
        <v>0.24000000000000021</v>
      </c>
      <c r="E182" s="529">
        <f t="shared" si="49"/>
        <v>39.69</v>
      </c>
      <c r="F182" s="530">
        <f t="shared" si="50"/>
        <v>342.9216000000003</v>
      </c>
      <c r="G182" s="530">
        <f t="shared" si="51"/>
        <v>2962.8426240000049</v>
      </c>
      <c r="H182" s="530">
        <f t="shared" si="52"/>
        <v>1.5120000000000013</v>
      </c>
      <c r="I182" s="531">
        <f t="shared" si="53"/>
        <v>13.063680000000023</v>
      </c>
    </row>
    <row r="183" spans="2:9" ht="15" customHeight="1" x14ac:dyDescent="0.2">
      <c r="B183" s="446">
        <f>$G$14</f>
        <v>9.1</v>
      </c>
      <c r="C183" s="527">
        <f t="shared" si="54"/>
        <v>218.39999999999998</v>
      </c>
      <c r="D183" s="528">
        <f t="shared" si="55"/>
        <v>0.24000000000000021</v>
      </c>
      <c r="E183" s="529">
        <f t="shared" si="49"/>
        <v>82.809999999999988</v>
      </c>
      <c r="F183" s="530">
        <f t="shared" si="50"/>
        <v>476.98560000000037</v>
      </c>
      <c r="G183" s="530">
        <f t="shared" si="51"/>
        <v>2747.4370560000043</v>
      </c>
      <c r="H183" s="530">
        <f t="shared" si="52"/>
        <v>2.1840000000000019</v>
      </c>
      <c r="I183" s="531">
        <f t="shared" si="53"/>
        <v>12.57984000000002</v>
      </c>
    </row>
    <row r="184" spans="2:9" ht="15" customHeight="1" x14ac:dyDescent="0.2">
      <c r="B184" s="446">
        <f>$H$14</f>
        <v>10</v>
      </c>
      <c r="C184" s="527">
        <f t="shared" si="54"/>
        <v>200</v>
      </c>
      <c r="D184" s="528">
        <f t="shared" si="55"/>
        <v>0.24000000000000021</v>
      </c>
      <c r="E184" s="529">
        <f t="shared" si="49"/>
        <v>100</v>
      </c>
      <c r="F184" s="530">
        <f t="shared" si="50"/>
        <v>480.00000000000045</v>
      </c>
      <c r="G184" s="530">
        <f t="shared" si="51"/>
        <v>2304.0000000000041</v>
      </c>
      <c r="H184" s="530">
        <f t="shared" si="52"/>
        <v>2.4000000000000021</v>
      </c>
      <c r="I184" s="531">
        <f t="shared" si="53"/>
        <v>11.520000000000021</v>
      </c>
    </row>
    <row r="185" spans="2:9" ht="15" customHeight="1" x14ac:dyDescent="0.2">
      <c r="B185" s="446">
        <f>$I$14</f>
        <v>13</v>
      </c>
      <c r="C185" s="527">
        <f t="shared" si="54"/>
        <v>208</v>
      </c>
      <c r="D185" s="528">
        <f t="shared" si="55"/>
        <v>0.24000000000000021</v>
      </c>
      <c r="E185" s="529">
        <f t="shared" si="49"/>
        <v>169</v>
      </c>
      <c r="F185" s="530">
        <f t="shared" si="50"/>
        <v>648.9600000000006</v>
      </c>
      <c r="G185" s="530">
        <f t="shared" si="51"/>
        <v>2492.0064000000043</v>
      </c>
      <c r="H185" s="530">
        <f t="shared" si="52"/>
        <v>3.1200000000000028</v>
      </c>
      <c r="I185" s="531">
        <f t="shared" si="53"/>
        <v>11.980800000000022</v>
      </c>
    </row>
    <row r="186" spans="2:9" ht="15" customHeight="1" x14ac:dyDescent="0.2">
      <c r="B186" s="446">
        <f>$J$14</f>
        <v>16</v>
      </c>
      <c r="C186" s="527">
        <f t="shared" si="54"/>
        <v>192</v>
      </c>
      <c r="D186" s="528">
        <f t="shared" si="55"/>
        <v>0.24000000000000021</v>
      </c>
      <c r="E186" s="529">
        <f t="shared" si="49"/>
        <v>256</v>
      </c>
      <c r="F186" s="530">
        <f t="shared" si="50"/>
        <v>737.28000000000065</v>
      </c>
      <c r="G186" s="530">
        <f t="shared" si="51"/>
        <v>2123.366400000004</v>
      </c>
      <c r="H186" s="530">
        <f t="shared" si="52"/>
        <v>3.8400000000000034</v>
      </c>
      <c r="I186" s="531">
        <f t="shared" si="53"/>
        <v>11.05920000000002</v>
      </c>
    </row>
    <row r="187" spans="2:9" ht="15" customHeight="1" x14ac:dyDescent="0.2">
      <c r="B187" s="446">
        <f>$K$14</f>
        <v>18</v>
      </c>
      <c r="C187" s="527">
        <f t="shared" si="54"/>
        <v>180</v>
      </c>
      <c r="D187" s="528">
        <f t="shared" si="55"/>
        <v>0.24000000000000021</v>
      </c>
      <c r="E187" s="529">
        <f t="shared" si="49"/>
        <v>324</v>
      </c>
      <c r="F187" s="530">
        <f t="shared" si="50"/>
        <v>777.6000000000007</v>
      </c>
      <c r="G187" s="530">
        <f t="shared" si="51"/>
        <v>1866.2400000000034</v>
      </c>
      <c r="H187" s="530">
        <f t="shared" si="52"/>
        <v>4.3200000000000038</v>
      </c>
      <c r="I187" s="531">
        <f t="shared" si="53"/>
        <v>10.368000000000018</v>
      </c>
    </row>
    <row r="188" spans="2:9" ht="15" customHeight="1" x14ac:dyDescent="0.2">
      <c r="B188" s="446">
        <f>$L$14</f>
        <v>22</v>
      </c>
      <c r="C188" s="527">
        <f t="shared" si="54"/>
        <v>176</v>
      </c>
      <c r="D188" s="528">
        <f t="shared" si="55"/>
        <v>0.24000000000000021</v>
      </c>
      <c r="E188" s="529">
        <f t="shared" si="49"/>
        <v>484</v>
      </c>
      <c r="F188" s="530">
        <f t="shared" si="50"/>
        <v>929.28000000000088</v>
      </c>
      <c r="G188" s="530">
        <f t="shared" si="51"/>
        <v>1784.2176000000031</v>
      </c>
      <c r="H188" s="530">
        <f t="shared" si="52"/>
        <v>5.2800000000000047</v>
      </c>
      <c r="I188" s="531">
        <f t="shared" si="53"/>
        <v>10.137600000000019</v>
      </c>
    </row>
    <row r="189" spans="2:9" ht="15" customHeight="1" x14ac:dyDescent="0.2">
      <c r="B189" s="446">
        <f>$M$14</f>
        <v>25</v>
      </c>
      <c r="C189" s="527">
        <f t="shared" si="54"/>
        <v>175</v>
      </c>
      <c r="D189" s="528">
        <f t="shared" si="55"/>
        <v>0.24000000000000021</v>
      </c>
      <c r="E189" s="529">
        <f t="shared" si="49"/>
        <v>625</v>
      </c>
      <c r="F189" s="530">
        <f t="shared" si="50"/>
        <v>1050.0000000000009</v>
      </c>
      <c r="G189" s="530">
        <f t="shared" si="51"/>
        <v>1764.000000000003</v>
      </c>
      <c r="H189" s="530">
        <f t="shared" si="52"/>
        <v>6.0000000000000053</v>
      </c>
      <c r="I189" s="531">
        <f t="shared" si="53"/>
        <v>10.080000000000018</v>
      </c>
    </row>
    <row r="190" spans="2:9" ht="15" customHeight="1" x14ac:dyDescent="0.2">
      <c r="B190" s="446">
        <f>$N$14</f>
        <v>27</v>
      </c>
      <c r="C190" s="527">
        <f t="shared" si="54"/>
        <v>162</v>
      </c>
      <c r="D190" s="528">
        <f t="shared" si="55"/>
        <v>0.24000000000000021</v>
      </c>
      <c r="E190" s="529">
        <f t="shared" si="49"/>
        <v>729</v>
      </c>
      <c r="F190" s="530">
        <f t="shared" si="50"/>
        <v>1049.7600000000009</v>
      </c>
      <c r="G190" s="530">
        <f t="shared" si="51"/>
        <v>1511.6544000000029</v>
      </c>
      <c r="H190" s="530">
        <f t="shared" si="52"/>
        <v>6.4800000000000058</v>
      </c>
      <c r="I190" s="531">
        <f t="shared" si="53"/>
        <v>9.3312000000000168</v>
      </c>
    </row>
    <row r="191" spans="2:9" ht="15" customHeight="1" x14ac:dyDescent="0.2">
      <c r="B191" s="446">
        <f>$O$14</f>
        <v>32</v>
      </c>
      <c r="C191" s="527">
        <f t="shared" si="54"/>
        <v>160</v>
      </c>
      <c r="D191" s="528">
        <f t="shared" si="55"/>
        <v>0.24000000000000021</v>
      </c>
      <c r="E191" s="529">
        <f t="shared" si="49"/>
        <v>1024</v>
      </c>
      <c r="F191" s="530">
        <f t="shared" si="50"/>
        <v>1228.8000000000011</v>
      </c>
      <c r="G191" s="530">
        <f t="shared" si="51"/>
        <v>1474.5600000000027</v>
      </c>
      <c r="H191" s="530">
        <f t="shared" si="52"/>
        <v>7.6800000000000068</v>
      </c>
      <c r="I191" s="531">
        <f t="shared" si="53"/>
        <v>9.2160000000000171</v>
      </c>
    </row>
    <row r="192" spans="2:9" ht="15" customHeight="1" x14ac:dyDescent="0.2">
      <c r="B192" s="446">
        <f>$P$14</f>
        <v>37</v>
      </c>
      <c r="C192" s="527">
        <f t="shared" si="54"/>
        <v>148</v>
      </c>
      <c r="D192" s="528">
        <f t="shared" si="55"/>
        <v>0.24000000000000021</v>
      </c>
      <c r="E192" s="529">
        <f t="shared" si="49"/>
        <v>1369</v>
      </c>
      <c r="F192" s="530">
        <f t="shared" si="50"/>
        <v>1314.2400000000011</v>
      </c>
      <c r="G192" s="530">
        <f t="shared" si="51"/>
        <v>1261.6704000000022</v>
      </c>
      <c r="H192" s="530">
        <f t="shared" si="52"/>
        <v>8.8800000000000079</v>
      </c>
      <c r="I192" s="531">
        <f t="shared" si="53"/>
        <v>8.524800000000015</v>
      </c>
    </row>
    <row r="193" spans="2:9" ht="15" customHeight="1" x14ac:dyDescent="0.2">
      <c r="B193" s="446">
        <f>$Q$14</f>
        <v>46</v>
      </c>
      <c r="C193" s="527">
        <f t="shared" si="54"/>
        <v>138</v>
      </c>
      <c r="D193" s="528">
        <f t="shared" si="55"/>
        <v>0.24000000000000021</v>
      </c>
      <c r="E193" s="529">
        <f t="shared" si="49"/>
        <v>2116</v>
      </c>
      <c r="F193" s="530">
        <f t="shared" si="50"/>
        <v>1523.5200000000013</v>
      </c>
      <c r="G193" s="530">
        <f t="shared" si="51"/>
        <v>1096.9344000000021</v>
      </c>
      <c r="H193" s="530">
        <f t="shared" si="52"/>
        <v>11.04000000000001</v>
      </c>
      <c r="I193" s="531">
        <f t="shared" si="53"/>
        <v>7.9488000000000145</v>
      </c>
    </row>
    <row r="194" spans="2:9" ht="15" customHeight="1" x14ac:dyDescent="0.2">
      <c r="B194" s="446">
        <f>$R$14</f>
        <v>59</v>
      </c>
      <c r="C194" s="527">
        <f t="shared" si="54"/>
        <v>118</v>
      </c>
      <c r="D194" s="528">
        <f t="shared" si="55"/>
        <v>0.24000000000000021</v>
      </c>
      <c r="E194" s="529">
        <f t="shared" si="49"/>
        <v>3481</v>
      </c>
      <c r="F194" s="530">
        <f t="shared" si="50"/>
        <v>1670.8800000000015</v>
      </c>
      <c r="G194" s="530">
        <f t="shared" si="51"/>
        <v>802.02240000000143</v>
      </c>
      <c r="H194" s="530">
        <f t="shared" si="52"/>
        <v>14.160000000000013</v>
      </c>
      <c r="I194" s="531">
        <f t="shared" si="53"/>
        <v>6.7968000000000117</v>
      </c>
    </row>
    <row r="195" spans="2:9" ht="15" customHeight="1" x14ac:dyDescent="0.2">
      <c r="B195" s="446">
        <f>$S$14</f>
        <v>89</v>
      </c>
      <c r="C195" s="527">
        <f t="shared" si="54"/>
        <v>89</v>
      </c>
      <c r="D195" s="528">
        <f t="shared" si="55"/>
        <v>0.24000000000000021</v>
      </c>
      <c r="E195" s="535">
        <f t="shared" si="49"/>
        <v>7921</v>
      </c>
      <c r="F195" s="536">
        <f t="shared" si="50"/>
        <v>1901.0400000000018</v>
      </c>
      <c r="G195" s="536">
        <f t="shared" si="51"/>
        <v>456.2496000000009</v>
      </c>
      <c r="H195" s="536">
        <f t="shared" si="52"/>
        <v>21.360000000000021</v>
      </c>
      <c r="I195" s="537">
        <f t="shared" si="53"/>
        <v>5.1264000000000092</v>
      </c>
    </row>
    <row r="196" spans="2:9" ht="15" customHeight="1" x14ac:dyDescent="0.2">
      <c r="B196" s="442">
        <f>$B$15</f>
        <v>2.1</v>
      </c>
      <c r="C196" s="517">
        <f t="shared" ref="C196:C213" si="56">$A34*B196</f>
        <v>252</v>
      </c>
      <c r="D196" s="518">
        <f>$C$2-$A$28</f>
        <v>0.2200000000000002</v>
      </c>
      <c r="E196" s="519">
        <f t="shared" si="49"/>
        <v>4.41</v>
      </c>
      <c r="F196" s="520">
        <f t="shared" si="50"/>
        <v>116.42400000000011</v>
      </c>
      <c r="G196" s="520">
        <f t="shared" si="51"/>
        <v>3073.5936000000052</v>
      </c>
      <c r="H196" s="520">
        <f t="shared" si="52"/>
        <v>0.46200000000000041</v>
      </c>
      <c r="I196" s="521">
        <f t="shared" si="53"/>
        <v>12.196800000000023</v>
      </c>
    </row>
    <row r="197" spans="2:9" ht="15" customHeight="1" x14ac:dyDescent="0.2">
      <c r="B197" s="446">
        <f>$C$15</f>
        <v>2.5</v>
      </c>
      <c r="C197" s="527">
        <f t="shared" si="56"/>
        <v>250</v>
      </c>
      <c r="D197" s="528">
        <f t="shared" ref="D197:D213" si="57">$C$2-$A$28</f>
        <v>0.2200000000000002</v>
      </c>
      <c r="E197" s="529">
        <f t="shared" si="49"/>
        <v>6.25</v>
      </c>
      <c r="F197" s="530">
        <f t="shared" si="50"/>
        <v>137.50000000000011</v>
      </c>
      <c r="G197" s="530">
        <f t="shared" si="51"/>
        <v>3025.0000000000055</v>
      </c>
      <c r="H197" s="530">
        <f t="shared" si="52"/>
        <v>0.55000000000000049</v>
      </c>
      <c r="I197" s="531">
        <f t="shared" si="53"/>
        <v>12.100000000000023</v>
      </c>
    </row>
    <row r="198" spans="2:9" ht="15" customHeight="1" x14ac:dyDescent="0.2">
      <c r="B198" s="446">
        <f>$D$15</f>
        <v>3.3</v>
      </c>
      <c r="C198" s="527">
        <f t="shared" si="56"/>
        <v>237.6</v>
      </c>
      <c r="D198" s="528">
        <f t="shared" si="57"/>
        <v>0.2200000000000002</v>
      </c>
      <c r="E198" s="529">
        <f t="shared" si="49"/>
        <v>10.889999999999999</v>
      </c>
      <c r="F198" s="530">
        <f t="shared" si="50"/>
        <v>172.49760000000015</v>
      </c>
      <c r="G198" s="530">
        <f t="shared" si="51"/>
        <v>2732.3619840000051</v>
      </c>
      <c r="H198" s="530">
        <f t="shared" si="52"/>
        <v>0.72600000000000064</v>
      </c>
      <c r="I198" s="531">
        <f t="shared" si="53"/>
        <v>11.49984000000002</v>
      </c>
    </row>
    <row r="199" spans="2:9" ht="15" customHeight="1" x14ac:dyDescent="0.2">
      <c r="B199" s="446">
        <f>$E$15</f>
        <v>4.7</v>
      </c>
      <c r="C199" s="527">
        <f t="shared" si="56"/>
        <v>225.60000000000002</v>
      </c>
      <c r="D199" s="528">
        <f t="shared" si="57"/>
        <v>0.2200000000000002</v>
      </c>
      <c r="E199" s="529">
        <f t="shared" si="49"/>
        <v>22.090000000000003</v>
      </c>
      <c r="F199" s="530">
        <f t="shared" si="50"/>
        <v>233.27040000000022</v>
      </c>
      <c r="G199" s="530">
        <f t="shared" si="51"/>
        <v>2463.3354240000049</v>
      </c>
      <c r="H199" s="530">
        <f t="shared" si="52"/>
        <v>1.0340000000000009</v>
      </c>
      <c r="I199" s="531">
        <f t="shared" si="53"/>
        <v>10.91904000000002</v>
      </c>
    </row>
    <row r="200" spans="2:9" ht="15" customHeight="1" x14ac:dyDescent="0.2">
      <c r="B200" s="446">
        <f>$F$15</f>
        <v>6</v>
      </c>
      <c r="C200" s="527">
        <f t="shared" si="56"/>
        <v>216</v>
      </c>
      <c r="D200" s="528">
        <f t="shared" si="57"/>
        <v>0.2200000000000002</v>
      </c>
      <c r="E200" s="529">
        <f t="shared" si="49"/>
        <v>36</v>
      </c>
      <c r="F200" s="530">
        <f t="shared" si="50"/>
        <v>285.12000000000023</v>
      </c>
      <c r="G200" s="530">
        <f t="shared" si="51"/>
        <v>2258.1504000000036</v>
      </c>
      <c r="H200" s="530">
        <f t="shared" si="52"/>
        <v>1.3200000000000012</v>
      </c>
      <c r="I200" s="531">
        <f t="shared" si="53"/>
        <v>10.454400000000019</v>
      </c>
    </row>
    <row r="201" spans="2:9" ht="15" customHeight="1" x14ac:dyDescent="0.2">
      <c r="B201" s="446">
        <f>$G$15</f>
        <v>8.6</v>
      </c>
      <c r="C201" s="527">
        <f t="shared" si="56"/>
        <v>206.39999999999998</v>
      </c>
      <c r="D201" s="528">
        <f t="shared" si="57"/>
        <v>0.2200000000000002</v>
      </c>
      <c r="E201" s="529">
        <f t="shared" si="49"/>
        <v>73.959999999999994</v>
      </c>
      <c r="F201" s="530">
        <f t="shared" si="50"/>
        <v>390.50880000000029</v>
      </c>
      <c r="G201" s="530">
        <f t="shared" si="51"/>
        <v>2061.8864640000033</v>
      </c>
      <c r="H201" s="530">
        <f t="shared" si="52"/>
        <v>1.8920000000000017</v>
      </c>
      <c r="I201" s="531">
        <f t="shared" si="53"/>
        <v>9.9897600000000164</v>
      </c>
    </row>
    <row r="202" spans="2:9" ht="15" customHeight="1" x14ac:dyDescent="0.2">
      <c r="B202" s="446">
        <f>$H$15</f>
        <v>10</v>
      </c>
      <c r="C202" s="527">
        <f t="shared" si="56"/>
        <v>200</v>
      </c>
      <c r="D202" s="528">
        <f t="shared" si="57"/>
        <v>0.2200000000000002</v>
      </c>
      <c r="E202" s="529">
        <f t="shared" si="49"/>
        <v>100</v>
      </c>
      <c r="F202" s="530">
        <f t="shared" si="50"/>
        <v>440.0000000000004</v>
      </c>
      <c r="G202" s="530">
        <f t="shared" si="51"/>
        <v>1936.0000000000036</v>
      </c>
      <c r="H202" s="530">
        <f t="shared" si="52"/>
        <v>2.200000000000002</v>
      </c>
      <c r="I202" s="531">
        <f t="shared" si="53"/>
        <v>9.6800000000000175</v>
      </c>
    </row>
    <row r="203" spans="2:9" ht="15" customHeight="1" x14ac:dyDescent="0.2">
      <c r="B203" s="446">
        <f>$I$15</f>
        <v>12</v>
      </c>
      <c r="C203" s="527">
        <f t="shared" si="56"/>
        <v>192</v>
      </c>
      <c r="D203" s="528">
        <f t="shared" si="57"/>
        <v>0.2200000000000002</v>
      </c>
      <c r="E203" s="529">
        <f t="shared" si="49"/>
        <v>144</v>
      </c>
      <c r="F203" s="530">
        <f t="shared" si="50"/>
        <v>506.88000000000045</v>
      </c>
      <c r="G203" s="530">
        <f t="shared" si="51"/>
        <v>1784.2176000000031</v>
      </c>
      <c r="H203" s="530">
        <f t="shared" si="52"/>
        <v>2.6400000000000023</v>
      </c>
      <c r="I203" s="531">
        <f t="shared" si="53"/>
        <v>9.2928000000000175</v>
      </c>
    </row>
    <row r="204" spans="2:9" ht="15" customHeight="1" x14ac:dyDescent="0.2">
      <c r="B204" s="446">
        <f>$J$15</f>
        <v>15</v>
      </c>
      <c r="C204" s="527">
        <f t="shared" si="56"/>
        <v>180</v>
      </c>
      <c r="D204" s="528">
        <f t="shared" si="57"/>
        <v>0.2200000000000002</v>
      </c>
      <c r="E204" s="529">
        <f t="shared" si="49"/>
        <v>225</v>
      </c>
      <c r="F204" s="530">
        <f t="shared" si="50"/>
        <v>594.00000000000057</v>
      </c>
      <c r="G204" s="530">
        <f t="shared" si="51"/>
        <v>1568.160000000003</v>
      </c>
      <c r="H204" s="530">
        <f t="shared" si="52"/>
        <v>3.3000000000000029</v>
      </c>
      <c r="I204" s="531">
        <f t="shared" si="53"/>
        <v>8.7120000000000157</v>
      </c>
    </row>
    <row r="205" spans="2:9" ht="15" customHeight="1" x14ac:dyDescent="0.2">
      <c r="B205" s="446">
        <f>$K$15</f>
        <v>17</v>
      </c>
      <c r="C205" s="527">
        <f t="shared" si="56"/>
        <v>170</v>
      </c>
      <c r="D205" s="528">
        <f t="shared" si="57"/>
        <v>0.2200000000000002</v>
      </c>
      <c r="E205" s="529">
        <f t="shared" si="49"/>
        <v>289</v>
      </c>
      <c r="F205" s="530">
        <f t="shared" si="50"/>
        <v>635.80000000000052</v>
      </c>
      <c r="G205" s="530">
        <f t="shared" si="51"/>
        <v>1398.7600000000025</v>
      </c>
      <c r="H205" s="530">
        <f t="shared" si="52"/>
        <v>3.7400000000000033</v>
      </c>
      <c r="I205" s="531">
        <f t="shared" si="53"/>
        <v>8.2280000000000157</v>
      </c>
    </row>
    <row r="206" spans="2:9" ht="15" customHeight="1" x14ac:dyDescent="0.2">
      <c r="B206" s="446">
        <f>$L$15</f>
        <v>21</v>
      </c>
      <c r="C206" s="527">
        <f t="shared" si="56"/>
        <v>168</v>
      </c>
      <c r="D206" s="528">
        <f t="shared" si="57"/>
        <v>0.2200000000000002</v>
      </c>
      <c r="E206" s="529">
        <f t="shared" si="49"/>
        <v>441</v>
      </c>
      <c r="F206" s="530">
        <f t="shared" si="50"/>
        <v>776.16000000000076</v>
      </c>
      <c r="G206" s="530">
        <f t="shared" si="51"/>
        <v>1366.0416000000027</v>
      </c>
      <c r="H206" s="530">
        <f t="shared" si="52"/>
        <v>4.6200000000000045</v>
      </c>
      <c r="I206" s="531">
        <f t="shared" si="53"/>
        <v>8.1312000000000157</v>
      </c>
    </row>
    <row r="207" spans="2:9" ht="15" customHeight="1" x14ac:dyDescent="0.2">
      <c r="B207" s="446">
        <f>$M$15</f>
        <v>23</v>
      </c>
      <c r="C207" s="527">
        <f t="shared" si="56"/>
        <v>161</v>
      </c>
      <c r="D207" s="528">
        <f t="shared" si="57"/>
        <v>0.2200000000000002</v>
      </c>
      <c r="E207" s="529">
        <f t="shared" si="49"/>
        <v>529</v>
      </c>
      <c r="F207" s="530">
        <f t="shared" si="50"/>
        <v>814.66000000000065</v>
      </c>
      <c r="G207" s="530">
        <f t="shared" si="51"/>
        <v>1254.5764000000022</v>
      </c>
      <c r="H207" s="530">
        <f t="shared" si="52"/>
        <v>5.0600000000000041</v>
      </c>
      <c r="I207" s="531">
        <f t="shared" si="53"/>
        <v>7.792400000000014</v>
      </c>
    </row>
    <row r="208" spans="2:9" ht="15" customHeight="1" x14ac:dyDescent="0.2">
      <c r="B208" s="446">
        <f>$N$15</f>
        <v>26</v>
      </c>
      <c r="C208" s="527">
        <f t="shared" si="56"/>
        <v>156</v>
      </c>
      <c r="D208" s="528">
        <f t="shared" si="57"/>
        <v>0.2200000000000002</v>
      </c>
      <c r="E208" s="529">
        <f t="shared" si="49"/>
        <v>676</v>
      </c>
      <c r="F208" s="530">
        <f t="shared" si="50"/>
        <v>892.32000000000085</v>
      </c>
      <c r="G208" s="530">
        <f t="shared" si="51"/>
        <v>1177.862400000002</v>
      </c>
      <c r="H208" s="530">
        <f t="shared" si="52"/>
        <v>5.7200000000000051</v>
      </c>
      <c r="I208" s="531">
        <f t="shared" si="53"/>
        <v>7.550400000000014</v>
      </c>
    </row>
    <row r="209" spans="2:9" ht="15" customHeight="1" x14ac:dyDescent="0.2">
      <c r="B209" s="446">
        <f>$O$15</f>
        <v>30</v>
      </c>
      <c r="C209" s="527">
        <f t="shared" si="56"/>
        <v>150</v>
      </c>
      <c r="D209" s="528">
        <f t="shared" si="57"/>
        <v>0.2200000000000002</v>
      </c>
      <c r="E209" s="529">
        <f t="shared" si="49"/>
        <v>900</v>
      </c>
      <c r="F209" s="530">
        <f t="shared" si="50"/>
        <v>990.00000000000091</v>
      </c>
      <c r="G209" s="530">
        <f t="shared" si="51"/>
        <v>1089.0000000000018</v>
      </c>
      <c r="H209" s="530">
        <f t="shared" si="52"/>
        <v>6.6000000000000059</v>
      </c>
      <c r="I209" s="531">
        <f t="shared" si="53"/>
        <v>7.2600000000000131</v>
      </c>
    </row>
    <row r="210" spans="2:9" ht="15" customHeight="1" x14ac:dyDescent="0.2">
      <c r="B210" s="446">
        <f>$P$15</f>
        <v>35</v>
      </c>
      <c r="C210" s="527">
        <f t="shared" si="56"/>
        <v>140</v>
      </c>
      <c r="D210" s="528">
        <f t="shared" si="57"/>
        <v>0.2200000000000002</v>
      </c>
      <c r="E210" s="529">
        <f t="shared" si="49"/>
        <v>1225</v>
      </c>
      <c r="F210" s="530">
        <f t="shared" si="50"/>
        <v>1078.0000000000009</v>
      </c>
      <c r="G210" s="530">
        <f t="shared" si="51"/>
        <v>948.64000000000158</v>
      </c>
      <c r="H210" s="530">
        <f t="shared" si="52"/>
        <v>7.7000000000000064</v>
      </c>
      <c r="I210" s="531">
        <f t="shared" si="53"/>
        <v>6.7760000000000122</v>
      </c>
    </row>
    <row r="211" spans="2:9" ht="15" customHeight="1" x14ac:dyDescent="0.2">
      <c r="B211" s="446">
        <f>$Q$15</f>
        <v>43</v>
      </c>
      <c r="C211" s="527">
        <f t="shared" si="56"/>
        <v>129</v>
      </c>
      <c r="D211" s="528">
        <f t="shared" si="57"/>
        <v>0.2200000000000002</v>
      </c>
      <c r="E211" s="529">
        <f t="shared" si="49"/>
        <v>1849</v>
      </c>
      <c r="F211" s="530">
        <f t="shared" si="50"/>
        <v>1220.3400000000011</v>
      </c>
      <c r="G211" s="530">
        <f t="shared" si="51"/>
        <v>805.42440000000136</v>
      </c>
      <c r="H211" s="530">
        <f t="shared" si="52"/>
        <v>9.460000000000008</v>
      </c>
      <c r="I211" s="531">
        <f t="shared" si="53"/>
        <v>6.2436000000000114</v>
      </c>
    </row>
    <row r="212" spans="2:9" ht="15" customHeight="1" x14ac:dyDescent="0.2">
      <c r="B212" s="446">
        <f>$R$15</f>
        <v>56</v>
      </c>
      <c r="C212" s="527">
        <f t="shared" si="56"/>
        <v>112</v>
      </c>
      <c r="D212" s="528">
        <f t="shared" si="57"/>
        <v>0.2200000000000002</v>
      </c>
      <c r="E212" s="529">
        <f t="shared" si="49"/>
        <v>3136</v>
      </c>
      <c r="F212" s="530">
        <f t="shared" si="50"/>
        <v>1379.8400000000013</v>
      </c>
      <c r="G212" s="530">
        <f t="shared" si="51"/>
        <v>607.12960000000112</v>
      </c>
      <c r="H212" s="530">
        <f t="shared" si="52"/>
        <v>12.320000000000011</v>
      </c>
      <c r="I212" s="531">
        <f t="shared" si="53"/>
        <v>5.4208000000000096</v>
      </c>
    </row>
    <row r="213" spans="2:9" ht="15" customHeight="1" x14ac:dyDescent="0.2">
      <c r="B213" s="477">
        <f>$S$15</f>
        <v>83</v>
      </c>
      <c r="C213" s="533">
        <f t="shared" si="56"/>
        <v>83</v>
      </c>
      <c r="D213" s="534">
        <f t="shared" si="57"/>
        <v>0.2200000000000002</v>
      </c>
      <c r="E213" s="535">
        <f t="shared" si="49"/>
        <v>6889</v>
      </c>
      <c r="F213" s="536">
        <f t="shared" si="50"/>
        <v>1515.5800000000013</v>
      </c>
      <c r="G213" s="536">
        <f t="shared" si="51"/>
        <v>333.42760000000055</v>
      </c>
      <c r="H213" s="536">
        <f t="shared" si="52"/>
        <v>18.260000000000016</v>
      </c>
      <c r="I213" s="537">
        <f t="shared" si="53"/>
        <v>4.017200000000007</v>
      </c>
    </row>
    <row r="214" spans="2:9" ht="15" customHeight="1" x14ac:dyDescent="0.2">
      <c r="B214" s="442">
        <f>$B$16</f>
        <v>2</v>
      </c>
      <c r="C214" s="517">
        <f t="shared" ref="C214:C231" si="58">$A34*B214</f>
        <v>240</v>
      </c>
      <c r="D214" s="518">
        <f>$C$2-$A$29</f>
        <v>0.20000000000000018</v>
      </c>
      <c r="E214" s="519">
        <f t="shared" si="49"/>
        <v>4</v>
      </c>
      <c r="F214" s="520">
        <f t="shared" si="50"/>
        <v>96.000000000000085</v>
      </c>
      <c r="G214" s="520">
        <f t="shared" si="51"/>
        <v>2304.0000000000041</v>
      </c>
      <c r="H214" s="520">
        <f t="shared" si="52"/>
        <v>0.40000000000000036</v>
      </c>
      <c r="I214" s="521">
        <f t="shared" si="53"/>
        <v>9.6000000000000174</v>
      </c>
    </row>
    <row r="215" spans="2:9" ht="15" customHeight="1" x14ac:dyDescent="0.2">
      <c r="B215" s="446">
        <f>$C$16</f>
        <v>2.2999999999999998</v>
      </c>
      <c r="C215" s="527">
        <f t="shared" si="58"/>
        <v>229.99999999999997</v>
      </c>
      <c r="D215" s="528">
        <f t="shared" ref="D215:D231" si="59">$C$2-$A$29</f>
        <v>0.20000000000000018</v>
      </c>
      <c r="E215" s="529">
        <f t="shared" si="49"/>
        <v>5.2899999999999991</v>
      </c>
      <c r="F215" s="530">
        <f t="shared" si="50"/>
        <v>105.80000000000007</v>
      </c>
      <c r="G215" s="530">
        <f t="shared" si="51"/>
        <v>2116.0000000000032</v>
      </c>
      <c r="H215" s="530">
        <f t="shared" si="52"/>
        <v>0.46000000000000035</v>
      </c>
      <c r="I215" s="531">
        <f t="shared" si="53"/>
        <v>9.2000000000000153</v>
      </c>
    </row>
    <row r="216" spans="2:9" ht="15" customHeight="1" x14ac:dyDescent="0.2">
      <c r="B216" s="446">
        <f>$D$16</f>
        <v>3.1</v>
      </c>
      <c r="C216" s="527">
        <f t="shared" si="58"/>
        <v>223.20000000000002</v>
      </c>
      <c r="D216" s="528">
        <f t="shared" si="59"/>
        <v>0.20000000000000018</v>
      </c>
      <c r="E216" s="529">
        <f t="shared" si="49"/>
        <v>9.6100000000000012</v>
      </c>
      <c r="F216" s="530">
        <f t="shared" si="50"/>
        <v>138.38400000000013</v>
      </c>
      <c r="G216" s="530">
        <f t="shared" si="51"/>
        <v>1992.7296000000038</v>
      </c>
      <c r="H216" s="530">
        <f t="shared" si="52"/>
        <v>0.62000000000000055</v>
      </c>
      <c r="I216" s="531">
        <f t="shared" si="53"/>
        <v>8.9280000000000168</v>
      </c>
    </row>
    <row r="217" spans="2:9" ht="15" customHeight="1" x14ac:dyDescent="0.2">
      <c r="B217" s="446">
        <f>$E$16</f>
        <v>4.4000000000000004</v>
      </c>
      <c r="C217" s="527">
        <f t="shared" si="58"/>
        <v>211.20000000000002</v>
      </c>
      <c r="D217" s="528">
        <f t="shared" si="59"/>
        <v>0.20000000000000018</v>
      </c>
      <c r="E217" s="529">
        <f t="shared" si="49"/>
        <v>19.360000000000003</v>
      </c>
      <c r="F217" s="530">
        <f t="shared" si="50"/>
        <v>185.85600000000019</v>
      </c>
      <c r="G217" s="530">
        <f t="shared" si="51"/>
        <v>1784.2176000000031</v>
      </c>
      <c r="H217" s="530">
        <f t="shared" si="52"/>
        <v>0.88000000000000089</v>
      </c>
      <c r="I217" s="531">
        <f t="shared" si="53"/>
        <v>8.4480000000000164</v>
      </c>
    </row>
    <row r="218" spans="2:9" ht="15" customHeight="1" x14ac:dyDescent="0.2">
      <c r="B218" s="446">
        <f>$F$16</f>
        <v>5.7</v>
      </c>
      <c r="C218" s="527">
        <f t="shared" si="58"/>
        <v>205.20000000000002</v>
      </c>
      <c r="D218" s="528">
        <f t="shared" si="59"/>
        <v>0.20000000000000018</v>
      </c>
      <c r="E218" s="529">
        <f t="shared" si="49"/>
        <v>32.49</v>
      </c>
      <c r="F218" s="530">
        <f t="shared" si="50"/>
        <v>233.92800000000022</v>
      </c>
      <c r="G218" s="530">
        <f t="shared" si="51"/>
        <v>1684.2816000000034</v>
      </c>
      <c r="H218" s="530">
        <f t="shared" si="52"/>
        <v>1.140000000000001</v>
      </c>
      <c r="I218" s="531">
        <f t="shared" si="53"/>
        <v>8.2080000000000144</v>
      </c>
    </row>
    <row r="219" spans="2:9" ht="15" customHeight="1" x14ac:dyDescent="0.2">
      <c r="B219" s="446">
        <f>$G$16</f>
        <v>8.1</v>
      </c>
      <c r="C219" s="527">
        <f t="shared" si="58"/>
        <v>194.39999999999998</v>
      </c>
      <c r="D219" s="528">
        <f t="shared" si="59"/>
        <v>0.20000000000000018</v>
      </c>
      <c r="E219" s="529">
        <f t="shared" si="49"/>
        <v>65.61</v>
      </c>
      <c r="F219" s="530">
        <f t="shared" si="50"/>
        <v>314.92800000000022</v>
      </c>
      <c r="G219" s="530">
        <f t="shared" si="51"/>
        <v>1511.6544000000024</v>
      </c>
      <c r="H219" s="530">
        <f t="shared" si="52"/>
        <v>1.6200000000000014</v>
      </c>
      <c r="I219" s="531">
        <f t="shared" si="53"/>
        <v>7.7760000000000131</v>
      </c>
    </row>
    <row r="220" spans="2:9" ht="15" customHeight="1" x14ac:dyDescent="0.2">
      <c r="B220" s="446">
        <f>$H$16</f>
        <v>9.5</v>
      </c>
      <c r="C220" s="527">
        <f t="shared" si="58"/>
        <v>190</v>
      </c>
      <c r="D220" s="528">
        <f t="shared" si="59"/>
        <v>0.20000000000000018</v>
      </c>
      <c r="E220" s="529">
        <f t="shared" si="49"/>
        <v>90.25</v>
      </c>
      <c r="F220" s="530">
        <f t="shared" si="50"/>
        <v>361.00000000000034</v>
      </c>
      <c r="G220" s="530">
        <f t="shared" si="51"/>
        <v>1444.0000000000027</v>
      </c>
      <c r="H220" s="530">
        <f t="shared" si="52"/>
        <v>1.9000000000000017</v>
      </c>
      <c r="I220" s="531">
        <f t="shared" si="53"/>
        <v>7.600000000000013</v>
      </c>
    </row>
    <row r="221" spans="2:9" ht="15" customHeight="1" x14ac:dyDescent="0.2">
      <c r="B221" s="446">
        <f>$I$16</f>
        <v>11</v>
      </c>
      <c r="C221" s="527">
        <f t="shared" si="58"/>
        <v>176</v>
      </c>
      <c r="D221" s="528">
        <f t="shared" si="59"/>
        <v>0.20000000000000018</v>
      </c>
      <c r="E221" s="529">
        <f t="shared" si="49"/>
        <v>121</v>
      </c>
      <c r="F221" s="530">
        <f t="shared" si="50"/>
        <v>387.20000000000033</v>
      </c>
      <c r="G221" s="530">
        <f t="shared" si="51"/>
        <v>1239.0400000000022</v>
      </c>
      <c r="H221" s="530">
        <f t="shared" si="52"/>
        <v>2.200000000000002</v>
      </c>
      <c r="I221" s="531">
        <f t="shared" si="53"/>
        <v>7.0400000000000125</v>
      </c>
    </row>
    <row r="222" spans="2:9" ht="15" customHeight="1" x14ac:dyDescent="0.2">
      <c r="B222" s="446">
        <f>$J$16</f>
        <v>14</v>
      </c>
      <c r="C222" s="527">
        <f t="shared" si="58"/>
        <v>168</v>
      </c>
      <c r="D222" s="528">
        <f t="shared" si="59"/>
        <v>0.20000000000000018</v>
      </c>
      <c r="E222" s="529">
        <f t="shared" si="49"/>
        <v>196</v>
      </c>
      <c r="F222" s="530">
        <f t="shared" si="50"/>
        <v>470.40000000000043</v>
      </c>
      <c r="G222" s="530">
        <f t="shared" si="51"/>
        <v>1128.9600000000021</v>
      </c>
      <c r="H222" s="530">
        <f t="shared" si="52"/>
        <v>2.8000000000000025</v>
      </c>
      <c r="I222" s="531">
        <f t="shared" si="53"/>
        <v>6.7200000000000122</v>
      </c>
    </row>
    <row r="223" spans="2:9" ht="15" customHeight="1" x14ac:dyDescent="0.2">
      <c r="B223" s="446">
        <f>$K$16</f>
        <v>16</v>
      </c>
      <c r="C223" s="527">
        <f t="shared" si="58"/>
        <v>160</v>
      </c>
      <c r="D223" s="528">
        <f t="shared" si="59"/>
        <v>0.20000000000000018</v>
      </c>
      <c r="E223" s="529">
        <f t="shared" si="49"/>
        <v>256</v>
      </c>
      <c r="F223" s="530">
        <f t="shared" si="50"/>
        <v>512.00000000000045</v>
      </c>
      <c r="G223" s="530">
        <f t="shared" si="51"/>
        <v>1024.0000000000018</v>
      </c>
      <c r="H223" s="530">
        <f t="shared" si="52"/>
        <v>3.2000000000000028</v>
      </c>
      <c r="I223" s="531">
        <f t="shared" si="53"/>
        <v>6.400000000000011</v>
      </c>
    </row>
    <row r="224" spans="2:9" ht="15" customHeight="1" x14ac:dyDescent="0.2">
      <c r="B224" s="446">
        <f>$L$16</f>
        <v>19</v>
      </c>
      <c r="C224" s="527">
        <f t="shared" si="58"/>
        <v>152</v>
      </c>
      <c r="D224" s="528">
        <f t="shared" si="59"/>
        <v>0.20000000000000018</v>
      </c>
      <c r="E224" s="529">
        <f t="shared" si="49"/>
        <v>361</v>
      </c>
      <c r="F224" s="530">
        <f t="shared" si="50"/>
        <v>577.60000000000048</v>
      </c>
      <c r="G224" s="530">
        <f t="shared" si="51"/>
        <v>924.16000000000167</v>
      </c>
      <c r="H224" s="530">
        <f t="shared" si="52"/>
        <v>3.8000000000000034</v>
      </c>
      <c r="I224" s="531">
        <f t="shared" si="53"/>
        <v>6.0800000000000107</v>
      </c>
    </row>
    <row r="225" spans="2:9" ht="15" customHeight="1" x14ac:dyDescent="0.2">
      <c r="B225" s="446">
        <f>$M$16</f>
        <v>22</v>
      </c>
      <c r="C225" s="527">
        <f t="shared" si="58"/>
        <v>154</v>
      </c>
      <c r="D225" s="528">
        <f t="shared" si="59"/>
        <v>0.20000000000000018</v>
      </c>
      <c r="E225" s="529">
        <f t="shared" si="49"/>
        <v>484</v>
      </c>
      <c r="F225" s="530">
        <f t="shared" si="50"/>
        <v>677.60000000000059</v>
      </c>
      <c r="G225" s="530">
        <f t="shared" si="51"/>
        <v>948.64000000000158</v>
      </c>
      <c r="H225" s="530">
        <f t="shared" si="52"/>
        <v>4.4000000000000039</v>
      </c>
      <c r="I225" s="531">
        <f t="shared" si="53"/>
        <v>6.1600000000000108</v>
      </c>
    </row>
    <row r="226" spans="2:9" ht="15" customHeight="1" x14ac:dyDescent="0.2">
      <c r="B226" s="446">
        <f>$N$16</f>
        <v>24</v>
      </c>
      <c r="C226" s="527">
        <f t="shared" si="58"/>
        <v>144</v>
      </c>
      <c r="D226" s="528">
        <f t="shared" si="59"/>
        <v>0.20000000000000018</v>
      </c>
      <c r="E226" s="529">
        <f t="shared" si="49"/>
        <v>576</v>
      </c>
      <c r="F226" s="530">
        <f t="shared" si="50"/>
        <v>691.20000000000061</v>
      </c>
      <c r="G226" s="530">
        <f t="shared" si="51"/>
        <v>829.44000000000142</v>
      </c>
      <c r="H226" s="530">
        <f t="shared" si="52"/>
        <v>4.8000000000000043</v>
      </c>
      <c r="I226" s="531">
        <f t="shared" si="53"/>
        <v>5.7600000000000104</v>
      </c>
    </row>
    <row r="227" spans="2:9" ht="15" customHeight="1" x14ac:dyDescent="0.2">
      <c r="B227" s="446">
        <f>$O$16</f>
        <v>28</v>
      </c>
      <c r="C227" s="527">
        <f t="shared" si="58"/>
        <v>140</v>
      </c>
      <c r="D227" s="528">
        <f t="shared" si="59"/>
        <v>0.20000000000000018</v>
      </c>
      <c r="E227" s="529">
        <f t="shared" ref="E227:E231" si="60">B227^2</f>
        <v>784</v>
      </c>
      <c r="F227" s="530">
        <f t="shared" ref="F227:F231" si="61">(D227*B227*C227)</f>
        <v>784.00000000000068</v>
      </c>
      <c r="G227" s="530">
        <f t="shared" ref="G227:G231" si="62">(D227*C227)^2</f>
        <v>784.00000000000136</v>
      </c>
      <c r="H227" s="530">
        <f t="shared" ref="H227:H231" si="63">(D227*B227)</f>
        <v>5.600000000000005</v>
      </c>
      <c r="I227" s="531">
        <f t="shared" ref="I227:I231" si="64">((D227^2)*C227)</f>
        <v>5.6000000000000094</v>
      </c>
    </row>
    <row r="228" spans="2:9" ht="15" customHeight="1" x14ac:dyDescent="0.2">
      <c r="B228" s="446">
        <f>$P$16</f>
        <v>33</v>
      </c>
      <c r="C228" s="527">
        <f t="shared" si="58"/>
        <v>132</v>
      </c>
      <c r="D228" s="528">
        <f t="shared" si="59"/>
        <v>0.20000000000000018</v>
      </c>
      <c r="E228" s="529">
        <f t="shared" si="60"/>
        <v>1089</v>
      </c>
      <c r="F228" s="530">
        <f t="shared" si="61"/>
        <v>871.20000000000073</v>
      </c>
      <c r="G228" s="530">
        <f t="shared" si="62"/>
        <v>696.96000000000129</v>
      </c>
      <c r="H228" s="530">
        <f t="shared" si="63"/>
        <v>6.6000000000000059</v>
      </c>
      <c r="I228" s="531">
        <f t="shared" si="64"/>
        <v>5.2800000000000091</v>
      </c>
    </row>
    <row r="229" spans="2:9" ht="15" customHeight="1" x14ac:dyDescent="0.2">
      <c r="B229" s="446">
        <f>$Q$16</f>
        <v>40</v>
      </c>
      <c r="C229" s="527">
        <f t="shared" si="58"/>
        <v>120</v>
      </c>
      <c r="D229" s="528">
        <f t="shared" si="59"/>
        <v>0.20000000000000018</v>
      </c>
      <c r="E229" s="529">
        <f t="shared" si="60"/>
        <v>1600</v>
      </c>
      <c r="F229" s="530">
        <f t="shared" si="61"/>
        <v>960.00000000000091</v>
      </c>
      <c r="G229" s="530">
        <f t="shared" si="62"/>
        <v>576.00000000000102</v>
      </c>
      <c r="H229" s="530">
        <f t="shared" si="63"/>
        <v>8.0000000000000071</v>
      </c>
      <c r="I229" s="531">
        <f t="shared" si="64"/>
        <v>4.8000000000000087</v>
      </c>
    </row>
    <row r="230" spans="2:9" ht="15" customHeight="1" x14ac:dyDescent="0.2">
      <c r="B230" s="446">
        <f>$R$16</f>
        <v>48</v>
      </c>
      <c r="C230" s="527">
        <f t="shared" si="58"/>
        <v>96</v>
      </c>
      <c r="D230" s="528">
        <f t="shared" si="59"/>
        <v>0.20000000000000018</v>
      </c>
      <c r="E230" s="529">
        <f t="shared" si="60"/>
        <v>2304</v>
      </c>
      <c r="F230" s="530">
        <f t="shared" si="61"/>
        <v>921.60000000000082</v>
      </c>
      <c r="G230" s="530">
        <f t="shared" si="62"/>
        <v>368.64000000000067</v>
      </c>
      <c r="H230" s="530">
        <f t="shared" si="63"/>
        <v>9.6000000000000085</v>
      </c>
      <c r="I230" s="531">
        <f t="shared" si="64"/>
        <v>3.840000000000007</v>
      </c>
    </row>
    <row r="231" spans="2:9" ht="15" customHeight="1" x14ac:dyDescent="0.2">
      <c r="B231" s="477">
        <f>$S$16</f>
        <v>75</v>
      </c>
      <c r="C231" s="533">
        <f t="shared" si="58"/>
        <v>75</v>
      </c>
      <c r="D231" s="534">
        <f t="shared" si="59"/>
        <v>0.20000000000000018</v>
      </c>
      <c r="E231" s="535">
        <f t="shared" si="60"/>
        <v>5625</v>
      </c>
      <c r="F231" s="536">
        <f t="shared" si="61"/>
        <v>1125.0000000000011</v>
      </c>
      <c r="G231" s="536">
        <f t="shared" si="62"/>
        <v>225.00000000000043</v>
      </c>
      <c r="H231" s="536">
        <f t="shared" si="63"/>
        <v>15.000000000000014</v>
      </c>
      <c r="I231" s="537">
        <f t="shared" si="64"/>
        <v>3.0000000000000053</v>
      </c>
    </row>
  </sheetData>
  <mergeCells count="4">
    <mergeCell ref="E2:F2"/>
    <mergeCell ref="B3:S3"/>
    <mergeCell ref="A4:A5"/>
    <mergeCell ref="B4:S4"/>
  </mergeCells>
  <pageMargins left="0.7" right="0.7" top="0.75" bottom="0.75" header="0.3" footer="0.3"/>
  <pageSetup paperSize="9" orientation="portrait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8193" r:id="rId4">
          <objectPr defaultSize="0" autoPict="0" r:id="rId5">
            <anchor moveWithCells="1">
              <from>
                <xdr:col>19</xdr:col>
                <xdr:colOff>428625</xdr:colOff>
                <xdr:row>2</xdr:row>
                <xdr:rowOff>19050</xdr:rowOff>
              </from>
              <to>
                <xdr:col>24</xdr:col>
                <xdr:colOff>304800</xdr:colOff>
                <xdr:row>7</xdr:row>
                <xdr:rowOff>66675</xdr:rowOff>
              </to>
            </anchor>
          </objectPr>
        </oleObject>
      </mc:Choice>
      <mc:Fallback>
        <oleObject progId="Equation.3" shapeId="8193" r:id="rId4"/>
      </mc:Fallback>
    </mc:AlternateContent>
    <mc:AlternateContent xmlns:mc="http://schemas.openxmlformats.org/markup-compatibility/2006">
      <mc:Choice Requires="x14">
        <oleObject progId="Equation.3" shapeId="8194" r:id="rId6">
          <objectPr defaultSize="0" autoPict="0" r:id="rId7">
            <anchor moveWithCells="1">
              <from>
                <xdr:col>19</xdr:col>
                <xdr:colOff>438150</xdr:colOff>
                <xdr:row>8</xdr:row>
                <xdr:rowOff>123825</xdr:rowOff>
              </from>
              <to>
                <xdr:col>26</xdr:col>
                <xdr:colOff>352425</xdr:colOff>
                <xdr:row>11</xdr:row>
                <xdr:rowOff>85725</xdr:rowOff>
              </to>
            </anchor>
          </objectPr>
        </oleObject>
      </mc:Choice>
      <mc:Fallback>
        <oleObject progId="Equation.3" shapeId="8194" r:id="rId6"/>
      </mc:Fallback>
    </mc:AlternateContent>
    <mc:AlternateContent xmlns:mc="http://schemas.openxmlformats.org/markup-compatibility/2006">
      <mc:Choice Requires="x14">
        <oleObject progId="Equation.3" shapeId="8195" r:id="rId8">
          <objectPr defaultSize="0" autoPict="0" r:id="rId9">
            <anchor moveWithCells="1">
              <from>
                <xdr:col>19</xdr:col>
                <xdr:colOff>390525</xdr:colOff>
                <xdr:row>12</xdr:row>
                <xdr:rowOff>66675</xdr:rowOff>
              </from>
              <to>
                <xdr:col>25</xdr:col>
                <xdr:colOff>219075</xdr:colOff>
                <xdr:row>14</xdr:row>
                <xdr:rowOff>171450</xdr:rowOff>
              </to>
            </anchor>
          </objectPr>
        </oleObject>
      </mc:Choice>
      <mc:Fallback>
        <oleObject progId="Equation.3" shapeId="8195" r:id="rId8"/>
      </mc:Fallback>
    </mc:AlternateContent>
    <mc:AlternateContent xmlns:mc="http://schemas.openxmlformats.org/markup-compatibility/2006">
      <mc:Choice Requires="x14">
        <oleObject progId="Equation.3" shapeId="8196" r:id="rId10">
          <objectPr defaultSize="0" autoPict="0" r:id="rId11">
            <anchor moveWithCells="1">
              <from>
                <xdr:col>20</xdr:col>
                <xdr:colOff>57150</xdr:colOff>
                <xdr:row>15</xdr:row>
                <xdr:rowOff>0</xdr:rowOff>
              </from>
              <to>
                <xdr:col>28</xdr:col>
                <xdr:colOff>219075</xdr:colOff>
                <xdr:row>19</xdr:row>
                <xdr:rowOff>28575</xdr:rowOff>
              </to>
            </anchor>
          </objectPr>
        </oleObject>
      </mc:Choice>
      <mc:Fallback>
        <oleObject progId="Equation.3" shapeId="8196" r:id="rId10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FY252"/>
  <sheetViews>
    <sheetView topLeftCell="A76" zoomScale="55" zoomScaleNormal="55" workbookViewId="0">
      <selection activeCell="DB123" sqref="DB123"/>
    </sheetView>
  </sheetViews>
  <sheetFormatPr baseColWidth="10" defaultColWidth="6.7109375" defaultRowHeight="15" customHeight="1" x14ac:dyDescent="0.2"/>
  <cols>
    <col min="1" max="1" width="6.7109375" style="549"/>
    <col min="2" max="21" width="6.7109375" style="549" customWidth="1"/>
    <col min="22" max="22" width="6.7109375" style="549"/>
    <col min="23" max="33" width="6.7109375" style="549" customWidth="1"/>
    <col min="34" max="34" width="6.7109375" style="549"/>
    <col min="35" max="36" width="6.7109375" style="549" customWidth="1"/>
    <col min="37" max="38" width="6.7109375" style="549" hidden="1" customWidth="1"/>
    <col min="39" max="39" width="6.7109375" style="549" customWidth="1"/>
    <col min="40" max="43" width="6.7109375" style="549" hidden="1" customWidth="1"/>
    <col min="44" max="46" width="6.7109375" style="549" customWidth="1"/>
    <col min="47" max="50" width="6.7109375" style="549" hidden="1" customWidth="1"/>
    <col min="51" max="51" width="6.7109375" style="549" customWidth="1"/>
    <col min="52" max="53" width="6.7109375" style="549" hidden="1" customWidth="1"/>
    <col min="54" max="56" width="6.7109375" style="549" customWidth="1"/>
    <col min="57" max="57" width="6.7109375" style="549"/>
    <col min="58" max="66" width="6.7109375" style="549" customWidth="1"/>
    <col min="67" max="79" width="6.7109375" style="549"/>
    <col min="80" max="81" width="0" style="549" hidden="1" customWidth="1"/>
    <col min="82" max="82" width="6.7109375" style="549"/>
    <col min="83" max="86" width="0" style="549" hidden="1" customWidth="1"/>
    <col min="87" max="89" width="6.7109375" style="549"/>
    <col min="90" max="90" width="6.7109375" style="549" customWidth="1"/>
    <col min="91" max="96" width="6.7109375" style="549"/>
    <col min="97" max="97" width="6.7109375" style="549" customWidth="1"/>
    <col min="98" max="106" width="6.7109375" style="549"/>
    <col min="107" max="112" width="6.7109375" style="549" customWidth="1"/>
    <col min="113" max="118" width="6.7109375" style="549"/>
    <col min="119" max="121" width="6.7109375" style="549" customWidth="1"/>
    <col min="122" max="144" width="6.7109375" style="549"/>
    <col min="145" max="147" width="6.7109375" style="549" customWidth="1"/>
    <col min="148" max="158" width="6.7109375" style="564" customWidth="1"/>
    <col min="159" max="160" width="6.7109375" style="564"/>
    <col min="161" max="169" width="6.7109375" style="564" customWidth="1"/>
    <col min="170" max="174" width="6.7109375" style="564"/>
    <col min="175" max="16384" width="6.7109375" style="549"/>
  </cols>
  <sheetData>
    <row r="2" spans="2:181" ht="15" customHeight="1" x14ac:dyDescent="0.25">
      <c r="D2" s="550"/>
      <c r="E2" s="551" t="s">
        <v>226</v>
      </c>
      <c r="CK2" s="552"/>
      <c r="CL2" s="552"/>
      <c r="CM2" s="553" t="s">
        <v>227</v>
      </c>
      <c r="CN2" s="553"/>
      <c r="CO2" s="553"/>
      <c r="CP2" s="552"/>
      <c r="CQ2" s="552"/>
      <c r="CR2" s="552"/>
      <c r="CS2" s="552"/>
      <c r="CT2" s="552"/>
      <c r="CU2" s="552"/>
      <c r="CV2" s="552"/>
      <c r="CW2" s="552"/>
      <c r="CX2" s="552"/>
      <c r="CY2" s="552"/>
      <c r="CZ2" s="552"/>
      <c r="DA2" s="552"/>
      <c r="DB2" s="142">
        <v>48</v>
      </c>
      <c r="DC2" s="137" t="s">
        <v>175</v>
      </c>
      <c r="DD2" s="508"/>
      <c r="DE2" s="554" t="s">
        <v>228</v>
      </c>
      <c r="DF2" s="555">
        <f>$CS$31*(DF3-$CS$21)</f>
        <v>19.411764705882348</v>
      </c>
      <c r="DG2" s="556">
        <f>$CS$31*(DG3-$CS$21)</f>
        <v>22</v>
      </c>
      <c r="DH2" s="557">
        <f>$CS$31*(DH3-$CS$21)</f>
        <v>28.470588235294098</v>
      </c>
      <c r="DI2" s="508"/>
      <c r="DJ2" s="558"/>
      <c r="DK2" s="559"/>
      <c r="DL2" s="559"/>
      <c r="DM2" s="559"/>
      <c r="DN2" s="559"/>
      <c r="DO2" s="559"/>
      <c r="DP2" s="559"/>
      <c r="DQ2" s="559"/>
      <c r="DR2" s="559"/>
      <c r="DS2" s="559"/>
      <c r="DT2" s="559"/>
      <c r="DU2" s="560"/>
      <c r="DV2" s="560"/>
      <c r="DW2" s="560"/>
      <c r="DX2" s="560"/>
      <c r="DY2" s="560"/>
      <c r="DZ2" s="560"/>
      <c r="EA2" s="558"/>
      <c r="EB2" s="558"/>
      <c r="EC2" s="558"/>
      <c r="ED2" s="558"/>
      <c r="EE2" s="558"/>
      <c r="EF2" s="558"/>
      <c r="EG2" s="558"/>
      <c r="EH2" s="558"/>
      <c r="EI2" s="558"/>
      <c r="EJ2" s="558"/>
      <c r="EN2" s="561"/>
      <c r="EO2" s="561"/>
      <c r="EP2" s="561"/>
      <c r="EQ2" s="562"/>
      <c r="ER2" s="563"/>
      <c r="EV2" s="565"/>
      <c r="EW2" s="565" t="s">
        <v>229</v>
      </c>
      <c r="EX2" s="566">
        <f>$EO$134</f>
        <v>-15.84914071954347</v>
      </c>
      <c r="EY2" s="566">
        <f>$EP$134</f>
        <v>-10.45493931735497</v>
      </c>
      <c r="EZ2" s="566">
        <f>$EQ$134</f>
        <v>-10.566073457023833</v>
      </c>
      <c r="FC2" s="562"/>
      <c r="FD2" s="562"/>
      <c r="FE2" s="562"/>
      <c r="FF2" s="562"/>
      <c r="FG2" s="562"/>
      <c r="FH2" s="562"/>
      <c r="FI2" s="562"/>
      <c r="FJ2" s="562"/>
      <c r="FK2" s="562"/>
      <c r="FL2" s="562"/>
      <c r="FM2" s="562"/>
      <c r="FN2" s="562"/>
      <c r="FO2" s="562"/>
      <c r="FP2" s="562"/>
      <c r="FQ2" s="566">
        <f>$EO$134</f>
        <v>-15.84914071954347</v>
      </c>
      <c r="FR2" s="566">
        <f>$EP$134</f>
        <v>-10.45493931735497</v>
      </c>
      <c r="FS2" s="566">
        <f>$EQ$134</f>
        <v>-10.566073457023833</v>
      </c>
      <c r="FT2" s="562"/>
    </row>
    <row r="3" spans="2:181" ht="15" customHeight="1" x14ac:dyDescent="0.25">
      <c r="C3" s="564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  <c r="R3" s="567"/>
      <c r="S3" s="567"/>
      <c r="T3" s="568"/>
      <c r="U3" s="568"/>
      <c r="V3" s="550"/>
      <c r="W3" s="550"/>
      <c r="X3" s="550"/>
      <c r="Y3" s="550"/>
      <c r="Z3" s="550"/>
      <c r="AA3" s="550"/>
      <c r="AB3" s="550"/>
      <c r="AC3" s="568"/>
      <c r="AD3" s="568"/>
      <c r="AE3" s="568"/>
      <c r="AF3" s="568"/>
      <c r="AG3" s="550"/>
      <c r="AH3" s="550"/>
      <c r="AI3" s="550"/>
      <c r="AJ3" s="550"/>
      <c r="AK3" s="550"/>
      <c r="AL3" s="550"/>
      <c r="AM3" s="550"/>
      <c r="AN3" s="550"/>
      <c r="AO3" s="550"/>
      <c r="AP3" s="550"/>
      <c r="AQ3" s="550"/>
      <c r="AR3" s="550"/>
      <c r="AS3" s="550"/>
      <c r="AT3" s="550"/>
      <c r="AU3" s="550"/>
      <c r="AV3" s="550"/>
      <c r="AW3" s="550"/>
      <c r="AX3" s="550"/>
      <c r="AY3" s="550"/>
      <c r="AZ3" s="550"/>
      <c r="BA3" s="550"/>
      <c r="BB3" s="550"/>
      <c r="BC3" s="550"/>
      <c r="BD3" s="550"/>
      <c r="BE3" s="550"/>
      <c r="BF3" s="550"/>
      <c r="BG3" s="550"/>
      <c r="BH3" s="550"/>
      <c r="BI3" s="550"/>
      <c r="BJ3" s="550"/>
      <c r="BK3" s="550"/>
      <c r="BL3" s="550"/>
      <c r="BM3" s="550"/>
      <c r="CK3" s="552"/>
      <c r="CL3" s="552"/>
      <c r="CM3" s="552"/>
      <c r="CN3" s="552"/>
      <c r="CO3" s="552"/>
      <c r="CP3" s="552"/>
      <c r="CQ3" s="552"/>
      <c r="CR3" s="552"/>
      <c r="CS3" s="552"/>
      <c r="CT3" s="552"/>
      <c r="CU3" s="552"/>
      <c r="CV3" s="552"/>
      <c r="CW3" s="552"/>
      <c r="CX3" s="552"/>
      <c r="CY3" s="552"/>
      <c r="CZ3" s="552"/>
      <c r="DA3" s="558"/>
      <c r="DB3" s="569" t="s">
        <v>230</v>
      </c>
      <c r="DC3" s="570">
        <v>2.23</v>
      </c>
      <c r="DD3" s="571">
        <f>$CS$20</f>
        <v>2.25</v>
      </c>
      <c r="DE3" s="571">
        <f>CS25</f>
        <v>2.2999999999999998</v>
      </c>
      <c r="DF3" s="570">
        <f>$DC$3</f>
        <v>2.23</v>
      </c>
      <c r="DG3" s="571">
        <f>$DD$3</f>
        <v>2.25</v>
      </c>
      <c r="DH3" s="572">
        <f>$DE$3</f>
        <v>2.2999999999999998</v>
      </c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560"/>
      <c r="DU3" s="573"/>
      <c r="DV3" s="573"/>
      <c r="DW3" s="573"/>
      <c r="DX3" s="573"/>
      <c r="DY3" s="560"/>
      <c r="DZ3" s="560"/>
      <c r="EA3" s="1210" t="s">
        <v>231</v>
      </c>
      <c r="EB3" s="1211"/>
      <c r="EC3" s="1212"/>
      <c r="ED3" s="1210" t="s">
        <v>231</v>
      </c>
      <c r="EE3" s="1211"/>
      <c r="EF3" s="1212"/>
      <c r="EG3" s="1210" t="s">
        <v>231</v>
      </c>
      <c r="EH3" s="1211"/>
      <c r="EI3" s="1212"/>
      <c r="EJ3" s="558"/>
      <c r="EN3" s="558"/>
      <c r="EO3" s="1210" t="s">
        <v>232</v>
      </c>
      <c r="EP3" s="1211"/>
      <c r="EQ3" s="1212"/>
      <c r="ER3" s="331"/>
      <c r="ES3" s="331"/>
      <c r="ET3" s="331"/>
      <c r="EU3" s="558"/>
      <c r="EV3" s="558"/>
      <c r="EW3" s="552"/>
      <c r="EX3" s="1210" t="s">
        <v>232</v>
      </c>
      <c r="EY3" s="1211"/>
      <c r="EZ3" s="1212"/>
      <c r="FA3" s="552"/>
      <c r="FB3" s="552"/>
      <c r="FC3" s="552"/>
      <c r="FD3" s="552"/>
      <c r="FE3" s="552"/>
      <c r="FF3" s="552"/>
      <c r="FG3" s="552"/>
      <c r="FH3" s="552"/>
      <c r="FI3" s="552"/>
      <c r="FJ3" s="552"/>
      <c r="FK3" s="552"/>
      <c r="FL3" s="552"/>
      <c r="FM3" s="552"/>
      <c r="FN3" s="552"/>
      <c r="FO3" s="552"/>
      <c r="FP3" s="552"/>
      <c r="FQ3" s="552"/>
      <c r="FR3" s="552"/>
      <c r="FS3" s="552"/>
      <c r="FT3" s="552"/>
    </row>
    <row r="4" spans="2:181" ht="15" customHeight="1" x14ac:dyDescent="0.25">
      <c r="B4" s="574" t="s">
        <v>233</v>
      </c>
      <c r="C4" s="575">
        <v>100</v>
      </c>
      <c r="D4" s="576">
        <v>72</v>
      </c>
      <c r="E4" s="576">
        <v>48</v>
      </c>
      <c r="F4" s="576">
        <v>36</v>
      </c>
      <c r="G4" s="576">
        <v>24</v>
      </c>
      <c r="H4" s="576">
        <v>20</v>
      </c>
      <c r="I4" s="576">
        <v>12</v>
      </c>
      <c r="J4" s="576">
        <v>10</v>
      </c>
      <c r="K4" s="576">
        <v>9</v>
      </c>
      <c r="L4" s="576">
        <v>8</v>
      </c>
      <c r="M4" s="576">
        <v>7</v>
      </c>
      <c r="N4" s="576">
        <v>6</v>
      </c>
      <c r="O4" s="576">
        <v>5</v>
      </c>
      <c r="P4" s="576">
        <v>4</v>
      </c>
      <c r="Q4" s="576">
        <v>3</v>
      </c>
      <c r="R4" s="576">
        <v>2</v>
      </c>
      <c r="S4" s="577">
        <v>1</v>
      </c>
      <c r="T4" s="578"/>
      <c r="U4" s="578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550"/>
      <c r="CG4" s="550"/>
      <c r="CH4" s="550"/>
      <c r="CK4" s="552"/>
      <c r="CL4" s="552"/>
      <c r="CM4" s="552"/>
      <c r="CN4" s="552"/>
      <c r="CO4" s="552"/>
      <c r="CP4" s="552"/>
      <c r="CQ4" s="552"/>
      <c r="CR4" s="552"/>
      <c r="CS4" s="552"/>
      <c r="CT4" s="552"/>
      <c r="CU4" s="552"/>
      <c r="CV4" s="552"/>
      <c r="CW4" s="552"/>
      <c r="CX4" s="552"/>
      <c r="CY4" s="552"/>
      <c r="CZ4" s="552"/>
      <c r="DA4" s="558"/>
      <c r="DB4" s="579" t="s">
        <v>234</v>
      </c>
      <c r="DC4" s="580">
        <f>$CS$38*$CS$28/(DC$3-$CS$21)</f>
        <v>4.3020000000000023</v>
      </c>
      <c r="DD4" s="581">
        <f>$CS$38*$CS$28/(DD$3-$CS$21)</f>
        <v>3.7958823529411778</v>
      </c>
      <c r="DE4" s="582">
        <f>$CS$38*$CS$28/(DE$3-$CS$21)</f>
        <v>2.9331818181818212</v>
      </c>
      <c r="DF4" s="583">
        <f>$CS$37*$CS$31</f>
        <v>1.2941176470588241E-3</v>
      </c>
      <c r="DG4" s="584">
        <f>$CS$37*$CS$31</f>
        <v>1.2941176470588241E-3</v>
      </c>
      <c r="DH4" s="585">
        <f>$CS$37*$CS$31</f>
        <v>1.2941176470588241E-3</v>
      </c>
      <c r="DI4" s="586"/>
      <c r="DJ4" s="586"/>
      <c r="DK4" s="586"/>
      <c r="DL4" s="586"/>
      <c r="DM4" s="586"/>
      <c r="DN4" s="586"/>
      <c r="DO4" s="586"/>
      <c r="DP4" s="586"/>
      <c r="DQ4" s="586"/>
      <c r="DR4" s="586"/>
      <c r="DS4" s="586"/>
      <c r="DT4" s="586"/>
      <c r="DU4" s="1210" t="s">
        <v>231</v>
      </c>
      <c r="DV4" s="1211"/>
      <c r="DW4" s="1212"/>
      <c r="DX4" s="563"/>
      <c r="DY4" s="563"/>
      <c r="DZ4" s="587"/>
      <c r="EA4" s="588">
        <f>3</f>
        <v>3</v>
      </c>
      <c r="EB4" s="589">
        <f>6</f>
        <v>6</v>
      </c>
      <c r="EC4" s="589">
        <f>$CS$33</f>
        <v>12.5</v>
      </c>
      <c r="ED4" s="590">
        <f>$EA$4</f>
        <v>3</v>
      </c>
      <c r="EE4" s="591">
        <f>$EB$4</f>
        <v>6</v>
      </c>
      <c r="EF4" s="592">
        <f>$EC$4</f>
        <v>12.5</v>
      </c>
      <c r="EG4" s="590">
        <f>$EA$4</f>
        <v>3</v>
      </c>
      <c r="EH4" s="591">
        <f>$EB$4</f>
        <v>6</v>
      </c>
      <c r="EI4" s="592">
        <f>$EC$4</f>
        <v>12.5</v>
      </c>
      <c r="EJ4" s="558"/>
      <c r="EN4" s="558"/>
      <c r="EO4" s="593">
        <f>$B$14</f>
        <v>1.9</v>
      </c>
      <c r="EP4" s="594">
        <f>$B$11</f>
        <v>1.84</v>
      </c>
      <c r="EQ4" s="595">
        <f>$B$6</f>
        <v>1.75</v>
      </c>
      <c r="ER4" s="593">
        <f>$B$14</f>
        <v>1.9</v>
      </c>
      <c r="ES4" s="594">
        <f>$B$11</f>
        <v>1.84</v>
      </c>
      <c r="ET4" s="595">
        <f>$B$6</f>
        <v>1.75</v>
      </c>
      <c r="EU4" s="593">
        <f>$B$14</f>
        <v>1.9</v>
      </c>
      <c r="EV4" s="594">
        <f>$B$11</f>
        <v>1.84</v>
      </c>
      <c r="EW4" s="595">
        <f>$B$6</f>
        <v>1.75</v>
      </c>
      <c r="EX4" s="593">
        <f>$B$14</f>
        <v>1.9</v>
      </c>
      <c r="EY4" s="594">
        <f>$B$11</f>
        <v>1.84</v>
      </c>
      <c r="EZ4" s="595">
        <f>$B$6</f>
        <v>1.75</v>
      </c>
      <c r="FA4" s="552"/>
      <c r="FB4" s="552"/>
      <c r="FC4" s="552"/>
      <c r="FD4" s="552"/>
      <c r="FE4" s="596">
        <f>$B$14</f>
        <v>1.9</v>
      </c>
      <c r="FF4" s="597">
        <f>$B$11</f>
        <v>1.84</v>
      </c>
      <c r="FG4" s="598">
        <f>$B$6</f>
        <v>1.75</v>
      </c>
      <c r="FH4" s="596">
        <f>$B$14</f>
        <v>1.9</v>
      </c>
      <c r="FI4" s="597">
        <f>$B$11</f>
        <v>1.84</v>
      </c>
      <c r="FJ4" s="598">
        <f>$B$6</f>
        <v>1.75</v>
      </c>
      <c r="FK4" s="599"/>
      <c r="FL4" s="599"/>
      <c r="FM4" s="599"/>
      <c r="FN4" s="593">
        <f>$B$14</f>
        <v>1.9</v>
      </c>
      <c r="FO4" s="594">
        <f>$B$11</f>
        <v>1.84</v>
      </c>
      <c r="FP4" s="595">
        <f>$B$6</f>
        <v>1.75</v>
      </c>
      <c r="FQ4" s="596">
        <f>$B$14</f>
        <v>1.9</v>
      </c>
      <c r="FR4" s="597">
        <f>$B$11</f>
        <v>1.84</v>
      </c>
      <c r="FS4" s="598">
        <f>$B$6</f>
        <v>1.75</v>
      </c>
      <c r="FT4" s="552"/>
    </row>
    <row r="5" spans="2:181" ht="15" customHeight="1" x14ac:dyDescent="0.25">
      <c r="B5" s="600" t="s">
        <v>235</v>
      </c>
      <c r="C5" s="1246" t="s">
        <v>236</v>
      </c>
      <c r="D5" s="1246"/>
      <c r="E5" s="1246"/>
      <c r="F5" s="1246"/>
      <c r="G5" s="1246"/>
      <c r="H5" s="1246"/>
      <c r="I5" s="1246"/>
      <c r="J5" s="1246"/>
      <c r="K5" s="1246"/>
      <c r="L5" s="1246"/>
      <c r="M5" s="1246"/>
      <c r="N5" s="1246"/>
      <c r="O5" s="1246"/>
      <c r="P5" s="1246"/>
      <c r="Q5" s="1246"/>
      <c r="R5" s="1246"/>
      <c r="S5" s="1247"/>
      <c r="T5" s="578"/>
      <c r="U5" s="578"/>
      <c r="V5" s="550"/>
      <c r="W5" s="550"/>
      <c r="X5" s="550"/>
      <c r="Y5" s="550"/>
      <c r="Z5" s="550"/>
      <c r="AA5" s="550"/>
      <c r="AB5" s="550"/>
      <c r="AC5" s="578"/>
      <c r="AD5" s="578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K5" s="552"/>
      <c r="CL5" s="552"/>
      <c r="CM5" s="552"/>
      <c r="CN5" s="552"/>
      <c r="CO5" s="552"/>
      <c r="CP5" s="552"/>
      <c r="CQ5" s="552"/>
      <c r="CR5" s="552"/>
      <c r="CS5" s="552"/>
      <c r="CT5" s="552"/>
      <c r="CU5" s="552"/>
      <c r="CV5" s="552"/>
      <c r="CW5" s="552"/>
      <c r="CX5" s="552"/>
      <c r="CY5" s="552"/>
      <c r="CZ5" s="601" t="s">
        <v>237</v>
      </c>
      <c r="DA5" s="428" t="s">
        <v>238</v>
      </c>
      <c r="DB5" s="428" t="s">
        <v>239</v>
      </c>
      <c r="DC5" s="1223" t="s">
        <v>240</v>
      </c>
      <c r="DD5" s="1224"/>
      <c r="DE5" s="1225"/>
      <c r="DF5" s="1210" t="s">
        <v>241</v>
      </c>
      <c r="DG5" s="1211"/>
      <c r="DH5" s="1212"/>
      <c r="DI5" s="1210" t="s">
        <v>242</v>
      </c>
      <c r="DJ5" s="1211"/>
      <c r="DK5" s="1212"/>
      <c r="DL5" s="1210" t="s">
        <v>243</v>
      </c>
      <c r="DM5" s="1211"/>
      <c r="DN5" s="1212"/>
      <c r="DO5" s="428" t="s">
        <v>165</v>
      </c>
      <c r="DP5" s="331"/>
      <c r="DQ5" s="428" t="s">
        <v>239</v>
      </c>
      <c r="DR5" s="1210" t="s">
        <v>231</v>
      </c>
      <c r="DS5" s="1211"/>
      <c r="DT5" s="1212"/>
      <c r="DU5" s="1211" t="s">
        <v>244</v>
      </c>
      <c r="DV5" s="1211"/>
      <c r="DW5" s="1212"/>
      <c r="DX5" s="428" t="s">
        <v>245</v>
      </c>
      <c r="DY5" s="508"/>
      <c r="DZ5" s="428" t="s">
        <v>239</v>
      </c>
      <c r="EA5" s="1210" t="s">
        <v>246</v>
      </c>
      <c r="EB5" s="1211"/>
      <c r="EC5" s="1212"/>
      <c r="ED5" s="1210" t="s">
        <v>247</v>
      </c>
      <c r="EE5" s="1211"/>
      <c r="EF5" s="1212"/>
      <c r="EG5" s="1210" t="s">
        <v>247</v>
      </c>
      <c r="EH5" s="1211"/>
      <c r="EI5" s="1211"/>
      <c r="EJ5" s="427" t="s">
        <v>248</v>
      </c>
      <c r="EK5" s="427" t="s">
        <v>168</v>
      </c>
      <c r="EL5" s="427" t="s">
        <v>169</v>
      </c>
      <c r="EN5" s="602" t="s">
        <v>249</v>
      </c>
      <c r="EO5" s="1210" t="s">
        <v>250</v>
      </c>
      <c r="EP5" s="1211"/>
      <c r="EQ5" s="1212"/>
      <c r="ER5" s="1210" t="s">
        <v>251</v>
      </c>
      <c r="ES5" s="1211"/>
      <c r="ET5" s="1211"/>
      <c r="EU5" s="429" t="s">
        <v>164</v>
      </c>
      <c r="EV5" s="430" t="s">
        <v>165</v>
      </c>
      <c r="EW5" s="431" t="s">
        <v>252</v>
      </c>
      <c r="EX5" s="1210" t="s">
        <v>253</v>
      </c>
      <c r="EY5" s="1211"/>
      <c r="EZ5" s="1212"/>
      <c r="FA5" s="602" t="s">
        <v>249</v>
      </c>
      <c r="FB5" s="603"/>
      <c r="FC5" s="428" t="s">
        <v>254</v>
      </c>
      <c r="FD5" s="428" t="s">
        <v>255</v>
      </c>
      <c r="FE5" s="1223" t="s">
        <v>251</v>
      </c>
      <c r="FF5" s="1224"/>
      <c r="FG5" s="1224"/>
      <c r="FH5" s="1254" t="s">
        <v>251</v>
      </c>
      <c r="FI5" s="1254"/>
      <c r="FJ5" s="1254"/>
      <c r="FK5" s="429" t="s">
        <v>164</v>
      </c>
      <c r="FL5" s="430" t="s">
        <v>165</v>
      </c>
      <c r="FM5" s="431" t="s">
        <v>252</v>
      </c>
      <c r="FN5" s="1224" t="s">
        <v>250</v>
      </c>
      <c r="FO5" s="1224"/>
      <c r="FP5" s="1225"/>
      <c r="FQ5" s="1255" t="s">
        <v>256</v>
      </c>
      <c r="FR5" s="1254"/>
      <c r="FS5" s="1256"/>
      <c r="FT5" s="1251" t="s">
        <v>257</v>
      </c>
      <c r="FU5" s="1252"/>
      <c r="FV5" s="1253"/>
    </row>
    <row r="6" spans="2:181" ht="15" customHeight="1" x14ac:dyDescent="0.2">
      <c r="B6" s="604">
        <v>1.75</v>
      </c>
      <c r="C6" s="539">
        <v>133</v>
      </c>
      <c r="D6" s="605">
        <v>129</v>
      </c>
      <c r="E6" s="605">
        <v>124</v>
      </c>
      <c r="F6" s="605">
        <v>121.5</v>
      </c>
      <c r="G6" s="605">
        <v>116.5</v>
      </c>
      <c r="H6" s="605">
        <v>114.5</v>
      </c>
      <c r="I6" s="606">
        <v>109</v>
      </c>
      <c r="J6" s="605">
        <v>105</v>
      </c>
      <c r="K6" s="605">
        <v>103</v>
      </c>
      <c r="L6" s="607">
        <v>100</v>
      </c>
      <c r="M6" s="605">
        <v>97</v>
      </c>
      <c r="N6" s="605">
        <v>94</v>
      </c>
      <c r="O6" s="605">
        <v>90</v>
      </c>
      <c r="P6" s="605">
        <v>85</v>
      </c>
      <c r="Q6" s="444">
        <v>78.5</v>
      </c>
      <c r="R6" s="605">
        <v>71</v>
      </c>
      <c r="S6" s="606">
        <v>52</v>
      </c>
      <c r="T6" s="578"/>
      <c r="U6" s="578"/>
      <c r="V6" s="550"/>
      <c r="W6" s="550"/>
      <c r="X6" s="550"/>
      <c r="Y6" s="550"/>
      <c r="Z6" s="550"/>
      <c r="AA6" s="550"/>
      <c r="AB6" s="550"/>
      <c r="AC6" s="578"/>
      <c r="AD6" s="578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550"/>
      <c r="AW6" s="550"/>
      <c r="AX6" s="550"/>
      <c r="AY6" s="550"/>
      <c r="AZ6" s="550"/>
      <c r="BA6" s="550"/>
      <c r="BB6" s="550"/>
      <c r="BC6" s="550"/>
      <c r="BD6" s="550"/>
      <c r="BE6" s="550"/>
      <c r="BF6" s="550"/>
      <c r="BG6" s="550"/>
      <c r="BH6" s="550"/>
      <c r="BI6" s="550"/>
      <c r="BJ6" s="550"/>
      <c r="BK6" s="550"/>
      <c r="BL6" s="550"/>
      <c r="BM6" s="550"/>
      <c r="BN6" s="550"/>
      <c r="BO6" s="550"/>
      <c r="BP6" s="550"/>
      <c r="BQ6" s="550"/>
      <c r="BR6" s="550"/>
      <c r="BS6" s="550"/>
      <c r="BT6" s="550"/>
      <c r="BU6" s="550"/>
      <c r="BV6" s="550"/>
      <c r="BW6" s="550"/>
      <c r="BX6" s="550"/>
      <c r="BY6" s="550"/>
      <c r="BZ6" s="550"/>
      <c r="CA6" s="550"/>
      <c r="CB6" s="550"/>
      <c r="CC6" s="550"/>
      <c r="CD6" s="550"/>
      <c r="CE6" s="550"/>
      <c r="CF6" s="550"/>
      <c r="CG6" s="550"/>
      <c r="CH6" s="550"/>
      <c r="CK6" s="552"/>
      <c r="CL6" s="552"/>
      <c r="CM6" s="552"/>
      <c r="CN6" s="552"/>
      <c r="CO6" s="552"/>
      <c r="CP6" s="552"/>
      <c r="CQ6" s="552"/>
      <c r="CR6" s="552"/>
      <c r="CS6" s="552"/>
      <c r="CT6" s="552"/>
      <c r="CU6" s="552"/>
      <c r="CV6" s="552"/>
      <c r="CW6" s="552"/>
      <c r="CX6" s="552"/>
      <c r="CY6" s="552"/>
      <c r="CZ6" s="608">
        <v>0</v>
      </c>
      <c r="DA6" s="609">
        <f t="shared" ref="DA6:DA69" si="0">($CZ6/$CZ$127)*$CS$28</f>
        <v>0</v>
      </c>
      <c r="DB6" s="609">
        <f>($CZ6/$CZ$127)*$DB$2</f>
        <v>0</v>
      </c>
      <c r="DC6" s="610">
        <f t="shared" ref="DC6:DE25" si="1">$CS$28*(1-EXP(-$DB6/DC$4))</f>
        <v>0</v>
      </c>
      <c r="DD6" s="611">
        <f t="shared" si="1"/>
        <v>0</v>
      </c>
      <c r="DE6" s="612">
        <f t="shared" si="1"/>
        <v>0</v>
      </c>
      <c r="DF6" s="610">
        <f t="shared" ref="DF6:DH25" si="2">$CS$31*((DF$3-$CS$21)+($CS$23-DF$3)*EXP(-$DB6/DF$4))</f>
        <v>-42.705882352941202</v>
      </c>
      <c r="DG6" s="611">
        <f t="shared" si="2"/>
        <v>-42.705882352941202</v>
      </c>
      <c r="DH6" s="612">
        <f t="shared" si="2"/>
        <v>-42.705882352941202</v>
      </c>
      <c r="DI6" s="610">
        <f t="shared" ref="DI6:DK69" si="3">DC6+DF6</f>
        <v>-42.705882352941202</v>
      </c>
      <c r="DJ6" s="611">
        <f t="shared" si="3"/>
        <v>-42.705882352941202</v>
      </c>
      <c r="DK6" s="612">
        <f t="shared" si="3"/>
        <v>-42.705882352941202</v>
      </c>
      <c r="DL6" s="613">
        <f>DI6</f>
        <v>-42.705882352941202</v>
      </c>
      <c r="DM6" s="613">
        <f t="shared" ref="DM6:DN6" si="4">DJ6</f>
        <v>-42.705882352941202</v>
      </c>
      <c r="DN6" s="613">
        <f t="shared" si="4"/>
        <v>-42.705882352941202</v>
      </c>
      <c r="DO6" s="609">
        <f t="shared" ref="DO6:DO69" si="5">$CS$28</f>
        <v>135</v>
      </c>
      <c r="DP6" s="609"/>
      <c r="DQ6" s="609">
        <f>DB6</f>
        <v>0</v>
      </c>
      <c r="DR6" s="610">
        <f t="shared" ref="DR6:DT37" si="6">((DF$3-$CS$21)/$CS$38)*EXP(-$DB6/DC$4)-(($CS$23-DF$3)/$CS$36)*EXP(-$DB6/DF$4)</f>
        <v>132.00968395568535</v>
      </c>
      <c r="DS6" s="611">
        <f t="shared" si="6"/>
        <v>140.38665649149584</v>
      </c>
      <c r="DT6" s="612">
        <f t="shared" si="6"/>
        <v>161.32908783102192</v>
      </c>
      <c r="DU6" s="611"/>
      <c r="DV6" s="611"/>
      <c r="DW6" s="611"/>
      <c r="DX6" s="614">
        <f t="shared" ref="DX6:DX69" si="7">$CS$33</f>
        <v>12.5</v>
      </c>
      <c r="DY6" s="615"/>
      <c r="DZ6" s="616">
        <f>$DB6</f>
        <v>0</v>
      </c>
      <c r="EA6" s="611">
        <f t="shared" ref="EA6:EC25" si="8">IF((EA$4*$DZ6)&gt;=$CS$28,1000000,($CS$21+($CS$36*EA$4)/(1-(EA$4*$DZ6)/($CS$28))))</f>
        <v>2.0943100000000001</v>
      </c>
      <c r="EB6" s="611">
        <f t="shared" si="8"/>
        <v>2.1086200000000002</v>
      </c>
      <c r="EC6" s="611">
        <f t="shared" si="8"/>
        <v>2.1396250000000001</v>
      </c>
      <c r="ED6" s="610">
        <f t="shared" ref="ED6:EF25" si="9">($CS$25-$CS$21)+($CS$23-$CS$25)*EXP(-$DZ6/$CX$14)+$CS$37*ED$4</f>
        <v>-0.3299700000000001</v>
      </c>
      <c r="EE6" s="611">
        <f t="shared" si="9"/>
        <v>-0.32994000000000007</v>
      </c>
      <c r="EF6" s="612">
        <f t="shared" si="9"/>
        <v>-0.32987500000000008</v>
      </c>
      <c r="EG6" s="611">
        <f t="shared" ref="EG6:EI69" si="10">(EA6+ED6)</f>
        <v>1.76434</v>
      </c>
      <c r="EH6" s="611">
        <f t="shared" si="10"/>
        <v>1.77868</v>
      </c>
      <c r="EI6" s="611">
        <f t="shared" si="10"/>
        <v>1.80975</v>
      </c>
      <c r="EJ6" s="617">
        <f>$CS$25</f>
        <v>2.2999999999999998</v>
      </c>
      <c r="EK6" s="618">
        <f>$CS$20</f>
        <v>2.25</v>
      </c>
      <c r="EL6" s="619">
        <f>$CS$26</f>
        <v>2.83</v>
      </c>
      <c r="EN6" s="620">
        <f>($CZ6/$CZ$127)*$U$34</f>
        <v>0</v>
      </c>
      <c r="EO6" s="621">
        <f t="shared" ref="EO6:EQ21" si="11">$CS$28*((1-($CS$36*$EN6)/($CS$21-EO$4))/(1+(($CS$37*$EN6)/($CS$21-EO$4))))</f>
        <v>135</v>
      </c>
      <c r="EP6" s="621">
        <f t="shared" si="11"/>
        <v>135</v>
      </c>
      <c r="EQ6" s="621">
        <f t="shared" si="11"/>
        <v>135</v>
      </c>
      <c r="ER6" s="617">
        <f t="shared" ref="ER6:ET37" si="12">EO6+EX6</f>
        <v>157</v>
      </c>
      <c r="ES6" s="622">
        <f t="shared" si="12"/>
        <v>157</v>
      </c>
      <c r="ET6" s="623">
        <f t="shared" si="12"/>
        <v>157</v>
      </c>
      <c r="EU6" s="610">
        <f>$CS$29</f>
        <v>100</v>
      </c>
      <c r="EV6" s="611">
        <f>$CS$28</f>
        <v>135</v>
      </c>
      <c r="EW6" s="624">
        <f>IF(EN6&lt;$CS$33,1000000,-1000000)</f>
        <v>1000000</v>
      </c>
      <c r="EX6" s="610">
        <f t="shared" ref="EX6:EX69" si="13">$CS$30-($CS$30-EX$2)*((1-EXP(-$EN6/$EO$136))/(1-EXP(-1)))</f>
        <v>22</v>
      </c>
      <c r="EY6" s="621">
        <f t="shared" ref="EY6:EY69" si="14">$CS$30-($CS$30-EY$2)*((1-EXP(-$EN6/$EP$136))/(1-EXP(-1)))</f>
        <v>22</v>
      </c>
      <c r="EZ6" s="612">
        <f t="shared" ref="EZ6:EZ69" si="15">$CS$30-($CS$30-EZ$2)*((1-EXP(-$EN6/$EQ$136))/(1-EXP(-1)))</f>
        <v>22</v>
      </c>
      <c r="FA6" s="625">
        <f t="shared" ref="FA6:FA69" si="16">EN6</f>
        <v>0</v>
      </c>
      <c r="FB6" s="317"/>
      <c r="FC6" s="626">
        <f>$C$4</f>
        <v>100</v>
      </c>
      <c r="FD6" s="627">
        <v>1.17</v>
      </c>
      <c r="FE6" s="628">
        <f t="shared" ref="FE6:FG37" si="17">FN6+FQ6</f>
        <v>147.45567827817979</v>
      </c>
      <c r="FF6" s="629">
        <f t="shared" si="17"/>
        <v>149.26666586318584</v>
      </c>
      <c r="FG6" s="630">
        <f t="shared" si="17"/>
        <v>150.10884000101683</v>
      </c>
      <c r="FH6" s="631">
        <v>117</v>
      </c>
      <c r="FI6" s="632"/>
      <c r="FJ6" s="632"/>
      <c r="FK6" s="633">
        <f>$CS$29</f>
        <v>100</v>
      </c>
      <c r="FL6" s="564">
        <f>$CS$28</f>
        <v>135</v>
      </c>
      <c r="FM6" s="634">
        <f>IF(FD6&lt;$CS$33,-1000000000,1000000000)</f>
        <v>-1000000000</v>
      </c>
      <c r="FN6" s="635">
        <f t="shared" ref="FN6:FP21" si="18">$CS$28*((1-($CS$36*$FD6)/($CS$21-FN$4))/(1+(($CS$37*$FD6)/($CS$21-FN$4))))</f>
        <v>130.80582262152961</v>
      </c>
      <c r="FO6" s="635">
        <f t="shared" si="18"/>
        <v>131.85431585210222</v>
      </c>
      <c r="FP6" s="636">
        <f>$CS$28*((1-($CS$36*$FD6)/($CS$21-FP$4))/(1+(($CS$37*$FD6)/($CS$21-FP$4))))</f>
        <v>132.71219929475225</v>
      </c>
      <c r="FQ6" s="617">
        <f t="shared" ref="FQ6:FS21" si="19">$CS$30-($CS$30-FQ$2)*((1-EXP(-$FD6/$EQ$136))/(1-EXP(-1)))</f>
        <v>16.649855656650182</v>
      </c>
      <c r="FR6" s="622">
        <f t="shared" si="19"/>
        <v>17.412350011083618</v>
      </c>
      <c r="FS6" s="623">
        <f t="shared" si="19"/>
        <v>17.396640706264566</v>
      </c>
      <c r="FT6" s="637">
        <f>IF(FH6=0,0,(FE6-FH6)^2)</f>
        <v>927.54833938399224</v>
      </c>
      <c r="FU6" s="632">
        <f t="shared" ref="FU6:FV21" si="20">IF(FI6=0,0,(FF6-FI6)^2)</f>
        <v>0</v>
      </c>
      <c r="FV6" s="638">
        <f t="shared" si="20"/>
        <v>0</v>
      </c>
      <c r="FW6" s="637">
        <f>IF(FH6=0,0,1)</f>
        <v>1</v>
      </c>
      <c r="FX6" s="632">
        <f t="shared" ref="FX6:FY21" si="21">IF(FI6=0,0,1)</f>
        <v>0</v>
      </c>
      <c r="FY6" s="638">
        <f t="shared" si="21"/>
        <v>0</v>
      </c>
    </row>
    <row r="7" spans="2:181" ht="15" customHeight="1" x14ac:dyDescent="0.2">
      <c r="B7" s="639">
        <v>1.78</v>
      </c>
      <c r="C7" s="540">
        <v>132</v>
      </c>
      <c r="D7" s="640">
        <v>128</v>
      </c>
      <c r="E7" s="640">
        <v>123.5</v>
      </c>
      <c r="F7" s="640">
        <v>120</v>
      </c>
      <c r="G7" s="640">
        <v>115.5</v>
      </c>
      <c r="H7" s="640">
        <v>113.5</v>
      </c>
      <c r="I7" s="641">
        <v>108.5</v>
      </c>
      <c r="J7" s="640">
        <v>104.1</v>
      </c>
      <c r="K7" s="640">
        <v>102.1</v>
      </c>
      <c r="L7" s="640">
        <v>99</v>
      </c>
      <c r="M7" s="640">
        <v>96.2</v>
      </c>
      <c r="N7" s="640">
        <v>93</v>
      </c>
      <c r="O7" s="640">
        <v>89</v>
      </c>
      <c r="P7" s="640">
        <v>84</v>
      </c>
      <c r="Q7" s="640">
        <v>78</v>
      </c>
      <c r="R7" s="640">
        <v>69.5</v>
      </c>
      <c r="S7" s="641">
        <v>51.5</v>
      </c>
      <c r="T7" s="578"/>
      <c r="U7" s="578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550"/>
      <c r="CG7" s="550"/>
      <c r="CH7" s="550"/>
      <c r="CK7" s="552"/>
      <c r="CL7" s="552"/>
      <c r="CM7" s="552"/>
      <c r="CN7" s="552"/>
      <c r="CO7" s="552"/>
      <c r="CP7" s="552"/>
      <c r="CQ7" s="552"/>
      <c r="CR7" s="552"/>
      <c r="CS7" s="552"/>
      <c r="CT7" s="552"/>
      <c r="CU7" s="552"/>
      <c r="CV7" s="552"/>
      <c r="CW7" s="552"/>
      <c r="CX7" s="552"/>
      <c r="CY7" s="552"/>
      <c r="CZ7" s="642">
        <v>0</v>
      </c>
      <c r="DA7" s="609">
        <f t="shared" si="0"/>
        <v>0</v>
      </c>
      <c r="DB7" s="609">
        <f t="shared" ref="DB7:DB70" si="22">($CZ7/$CZ$127)*$DB$2</f>
        <v>0</v>
      </c>
      <c r="DC7" s="610">
        <f t="shared" si="1"/>
        <v>0</v>
      </c>
      <c r="DD7" s="611">
        <f t="shared" si="1"/>
        <v>0</v>
      </c>
      <c r="DE7" s="612">
        <f t="shared" si="1"/>
        <v>0</v>
      </c>
      <c r="DF7" s="610">
        <f t="shared" si="2"/>
        <v>-42.705882352941202</v>
      </c>
      <c r="DG7" s="611">
        <f t="shared" si="2"/>
        <v>-42.705882352941202</v>
      </c>
      <c r="DH7" s="612">
        <f t="shared" si="2"/>
        <v>-42.705882352941202</v>
      </c>
      <c r="DI7" s="610">
        <f t="shared" si="3"/>
        <v>-42.705882352941202</v>
      </c>
      <c r="DJ7" s="611">
        <f>DD7+DG7</f>
        <v>-42.705882352941202</v>
      </c>
      <c r="DK7" s="612">
        <f t="shared" si="3"/>
        <v>-42.705882352941202</v>
      </c>
      <c r="DL7" s="613">
        <f t="shared" ref="DL7:DN22" si="23">IF((DL6+$CS$33*($DB7-$DB6))&lt;DI7,(DL6+$CS$33*($DB7-$DB6)),DI7)</f>
        <v>-42.705882352941202</v>
      </c>
      <c r="DM7" s="613">
        <f t="shared" si="23"/>
        <v>-42.705882352941202</v>
      </c>
      <c r="DN7" s="613">
        <f t="shared" si="23"/>
        <v>-42.705882352941202</v>
      </c>
      <c r="DO7" s="609">
        <f t="shared" si="5"/>
        <v>135</v>
      </c>
      <c r="DP7" s="609"/>
      <c r="DQ7" s="609">
        <f t="shared" ref="DQ7:DQ70" si="24">DB7</f>
        <v>0</v>
      </c>
      <c r="DR7" s="610">
        <f t="shared" si="6"/>
        <v>132.00968395568535</v>
      </c>
      <c r="DS7" s="611">
        <f t="shared" si="6"/>
        <v>140.38665649149584</v>
      </c>
      <c r="DT7" s="612">
        <f t="shared" si="6"/>
        <v>161.32908783102192</v>
      </c>
      <c r="DU7" s="611"/>
      <c r="DV7" s="611"/>
      <c r="DW7" s="611"/>
      <c r="DX7" s="614">
        <f t="shared" si="7"/>
        <v>12.5</v>
      </c>
      <c r="DY7" s="615"/>
      <c r="DZ7" s="609">
        <f t="shared" ref="DZ7:DZ70" si="25">$DB7</f>
        <v>0</v>
      </c>
      <c r="EA7" s="611">
        <f t="shared" si="8"/>
        <v>2.0943100000000001</v>
      </c>
      <c r="EB7" s="611">
        <f t="shared" si="8"/>
        <v>2.1086200000000002</v>
      </c>
      <c r="EC7" s="611">
        <f t="shared" si="8"/>
        <v>2.1396250000000001</v>
      </c>
      <c r="ED7" s="610">
        <f t="shared" si="9"/>
        <v>-0.3299700000000001</v>
      </c>
      <c r="EE7" s="611">
        <f t="shared" si="9"/>
        <v>-0.32994000000000007</v>
      </c>
      <c r="EF7" s="612">
        <f t="shared" si="9"/>
        <v>-0.32987500000000008</v>
      </c>
      <c r="EG7" s="611">
        <f t="shared" si="10"/>
        <v>1.76434</v>
      </c>
      <c r="EH7" s="611">
        <f t="shared" si="10"/>
        <v>1.77868</v>
      </c>
      <c r="EI7" s="611">
        <f t="shared" si="10"/>
        <v>1.80975</v>
      </c>
      <c r="EJ7" s="610">
        <f t="shared" ref="EJ7:EJ70" si="26">$CS$25</f>
        <v>2.2999999999999998</v>
      </c>
      <c r="EK7" s="643">
        <f t="shared" ref="EK7:EK70" si="27">$CS$20</f>
        <v>2.25</v>
      </c>
      <c r="EL7" s="644">
        <f t="shared" ref="EL7:EL70" si="28">$CS$26</f>
        <v>2.83</v>
      </c>
      <c r="EN7" s="620">
        <f t="shared" ref="EN7:EN70" si="29">($CZ7/$CZ$127)*$U$34</f>
        <v>0</v>
      </c>
      <c r="EO7" s="621">
        <f t="shared" si="11"/>
        <v>135</v>
      </c>
      <c r="EP7" s="621">
        <f t="shared" si="11"/>
        <v>135</v>
      </c>
      <c r="EQ7" s="621">
        <f t="shared" si="11"/>
        <v>135</v>
      </c>
      <c r="ER7" s="610">
        <f t="shared" si="12"/>
        <v>157</v>
      </c>
      <c r="ES7" s="611">
        <f t="shared" si="12"/>
        <v>157</v>
      </c>
      <c r="ET7" s="612">
        <f t="shared" si="12"/>
        <v>157</v>
      </c>
      <c r="EU7" s="610">
        <f t="shared" ref="EU7:EU70" si="30">$CS$29</f>
        <v>100</v>
      </c>
      <c r="EV7" s="611">
        <f t="shared" ref="EV7:EV70" si="31">$CS$28</f>
        <v>135</v>
      </c>
      <c r="EW7" s="645">
        <f t="shared" ref="EW7:EW70" si="32">IF(EN7&lt;$CS$33,1000000,-1000000)</f>
        <v>1000000</v>
      </c>
      <c r="EX7" s="610">
        <f t="shared" si="13"/>
        <v>22</v>
      </c>
      <c r="EY7" s="621">
        <f t="shared" si="14"/>
        <v>22</v>
      </c>
      <c r="EZ7" s="612">
        <f t="shared" si="15"/>
        <v>22</v>
      </c>
      <c r="FA7" s="646">
        <f t="shared" si="16"/>
        <v>0</v>
      </c>
      <c r="FB7" s="317"/>
      <c r="FC7" s="647">
        <f>$D$4</f>
        <v>72</v>
      </c>
      <c r="FD7" s="648">
        <v>1.28</v>
      </c>
      <c r="FE7" s="649">
        <f t="shared" si="17"/>
        <v>146.58365545867187</v>
      </c>
      <c r="FF7" s="650">
        <f t="shared" si="17"/>
        <v>148.56129190937943</v>
      </c>
      <c r="FG7" s="651">
        <f t="shared" si="17"/>
        <v>149.48271160639842</v>
      </c>
      <c r="FI7" s="652">
        <v>128</v>
      </c>
      <c r="FJ7" s="653"/>
      <c r="FK7" s="633">
        <f t="shared" ref="FK7:FK56" si="33">$CS$29</f>
        <v>100</v>
      </c>
      <c r="FL7" s="564">
        <f t="shared" ref="FL7:FL56" si="34">$CS$28</f>
        <v>135</v>
      </c>
      <c r="FM7" s="634">
        <f t="shared" ref="FM7:FM56" si="35">IF(FD7&lt;$CS$33,-1000000000,1000000000)</f>
        <v>-1000000000</v>
      </c>
      <c r="FN7" s="621">
        <f t="shared" si="18"/>
        <v>130.41152629146373</v>
      </c>
      <c r="FO7" s="621">
        <f t="shared" si="18"/>
        <v>131.5585835422111</v>
      </c>
      <c r="FP7" s="654">
        <f t="shared" si="18"/>
        <v>132.49711526340795</v>
      </c>
      <c r="FQ7" s="610">
        <f t="shared" si="19"/>
        <v>16.172129167208141</v>
      </c>
      <c r="FR7" s="611">
        <f t="shared" si="19"/>
        <v>17.002708367168339</v>
      </c>
      <c r="FS7" s="612">
        <f>$CS$30-($CS$30-FS$2)*((1-EXP(-$FD7/$EQ$136))/(1-EXP(-1)))</f>
        <v>16.98559634299049</v>
      </c>
      <c r="FT7" s="633">
        <f t="shared" ref="FT7:FV56" si="36">IF(FH7=0,0,(FE7-FH7)^2)</f>
        <v>0</v>
      </c>
      <c r="FU7" s="564">
        <f t="shared" si="20"/>
        <v>422.76672498271222</v>
      </c>
      <c r="FV7" s="655">
        <f t="shared" si="20"/>
        <v>0</v>
      </c>
      <c r="FW7" s="633">
        <f t="shared" ref="FW7:FY56" si="37">IF(FH7=0,0,1)</f>
        <v>0</v>
      </c>
      <c r="FX7" s="564">
        <f t="shared" si="21"/>
        <v>1</v>
      </c>
      <c r="FY7" s="655">
        <f t="shared" si="21"/>
        <v>0</v>
      </c>
    </row>
    <row r="8" spans="2:181" ht="15" customHeight="1" x14ac:dyDescent="0.2">
      <c r="B8" s="639">
        <v>1.8</v>
      </c>
      <c r="C8" s="540">
        <v>131.5</v>
      </c>
      <c r="D8" s="640">
        <v>127.5</v>
      </c>
      <c r="E8" s="640">
        <v>122.5</v>
      </c>
      <c r="F8" s="640">
        <v>118.5</v>
      </c>
      <c r="G8" s="640">
        <v>114.5</v>
      </c>
      <c r="H8" s="640">
        <v>112.5</v>
      </c>
      <c r="I8" s="641">
        <v>107.5</v>
      </c>
      <c r="J8" s="450">
        <v>103.9</v>
      </c>
      <c r="K8" s="640">
        <v>101.9</v>
      </c>
      <c r="L8" s="640">
        <v>98.5</v>
      </c>
      <c r="M8" s="640">
        <v>96</v>
      </c>
      <c r="N8" s="640">
        <v>92.1</v>
      </c>
      <c r="O8" s="640">
        <v>88</v>
      </c>
      <c r="P8" s="640">
        <v>83</v>
      </c>
      <c r="Q8" s="640">
        <v>76.5</v>
      </c>
      <c r="R8" s="640">
        <v>68</v>
      </c>
      <c r="S8" s="641">
        <v>50.1</v>
      </c>
      <c r="T8" s="578"/>
      <c r="U8" s="578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550"/>
      <c r="BC8" s="550"/>
      <c r="BD8" s="550"/>
      <c r="BE8" s="550"/>
      <c r="BF8" s="550"/>
      <c r="BG8" s="550"/>
      <c r="BH8" s="550"/>
      <c r="BI8" s="550"/>
      <c r="BJ8" s="550"/>
      <c r="BK8" s="550"/>
      <c r="BL8" s="550"/>
      <c r="BM8" s="550"/>
      <c r="BN8" s="550"/>
      <c r="BO8" s="550"/>
      <c r="BP8" s="550"/>
      <c r="BQ8" s="550"/>
      <c r="BR8" s="550"/>
      <c r="BS8" s="550"/>
      <c r="BT8" s="550"/>
      <c r="BU8" s="550"/>
      <c r="BV8" s="550"/>
      <c r="BW8" s="550"/>
      <c r="BX8" s="550"/>
      <c r="BY8" s="550"/>
      <c r="BZ8" s="550"/>
      <c r="CA8" s="550"/>
      <c r="CB8" s="550"/>
      <c r="CC8" s="550"/>
      <c r="CD8" s="550"/>
      <c r="CE8" s="550"/>
      <c r="CF8" s="550"/>
      <c r="CG8" s="550"/>
      <c r="CH8" s="550"/>
      <c r="CK8" s="552"/>
      <c r="CL8" s="552"/>
      <c r="CM8" s="552"/>
      <c r="CN8" s="552"/>
      <c r="CO8" s="552"/>
      <c r="CP8" s="552"/>
      <c r="CQ8" s="552"/>
      <c r="CR8" s="552"/>
      <c r="CS8" s="552"/>
      <c r="CT8" s="552"/>
      <c r="CU8" s="552"/>
      <c r="CV8" s="552"/>
      <c r="CW8" s="552"/>
      <c r="CX8" s="552"/>
      <c r="CY8" s="552"/>
      <c r="CZ8" s="642">
        <f>CZ7+1</f>
        <v>1</v>
      </c>
      <c r="DA8" s="609">
        <f t="shared" si="0"/>
        <v>1.125</v>
      </c>
      <c r="DB8" s="609">
        <f t="shared" si="22"/>
        <v>0.4</v>
      </c>
      <c r="DC8" s="610">
        <f t="shared" si="1"/>
        <v>11.98641835674824</v>
      </c>
      <c r="DD8" s="611">
        <f t="shared" si="1"/>
        <v>13.502044610705216</v>
      </c>
      <c r="DE8" s="612">
        <f t="shared" si="1"/>
        <v>17.20991517185168</v>
      </c>
      <c r="DF8" s="610">
        <f t="shared" si="2"/>
        <v>19.411764705882348</v>
      </c>
      <c r="DG8" s="611">
        <f t="shared" si="2"/>
        <v>22</v>
      </c>
      <c r="DH8" s="612">
        <f t="shared" si="2"/>
        <v>28.470588235294098</v>
      </c>
      <c r="DI8" s="610">
        <f t="shared" si="3"/>
        <v>31.398183062630586</v>
      </c>
      <c r="DJ8" s="611">
        <f t="shared" si="3"/>
        <v>35.502044610705212</v>
      </c>
      <c r="DK8" s="612">
        <f t="shared" si="3"/>
        <v>45.680503407145778</v>
      </c>
      <c r="DL8" s="613">
        <f t="shared" si="23"/>
        <v>-37.705882352941202</v>
      </c>
      <c r="DM8" s="613">
        <f t="shared" si="23"/>
        <v>-37.705882352941202</v>
      </c>
      <c r="DN8" s="613">
        <f t="shared" si="23"/>
        <v>-37.705882352941202</v>
      </c>
      <c r="DO8" s="609">
        <f t="shared" si="5"/>
        <v>135</v>
      </c>
      <c r="DP8" s="609"/>
      <c r="DQ8" s="609">
        <f t="shared" si="24"/>
        <v>0.4</v>
      </c>
      <c r="DR8" s="610">
        <f t="shared" si="6"/>
        <v>28.594509912424851</v>
      </c>
      <c r="DS8" s="611">
        <f t="shared" si="6"/>
        <v>32.007829561723398</v>
      </c>
      <c r="DT8" s="612">
        <f t="shared" si="6"/>
        <v>40.157785002622973</v>
      </c>
      <c r="DU8" s="611">
        <f t="shared" ref="DU8:DW23" si="38">(DL8-DL7)/($DQ8-$DQ7)</f>
        <v>12.5</v>
      </c>
      <c r="DV8" s="611">
        <f t="shared" si="38"/>
        <v>12.5</v>
      </c>
      <c r="DW8" s="611">
        <f t="shared" si="38"/>
        <v>12.5</v>
      </c>
      <c r="DX8" s="614">
        <f t="shared" si="7"/>
        <v>12.5</v>
      </c>
      <c r="DY8" s="615"/>
      <c r="DZ8" s="609">
        <f t="shared" si="25"/>
        <v>0.4</v>
      </c>
      <c r="EA8" s="611">
        <f t="shared" si="8"/>
        <v>2.0944383408071752</v>
      </c>
      <c r="EB8" s="611">
        <f t="shared" si="8"/>
        <v>2.109138009049774</v>
      </c>
      <c r="EC8" s="611">
        <f t="shared" si="8"/>
        <v>2.1419182692307692</v>
      </c>
      <c r="ED8" s="610">
        <f t="shared" si="9"/>
        <v>0.22002999999999975</v>
      </c>
      <c r="EE8" s="611">
        <f t="shared" si="9"/>
        <v>0.22005999999999976</v>
      </c>
      <c r="EF8" s="612">
        <f t="shared" si="9"/>
        <v>0.22012499999999974</v>
      </c>
      <c r="EG8" s="611">
        <f t="shared" si="10"/>
        <v>2.3144683408071751</v>
      </c>
      <c r="EH8" s="611">
        <f t="shared" si="10"/>
        <v>2.3291980090497737</v>
      </c>
      <c r="EI8" s="611">
        <f t="shared" si="10"/>
        <v>2.3620432692307691</v>
      </c>
      <c r="EJ8" s="610">
        <f t="shared" si="26"/>
        <v>2.2999999999999998</v>
      </c>
      <c r="EK8" s="643">
        <f t="shared" si="27"/>
        <v>2.25</v>
      </c>
      <c r="EL8" s="644">
        <f t="shared" si="28"/>
        <v>2.83</v>
      </c>
      <c r="EN8" s="620">
        <f t="shared" si="29"/>
        <v>0.21805555555555556</v>
      </c>
      <c r="EO8" s="621">
        <f t="shared" si="11"/>
        <v>134.21828030324016</v>
      </c>
      <c r="EP8" s="621">
        <f t="shared" si="11"/>
        <v>134.41370845183874</v>
      </c>
      <c r="EQ8" s="621">
        <f t="shared" si="11"/>
        <v>134.57360509023573</v>
      </c>
      <c r="ER8" s="610">
        <f t="shared" si="12"/>
        <v>148.48312602859045</v>
      </c>
      <c r="ES8" s="611">
        <f t="shared" si="12"/>
        <v>154.06983421279287</v>
      </c>
      <c r="ET8" s="612">
        <f t="shared" si="12"/>
        <v>155.68268219566474</v>
      </c>
      <c r="EU8" s="610">
        <f t="shared" si="30"/>
        <v>100</v>
      </c>
      <c r="EV8" s="611">
        <f t="shared" si="31"/>
        <v>135</v>
      </c>
      <c r="EW8" s="645">
        <f t="shared" si="32"/>
        <v>1000000</v>
      </c>
      <c r="EX8" s="610">
        <f t="shared" si="13"/>
        <v>14.264845725350277</v>
      </c>
      <c r="EY8" s="621">
        <f t="shared" si="14"/>
        <v>19.656125760954115</v>
      </c>
      <c r="EZ8" s="612">
        <f t="shared" si="15"/>
        <v>21.109077105429012</v>
      </c>
      <c r="FA8" s="646">
        <f t="shared" si="16"/>
        <v>0.21805555555555556</v>
      </c>
      <c r="FB8" s="317"/>
      <c r="FC8" s="647">
        <f>$E$4</f>
        <v>48</v>
      </c>
      <c r="FD8" s="648">
        <v>1.33</v>
      </c>
      <c r="FE8" s="649">
        <f t="shared" si="17"/>
        <v>146.18866890721611</v>
      </c>
      <c r="FF8" s="650">
        <f t="shared" si="17"/>
        <v>148.241856634176</v>
      </c>
      <c r="FG8" s="651">
        <f t="shared" si="17"/>
        <v>149.19930068703306</v>
      </c>
      <c r="FI8" s="653"/>
      <c r="FJ8" s="652">
        <v>133</v>
      </c>
      <c r="FK8" s="633">
        <f t="shared" si="33"/>
        <v>100</v>
      </c>
      <c r="FL8" s="564">
        <f t="shared" si="34"/>
        <v>135</v>
      </c>
      <c r="FM8" s="634">
        <f t="shared" si="35"/>
        <v>-1000000000</v>
      </c>
      <c r="FN8" s="621">
        <f t="shared" si="18"/>
        <v>130.23230227988708</v>
      </c>
      <c r="FO8" s="621">
        <f t="shared" si="18"/>
        <v>131.42416066109669</v>
      </c>
      <c r="FP8" s="654">
        <f t="shared" si="18"/>
        <v>132.39935026861039</v>
      </c>
      <c r="FQ8" s="610">
        <f t="shared" si="19"/>
        <v>15.956366627329025</v>
      </c>
      <c r="FR8" s="611">
        <f t="shared" si="19"/>
        <v>16.817695973079314</v>
      </c>
      <c r="FS8" s="612">
        <f t="shared" si="19"/>
        <v>16.799950418422664</v>
      </c>
      <c r="FT8" s="633">
        <f t="shared" si="36"/>
        <v>0</v>
      </c>
      <c r="FU8" s="564">
        <f t="shared" si="20"/>
        <v>0</v>
      </c>
      <c r="FV8" s="655">
        <f t="shared" si="20"/>
        <v>262.41734274890973</v>
      </c>
      <c r="FW8" s="633">
        <f t="shared" si="37"/>
        <v>0</v>
      </c>
      <c r="FX8" s="564">
        <f t="shared" si="21"/>
        <v>0</v>
      </c>
      <c r="FY8" s="655">
        <f t="shared" si="21"/>
        <v>1</v>
      </c>
    </row>
    <row r="9" spans="2:181" ht="15" customHeight="1" x14ac:dyDescent="0.25">
      <c r="B9" s="639">
        <v>1.81</v>
      </c>
      <c r="C9" s="540">
        <v>131</v>
      </c>
      <c r="D9" s="640">
        <v>127</v>
      </c>
      <c r="E9" s="640">
        <v>121.5</v>
      </c>
      <c r="F9" s="640">
        <v>118</v>
      </c>
      <c r="G9" s="640">
        <v>114.4</v>
      </c>
      <c r="H9" s="640">
        <v>112</v>
      </c>
      <c r="I9" s="656">
        <v>107</v>
      </c>
      <c r="J9" s="640">
        <v>103</v>
      </c>
      <c r="K9" s="640">
        <v>101</v>
      </c>
      <c r="L9" s="640">
        <v>98</v>
      </c>
      <c r="M9" s="640">
        <v>95.1</v>
      </c>
      <c r="N9" s="640">
        <v>91.9</v>
      </c>
      <c r="O9" s="640">
        <v>87.5</v>
      </c>
      <c r="P9" s="640">
        <v>82.5</v>
      </c>
      <c r="Q9" s="640">
        <v>76</v>
      </c>
      <c r="R9" s="640">
        <v>67.5</v>
      </c>
      <c r="S9" s="641">
        <v>49.9</v>
      </c>
      <c r="T9" s="578"/>
      <c r="U9" s="578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550"/>
      <c r="CG9" s="550"/>
      <c r="CH9" s="550"/>
      <c r="CK9" s="552"/>
      <c r="CL9" s="552"/>
      <c r="CM9" s="552"/>
      <c r="CN9" s="171" t="s">
        <v>258</v>
      </c>
      <c r="CO9" s="552"/>
      <c r="CP9" s="552"/>
      <c r="CQ9" s="552"/>
      <c r="CR9" s="552"/>
      <c r="CS9" s="552"/>
      <c r="CT9" s="552"/>
      <c r="CU9" s="552"/>
      <c r="CV9" s="552"/>
      <c r="CW9" s="552"/>
      <c r="CX9" s="552"/>
      <c r="CY9" s="552"/>
      <c r="CZ9" s="642">
        <f t="shared" ref="CZ9:CZ72" si="39">CZ8+1</f>
        <v>2</v>
      </c>
      <c r="DA9" s="609">
        <f t="shared" si="0"/>
        <v>2.25</v>
      </c>
      <c r="DB9" s="609">
        <f t="shared" si="22"/>
        <v>0.8</v>
      </c>
      <c r="DC9" s="610">
        <f t="shared" si="1"/>
        <v>22.908583194807651</v>
      </c>
      <c r="DD9" s="611">
        <f t="shared" si="1"/>
        <v>25.653680268303212</v>
      </c>
      <c r="DE9" s="612">
        <f t="shared" si="1"/>
        <v>32.225895675389808</v>
      </c>
      <c r="DF9" s="610">
        <f t="shared" si="2"/>
        <v>19.411764705882348</v>
      </c>
      <c r="DG9" s="611">
        <f t="shared" si="2"/>
        <v>22</v>
      </c>
      <c r="DH9" s="612">
        <f t="shared" si="2"/>
        <v>28.470588235294098</v>
      </c>
      <c r="DI9" s="610">
        <f t="shared" si="3"/>
        <v>42.320347900689995</v>
      </c>
      <c r="DJ9" s="611">
        <f t="shared" si="3"/>
        <v>47.653680268303212</v>
      </c>
      <c r="DK9" s="612">
        <f t="shared" si="3"/>
        <v>60.696483910683909</v>
      </c>
      <c r="DL9" s="613">
        <f t="shared" si="23"/>
        <v>-32.705882352941202</v>
      </c>
      <c r="DM9" s="613">
        <f t="shared" si="23"/>
        <v>-32.705882352941202</v>
      </c>
      <c r="DN9" s="613">
        <f t="shared" si="23"/>
        <v>-32.705882352941202</v>
      </c>
      <c r="DO9" s="609">
        <f t="shared" si="5"/>
        <v>135</v>
      </c>
      <c r="DP9" s="609"/>
      <c r="DQ9" s="609">
        <f t="shared" si="24"/>
        <v>0.8</v>
      </c>
      <c r="DR9" s="610">
        <f t="shared" si="6"/>
        <v>26.055652441932192</v>
      </c>
      <c r="DS9" s="611">
        <f t="shared" si="6"/>
        <v>28.806561838506816</v>
      </c>
      <c r="DT9" s="612">
        <f t="shared" si="6"/>
        <v>35.038436310885196</v>
      </c>
      <c r="DU9" s="611">
        <f t="shared" si="38"/>
        <v>12.5</v>
      </c>
      <c r="DV9" s="611">
        <f t="shared" si="38"/>
        <v>12.5</v>
      </c>
      <c r="DW9" s="611">
        <f t="shared" si="38"/>
        <v>12.5</v>
      </c>
      <c r="DX9" s="614">
        <f t="shared" si="7"/>
        <v>12.5</v>
      </c>
      <c r="DY9" s="615"/>
      <c r="DZ9" s="609">
        <f t="shared" si="25"/>
        <v>0.8</v>
      </c>
      <c r="EA9" s="611">
        <f t="shared" si="8"/>
        <v>2.094569004524887</v>
      </c>
      <c r="EB9" s="611">
        <f t="shared" si="8"/>
        <v>2.1096751152073732</v>
      </c>
      <c r="EC9" s="611">
        <f t="shared" si="8"/>
        <v>2.1443950000000003</v>
      </c>
      <c r="ED9" s="610">
        <f t="shared" si="9"/>
        <v>0.22002999999999975</v>
      </c>
      <c r="EE9" s="611">
        <f t="shared" si="9"/>
        <v>0.22005999999999976</v>
      </c>
      <c r="EF9" s="612">
        <f t="shared" si="9"/>
        <v>0.22012499999999974</v>
      </c>
      <c r="EG9" s="611">
        <f t="shared" si="10"/>
        <v>2.314599004524887</v>
      </c>
      <c r="EH9" s="611">
        <f t="shared" si="10"/>
        <v>2.3297351152073729</v>
      </c>
      <c r="EI9" s="611">
        <f t="shared" si="10"/>
        <v>2.3645200000000002</v>
      </c>
      <c r="EJ9" s="610">
        <f t="shared" si="26"/>
        <v>2.2999999999999998</v>
      </c>
      <c r="EK9" s="643">
        <f t="shared" si="27"/>
        <v>2.25</v>
      </c>
      <c r="EL9" s="644">
        <f t="shared" si="28"/>
        <v>2.83</v>
      </c>
      <c r="EN9" s="620">
        <f t="shared" si="29"/>
        <v>0.43611111111111112</v>
      </c>
      <c r="EO9" s="621">
        <f t="shared" si="11"/>
        <v>133.43657954583506</v>
      </c>
      <c r="EP9" s="621">
        <f t="shared" si="11"/>
        <v>133.82742755716129</v>
      </c>
      <c r="EQ9" s="621">
        <f t="shared" si="11"/>
        <v>134.14721581541389</v>
      </c>
      <c r="ER9" s="610">
        <f t="shared" si="12"/>
        <v>140.96553869971243</v>
      </c>
      <c r="ES9" s="611">
        <f t="shared" si="12"/>
        <v>151.24668005174451</v>
      </c>
      <c r="ET9" s="612">
        <f t="shared" si="12"/>
        <v>154.38077690826012</v>
      </c>
      <c r="EU9" s="610">
        <f t="shared" si="30"/>
        <v>100</v>
      </c>
      <c r="EV9" s="611">
        <f t="shared" si="31"/>
        <v>135</v>
      </c>
      <c r="EW9" s="645">
        <f t="shared" si="32"/>
        <v>1000000</v>
      </c>
      <c r="EX9" s="610">
        <f t="shared" si="13"/>
        <v>7.5289591538773628</v>
      </c>
      <c r="EY9" s="621">
        <f t="shared" si="14"/>
        <v>17.419252494583219</v>
      </c>
      <c r="EZ9" s="612">
        <f t="shared" si="15"/>
        <v>20.233561092846241</v>
      </c>
      <c r="FA9" s="646">
        <f t="shared" si="16"/>
        <v>0.43611111111111112</v>
      </c>
      <c r="FB9" s="317"/>
      <c r="FC9" s="647">
        <f>$F$4</f>
        <v>36</v>
      </c>
      <c r="FD9" s="648">
        <v>1.5763888888888888</v>
      </c>
      <c r="FE9" s="649">
        <f t="shared" si="17"/>
        <v>144.25479194281024</v>
      </c>
      <c r="FF9" s="650">
        <f t="shared" si="17"/>
        <v>146.67848966917933</v>
      </c>
      <c r="FG9" s="651">
        <f t="shared" si="17"/>
        <v>147.81348663447932</v>
      </c>
      <c r="FH9" s="652">
        <v>113.5</v>
      </c>
      <c r="FK9" s="633">
        <f t="shared" si="33"/>
        <v>100</v>
      </c>
      <c r="FL9" s="564">
        <f t="shared" si="34"/>
        <v>135</v>
      </c>
      <c r="FM9" s="634">
        <f t="shared" si="35"/>
        <v>-1000000000</v>
      </c>
      <c r="FN9" s="621">
        <f t="shared" si="18"/>
        <v>129.34914071954347</v>
      </c>
      <c r="FO9" s="621">
        <f t="shared" si="18"/>
        <v>130.76176275458758</v>
      </c>
      <c r="FP9" s="654">
        <f t="shared" si="18"/>
        <v>131.91759042655158</v>
      </c>
      <c r="FQ9" s="610">
        <f t="shared" si="19"/>
        <v>14.905651223266759</v>
      </c>
      <c r="FR9" s="611">
        <f t="shared" si="19"/>
        <v>15.916726914591734</v>
      </c>
      <c r="FS9" s="612">
        <f t="shared" si="19"/>
        <v>15.895896207927738</v>
      </c>
      <c r="FT9" s="633">
        <f t="shared" si="36"/>
        <v>945.85722744554585</v>
      </c>
      <c r="FU9" s="564">
        <f t="shared" si="20"/>
        <v>0</v>
      </c>
      <c r="FV9" s="655">
        <f t="shared" si="20"/>
        <v>0</v>
      </c>
      <c r="FW9" s="633">
        <f t="shared" si="37"/>
        <v>1</v>
      </c>
      <c r="FX9" s="564">
        <f t="shared" si="21"/>
        <v>0</v>
      </c>
      <c r="FY9" s="655">
        <f t="shared" si="21"/>
        <v>0</v>
      </c>
    </row>
    <row r="10" spans="2:181" ht="15" customHeight="1" x14ac:dyDescent="0.2">
      <c r="B10" s="639">
        <v>1.83</v>
      </c>
      <c r="C10" s="540">
        <v>129</v>
      </c>
      <c r="D10" s="640">
        <v>125</v>
      </c>
      <c r="E10" s="640">
        <v>120.5</v>
      </c>
      <c r="F10" s="640">
        <v>117.5</v>
      </c>
      <c r="G10" s="640">
        <v>113</v>
      </c>
      <c r="H10" s="450">
        <v>111</v>
      </c>
      <c r="I10" s="641">
        <v>106</v>
      </c>
      <c r="J10" s="640">
        <v>102.5</v>
      </c>
      <c r="K10" s="640">
        <v>100</v>
      </c>
      <c r="L10" s="657">
        <v>97</v>
      </c>
      <c r="M10" s="640">
        <v>94</v>
      </c>
      <c r="N10" s="640">
        <v>90</v>
      </c>
      <c r="O10" s="657">
        <v>86</v>
      </c>
      <c r="P10" s="640">
        <v>80.5</v>
      </c>
      <c r="Q10" s="640">
        <v>74</v>
      </c>
      <c r="R10" s="640">
        <v>65</v>
      </c>
      <c r="S10" s="641">
        <v>48</v>
      </c>
      <c r="T10" s="578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550"/>
      <c r="CG10" s="550"/>
      <c r="CH10" s="550"/>
      <c r="CK10" s="552"/>
      <c r="CL10" s="552"/>
      <c r="CM10" s="552"/>
      <c r="CN10" s="552"/>
      <c r="CO10" s="552"/>
      <c r="CP10" s="552"/>
      <c r="CQ10" s="552"/>
      <c r="CR10" s="552"/>
      <c r="CS10" s="552"/>
      <c r="CT10" s="552"/>
      <c r="CU10" s="552"/>
      <c r="CV10" s="552"/>
      <c r="CW10" s="552"/>
      <c r="CX10" s="552"/>
      <c r="CY10" s="552"/>
      <c r="CZ10" s="642">
        <f t="shared" si="39"/>
        <v>3</v>
      </c>
      <c r="DA10" s="609">
        <f t="shared" si="0"/>
        <v>3.375</v>
      </c>
      <c r="DB10" s="609">
        <f t="shared" si="22"/>
        <v>1.2000000000000002</v>
      </c>
      <c r="DC10" s="610">
        <f t="shared" si="1"/>
        <v>32.860987757975614</v>
      </c>
      <c r="DD10" s="611">
        <f t="shared" si="1"/>
        <v>36.589968320405461</v>
      </c>
      <c r="DE10" s="612">
        <f t="shared" si="1"/>
        <v>45.327626173831128</v>
      </c>
      <c r="DF10" s="610">
        <f t="shared" si="2"/>
        <v>19.411764705882348</v>
      </c>
      <c r="DG10" s="611">
        <f t="shared" si="2"/>
        <v>22</v>
      </c>
      <c r="DH10" s="612">
        <f t="shared" si="2"/>
        <v>28.470588235294098</v>
      </c>
      <c r="DI10" s="610">
        <f t="shared" si="3"/>
        <v>52.272752463857962</v>
      </c>
      <c r="DJ10" s="611">
        <f t="shared" si="3"/>
        <v>58.589968320405461</v>
      </c>
      <c r="DK10" s="612">
        <f t="shared" si="3"/>
        <v>73.798214409125222</v>
      </c>
      <c r="DL10" s="613">
        <f t="shared" si="23"/>
        <v>-27.705882352941202</v>
      </c>
      <c r="DM10" s="613">
        <f t="shared" si="23"/>
        <v>-27.705882352941202</v>
      </c>
      <c r="DN10" s="613">
        <f t="shared" si="23"/>
        <v>-27.705882352941202</v>
      </c>
      <c r="DO10" s="609">
        <f t="shared" si="5"/>
        <v>135</v>
      </c>
      <c r="DP10" s="609"/>
      <c r="DQ10" s="609">
        <f t="shared" si="24"/>
        <v>1.2000000000000002</v>
      </c>
      <c r="DR10" s="610">
        <f t="shared" si="6"/>
        <v>23.742215769880136</v>
      </c>
      <c r="DS10" s="611">
        <f t="shared" si="6"/>
        <v>25.925469371658249</v>
      </c>
      <c r="DT10" s="612">
        <f t="shared" si="6"/>
        <v>30.57170655781362</v>
      </c>
      <c r="DU10" s="611">
        <f t="shared" si="38"/>
        <v>12.499999999999996</v>
      </c>
      <c r="DV10" s="611">
        <f t="shared" si="38"/>
        <v>12.499999999999996</v>
      </c>
      <c r="DW10" s="611">
        <f t="shared" si="38"/>
        <v>12.499999999999996</v>
      </c>
      <c r="DX10" s="614">
        <f t="shared" si="7"/>
        <v>12.5</v>
      </c>
      <c r="DY10" s="615"/>
      <c r="DZ10" s="609">
        <f t="shared" si="25"/>
        <v>1.2000000000000002</v>
      </c>
      <c r="EA10" s="611">
        <f t="shared" si="8"/>
        <v>2.0947020547945208</v>
      </c>
      <c r="EB10" s="611">
        <f t="shared" si="8"/>
        <v>2.1102323943661974</v>
      </c>
      <c r="EC10" s="611">
        <f t="shared" si="8"/>
        <v>2.1470781250000002</v>
      </c>
      <c r="ED10" s="610">
        <f t="shared" si="9"/>
        <v>0.22002999999999975</v>
      </c>
      <c r="EE10" s="611">
        <f t="shared" si="9"/>
        <v>0.22005999999999976</v>
      </c>
      <c r="EF10" s="612">
        <f t="shared" si="9"/>
        <v>0.22012499999999974</v>
      </c>
      <c r="EG10" s="611">
        <f t="shared" si="10"/>
        <v>2.3147320547945207</v>
      </c>
      <c r="EH10" s="611">
        <f t="shared" si="10"/>
        <v>2.3302923943661971</v>
      </c>
      <c r="EI10" s="611">
        <f t="shared" si="10"/>
        <v>2.3672031250000001</v>
      </c>
      <c r="EJ10" s="610">
        <f t="shared" si="26"/>
        <v>2.2999999999999998</v>
      </c>
      <c r="EK10" s="643">
        <f t="shared" si="27"/>
        <v>2.25</v>
      </c>
      <c r="EL10" s="644">
        <f t="shared" si="28"/>
        <v>2.83</v>
      </c>
      <c r="EN10" s="620">
        <f t="shared" si="29"/>
        <v>0.65416666666666679</v>
      </c>
      <c r="EO10" s="621">
        <f t="shared" si="11"/>
        <v>132.65489772709648</v>
      </c>
      <c r="EP10" s="621">
        <f t="shared" si="11"/>
        <v>133.24115731567736</v>
      </c>
      <c r="EQ10" s="621">
        <f t="shared" si="11"/>
        <v>133.7208321754228</v>
      </c>
      <c r="ER10" s="610">
        <f t="shared" si="12"/>
        <v>134.31814738214115</v>
      </c>
      <c r="ES10" s="611">
        <f t="shared" si="12"/>
        <v>148.52565278001921</v>
      </c>
      <c r="ET10" s="612">
        <f t="shared" si="12"/>
        <v>153.09401770382925</v>
      </c>
      <c r="EU10" s="610">
        <f t="shared" si="30"/>
        <v>100</v>
      </c>
      <c r="EV10" s="611">
        <f t="shared" si="31"/>
        <v>135</v>
      </c>
      <c r="EW10" s="645">
        <f t="shared" si="32"/>
        <v>1000000</v>
      </c>
      <c r="EX10" s="610">
        <f t="shared" si="13"/>
        <v>1.6632496550446589</v>
      </c>
      <c r="EY10" s="621">
        <f t="shared" si="14"/>
        <v>15.284495464341866</v>
      </c>
      <c r="EZ10" s="612">
        <f t="shared" si="15"/>
        <v>19.373185528406456</v>
      </c>
      <c r="FA10" s="646">
        <f t="shared" si="16"/>
        <v>0.65416666666666679</v>
      </c>
      <c r="FB10" s="317"/>
      <c r="FC10" s="647">
        <f>$G$4</f>
        <v>24</v>
      </c>
      <c r="FD10" s="648">
        <v>1.7222222222222223</v>
      </c>
      <c r="FE10" s="649">
        <f t="shared" si="17"/>
        <v>143.11986213953645</v>
      </c>
      <c r="FF10" s="650">
        <f t="shared" si="17"/>
        <v>145.76147275277216</v>
      </c>
      <c r="FG10" s="651">
        <f t="shared" si="17"/>
        <v>147.00158565039789</v>
      </c>
      <c r="FI10" s="652">
        <v>124</v>
      </c>
      <c r="FJ10" s="653"/>
      <c r="FK10" s="633">
        <f t="shared" si="33"/>
        <v>100</v>
      </c>
      <c r="FL10" s="564">
        <f t="shared" si="34"/>
        <v>135</v>
      </c>
      <c r="FM10" s="634">
        <f t="shared" si="35"/>
        <v>-1000000000</v>
      </c>
      <c r="FN10" s="621">
        <f t="shared" si="18"/>
        <v>128.82642401498623</v>
      </c>
      <c r="FO10" s="621">
        <f t="shared" si="18"/>
        <v>130.36970726637674</v>
      </c>
      <c r="FP10" s="654">
        <f t="shared" si="18"/>
        <v>131.63244847491126</v>
      </c>
      <c r="FQ10" s="610">
        <f t="shared" si="19"/>
        <v>14.293438124550233</v>
      </c>
      <c r="FR10" s="611">
        <f t="shared" si="19"/>
        <v>15.391765486395425</v>
      </c>
      <c r="FS10" s="612">
        <f t="shared" si="19"/>
        <v>15.369137175486618</v>
      </c>
      <c r="FT10" s="633">
        <f t="shared" si="36"/>
        <v>0</v>
      </c>
      <c r="FU10" s="564">
        <f t="shared" si="20"/>
        <v>473.56169636964529</v>
      </c>
      <c r="FV10" s="655">
        <f t="shared" si="20"/>
        <v>0</v>
      </c>
      <c r="FW10" s="633">
        <f t="shared" si="37"/>
        <v>0</v>
      </c>
      <c r="FX10" s="564">
        <f t="shared" si="21"/>
        <v>1</v>
      </c>
      <c r="FY10" s="655">
        <f t="shared" si="21"/>
        <v>0</v>
      </c>
    </row>
    <row r="11" spans="2:181" ht="15" customHeight="1" x14ac:dyDescent="0.2">
      <c r="B11" s="604">
        <v>1.84</v>
      </c>
      <c r="C11" s="540">
        <v>128</v>
      </c>
      <c r="D11" s="640">
        <v>124</v>
      </c>
      <c r="E11" s="640">
        <v>119.5</v>
      </c>
      <c r="F11" s="640">
        <v>116.5</v>
      </c>
      <c r="G11" s="450">
        <v>112</v>
      </c>
      <c r="H11" s="640">
        <v>110.5</v>
      </c>
      <c r="I11" s="641">
        <v>105.5</v>
      </c>
      <c r="J11" s="640">
        <v>102</v>
      </c>
      <c r="K11" s="640">
        <v>99</v>
      </c>
      <c r="L11" s="657">
        <v>96</v>
      </c>
      <c r="M11" s="640">
        <v>93.1</v>
      </c>
      <c r="N11" s="640">
        <v>89</v>
      </c>
      <c r="O11" s="640">
        <v>85</v>
      </c>
      <c r="P11" s="640">
        <v>79.5</v>
      </c>
      <c r="Q11" s="640">
        <v>73</v>
      </c>
      <c r="R11" s="640">
        <v>64</v>
      </c>
      <c r="S11" s="641">
        <v>47</v>
      </c>
      <c r="T11" s="578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550"/>
      <c r="BC11" s="550"/>
      <c r="BD11" s="550"/>
      <c r="BE11" s="550"/>
      <c r="BF11" s="550"/>
      <c r="BG11" s="550"/>
      <c r="BH11" s="550"/>
      <c r="BI11" s="550"/>
      <c r="BJ11" s="550"/>
      <c r="BK11" s="550"/>
      <c r="BL11" s="550"/>
      <c r="BM11" s="550"/>
      <c r="BN11" s="550"/>
      <c r="BO11" s="550"/>
      <c r="BP11" s="550"/>
      <c r="BQ11" s="550"/>
      <c r="BR11" s="550"/>
      <c r="BS11" s="550"/>
      <c r="BT11" s="550"/>
      <c r="BU11" s="550"/>
      <c r="BV11" s="550"/>
      <c r="BW11" s="550"/>
      <c r="BX11" s="550"/>
      <c r="BY11" s="550"/>
      <c r="BZ11" s="550"/>
      <c r="CA11" s="550"/>
      <c r="CB11" s="550"/>
      <c r="CC11" s="550"/>
      <c r="CD11" s="550"/>
      <c r="CE11" s="550"/>
      <c r="CF11" s="550"/>
      <c r="CG11" s="550"/>
      <c r="CH11" s="550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642">
        <f t="shared" si="39"/>
        <v>4</v>
      </c>
      <c r="DA11" s="609">
        <f t="shared" si="0"/>
        <v>4.5</v>
      </c>
      <c r="DB11" s="609">
        <f t="shared" si="22"/>
        <v>1.6</v>
      </c>
      <c r="DC11" s="610">
        <f t="shared" si="1"/>
        <v>41.929735397071411</v>
      </c>
      <c r="DD11" s="611">
        <f t="shared" si="1"/>
        <v>46.43246193432249</v>
      </c>
      <c r="DE11" s="612">
        <f t="shared" si="1"/>
        <v>56.759136890919571</v>
      </c>
      <c r="DF11" s="610">
        <f t="shared" si="2"/>
        <v>19.411764705882348</v>
      </c>
      <c r="DG11" s="611">
        <f t="shared" si="2"/>
        <v>22</v>
      </c>
      <c r="DH11" s="612">
        <f t="shared" si="2"/>
        <v>28.470588235294098</v>
      </c>
      <c r="DI11" s="610">
        <f t="shared" si="3"/>
        <v>61.341500102953759</v>
      </c>
      <c r="DJ11" s="611">
        <f t="shared" si="3"/>
        <v>68.43246193432249</v>
      </c>
      <c r="DK11" s="612">
        <f t="shared" si="3"/>
        <v>85.229725126213665</v>
      </c>
      <c r="DL11" s="613">
        <f t="shared" si="23"/>
        <v>-22.705882352941202</v>
      </c>
      <c r="DM11" s="613">
        <f t="shared" si="23"/>
        <v>-22.705882352941202</v>
      </c>
      <c r="DN11" s="613">
        <f t="shared" si="23"/>
        <v>-22.705882352941202</v>
      </c>
      <c r="DO11" s="609">
        <f t="shared" si="5"/>
        <v>135</v>
      </c>
      <c r="DP11" s="609"/>
      <c r="DQ11" s="609">
        <f t="shared" si="24"/>
        <v>1.6</v>
      </c>
      <c r="DR11" s="610">
        <f t="shared" si="6"/>
        <v>21.634185170369257</v>
      </c>
      <c r="DS11" s="611">
        <f t="shared" si="6"/>
        <v>23.332529786401942</v>
      </c>
      <c r="DT11" s="612">
        <f t="shared" si="6"/>
        <v>26.674399324341664</v>
      </c>
      <c r="DU11" s="611">
        <f t="shared" si="38"/>
        <v>12.500000000000004</v>
      </c>
      <c r="DV11" s="611">
        <f t="shared" si="38"/>
        <v>12.500000000000004</v>
      </c>
      <c r="DW11" s="611">
        <f t="shared" si="38"/>
        <v>12.500000000000004</v>
      </c>
      <c r="DX11" s="614">
        <f t="shared" si="7"/>
        <v>12.5</v>
      </c>
      <c r="DY11" s="615"/>
      <c r="DZ11" s="609">
        <f t="shared" si="25"/>
        <v>1.6</v>
      </c>
      <c r="EA11" s="611">
        <f t="shared" si="8"/>
        <v>2.0948375576036868</v>
      </c>
      <c r="EB11" s="611">
        <f t="shared" si="8"/>
        <v>2.1108110047846891</v>
      </c>
      <c r="EC11" s="611">
        <f t="shared" si="8"/>
        <v>2.1499945652173915</v>
      </c>
      <c r="ED11" s="610">
        <f t="shared" si="9"/>
        <v>0.22002999999999975</v>
      </c>
      <c r="EE11" s="611">
        <f t="shared" si="9"/>
        <v>0.22005999999999976</v>
      </c>
      <c r="EF11" s="612">
        <f t="shared" si="9"/>
        <v>0.22012499999999974</v>
      </c>
      <c r="EG11" s="611">
        <f t="shared" si="10"/>
        <v>2.3148675576036868</v>
      </c>
      <c r="EH11" s="611">
        <f t="shared" si="10"/>
        <v>2.3308710047846888</v>
      </c>
      <c r="EI11" s="611">
        <f t="shared" si="10"/>
        <v>2.3701195652173914</v>
      </c>
      <c r="EJ11" s="610">
        <f t="shared" si="26"/>
        <v>2.2999999999999998</v>
      </c>
      <c r="EK11" s="643">
        <f t="shared" si="27"/>
        <v>2.25</v>
      </c>
      <c r="EL11" s="644">
        <f t="shared" si="28"/>
        <v>2.83</v>
      </c>
      <c r="EN11" s="620">
        <f t="shared" si="29"/>
        <v>0.87222222222222223</v>
      </c>
      <c r="EO11" s="621">
        <f t="shared" si="11"/>
        <v>131.87323484633615</v>
      </c>
      <c r="EP11" s="621">
        <f t="shared" si="11"/>
        <v>132.65489772709648</v>
      </c>
      <c r="EQ11" s="621">
        <f t="shared" si="11"/>
        <v>133.29445417015071</v>
      </c>
      <c r="ER11" s="610">
        <f t="shared" si="12"/>
        <v>128.42853804776757</v>
      </c>
      <c r="ES11" s="611">
        <f t="shared" si="12"/>
        <v>145.9020906554934</v>
      </c>
      <c r="ET11" s="612">
        <f t="shared" si="12"/>
        <v>151.82214275590121</v>
      </c>
      <c r="EU11" s="610">
        <f t="shared" si="30"/>
        <v>100</v>
      </c>
      <c r="EV11" s="611">
        <f t="shared" si="31"/>
        <v>135</v>
      </c>
      <c r="EW11" s="645">
        <f t="shared" si="32"/>
        <v>1000000</v>
      </c>
      <c r="EX11" s="610">
        <f t="shared" si="13"/>
        <v>-3.4446967985685752</v>
      </c>
      <c r="EY11" s="621">
        <f t="shared" si="14"/>
        <v>13.247192928396924</v>
      </c>
      <c r="EZ11" s="612">
        <f t="shared" si="15"/>
        <v>18.527688585750486</v>
      </c>
      <c r="FA11" s="646">
        <f t="shared" si="16"/>
        <v>0.87222222222222223</v>
      </c>
      <c r="FB11" s="317"/>
      <c r="FC11" s="647">
        <f>$H$4</f>
        <v>20</v>
      </c>
      <c r="FD11" s="648">
        <v>1.7916666666666667</v>
      </c>
      <c r="FE11" s="649">
        <f t="shared" si="17"/>
        <v>142.58192324014769</v>
      </c>
      <c r="FF11" s="650">
        <f t="shared" si="17"/>
        <v>145.32694416994218</v>
      </c>
      <c r="FG11" s="651">
        <f t="shared" si="17"/>
        <v>146.61711882788117</v>
      </c>
      <c r="FI11" s="653"/>
      <c r="FJ11" s="652">
        <v>129</v>
      </c>
      <c r="FK11" s="633">
        <f t="shared" si="33"/>
        <v>100</v>
      </c>
      <c r="FL11" s="564">
        <f t="shared" si="34"/>
        <v>135</v>
      </c>
      <c r="FM11" s="634">
        <f t="shared" si="35"/>
        <v>-1000000000</v>
      </c>
      <c r="FN11" s="621">
        <f t="shared" si="18"/>
        <v>128.57751427519946</v>
      </c>
      <c r="FO11" s="621">
        <f t="shared" si="18"/>
        <v>130.18301585124723</v>
      </c>
      <c r="FP11" s="654">
        <f t="shared" si="18"/>
        <v>131.49666747891214</v>
      </c>
      <c r="FQ11" s="610">
        <f t="shared" si="19"/>
        <v>14.004408964948238</v>
      </c>
      <c r="FR11" s="611">
        <f t="shared" si="19"/>
        <v>15.143928318694936</v>
      </c>
      <c r="FS11" s="612">
        <f t="shared" si="19"/>
        <v>15.120451348969024</v>
      </c>
      <c r="FT11" s="633">
        <f t="shared" si="36"/>
        <v>0</v>
      </c>
      <c r="FU11" s="564">
        <f t="shared" si="20"/>
        <v>0</v>
      </c>
      <c r="FV11" s="655">
        <f t="shared" si="20"/>
        <v>310.36287579568523</v>
      </c>
      <c r="FW11" s="633">
        <f t="shared" si="37"/>
        <v>0</v>
      </c>
      <c r="FX11" s="564">
        <f t="shared" si="21"/>
        <v>0</v>
      </c>
      <c r="FY11" s="655">
        <f t="shared" si="21"/>
        <v>1</v>
      </c>
    </row>
    <row r="12" spans="2:181" ht="15" customHeight="1" x14ac:dyDescent="0.2">
      <c r="B12" s="639">
        <v>1.86</v>
      </c>
      <c r="C12" s="540">
        <v>125</v>
      </c>
      <c r="D12" s="640">
        <v>121</v>
      </c>
      <c r="E12" s="640">
        <v>116.5</v>
      </c>
      <c r="F12" s="450">
        <v>113.5</v>
      </c>
      <c r="G12" s="640">
        <v>109.5</v>
      </c>
      <c r="H12" s="640">
        <v>108</v>
      </c>
      <c r="I12" s="658">
        <v>103.5</v>
      </c>
      <c r="J12" s="640">
        <v>99</v>
      </c>
      <c r="K12" s="640">
        <v>97</v>
      </c>
      <c r="L12" s="640">
        <v>94</v>
      </c>
      <c r="M12" s="640">
        <v>90</v>
      </c>
      <c r="N12" s="640">
        <v>88</v>
      </c>
      <c r="O12" s="640">
        <v>82</v>
      </c>
      <c r="P12" s="640">
        <v>77</v>
      </c>
      <c r="Q12" s="640">
        <v>70</v>
      </c>
      <c r="R12" s="640">
        <v>61</v>
      </c>
      <c r="S12" s="641">
        <v>44.5</v>
      </c>
      <c r="T12" s="578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550"/>
      <c r="CG12" s="550"/>
      <c r="CH12" s="550"/>
      <c r="CK12" s="552"/>
      <c r="CL12" s="552"/>
      <c r="CM12" s="552"/>
      <c r="CN12" s="552"/>
      <c r="CO12" s="552"/>
      <c r="CP12" s="552"/>
      <c r="CQ12" s="552"/>
      <c r="CR12" s="552"/>
      <c r="CS12" s="552"/>
      <c r="CT12" s="552"/>
      <c r="CU12" s="552"/>
      <c r="CV12" s="552"/>
      <c r="CW12" s="552"/>
      <c r="CX12" s="552"/>
      <c r="CY12" s="552"/>
      <c r="CZ12" s="642">
        <f t="shared" si="39"/>
        <v>5</v>
      </c>
      <c r="DA12" s="609">
        <f t="shared" si="0"/>
        <v>5.625</v>
      </c>
      <c r="DB12" s="609">
        <f t="shared" si="22"/>
        <v>2</v>
      </c>
      <c r="DC12" s="610">
        <f t="shared" si="1"/>
        <v>50.193284494137764</v>
      </c>
      <c r="DD12" s="611">
        <f t="shared" si="1"/>
        <v>55.290557119678844</v>
      </c>
      <c r="DE12" s="612">
        <f t="shared" si="1"/>
        <v>66.73334886928798</v>
      </c>
      <c r="DF12" s="610">
        <f t="shared" si="2"/>
        <v>19.411764705882348</v>
      </c>
      <c r="DG12" s="611">
        <f t="shared" si="2"/>
        <v>22</v>
      </c>
      <c r="DH12" s="612">
        <f t="shared" si="2"/>
        <v>28.470588235294098</v>
      </c>
      <c r="DI12" s="610">
        <f t="shared" si="3"/>
        <v>69.605049200020119</v>
      </c>
      <c r="DJ12" s="611">
        <f t="shared" si="3"/>
        <v>77.290557119678851</v>
      </c>
      <c r="DK12" s="612">
        <f t="shared" si="3"/>
        <v>95.203937104582081</v>
      </c>
      <c r="DL12" s="613">
        <f t="shared" si="23"/>
        <v>-17.705882352941202</v>
      </c>
      <c r="DM12" s="613">
        <f t="shared" si="23"/>
        <v>-17.705882352941202</v>
      </c>
      <c r="DN12" s="613">
        <f t="shared" si="23"/>
        <v>-17.705882352941202</v>
      </c>
      <c r="DO12" s="609">
        <f t="shared" si="5"/>
        <v>135</v>
      </c>
      <c r="DP12" s="609"/>
      <c r="DQ12" s="609">
        <f t="shared" si="24"/>
        <v>2</v>
      </c>
      <c r="DR12" s="610">
        <f t="shared" si="6"/>
        <v>19.713322990669965</v>
      </c>
      <c r="DS12" s="611">
        <f t="shared" si="6"/>
        <v>20.998923430427077</v>
      </c>
      <c r="DT12" s="612">
        <f t="shared" si="6"/>
        <v>23.273924141882272</v>
      </c>
      <c r="DU12" s="611">
        <f t="shared" si="38"/>
        <v>12.500000000000004</v>
      </c>
      <c r="DV12" s="611">
        <f t="shared" si="38"/>
        <v>12.500000000000004</v>
      </c>
      <c r="DW12" s="611">
        <f t="shared" si="38"/>
        <v>12.500000000000004</v>
      </c>
      <c r="DX12" s="614">
        <f t="shared" si="7"/>
        <v>12.5</v>
      </c>
      <c r="DY12" s="615"/>
      <c r="DZ12" s="609">
        <f t="shared" si="25"/>
        <v>2</v>
      </c>
      <c r="EA12" s="611">
        <f t="shared" si="8"/>
        <v>2.094975581395349</v>
      </c>
      <c r="EB12" s="611">
        <f t="shared" si="8"/>
        <v>2.1114121951219511</v>
      </c>
      <c r="EC12" s="611">
        <f t="shared" si="8"/>
        <v>2.1531761363636366</v>
      </c>
      <c r="ED12" s="610">
        <f t="shared" si="9"/>
        <v>0.22002999999999975</v>
      </c>
      <c r="EE12" s="611">
        <f t="shared" si="9"/>
        <v>0.22005999999999976</v>
      </c>
      <c r="EF12" s="612">
        <f t="shared" si="9"/>
        <v>0.22012499999999974</v>
      </c>
      <c r="EG12" s="611">
        <f t="shared" si="10"/>
        <v>2.315005581395349</v>
      </c>
      <c r="EH12" s="611">
        <f t="shared" si="10"/>
        <v>2.3314721951219508</v>
      </c>
      <c r="EI12" s="611">
        <f t="shared" si="10"/>
        <v>2.3733011363636365</v>
      </c>
      <c r="EJ12" s="610">
        <f t="shared" si="26"/>
        <v>2.2999999999999998</v>
      </c>
      <c r="EK12" s="643">
        <f t="shared" si="27"/>
        <v>2.25</v>
      </c>
      <c r="EL12" s="644">
        <f t="shared" si="28"/>
        <v>2.83</v>
      </c>
      <c r="EN12" s="620">
        <f t="shared" si="29"/>
        <v>1.0902777777777777</v>
      </c>
      <c r="EO12" s="621">
        <f t="shared" si="11"/>
        <v>131.09159090286587</v>
      </c>
      <c r="EP12" s="621">
        <f t="shared" si="11"/>
        <v>132.06864879112842</v>
      </c>
      <c r="EQ12" s="621">
        <f t="shared" si="11"/>
        <v>132.86808179948599</v>
      </c>
      <c r="ER12" s="610">
        <f t="shared" si="12"/>
        <v>123.19881890074822</v>
      </c>
      <c r="ES12" s="611">
        <f t="shared" si="12"/>
        <v>143.37154475075116</v>
      </c>
      <c r="ET12" s="612">
        <f t="shared" si="12"/>
        <v>150.56489476581316</v>
      </c>
      <c r="EU12" s="610">
        <f t="shared" si="30"/>
        <v>100</v>
      </c>
      <c r="EV12" s="611">
        <f t="shared" si="31"/>
        <v>135</v>
      </c>
      <c r="EW12" s="645">
        <f t="shared" si="32"/>
        <v>1000000</v>
      </c>
      <c r="EX12" s="610">
        <f t="shared" si="13"/>
        <v>-7.8927720021176562</v>
      </c>
      <c r="EY12" s="621">
        <f t="shared" si="14"/>
        <v>11.302895959622724</v>
      </c>
      <c r="EZ12" s="612">
        <f t="shared" si="15"/>
        <v>17.696812966327172</v>
      </c>
      <c r="FA12" s="646">
        <f t="shared" si="16"/>
        <v>1.0902777777777777</v>
      </c>
      <c r="FB12" s="317"/>
      <c r="FC12" s="647">
        <f>$I$4</f>
        <v>12</v>
      </c>
      <c r="FD12" s="648">
        <v>2.2708333333333335</v>
      </c>
      <c r="FE12" s="649">
        <f t="shared" si="17"/>
        <v>138.91336736495643</v>
      </c>
      <c r="FF12" s="650">
        <f t="shared" si="17"/>
        <v>142.36574403355741</v>
      </c>
      <c r="FG12" s="651">
        <f t="shared" si="17"/>
        <v>144.00145772674037</v>
      </c>
      <c r="FH12" s="652">
        <v>109</v>
      </c>
      <c r="FK12" s="633">
        <f t="shared" si="33"/>
        <v>100</v>
      </c>
      <c r="FL12" s="564">
        <f t="shared" si="34"/>
        <v>135</v>
      </c>
      <c r="FM12" s="634">
        <f t="shared" si="35"/>
        <v>-1000000000</v>
      </c>
      <c r="FN12" s="621">
        <f t="shared" si="18"/>
        <v>126.86008941001657</v>
      </c>
      <c r="FO12" s="621">
        <f t="shared" si="18"/>
        <v>128.89487453010088</v>
      </c>
      <c r="FP12" s="654">
        <f t="shared" si="18"/>
        <v>130.55979418082973</v>
      </c>
      <c r="FQ12" s="610">
        <f t="shared" si="19"/>
        <v>12.053277954939849</v>
      </c>
      <c r="FR12" s="611">
        <f t="shared" si="19"/>
        <v>13.470869503456514</v>
      </c>
      <c r="FS12" s="612">
        <f t="shared" si="19"/>
        <v>13.441663545910632</v>
      </c>
      <c r="FT12" s="633">
        <f t="shared" si="36"/>
        <v>894.8095471108403</v>
      </c>
      <c r="FU12" s="564">
        <f t="shared" si="20"/>
        <v>0</v>
      </c>
      <c r="FV12" s="655">
        <f t="shared" si="20"/>
        <v>0</v>
      </c>
      <c r="FW12" s="633">
        <f t="shared" si="37"/>
        <v>1</v>
      </c>
      <c r="FX12" s="564">
        <f t="shared" si="21"/>
        <v>0</v>
      </c>
      <c r="FY12" s="655">
        <f t="shared" si="21"/>
        <v>0</v>
      </c>
    </row>
    <row r="13" spans="2:181" ht="15" customHeight="1" x14ac:dyDescent="0.2">
      <c r="B13" s="639">
        <v>1.88</v>
      </c>
      <c r="C13" s="540">
        <v>121.5</v>
      </c>
      <c r="D13" s="640">
        <v>118</v>
      </c>
      <c r="E13" s="450">
        <v>113.5</v>
      </c>
      <c r="F13" s="640">
        <v>110.5</v>
      </c>
      <c r="G13" s="640">
        <v>106</v>
      </c>
      <c r="H13" s="640">
        <v>104.5</v>
      </c>
      <c r="I13" s="641">
        <v>99.5</v>
      </c>
      <c r="J13" s="640">
        <v>95</v>
      </c>
      <c r="K13" s="640">
        <v>92.5</v>
      </c>
      <c r="L13" s="640">
        <v>90</v>
      </c>
      <c r="M13" s="640">
        <v>96.4</v>
      </c>
      <c r="N13" s="640">
        <v>82.4</v>
      </c>
      <c r="O13" s="640">
        <v>78</v>
      </c>
      <c r="P13" s="640">
        <v>73</v>
      </c>
      <c r="Q13" s="640">
        <v>66</v>
      </c>
      <c r="R13" s="640">
        <v>57</v>
      </c>
      <c r="S13" s="641">
        <v>41</v>
      </c>
      <c r="T13" s="578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550"/>
      <c r="CG13" s="550"/>
      <c r="CH13" s="550"/>
      <c r="CK13" s="552"/>
      <c r="CL13" s="552"/>
      <c r="CM13" s="552"/>
      <c r="CN13" s="552"/>
      <c r="CO13" s="552"/>
      <c r="CP13" s="552"/>
      <c r="CQ13" s="552"/>
      <c r="CR13" s="552"/>
      <c r="CS13" s="552"/>
      <c r="CT13" s="552"/>
      <c r="CU13" s="552"/>
      <c r="CV13" s="552"/>
      <c r="CW13" s="552"/>
      <c r="CX13" s="552"/>
      <c r="CY13" s="552"/>
      <c r="CZ13" s="642">
        <f t="shared" si="39"/>
        <v>6</v>
      </c>
      <c r="DA13" s="609">
        <f t="shared" si="0"/>
        <v>6.75</v>
      </c>
      <c r="DB13" s="609">
        <f t="shared" si="22"/>
        <v>2.4000000000000004</v>
      </c>
      <c r="DC13" s="610">
        <f t="shared" si="1"/>
        <v>57.723127246100674</v>
      </c>
      <c r="DD13" s="611">
        <f t="shared" si="1"/>
        <v>63.262708628305191</v>
      </c>
      <c r="DE13" s="612">
        <f t="shared" si="1"/>
        <v>75.436039795406089</v>
      </c>
      <c r="DF13" s="610">
        <f t="shared" si="2"/>
        <v>19.411764705882348</v>
      </c>
      <c r="DG13" s="611">
        <f t="shared" si="2"/>
        <v>22</v>
      </c>
      <c r="DH13" s="612">
        <f t="shared" si="2"/>
        <v>28.470588235294098</v>
      </c>
      <c r="DI13" s="610">
        <f t="shared" si="3"/>
        <v>77.134891951983022</v>
      </c>
      <c r="DJ13" s="611">
        <f t="shared" si="3"/>
        <v>85.262708628305191</v>
      </c>
      <c r="DK13" s="612">
        <f t="shared" si="3"/>
        <v>103.90662803070019</v>
      </c>
      <c r="DL13" s="613">
        <f t="shared" si="23"/>
        <v>-12.705882352941199</v>
      </c>
      <c r="DM13" s="613">
        <f t="shared" si="23"/>
        <v>-12.705882352941199</v>
      </c>
      <c r="DN13" s="613">
        <f t="shared" si="23"/>
        <v>-12.705882352941199</v>
      </c>
      <c r="DO13" s="609">
        <f t="shared" si="5"/>
        <v>135</v>
      </c>
      <c r="DP13" s="609"/>
      <c r="DQ13" s="609">
        <f t="shared" si="24"/>
        <v>2.4000000000000004</v>
      </c>
      <c r="DR13" s="610">
        <f t="shared" si="6"/>
        <v>17.963010867944977</v>
      </c>
      <c r="DS13" s="611">
        <f t="shared" si="6"/>
        <v>18.898713053135154</v>
      </c>
      <c r="DT13" s="612">
        <f t="shared" si="6"/>
        <v>20.306944436712605</v>
      </c>
      <c r="DU13" s="611">
        <f t="shared" si="38"/>
        <v>12.499999999999998</v>
      </c>
      <c r="DV13" s="611">
        <f t="shared" si="38"/>
        <v>12.499999999999998</v>
      </c>
      <c r="DW13" s="611">
        <f t="shared" si="38"/>
        <v>12.499999999999998</v>
      </c>
      <c r="DX13" s="614">
        <f t="shared" si="7"/>
        <v>12.5</v>
      </c>
      <c r="DY13" s="615"/>
      <c r="DZ13" s="609">
        <f t="shared" si="25"/>
        <v>2.4000000000000004</v>
      </c>
      <c r="EA13" s="611">
        <f t="shared" si="8"/>
        <v>2.0951161971830987</v>
      </c>
      <c r="EB13" s="611">
        <f t="shared" si="8"/>
        <v>2.1120373134328361</v>
      </c>
      <c r="EC13" s="611">
        <f t="shared" si="8"/>
        <v>2.1566607142857142</v>
      </c>
      <c r="ED13" s="610">
        <f t="shared" si="9"/>
        <v>0.22002999999999975</v>
      </c>
      <c r="EE13" s="611">
        <f t="shared" si="9"/>
        <v>0.22005999999999976</v>
      </c>
      <c r="EF13" s="612">
        <f t="shared" si="9"/>
        <v>0.22012499999999974</v>
      </c>
      <c r="EG13" s="611">
        <f t="shared" si="10"/>
        <v>2.3151461971830987</v>
      </c>
      <c r="EH13" s="611">
        <f t="shared" si="10"/>
        <v>2.3320973134328358</v>
      </c>
      <c r="EI13" s="611">
        <f t="shared" si="10"/>
        <v>2.3767857142857141</v>
      </c>
      <c r="EJ13" s="610">
        <f t="shared" si="26"/>
        <v>2.2999999999999998</v>
      </c>
      <c r="EK13" s="643">
        <f t="shared" si="27"/>
        <v>2.25</v>
      </c>
      <c r="EL13" s="644">
        <f t="shared" si="28"/>
        <v>2.83</v>
      </c>
      <c r="EN13" s="620">
        <f t="shared" si="29"/>
        <v>1.3083333333333336</v>
      </c>
      <c r="EO13" s="621">
        <f t="shared" si="11"/>
        <v>130.30996589599738</v>
      </c>
      <c r="EP13" s="621">
        <f t="shared" si="11"/>
        <v>131.48241050748274</v>
      </c>
      <c r="EQ13" s="621">
        <f t="shared" si="11"/>
        <v>132.44171506331696</v>
      </c>
      <c r="ER13" s="610">
        <f t="shared" si="12"/>
        <v>118.5437443195537</v>
      </c>
      <c r="ES13" s="611">
        <f t="shared" si="12"/>
        <v>140.92976923780967</v>
      </c>
      <c r="ET13" s="612">
        <f t="shared" si="12"/>
        <v>149.32202088441016</v>
      </c>
      <c r="EU13" s="610">
        <f t="shared" si="30"/>
        <v>100</v>
      </c>
      <c r="EV13" s="611">
        <f t="shared" si="31"/>
        <v>135</v>
      </c>
      <c r="EW13" s="645">
        <f t="shared" si="32"/>
        <v>1000000</v>
      </c>
      <c r="EX13" s="610">
        <f t="shared" si="13"/>
        <v>-11.766221576443677</v>
      </c>
      <c r="EY13" s="621">
        <f t="shared" si="14"/>
        <v>9.4473587303269273</v>
      </c>
      <c r="EZ13" s="612">
        <f t="shared" si="15"/>
        <v>16.880305821093199</v>
      </c>
      <c r="FA13" s="646">
        <f t="shared" si="16"/>
        <v>1.3083333333333336</v>
      </c>
      <c r="FB13" s="317"/>
      <c r="FC13" s="647">
        <f>$J$4</f>
        <v>10</v>
      </c>
      <c r="FD13" s="648">
        <v>2.4895833333333335</v>
      </c>
      <c r="FE13" s="649">
        <f t="shared" si="17"/>
        <v>137.26318666435796</v>
      </c>
      <c r="FF13" s="650">
        <f t="shared" si="17"/>
        <v>141.03497242623894</v>
      </c>
      <c r="FG13" s="651">
        <f t="shared" si="17"/>
        <v>142.82849627346837</v>
      </c>
      <c r="FI13" s="652">
        <v>119.5</v>
      </c>
      <c r="FJ13" s="653"/>
      <c r="FK13" s="633">
        <f t="shared" si="33"/>
        <v>100</v>
      </c>
      <c r="FL13" s="564">
        <f t="shared" si="34"/>
        <v>135</v>
      </c>
      <c r="FM13" s="634">
        <f t="shared" si="35"/>
        <v>-1000000000</v>
      </c>
      <c r="FN13" s="621">
        <f t="shared" si="18"/>
        <v>126.07607801930172</v>
      </c>
      <c r="FO13" s="621">
        <f t="shared" si="18"/>
        <v>128.3068271129861</v>
      </c>
      <c r="FP13" s="654">
        <f t="shared" si="18"/>
        <v>130.13210019824893</v>
      </c>
      <c r="FQ13" s="610">
        <f t="shared" si="19"/>
        <v>11.187108645056245</v>
      </c>
      <c r="FR13" s="611">
        <f t="shared" si="19"/>
        <v>12.728145313252845</v>
      </c>
      <c r="FS13" s="612">
        <f t="shared" si="19"/>
        <v>12.696396075219441</v>
      </c>
      <c r="FT13" s="633">
        <f t="shared" si="36"/>
        <v>0</v>
      </c>
      <c r="FU13" s="564">
        <f t="shared" si="20"/>
        <v>463.75503739887137</v>
      </c>
      <c r="FV13" s="655">
        <f t="shared" si="20"/>
        <v>0</v>
      </c>
      <c r="FW13" s="633">
        <f t="shared" si="37"/>
        <v>0</v>
      </c>
      <c r="FX13" s="564">
        <f t="shared" si="21"/>
        <v>1</v>
      </c>
      <c r="FY13" s="655">
        <f t="shared" si="21"/>
        <v>0</v>
      </c>
    </row>
    <row r="14" spans="2:181" ht="15" customHeight="1" x14ac:dyDescent="0.2">
      <c r="B14" s="639">
        <v>1.9</v>
      </c>
      <c r="C14" s="540">
        <v>117</v>
      </c>
      <c r="D14" s="450">
        <v>113.5</v>
      </c>
      <c r="E14" s="640">
        <v>109</v>
      </c>
      <c r="F14" s="640">
        <v>106</v>
      </c>
      <c r="G14" s="640">
        <v>102</v>
      </c>
      <c r="H14" s="640">
        <v>100</v>
      </c>
      <c r="I14" s="641">
        <v>95</v>
      </c>
      <c r="J14" s="640">
        <v>91</v>
      </c>
      <c r="K14" s="640">
        <v>88</v>
      </c>
      <c r="L14" s="657">
        <v>85</v>
      </c>
      <c r="M14" s="640">
        <v>82</v>
      </c>
      <c r="N14" s="640">
        <v>78.5</v>
      </c>
      <c r="O14" s="640">
        <v>74</v>
      </c>
      <c r="P14" s="640">
        <v>69</v>
      </c>
      <c r="Q14" s="640">
        <v>62.5</v>
      </c>
      <c r="R14" s="640">
        <v>54</v>
      </c>
      <c r="S14" s="641">
        <v>38</v>
      </c>
      <c r="T14" s="578"/>
      <c r="AI14" s="550"/>
      <c r="AJ14" s="550"/>
      <c r="AK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550"/>
      <c r="CG14" s="550"/>
      <c r="CH14" s="550"/>
      <c r="CK14" s="552"/>
      <c r="CL14" s="552"/>
      <c r="CM14" s="552"/>
      <c r="CN14" s="552"/>
      <c r="CO14" s="552"/>
      <c r="CP14" s="552"/>
      <c r="CQ14" s="659">
        <f>$CS$38*$CS$28/($CS$20-$CS$21)</f>
        <v>3.7958823529411778</v>
      </c>
      <c r="CR14" s="660" t="s">
        <v>259</v>
      </c>
      <c r="CS14" s="552"/>
      <c r="CT14" s="552"/>
      <c r="CU14" s="552"/>
      <c r="CV14" s="552"/>
      <c r="CW14" s="552"/>
      <c r="CX14" s="613">
        <f>CS37*CS31</f>
        <v>1.2941176470588241E-3</v>
      </c>
      <c r="CY14" s="660" t="s">
        <v>259</v>
      </c>
      <c r="CZ14" s="642">
        <f t="shared" si="39"/>
        <v>7</v>
      </c>
      <c r="DA14" s="609">
        <f t="shared" si="0"/>
        <v>7.875</v>
      </c>
      <c r="DB14" s="609">
        <f t="shared" si="22"/>
        <v>2.8</v>
      </c>
      <c r="DC14" s="610">
        <f t="shared" si="1"/>
        <v>64.584408180392785</v>
      </c>
      <c r="DD14" s="611">
        <f t="shared" si="1"/>
        <v>70.437524245725783</v>
      </c>
      <c r="DE14" s="612">
        <f t="shared" si="1"/>
        <v>83.029304257780979</v>
      </c>
      <c r="DF14" s="610">
        <f t="shared" si="2"/>
        <v>19.411764705882348</v>
      </c>
      <c r="DG14" s="611">
        <f t="shared" si="2"/>
        <v>22</v>
      </c>
      <c r="DH14" s="612">
        <f t="shared" si="2"/>
        <v>28.470588235294098</v>
      </c>
      <c r="DI14" s="610">
        <f t="shared" si="3"/>
        <v>83.996172886275133</v>
      </c>
      <c r="DJ14" s="611">
        <f t="shared" si="3"/>
        <v>92.437524245725783</v>
      </c>
      <c r="DK14" s="612">
        <f t="shared" si="3"/>
        <v>111.49989249307508</v>
      </c>
      <c r="DL14" s="613">
        <f t="shared" si="23"/>
        <v>-7.7058823529412059</v>
      </c>
      <c r="DM14" s="613">
        <f t="shared" si="23"/>
        <v>-7.7058823529412059</v>
      </c>
      <c r="DN14" s="613">
        <f t="shared" si="23"/>
        <v>-7.7058823529412059</v>
      </c>
      <c r="DO14" s="609">
        <f t="shared" si="5"/>
        <v>135</v>
      </c>
      <c r="DP14" s="609"/>
      <c r="DQ14" s="609">
        <f t="shared" si="24"/>
        <v>2.8</v>
      </c>
      <c r="DR14" s="610">
        <f t="shared" si="6"/>
        <v>16.368105955278285</v>
      </c>
      <c r="DS14" s="611">
        <f t="shared" si="6"/>
        <v>17.00855552181406</v>
      </c>
      <c r="DT14" s="612">
        <f t="shared" si="6"/>
        <v>17.71819783556202</v>
      </c>
      <c r="DU14" s="611">
        <f t="shared" si="38"/>
        <v>12.499999999999998</v>
      </c>
      <c r="DV14" s="611">
        <f t="shared" si="38"/>
        <v>12.499999999999998</v>
      </c>
      <c r="DW14" s="611">
        <f t="shared" si="38"/>
        <v>12.499999999999998</v>
      </c>
      <c r="DX14" s="614">
        <f t="shared" si="7"/>
        <v>12.5</v>
      </c>
      <c r="DY14" s="615"/>
      <c r="DZ14" s="609">
        <f t="shared" si="25"/>
        <v>2.8</v>
      </c>
      <c r="EA14" s="611">
        <f t="shared" si="8"/>
        <v>2.0952594786729857</v>
      </c>
      <c r="EB14" s="611">
        <f t="shared" si="8"/>
        <v>2.1126878172588834</v>
      </c>
      <c r="EC14" s="611">
        <f t="shared" si="8"/>
        <v>2.1604937500000001</v>
      </c>
      <c r="ED14" s="610">
        <f t="shared" si="9"/>
        <v>0.22002999999999975</v>
      </c>
      <c r="EE14" s="611">
        <f t="shared" si="9"/>
        <v>0.22005999999999976</v>
      </c>
      <c r="EF14" s="612">
        <f t="shared" si="9"/>
        <v>0.22012499999999974</v>
      </c>
      <c r="EG14" s="611">
        <f t="shared" si="10"/>
        <v>2.3152894786729856</v>
      </c>
      <c r="EH14" s="611">
        <f t="shared" si="10"/>
        <v>2.3327478172588831</v>
      </c>
      <c r="EI14" s="611">
        <f t="shared" si="10"/>
        <v>2.38061875</v>
      </c>
      <c r="EJ14" s="610">
        <f t="shared" si="26"/>
        <v>2.2999999999999998</v>
      </c>
      <c r="EK14" s="643">
        <f t="shared" si="27"/>
        <v>2.25</v>
      </c>
      <c r="EL14" s="644">
        <f t="shared" si="28"/>
        <v>2.83</v>
      </c>
      <c r="EN14" s="620">
        <f t="shared" si="29"/>
        <v>1.526388888888889</v>
      </c>
      <c r="EO14" s="621">
        <f t="shared" si="11"/>
        <v>129.52835982504263</v>
      </c>
      <c r="EP14" s="621">
        <f t="shared" si="11"/>
        <v>130.89618287586919</v>
      </c>
      <c r="EQ14" s="621">
        <f t="shared" si="11"/>
        <v>132.01535396153182</v>
      </c>
      <c r="ER14" s="610">
        <f t="shared" si="12"/>
        <v>114.38908115800052</v>
      </c>
      <c r="ES14" s="611">
        <f t="shared" si="12"/>
        <v>138.57271211636083</v>
      </c>
      <c r="ET14" s="612">
        <f t="shared" si="12"/>
        <v>148.09327263509883</v>
      </c>
      <c r="EU14" s="610">
        <f t="shared" si="30"/>
        <v>100</v>
      </c>
      <c r="EV14" s="611">
        <f t="shared" si="31"/>
        <v>135</v>
      </c>
      <c r="EW14" s="645">
        <f t="shared" si="32"/>
        <v>1000000</v>
      </c>
      <c r="EX14" s="610">
        <f t="shared" si="13"/>
        <v>-15.139278667042106</v>
      </c>
      <c r="EY14" s="621">
        <f t="shared" si="14"/>
        <v>7.6765292404916536</v>
      </c>
      <c r="EZ14" s="612">
        <f t="shared" si="15"/>
        <v>16.077918673567005</v>
      </c>
      <c r="FA14" s="646">
        <f t="shared" si="16"/>
        <v>1.526388888888889</v>
      </c>
      <c r="FB14" s="317"/>
      <c r="FC14" s="647">
        <f>$K$4</f>
        <v>9</v>
      </c>
      <c r="FD14" s="648">
        <v>2.5833333333333335</v>
      </c>
      <c r="FE14" s="649">
        <f t="shared" si="17"/>
        <v>136.56058732743247</v>
      </c>
      <c r="FF14" s="650">
        <f t="shared" si="17"/>
        <v>140.46860240795354</v>
      </c>
      <c r="FG14" s="651">
        <f t="shared" si="17"/>
        <v>142.32977118394842</v>
      </c>
      <c r="FI14" s="653"/>
      <c r="FJ14" s="652">
        <v>124</v>
      </c>
      <c r="FK14" s="633">
        <f t="shared" si="33"/>
        <v>100</v>
      </c>
      <c r="FL14" s="564">
        <f t="shared" si="34"/>
        <v>135</v>
      </c>
      <c r="FM14" s="634">
        <f t="shared" si="35"/>
        <v>-1000000000</v>
      </c>
      <c r="FN14" s="621">
        <f t="shared" si="18"/>
        <v>125.74007897014781</v>
      </c>
      <c r="FO14" s="621">
        <f t="shared" si="18"/>
        <v>128.05481007252689</v>
      </c>
      <c r="FP14" s="654">
        <f t="shared" si="18"/>
        <v>129.94880451277805</v>
      </c>
      <c r="FQ14" s="610">
        <f t="shared" si="19"/>
        <v>10.82050835728468</v>
      </c>
      <c r="FR14" s="611">
        <f t="shared" si="19"/>
        <v>12.413792335426654</v>
      </c>
      <c r="FS14" s="612">
        <f t="shared" si="19"/>
        <v>12.380966671170375</v>
      </c>
      <c r="FT14" s="633">
        <f t="shared" si="36"/>
        <v>0</v>
      </c>
      <c r="FU14" s="564">
        <f t="shared" si="20"/>
        <v>0</v>
      </c>
      <c r="FV14" s="655">
        <f t="shared" si="20"/>
        <v>335.98051165590601</v>
      </c>
      <c r="FW14" s="633">
        <f t="shared" si="37"/>
        <v>0</v>
      </c>
      <c r="FX14" s="564">
        <f t="shared" si="21"/>
        <v>0</v>
      </c>
      <c r="FY14" s="655">
        <f t="shared" si="21"/>
        <v>1</v>
      </c>
    </row>
    <row r="15" spans="2:181" ht="15" customHeight="1" x14ac:dyDescent="0.2">
      <c r="B15" s="604">
        <v>1.92</v>
      </c>
      <c r="C15" s="661">
        <v>112</v>
      </c>
      <c r="D15" s="640">
        <v>107.5</v>
      </c>
      <c r="E15" s="640">
        <v>103.5</v>
      </c>
      <c r="F15" s="640">
        <v>100.5</v>
      </c>
      <c r="G15" s="640">
        <v>97</v>
      </c>
      <c r="H15" s="640">
        <v>95</v>
      </c>
      <c r="I15" s="641">
        <v>90.5</v>
      </c>
      <c r="J15" s="640">
        <v>85</v>
      </c>
      <c r="K15" s="640">
        <v>83</v>
      </c>
      <c r="L15" s="640">
        <v>80</v>
      </c>
      <c r="M15" s="640">
        <v>77</v>
      </c>
      <c r="N15" s="640">
        <v>73</v>
      </c>
      <c r="O15" s="640">
        <v>69</v>
      </c>
      <c r="P15" s="640">
        <v>64</v>
      </c>
      <c r="Q15" s="640">
        <v>58</v>
      </c>
      <c r="R15" s="640">
        <v>49</v>
      </c>
      <c r="S15" s="641">
        <v>34.5</v>
      </c>
      <c r="T15" s="578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550"/>
      <c r="BV15" s="550"/>
      <c r="BW15" s="550"/>
      <c r="BX15" s="550"/>
      <c r="BY15" s="550"/>
      <c r="BZ15" s="550"/>
      <c r="CA15" s="550"/>
      <c r="CB15" s="550"/>
      <c r="CC15" s="550"/>
      <c r="CD15" s="550"/>
      <c r="CE15" s="550"/>
      <c r="CF15" s="550"/>
      <c r="CG15" s="550"/>
      <c r="CH15" s="550"/>
      <c r="CK15" s="552"/>
      <c r="CL15" s="552"/>
      <c r="CM15" s="552"/>
      <c r="CN15" s="552"/>
      <c r="CO15" s="552"/>
      <c r="CP15" s="552"/>
      <c r="CQ15" s="552"/>
      <c r="CR15" s="552"/>
      <c r="CS15" s="552"/>
      <c r="CT15" s="552"/>
      <c r="CU15" s="552"/>
      <c r="CV15" s="552"/>
      <c r="CW15" s="552"/>
      <c r="CX15" s="552"/>
      <c r="CY15" s="552"/>
      <c r="CZ15" s="642">
        <f t="shared" si="39"/>
        <v>8</v>
      </c>
      <c r="DA15" s="609">
        <f t="shared" si="0"/>
        <v>9</v>
      </c>
      <c r="DB15" s="609">
        <f t="shared" si="22"/>
        <v>3.2</v>
      </c>
      <c r="DC15" s="610">
        <f t="shared" si="1"/>
        <v>70.836487753635978</v>
      </c>
      <c r="DD15" s="611">
        <f t="shared" si="1"/>
        <v>76.894749636924203</v>
      </c>
      <c r="DE15" s="612">
        <f t="shared" si="1"/>
        <v>89.654572888489895</v>
      </c>
      <c r="DF15" s="610">
        <f t="shared" si="2"/>
        <v>19.411764705882348</v>
      </c>
      <c r="DG15" s="611">
        <f t="shared" si="2"/>
        <v>22</v>
      </c>
      <c r="DH15" s="612">
        <f t="shared" si="2"/>
        <v>28.470588235294098</v>
      </c>
      <c r="DI15" s="610">
        <f t="shared" si="3"/>
        <v>90.248252459518326</v>
      </c>
      <c r="DJ15" s="611">
        <f t="shared" si="3"/>
        <v>98.894749636924203</v>
      </c>
      <c r="DK15" s="612">
        <f t="shared" si="3"/>
        <v>118.125161123784</v>
      </c>
      <c r="DL15" s="613">
        <f t="shared" si="23"/>
        <v>-2.7058823529412015</v>
      </c>
      <c r="DM15" s="613">
        <f t="shared" si="23"/>
        <v>-2.7058823529412015</v>
      </c>
      <c r="DN15" s="613">
        <f t="shared" si="23"/>
        <v>-2.7058823529412015</v>
      </c>
      <c r="DO15" s="609">
        <f t="shared" si="5"/>
        <v>135</v>
      </c>
      <c r="DP15" s="609"/>
      <c r="DQ15" s="609">
        <f t="shared" si="24"/>
        <v>3.2</v>
      </c>
      <c r="DR15" s="610">
        <f t="shared" si="6"/>
        <v>14.914809913148298</v>
      </c>
      <c r="DS15" s="611">
        <f t="shared" si="6"/>
        <v>15.307442370560802</v>
      </c>
      <c r="DT15" s="612">
        <f t="shared" si="6"/>
        <v>15.459466859650103</v>
      </c>
      <c r="DU15" s="611">
        <f t="shared" si="38"/>
        <v>12.5</v>
      </c>
      <c r="DV15" s="611">
        <f t="shared" si="38"/>
        <v>12.5</v>
      </c>
      <c r="DW15" s="611">
        <f t="shared" si="38"/>
        <v>12.5</v>
      </c>
      <c r="DX15" s="614">
        <f t="shared" si="7"/>
        <v>12.5</v>
      </c>
      <c r="DY15" s="615"/>
      <c r="DZ15" s="609">
        <f t="shared" si="25"/>
        <v>3.2</v>
      </c>
      <c r="EA15" s="611">
        <f t="shared" si="8"/>
        <v>2.0954055023923446</v>
      </c>
      <c r="EB15" s="611">
        <f t="shared" si="8"/>
        <v>2.1133652849740932</v>
      </c>
      <c r="EC15" s="611">
        <f t="shared" si="8"/>
        <v>2.1647302631578946</v>
      </c>
      <c r="ED15" s="610">
        <f t="shared" si="9"/>
        <v>0.22002999999999975</v>
      </c>
      <c r="EE15" s="611">
        <f t="shared" si="9"/>
        <v>0.22005999999999976</v>
      </c>
      <c r="EF15" s="612">
        <f t="shared" si="9"/>
        <v>0.22012499999999974</v>
      </c>
      <c r="EG15" s="611">
        <f t="shared" si="10"/>
        <v>2.3154355023923445</v>
      </c>
      <c r="EH15" s="611">
        <f t="shared" si="10"/>
        <v>2.3334252849740929</v>
      </c>
      <c r="EI15" s="611">
        <f t="shared" si="10"/>
        <v>2.3848552631578945</v>
      </c>
      <c r="EJ15" s="610">
        <f t="shared" si="26"/>
        <v>2.2999999999999998</v>
      </c>
      <c r="EK15" s="643">
        <f t="shared" si="27"/>
        <v>2.25</v>
      </c>
      <c r="EL15" s="644">
        <f t="shared" si="28"/>
        <v>2.83</v>
      </c>
      <c r="EN15" s="620">
        <f t="shared" si="29"/>
        <v>1.7444444444444445</v>
      </c>
      <c r="EO15" s="621">
        <f t="shared" si="11"/>
        <v>128.74677268931345</v>
      </c>
      <c r="EP15" s="621">
        <f t="shared" si="11"/>
        <v>130.30996589599738</v>
      </c>
      <c r="EQ15" s="621">
        <f t="shared" si="11"/>
        <v>131.58899849401899</v>
      </c>
      <c r="ER15" s="610">
        <f t="shared" si="12"/>
        <v>110.67018609606293</v>
      </c>
      <c r="ES15" s="611">
        <f t="shared" si="12"/>
        <v>136.29650636527995</v>
      </c>
      <c r="ET15" s="612">
        <f t="shared" si="12"/>
        <v>146.87840583823231</v>
      </c>
      <c r="EU15" s="610">
        <f t="shared" si="30"/>
        <v>100</v>
      </c>
      <c r="EV15" s="611">
        <f t="shared" si="31"/>
        <v>135</v>
      </c>
      <c r="EW15" s="645">
        <f t="shared" si="32"/>
        <v>1000000</v>
      </c>
      <c r="EX15" s="610">
        <f t="shared" si="13"/>
        <v>-18.076586593250518</v>
      </c>
      <c r="EY15" s="621">
        <f t="shared" si="14"/>
        <v>5.9865404692825805</v>
      </c>
      <c r="EZ15" s="612">
        <f t="shared" si="15"/>
        <v>15.289407344213322</v>
      </c>
      <c r="FA15" s="646">
        <f t="shared" si="16"/>
        <v>1.7444444444444445</v>
      </c>
      <c r="FB15" s="317"/>
      <c r="FC15" s="647">
        <f>$L$4</f>
        <v>8</v>
      </c>
      <c r="FD15" s="648">
        <v>2.9444444444444446</v>
      </c>
      <c r="FE15" s="649">
        <f t="shared" si="17"/>
        <v>133.87972637783938</v>
      </c>
      <c r="FF15" s="650">
        <f t="shared" si="17"/>
        <v>138.30884021397185</v>
      </c>
      <c r="FG15" s="651">
        <f t="shared" si="17"/>
        <v>140.43063319354911</v>
      </c>
      <c r="FH15" s="652">
        <v>106</v>
      </c>
      <c r="FK15" s="633">
        <f t="shared" si="33"/>
        <v>100</v>
      </c>
      <c r="FL15" s="564">
        <f t="shared" si="34"/>
        <v>135</v>
      </c>
      <c r="FM15" s="634">
        <f t="shared" si="35"/>
        <v>-1000000000</v>
      </c>
      <c r="FN15" s="621">
        <f t="shared" si="18"/>
        <v>124.44589311007769</v>
      </c>
      <c r="FO15" s="621">
        <f t="shared" si="18"/>
        <v>127.08409616412801</v>
      </c>
      <c r="FP15" s="654">
        <f t="shared" si="18"/>
        <v>129.24278641804688</v>
      </c>
      <c r="FQ15" s="610">
        <f t="shared" si="19"/>
        <v>9.4338332677616936</v>
      </c>
      <c r="FR15" s="611">
        <f t="shared" si="19"/>
        <v>11.224744049843828</v>
      </c>
      <c r="FS15" s="612">
        <f t="shared" si="19"/>
        <v>11.18784677550223</v>
      </c>
      <c r="FT15" s="633">
        <f t="shared" si="36"/>
        <v>777.27914290319268</v>
      </c>
      <c r="FU15" s="564">
        <f t="shared" si="20"/>
        <v>0</v>
      </c>
      <c r="FV15" s="655">
        <f t="shared" si="20"/>
        <v>0</v>
      </c>
      <c r="FW15" s="633">
        <f t="shared" si="37"/>
        <v>1</v>
      </c>
      <c r="FX15" s="564">
        <f t="shared" si="21"/>
        <v>0</v>
      </c>
      <c r="FY15" s="655">
        <f t="shared" si="21"/>
        <v>0</v>
      </c>
    </row>
    <row r="16" spans="2:181" ht="15" customHeight="1" x14ac:dyDescent="0.2">
      <c r="B16" s="662">
        <v>1.94</v>
      </c>
      <c r="C16" s="663">
        <v>104.5</v>
      </c>
      <c r="D16" s="664">
        <v>101</v>
      </c>
      <c r="E16" s="664">
        <v>97</v>
      </c>
      <c r="F16" s="664">
        <v>94</v>
      </c>
      <c r="G16" s="664">
        <v>90.5</v>
      </c>
      <c r="H16" s="664">
        <v>88.5</v>
      </c>
      <c r="I16" s="665">
        <v>84</v>
      </c>
      <c r="J16" s="664">
        <v>81</v>
      </c>
      <c r="K16" s="664">
        <v>78.5</v>
      </c>
      <c r="L16" s="664">
        <v>76</v>
      </c>
      <c r="M16" s="664">
        <v>73</v>
      </c>
      <c r="N16" s="664">
        <v>69</v>
      </c>
      <c r="O16" s="664">
        <v>65</v>
      </c>
      <c r="P16" s="664">
        <v>60</v>
      </c>
      <c r="Q16" s="664">
        <v>54</v>
      </c>
      <c r="R16" s="664">
        <v>46</v>
      </c>
      <c r="S16" s="665">
        <v>31</v>
      </c>
      <c r="T16" s="578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K16" s="552"/>
      <c r="CL16" s="552"/>
      <c r="CM16" s="552"/>
      <c r="CN16" s="552"/>
      <c r="CO16" s="552"/>
      <c r="CP16" s="552"/>
      <c r="CQ16" s="552"/>
      <c r="CR16" s="552"/>
      <c r="CS16" s="552"/>
      <c r="CT16" s="552"/>
      <c r="CU16" s="552"/>
      <c r="CV16" s="552"/>
      <c r="CW16" s="552"/>
      <c r="CX16" s="552"/>
      <c r="CY16" s="552"/>
      <c r="CZ16" s="642">
        <f t="shared" si="39"/>
        <v>9</v>
      </c>
      <c r="DA16" s="609">
        <f t="shared" si="0"/>
        <v>10.125</v>
      </c>
      <c r="DB16" s="609">
        <f t="shared" si="22"/>
        <v>3.5999999999999996</v>
      </c>
      <c r="DC16" s="610">
        <f t="shared" si="1"/>
        <v>76.533455909363809</v>
      </c>
      <c r="DD16" s="611">
        <f t="shared" si="1"/>
        <v>82.706154692616366</v>
      </c>
      <c r="DE16" s="612">
        <f t="shared" si="1"/>
        <v>95.435246621974869</v>
      </c>
      <c r="DF16" s="610">
        <f t="shared" si="2"/>
        <v>19.411764705882348</v>
      </c>
      <c r="DG16" s="611">
        <f t="shared" si="2"/>
        <v>22</v>
      </c>
      <c r="DH16" s="612">
        <f t="shared" si="2"/>
        <v>28.470588235294098</v>
      </c>
      <c r="DI16" s="610">
        <f t="shared" si="3"/>
        <v>95.945220615246157</v>
      </c>
      <c r="DJ16" s="611">
        <f t="shared" si="3"/>
        <v>104.70615469261637</v>
      </c>
      <c r="DK16" s="612">
        <f t="shared" si="3"/>
        <v>123.90583485726897</v>
      </c>
      <c r="DL16" s="613">
        <f t="shared" si="23"/>
        <v>2.2941176470587914</v>
      </c>
      <c r="DM16" s="613">
        <f t="shared" si="23"/>
        <v>2.2941176470587914</v>
      </c>
      <c r="DN16" s="613">
        <f t="shared" si="23"/>
        <v>2.2941176470587914</v>
      </c>
      <c r="DO16" s="609">
        <f t="shared" si="5"/>
        <v>135</v>
      </c>
      <c r="DP16" s="609"/>
      <c r="DQ16" s="609">
        <f t="shared" si="24"/>
        <v>3.5999999999999996</v>
      </c>
      <c r="DR16" s="610">
        <f t="shared" si="6"/>
        <v>13.590549532923328</v>
      </c>
      <c r="DS16" s="611">
        <f t="shared" si="6"/>
        <v>13.776466298241465</v>
      </c>
      <c r="DT16" s="612">
        <f t="shared" si="6"/>
        <v>13.488680835526917</v>
      </c>
      <c r="DU16" s="611">
        <f t="shared" si="38"/>
        <v>12.499999999999998</v>
      </c>
      <c r="DV16" s="611">
        <f t="shared" si="38"/>
        <v>12.499999999999998</v>
      </c>
      <c r="DW16" s="611">
        <f t="shared" si="38"/>
        <v>12.499999999999998</v>
      </c>
      <c r="DX16" s="614">
        <f t="shared" si="7"/>
        <v>12.5</v>
      </c>
      <c r="DY16" s="615"/>
      <c r="DZ16" s="609">
        <f t="shared" si="25"/>
        <v>3.5999999999999996</v>
      </c>
      <c r="EA16" s="611">
        <f t="shared" si="8"/>
        <v>2.095554347826087</v>
      </c>
      <c r="EB16" s="611">
        <f t="shared" si="8"/>
        <v>2.1140714285714286</v>
      </c>
      <c r="EC16" s="611">
        <f t="shared" si="8"/>
        <v>2.1694374999999999</v>
      </c>
      <c r="ED16" s="610">
        <f t="shared" si="9"/>
        <v>0.22002999999999975</v>
      </c>
      <c r="EE16" s="611">
        <f t="shared" si="9"/>
        <v>0.22005999999999976</v>
      </c>
      <c r="EF16" s="612">
        <f t="shared" si="9"/>
        <v>0.22012499999999974</v>
      </c>
      <c r="EG16" s="611">
        <f t="shared" si="10"/>
        <v>2.3155843478260869</v>
      </c>
      <c r="EH16" s="611">
        <f t="shared" si="10"/>
        <v>2.3341314285714283</v>
      </c>
      <c r="EI16" s="611">
        <f t="shared" si="10"/>
        <v>2.3895624999999998</v>
      </c>
      <c r="EJ16" s="610">
        <f t="shared" si="26"/>
        <v>2.2999999999999998</v>
      </c>
      <c r="EK16" s="643">
        <f t="shared" si="27"/>
        <v>2.25</v>
      </c>
      <c r="EL16" s="644">
        <f t="shared" si="28"/>
        <v>2.83</v>
      </c>
      <c r="EN16" s="620">
        <f t="shared" si="29"/>
        <v>1.9624999999999999</v>
      </c>
      <c r="EO16" s="621">
        <f t="shared" si="11"/>
        <v>127.96520448812178</v>
      </c>
      <c r="EP16" s="621">
        <f t="shared" si="11"/>
        <v>129.72375956757702</v>
      </c>
      <c r="EQ16" s="621">
        <f t="shared" si="11"/>
        <v>131.16264866066675</v>
      </c>
      <c r="ER16" s="610">
        <f t="shared" si="12"/>
        <v>107.3307667759517</v>
      </c>
      <c r="ES16" s="611">
        <f t="shared" si="12"/>
        <v>134.09746149808058</v>
      </c>
      <c r="ET16" s="612">
        <f t="shared" si="12"/>
        <v>145.6771805368021</v>
      </c>
      <c r="EU16" s="610">
        <f t="shared" si="30"/>
        <v>100</v>
      </c>
      <c r="EV16" s="611">
        <f t="shared" si="31"/>
        <v>135</v>
      </c>
      <c r="EW16" s="645">
        <f t="shared" si="32"/>
        <v>1000000</v>
      </c>
      <c r="EX16" s="610">
        <f t="shared" si="13"/>
        <v>-20.634437712170083</v>
      </c>
      <c r="EY16" s="621">
        <f t="shared" si="14"/>
        <v>4.3737019305035609</v>
      </c>
      <c r="EZ16" s="612">
        <f t="shared" si="15"/>
        <v>14.514531876135344</v>
      </c>
      <c r="FA16" s="646">
        <f t="shared" si="16"/>
        <v>1.9624999999999999</v>
      </c>
      <c r="FB16" s="317"/>
      <c r="FC16" s="647">
        <f>$M$4</f>
        <v>7</v>
      </c>
      <c r="FD16" s="648">
        <v>3.2361111111111112</v>
      </c>
      <c r="FE16" s="649">
        <f t="shared" si="17"/>
        <v>131.74333282127236</v>
      </c>
      <c r="FF16" s="650">
        <f t="shared" si="17"/>
        <v>136.58920169977355</v>
      </c>
      <c r="FG16" s="651">
        <f t="shared" si="17"/>
        <v>138.92157359711186</v>
      </c>
      <c r="FI16" s="652">
        <v>116.5</v>
      </c>
      <c r="FJ16" s="653"/>
      <c r="FK16" s="633">
        <f t="shared" si="33"/>
        <v>100</v>
      </c>
      <c r="FL16" s="564">
        <f t="shared" si="34"/>
        <v>135</v>
      </c>
      <c r="FM16" s="634">
        <f t="shared" si="35"/>
        <v>-1000000000</v>
      </c>
      <c r="FN16" s="621">
        <f t="shared" si="18"/>
        <v>123.40062704776072</v>
      </c>
      <c r="FO16" s="621">
        <f t="shared" si="18"/>
        <v>126.30007932958117</v>
      </c>
      <c r="FP16" s="654">
        <f t="shared" si="18"/>
        <v>128.67255231284139</v>
      </c>
      <c r="FQ16" s="610">
        <f t="shared" si="19"/>
        <v>8.342705773511641</v>
      </c>
      <c r="FR16" s="611">
        <f t="shared" si="19"/>
        <v>10.289122370192386</v>
      </c>
      <c r="FS16" s="612">
        <f t="shared" si="19"/>
        <v>10.249021284270464</v>
      </c>
      <c r="FT16" s="633">
        <f t="shared" si="36"/>
        <v>0</v>
      </c>
      <c r="FU16" s="564">
        <f t="shared" si="20"/>
        <v>403.57602493418466</v>
      </c>
      <c r="FV16" s="655">
        <f t="shared" si="20"/>
        <v>0</v>
      </c>
      <c r="FW16" s="633">
        <f t="shared" si="37"/>
        <v>0</v>
      </c>
      <c r="FX16" s="564">
        <f t="shared" si="21"/>
        <v>1</v>
      </c>
      <c r="FY16" s="655">
        <f t="shared" si="21"/>
        <v>0</v>
      </c>
    </row>
    <row r="17" spans="2:181" ht="15" customHeight="1" x14ac:dyDescent="0.2">
      <c r="B17" s="599"/>
      <c r="C17" s="640"/>
      <c r="D17" s="640"/>
      <c r="E17" s="640"/>
      <c r="F17" s="640"/>
      <c r="G17" s="640"/>
      <c r="H17" s="640"/>
      <c r="I17" s="640"/>
      <c r="J17" s="640"/>
      <c r="K17" s="640"/>
      <c r="L17" s="640"/>
      <c r="M17" s="640"/>
      <c r="N17" s="640"/>
      <c r="O17" s="640"/>
      <c r="P17" s="640"/>
      <c r="Q17" s="640"/>
      <c r="R17" s="640"/>
      <c r="S17" s="640"/>
      <c r="T17" s="578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550"/>
      <c r="CG17" s="550"/>
      <c r="CH17" s="550"/>
      <c r="CK17" s="552"/>
      <c r="CL17" s="552"/>
      <c r="CM17" s="552"/>
      <c r="CN17" s="552"/>
      <c r="CO17" s="552"/>
      <c r="CP17" s="552"/>
      <c r="CQ17" s="552"/>
      <c r="CR17" s="552"/>
      <c r="CS17" s="552"/>
      <c r="CT17" s="552"/>
      <c r="CU17" s="552"/>
      <c r="CV17" s="552"/>
      <c r="CW17" s="552"/>
      <c r="CX17" s="666">
        <f>(CS20-CS21)/CS38</f>
        <v>35.564853556485346</v>
      </c>
      <c r="CY17" s="660" t="s">
        <v>260</v>
      </c>
      <c r="CZ17" s="642">
        <f t="shared" si="39"/>
        <v>10</v>
      </c>
      <c r="DA17" s="609">
        <f t="shared" si="0"/>
        <v>11.25</v>
      </c>
      <c r="DB17" s="609">
        <f t="shared" si="22"/>
        <v>4</v>
      </c>
      <c r="DC17" s="610">
        <f t="shared" si="1"/>
        <v>81.72460003783516</v>
      </c>
      <c r="DD17" s="611">
        <f t="shared" si="1"/>
        <v>87.936331227472735</v>
      </c>
      <c r="DE17" s="612">
        <f t="shared" si="1"/>
        <v>100.47899513627891</v>
      </c>
      <c r="DF17" s="610">
        <f t="shared" si="2"/>
        <v>19.411764705882348</v>
      </c>
      <c r="DG17" s="611">
        <f t="shared" si="2"/>
        <v>22</v>
      </c>
      <c r="DH17" s="612">
        <f t="shared" si="2"/>
        <v>28.470588235294098</v>
      </c>
      <c r="DI17" s="610">
        <f t="shared" si="3"/>
        <v>101.13636474371751</v>
      </c>
      <c r="DJ17" s="611">
        <f t="shared" si="3"/>
        <v>109.93633122747273</v>
      </c>
      <c r="DK17" s="612">
        <f t="shared" si="3"/>
        <v>128.949583371573</v>
      </c>
      <c r="DL17" s="613">
        <f t="shared" si="23"/>
        <v>7.2941176470587958</v>
      </c>
      <c r="DM17" s="613">
        <f t="shared" si="23"/>
        <v>7.2941176470587958</v>
      </c>
      <c r="DN17" s="613">
        <f t="shared" si="23"/>
        <v>7.2941176470587958</v>
      </c>
      <c r="DO17" s="609">
        <f t="shared" si="5"/>
        <v>135</v>
      </c>
      <c r="DP17" s="609"/>
      <c r="DQ17" s="609">
        <f t="shared" si="24"/>
        <v>4</v>
      </c>
      <c r="DR17" s="610">
        <f t="shared" si="6"/>
        <v>12.383867959592008</v>
      </c>
      <c r="DS17" s="611">
        <f t="shared" si="6"/>
        <v>12.39861102019159</v>
      </c>
      <c r="DT17" s="612">
        <f t="shared" si="6"/>
        <v>11.769132295085434</v>
      </c>
      <c r="DU17" s="611">
        <f t="shared" si="38"/>
        <v>12.5</v>
      </c>
      <c r="DV17" s="611">
        <f t="shared" si="38"/>
        <v>12.5</v>
      </c>
      <c r="DW17" s="611">
        <f t="shared" si="38"/>
        <v>12.5</v>
      </c>
      <c r="DX17" s="614">
        <f t="shared" si="7"/>
        <v>12.5</v>
      </c>
      <c r="DY17" s="615"/>
      <c r="DZ17" s="609">
        <f t="shared" si="25"/>
        <v>4</v>
      </c>
      <c r="EA17" s="611">
        <f t="shared" si="8"/>
        <v>2.0957060975609756</v>
      </c>
      <c r="EB17" s="611">
        <f t="shared" si="8"/>
        <v>2.1148081081081083</v>
      </c>
      <c r="EC17" s="611">
        <f t="shared" si="8"/>
        <v>2.1746985294117649</v>
      </c>
      <c r="ED17" s="610">
        <f t="shared" si="9"/>
        <v>0.22002999999999975</v>
      </c>
      <c r="EE17" s="611">
        <f t="shared" si="9"/>
        <v>0.22005999999999976</v>
      </c>
      <c r="EF17" s="612">
        <f t="shared" si="9"/>
        <v>0.22012499999999974</v>
      </c>
      <c r="EG17" s="611">
        <f t="shared" si="10"/>
        <v>2.3157360975609755</v>
      </c>
      <c r="EH17" s="611">
        <f t="shared" si="10"/>
        <v>2.334868108108108</v>
      </c>
      <c r="EI17" s="611">
        <f t="shared" si="10"/>
        <v>2.3948235294117648</v>
      </c>
      <c r="EJ17" s="610">
        <f t="shared" si="26"/>
        <v>2.2999999999999998</v>
      </c>
      <c r="EK17" s="643">
        <f t="shared" si="27"/>
        <v>2.25</v>
      </c>
      <c r="EL17" s="644">
        <f t="shared" si="28"/>
        <v>2.83</v>
      </c>
      <c r="EN17" s="620">
        <f t="shared" si="29"/>
        <v>2.1805555555555554</v>
      </c>
      <c r="EO17" s="621">
        <f t="shared" si="11"/>
        <v>127.18365522077957</v>
      </c>
      <c r="EP17" s="621">
        <f t="shared" si="11"/>
        <v>129.13756389031786</v>
      </c>
      <c r="EQ17" s="621">
        <f t="shared" si="11"/>
        <v>130.73630446136346</v>
      </c>
      <c r="ER17" s="610">
        <f t="shared" si="12"/>
        <v>104.32180298111612</v>
      </c>
      <c r="ES17" s="611">
        <f t="shared" si="12"/>
        <v>131.97205550387366</v>
      </c>
      <c r="ET17" s="612">
        <f t="shared" si="12"/>
        <v>144.48936092341538</v>
      </c>
      <c r="EU17" s="610">
        <f t="shared" si="30"/>
        <v>100</v>
      </c>
      <c r="EV17" s="611">
        <f t="shared" si="31"/>
        <v>135</v>
      </c>
      <c r="EW17" s="645">
        <f t="shared" si="32"/>
        <v>1000000</v>
      </c>
      <c r="EX17" s="610">
        <f t="shared" si="13"/>
        <v>-22.861852239663456</v>
      </c>
      <c r="EY17" s="621">
        <f t="shared" si="14"/>
        <v>2.8344916135558051</v>
      </c>
      <c r="EZ17" s="612">
        <f t="shared" si="15"/>
        <v>13.753056462051921</v>
      </c>
      <c r="FA17" s="646">
        <f t="shared" si="16"/>
        <v>2.1805555555555554</v>
      </c>
      <c r="FB17" s="317"/>
      <c r="FC17" s="647">
        <f>$N$4</f>
        <v>6</v>
      </c>
      <c r="FD17" s="648">
        <v>3.375</v>
      </c>
      <c r="FE17" s="649">
        <f t="shared" si="17"/>
        <v>130.73489520320149</v>
      </c>
      <c r="FF17" s="650">
        <f t="shared" si="17"/>
        <v>135.77794798690647</v>
      </c>
      <c r="FG17" s="651">
        <f t="shared" si="17"/>
        <v>138.21061848108286</v>
      </c>
      <c r="FI17" s="653"/>
      <c r="FJ17" s="652">
        <v>121.5</v>
      </c>
      <c r="FK17" s="633">
        <f t="shared" si="33"/>
        <v>100</v>
      </c>
      <c r="FL17" s="564">
        <f t="shared" si="34"/>
        <v>135</v>
      </c>
      <c r="FM17" s="634">
        <f t="shared" si="35"/>
        <v>-1000000000</v>
      </c>
      <c r="FN17" s="621">
        <f t="shared" si="18"/>
        <v>122.90289320752359</v>
      </c>
      <c r="FO17" s="621">
        <f t="shared" si="18"/>
        <v>125.92674467652986</v>
      </c>
      <c r="FP17" s="654">
        <f t="shared" si="18"/>
        <v>128.40101580520172</v>
      </c>
      <c r="FQ17" s="610">
        <f t="shared" si="19"/>
        <v>7.8320019956778957</v>
      </c>
      <c r="FR17" s="611">
        <f t="shared" si="19"/>
        <v>9.8512033103765919</v>
      </c>
      <c r="FS17" s="612">
        <f t="shared" si="19"/>
        <v>9.8096026758811448</v>
      </c>
      <c r="FT17" s="633">
        <f t="shared" si="36"/>
        <v>0</v>
      </c>
      <c r="FU17" s="564">
        <f t="shared" si="20"/>
        <v>0</v>
      </c>
      <c r="FV17" s="655">
        <f t="shared" si="20"/>
        <v>279.24477002030807</v>
      </c>
      <c r="FW17" s="633">
        <f t="shared" si="37"/>
        <v>0</v>
      </c>
      <c r="FX17" s="564">
        <f t="shared" si="21"/>
        <v>0</v>
      </c>
      <c r="FY17" s="655">
        <f t="shared" si="21"/>
        <v>1</v>
      </c>
    </row>
    <row r="18" spans="2:181" ht="15" customHeight="1" x14ac:dyDescent="0.2">
      <c r="B18" s="574" t="s">
        <v>233</v>
      </c>
      <c r="C18" s="626">
        <f>$C$4</f>
        <v>100</v>
      </c>
      <c r="D18" s="667">
        <f>$D$4</f>
        <v>72</v>
      </c>
      <c r="E18" s="667">
        <f>$E$4</f>
        <v>48</v>
      </c>
      <c r="F18" s="667">
        <f>$F$4</f>
        <v>36</v>
      </c>
      <c r="G18" s="667">
        <f>$G$4</f>
        <v>24</v>
      </c>
      <c r="H18" s="667">
        <f>$H$4</f>
        <v>20</v>
      </c>
      <c r="I18" s="667">
        <f>$I$4</f>
        <v>12</v>
      </c>
      <c r="J18" s="667">
        <f>$J$4</f>
        <v>10</v>
      </c>
      <c r="K18" s="667">
        <f>$K$4</f>
        <v>9</v>
      </c>
      <c r="L18" s="667">
        <f>$L$4</f>
        <v>8</v>
      </c>
      <c r="M18" s="667">
        <f>$M$4</f>
        <v>7</v>
      </c>
      <c r="N18" s="667">
        <f>$N$4</f>
        <v>6</v>
      </c>
      <c r="O18" s="667">
        <f>$O$4</f>
        <v>5</v>
      </c>
      <c r="P18" s="667">
        <f>$P$4</f>
        <v>4</v>
      </c>
      <c r="Q18" s="667">
        <f>$Q$4</f>
        <v>3</v>
      </c>
      <c r="R18" s="667">
        <f>$R$4</f>
        <v>2</v>
      </c>
      <c r="S18" s="668">
        <f>$S$4</f>
        <v>1</v>
      </c>
      <c r="T18" s="578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550"/>
      <c r="BV18" s="550"/>
      <c r="BW18" s="550"/>
      <c r="BX18" s="550"/>
      <c r="BY18" s="550"/>
      <c r="BZ18" s="550"/>
      <c r="CA18" s="550"/>
      <c r="CB18" s="550"/>
      <c r="CC18" s="550"/>
      <c r="CD18" s="550"/>
      <c r="CE18" s="550"/>
      <c r="CF18" s="550"/>
      <c r="CG18" s="550"/>
      <c r="CH18" s="550"/>
      <c r="CK18" s="552"/>
      <c r="CL18" s="552"/>
      <c r="CM18" s="552"/>
      <c r="CN18" s="552"/>
      <c r="CO18" s="552"/>
      <c r="CP18" s="552"/>
      <c r="CQ18" s="552"/>
      <c r="CR18" s="552"/>
      <c r="CS18" s="552"/>
      <c r="CT18" s="552"/>
      <c r="CU18" s="552"/>
      <c r="CV18" s="552"/>
      <c r="CW18" s="552"/>
      <c r="CX18" s="552"/>
      <c r="CY18" s="552"/>
      <c r="CZ18" s="642">
        <f t="shared" si="39"/>
        <v>11</v>
      </c>
      <c r="DA18" s="609">
        <f t="shared" si="0"/>
        <v>12.375</v>
      </c>
      <c r="DB18" s="609">
        <f t="shared" si="22"/>
        <v>4.3999999999999995</v>
      </c>
      <c r="DC18" s="610">
        <f t="shared" si="1"/>
        <v>86.454831386498839</v>
      </c>
      <c r="DD18" s="611">
        <f t="shared" si="1"/>
        <v>92.643410896436578</v>
      </c>
      <c r="DE18" s="612">
        <f t="shared" si="1"/>
        <v>104.87976228703238</v>
      </c>
      <c r="DF18" s="610">
        <f t="shared" si="2"/>
        <v>19.411764705882348</v>
      </c>
      <c r="DG18" s="611">
        <f t="shared" si="2"/>
        <v>22</v>
      </c>
      <c r="DH18" s="612">
        <f t="shared" si="2"/>
        <v>28.470588235294098</v>
      </c>
      <c r="DI18" s="610">
        <f t="shared" si="3"/>
        <v>105.86659609238119</v>
      </c>
      <c r="DJ18" s="611">
        <f t="shared" si="3"/>
        <v>114.64341089643658</v>
      </c>
      <c r="DK18" s="612">
        <f t="shared" si="3"/>
        <v>133.35035052232647</v>
      </c>
      <c r="DL18" s="613">
        <f t="shared" si="23"/>
        <v>12.294117647058789</v>
      </c>
      <c r="DM18" s="613">
        <f t="shared" si="23"/>
        <v>12.294117647058789</v>
      </c>
      <c r="DN18" s="613">
        <f t="shared" si="23"/>
        <v>12.294117647058789</v>
      </c>
      <c r="DO18" s="609">
        <f t="shared" si="5"/>
        <v>135</v>
      </c>
      <c r="DP18" s="609"/>
      <c r="DQ18" s="609">
        <f t="shared" si="24"/>
        <v>4.3999999999999995</v>
      </c>
      <c r="DR18" s="610">
        <f t="shared" si="6"/>
        <v>11.284325572640897</v>
      </c>
      <c r="DS18" s="611">
        <f t="shared" si="6"/>
        <v>11.158562137929307</v>
      </c>
      <c r="DT18" s="612">
        <f t="shared" si="6"/>
        <v>10.268793269568988</v>
      </c>
      <c r="DU18" s="611">
        <f t="shared" si="38"/>
        <v>12.499999999999998</v>
      </c>
      <c r="DV18" s="611">
        <f t="shared" si="38"/>
        <v>12.499999999999998</v>
      </c>
      <c r="DW18" s="611">
        <f t="shared" si="38"/>
        <v>12.499999999999998</v>
      </c>
      <c r="DX18" s="614">
        <f t="shared" si="7"/>
        <v>12.5</v>
      </c>
      <c r="DY18" s="615"/>
      <c r="DZ18" s="609">
        <f t="shared" si="25"/>
        <v>4.3999999999999995</v>
      </c>
      <c r="EA18" s="611">
        <f t="shared" si="8"/>
        <v>2.0958608374384236</v>
      </c>
      <c r="EB18" s="611">
        <f t="shared" si="8"/>
        <v>2.1155773480662985</v>
      </c>
      <c r="EC18" s="611">
        <f t="shared" si="8"/>
        <v>2.1806171875000002</v>
      </c>
      <c r="ED18" s="610">
        <f t="shared" si="9"/>
        <v>0.22002999999999975</v>
      </c>
      <c r="EE18" s="611">
        <f t="shared" si="9"/>
        <v>0.22005999999999976</v>
      </c>
      <c r="EF18" s="612">
        <f t="shared" si="9"/>
        <v>0.22012499999999974</v>
      </c>
      <c r="EG18" s="611">
        <f t="shared" si="10"/>
        <v>2.3158908374384235</v>
      </c>
      <c r="EH18" s="611">
        <f>(EB18+EE18)</f>
        <v>2.3356373480662982</v>
      </c>
      <c r="EI18" s="611">
        <f t="shared" si="10"/>
        <v>2.4007421875000001</v>
      </c>
      <c r="EJ18" s="610">
        <f t="shared" si="26"/>
        <v>2.2999999999999998</v>
      </c>
      <c r="EK18" s="643">
        <f t="shared" si="27"/>
        <v>2.25</v>
      </c>
      <c r="EL18" s="644">
        <f t="shared" si="28"/>
        <v>2.83</v>
      </c>
      <c r="EN18" s="620">
        <f t="shared" si="29"/>
        <v>2.3986111111111112</v>
      </c>
      <c r="EO18" s="621">
        <f t="shared" si="11"/>
        <v>126.40212488659884</v>
      </c>
      <c r="EP18" s="621">
        <f t="shared" si="11"/>
        <v>128.5513788639295</v>
      </c>
      <c r="EQ18" s="621">
        <f>$CS$28*((1-($CS$36*$EN18)/($CS$21-EQ$4))/(1+(($CS$37*$EN18)/($CS$21-EQ$4))))</f>
        <v>130.30996589599738</v>
      </c>
      <c r="ER18" s="610">
        <f t="shared" si="12"/>
        <v>101.60060718298756</v>
      </c>
      <c r="ES18" s="611">
        <f t="shared" si="12"/>
        <v>129.91692715623259</v>
      </c>
      <c r="ET18" s="612">
        <f t="shared" si="12"/>
        <v>143.31471526853494</v>
      </c>
      <c r="EU18" s="610">
        <f t="shared" si="30"/>
        <v>100</v>
      </c>
      <c r="EV18" s="611">
        <f t="shared" si="31"/>
        <v>135</v>
      </c>
      <c r="EW18" s="645">
        <f t="shared" si="32"/>
        <v>1000000</v>
      </c>
      <c r="EX18" s="610">
        <f t="shared" si="13"/>
        <v>-24.801517703611282</v>
      </c>
      <c r="EY18" s="621">
        <f t="shared" si="14"/>
        <v>1.365548292303103</v>
      </c>
      <c r="EZ18" s="612">
        <f t="shared" si="15"/>
        <v>13.004749372537551</v>
      </c>
      <c r="FA18" s="646">
        <f t="shared" si="16"/>
        <v>2.3986111111111112</v>
      </c>
      <c r="FB18" s="317"/>
      <c r="FC18" s="647">
        <f>$O$4</f>
        <v>5</v>
      </c>
      <c r="FD18" s="648">
        <v>4.25</v>
      </c>
      <c r="FE18" s="649">
        <f t="shared" si="17"/>
        <v>124.50917414895238</v>
      </c>
      <c r="FF18" s="650">
        <f t="shared" si="17"/>
        <v>130.77627148681992</v>
      </c>
      <c r="FG18" s="651">
        <f t="shared" si="17"/>
        <v>133.84115001314589</v>
      </c>
      <c r="FH18" s="652">
        <v>102</v>
      </c>
      <c r="FK18" s="633">
        <f t="shared" si="33"/>
        <v>100</v>
      </c>
      <c r="FL18" s="564">
        <f t="shared" si="34"/>
        <v>135</v>
      </c>
      <c r="FM18" s="634">
        <f t="shared" si="35"/>
        <v>-1000000000</v>
      </c>
      <c r="FN18" s="621">
        <f t="shared" si="18"/>
        <v>119.76734659871977</v>
      </c>
      <c r="FO18" s="621">
        <f t="shared" si="18"/>
        <v>123.57483570617703</v>
      </c>
      <c r="FP18" s="654">
        <f t="shared" si="18"/>
        <v>126.69038835907496</v>
      </c>
      <c r="FQ18" s="610">
        <f t="shared" si="19"/>
        <v>4.7418275502326068</v>
      </c>
      <c r="FR18" s="611">
        <f t="shared" si="19"/>
        <v>7.2014357806428926</v>
      </c>
      <c r="FS18" s="612">
        <f t="shared" si="19"/>
        <v>7.1507616540709407</v>
      </c>
      <c r="FT18" s="633">
        <f t="shared" si="36"/>
        <v>506.66292086786621</v>
      </c>
      <c r="FU18" s="564">
        <f t="shared" si="20"/>
        <v>0</v>
      </c>
      <c r="FV18" s="655">
        <f t="shared" si="20"/>
        <v>0</v>
      </c>
      <c r="FW18" s="633">
        <f t="shared" si="37"/>
        <v>1</v>
      </c>
      <c r="FX18" s="564">
        <f t="shared" si="21"/>
        <v>0</v>
      </c>
      <c r="FY18" s="655">
        <f t="shared" si="21"/>
        <v>0</v>
      </c>
    </row>
    <row r="19" spans="2:181" ht="15" customHeight="1" x14ac:dyDescent="0.25">
      <c r="B19" s="600" t="s">
        <v>261</v>
      </c>
      <c r="C19" s="1245" t="s">
        <v>236</v>
      </c>
      <c r="D19" s="1246"/>
      <c r="E19" s="1246"/>
      <c r="F19" s="1246"/>
      <c r="G19" s="1246"/>
      <c r="H19" s="1246"/>
      <c r="I19" s="1246"/>
      <c r="J19" s="1246"/>
      <c r="K19" s="1246"/>
      <c r="L19" s="1246"/>
      <c r="M19" s="1246"/>
      <c r="N19" s="1246"/>
      <c r="O19" s="1246"/>
      <c r="P19" s="1246"/>
      <c r="Q19" s="1246"/>
      <c r="R19" s="1246"/>
      <c r="S19" s="1247"/>
      <c r="T19" s="578"/>
      <c r="AI19" s="550"/>
      <c r="AJ19" s="550"/>
      <c r="AK19" s="550"/>
      <c r="AL19" s="550"/>
      <c r="AM19" s="550"/>
      <c r="AN19" s="550"/>
      <c r="AO19" s="550"/>
      <c r="AP19" s="550"/>
      <c r="AQ19" s="550"/>
      <c r="AR19" s="550"/>
      <c r="AS19" s="550"/>
      <c r="AT19" s="550"/>
      <c r="AU19" s="550"/>
      <c r="AV19" s="550"/>
      <c r="AW19" s="550"/>
      <c r="AX19" s="550"/>
      <c r="AY19" s="550"/>
      <c r="AZ19" s="550"/>
      <c r="BA19" s="550"/>
      <c r="BB19" s="550"/>
      <c r="BC19" s="550"/>
      <c r="BD19" s="550"/>
      <c r="BE19" s="550"/>
      <c r="BF19" s="550"/>
      <c r="BG19" s="550"/>
      <c r="BH19" s="550"/>
      <c r="BI19" s="550"/>
      <c r="BJ19" s="550"/>
      <c r="BK19" s="550"/>
      <c r="BL19" s="550"/>
      <c r="BM19" s="550"/>
      <c r="BN19" s="550"/>
      <c r="BO19" s="550"/>
      <c r="BP19" s="550"/>
      <c r="BQ19" s="550"/>
      <c r="BR19" s="550"/>
      <c r="BS19" s="550"/>
      <c r="BT19" s="550"/>
      <c r="BU19" s="550"/>
      <c r="BV19" s="550"/>
      <c r="BW19" s="550"/>
      <c r="BX19" s="550"/>
      <c r="BY19" s="550"/>
      <c r="BZ19" s="550"/>
      <c r="CA19" s="550"/>
      <c r="CB19" s="550"/>
      <c r="CC19" s="550"/>
      <c r="CD19" s="550"/>
      <c r="CE19" s="550"/>
      <c r="CF19" s="550"/>
      <c r="CG19" s="550"/>
      <c r="CH19" s="550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642">
        <f t="shared" si="39"/>
        <v>12</v>
      </c>
      <c r="DA19" s="609">
        <f t="shared" si="0"/>
        <v>13.5</v>
      </c>
      <c r="DB19" s="609">
        <f t="shared" si="22"/>
        <v>4.8000000000000007</v>
      </c>
      <c r="DC19" s="610">
        <f t="shared" si="1"/>
        <v>90.765073610204851</v>
      </c>
      <c r="DD19" s="611">
        <f t="shared" si="1"/>
        <v>96.879711308537495</v>
      </c>
      <c r="DE19" s="612">
        <f t="shared" si="1"/>
        <v>108.71951588700412</v>
      </c>
      <c r="DF19" s="610">
        <f t="shared" si="2"/>
        <v>19.411764705882348</v>
      </c>
      <c r="DG19" s="611">
        <f t="shared" si="2"/>
        <v>22</v>
      </c>
      <c r="DH19" s="612">
        <f t="shared" si="2"/>
        <v>28.470588235294098</v>
      </c>
      <c r="DI19" s="610">
        <f t="shared" si="3"/>
        <v>110.1768383160872</v>
      </c>
      <c r="DJ19" s="611">
        <f t="shared" si="3"/>
        <v>118.87971130853749</v>
      </c>
      <c r="DK19" s="612">
        <f t="shared" si="3"/>
        <v>137.19010412229821</v>
      </c>
      <c r="DL19" s="613">
        <f t="shared" si="23"/>
        <v>17.294117647058805</v>
      </c>
      <c r="DM19" s="613">
        <f t="shared" si="23"/>
        <v>17.294117647058805</v>
      </c>
      <c r="DN19" s="613">
        <f t="shared" si="23"/>
        <v>17.294117647058805</v>
      </c>
      <c r="DO19" s="609">
        <f t="shared" si="5"/>
        <v>135</v>
      </c>
      <c r="DP19" s="609"/>
      <c r="DQ19" s="609">
        <f t="shared" si="24"/>
        <v>4.8000000000000007</v>
      </c>
      <c r="DR19" s="610">
        <f t="shared" si="6"/>
        <v>10.282409667548848</v>
      </c>
      <c r="DS19" s="611">
        <f t="shared" si="6"/>
        <v>10.042536924761546</v>
      </c>
      <c r="DT19" s="612">
        <f t="shared" si="6"/>
        <v>8.9597187430018437</v>
      </c>
      <c r="DU19" s="611">
        <f t="shared" si="38"/>
        <v>12.500000000000002</v>
      </c>
      <c r="DV19" s="611">
        <f t="shared" si="38"/>
        <v>12.500000000000002</v>
      </c>
      <c r="DW19" s="611">
        <f t="shared" si="38"/>
        <v>12.500000000000002</v>
      </c>
      <c r="DX19" s="614">
        <f t="shared" si="7"/>
        <v>12.5</v>
      </c>
      <c r="DY19" s="615"/>
      <c r="DZ19" s="609">
        <f t="shared" si="25"/>
        <v>4.8000000000000007</v>
      </c>
      <c r="EA19" s="611">
        <f t="shared" si="8"/>
        <v>2.0960186567164181</v>
      </c>
      <c r="EB19" s="611">
        <f t="shared" si="8"/>
        <v>2.1163813559322033</v>
      </c>
      <c r="EC19" s="611">
        <f t="shared" si="8"/>
        <v>2.187325</v>
      </c>
      <c r="ED19" s="610">
        <f t="shared" si="9"/>
        <v>0.22002999999999975</v>
      </c>
      <c r="EE19" s="611">
        <f t="shared" si="9"/>
        <v>0.22005999999999976</v>
      </c>
      <c r="EF19" s="612">
        <f t="shared" si="9"/>
        <v>0.22012499999999974</v>
      </c>
      <c r="EG19" s="611">
        <f t="shared" si="10"/>
        <v>2.316048656716418</v>
      </c>
      <c r="EH19" s="611">
        <f t="shared" si="10"/>
        <v>2.336441355932203</v>
      </c>
      <c r="EI19" s="611">
        <f t="shared" si="10"/>
        <v>2.4074499999999999</v>
      </c>
      <c r="EJ19" s="610">
        <f t="shared" si="26"/>
        <v>2.2999999999999998</v>
      </c>
      <c r="EK19" s="643">
        <f t="shared" si="27"/>
        <v>2.25</v>
      </c>
      <c r="EL19" s="644">
        <f t="shared" si="28"/>
        <v>2.83</v>
      </c>
      <c r="EN19" s="620">
        <f t="shared" si="29"/>
        <v>2.6166666666666671</v>
      </c>
      <c r="EO19" s="621">
        <f t="shared" si="11"/>
        <v>125.62061348489155</v>
      </c>
      <c r="EP19" s="621">
        <f t="shared" si="11"/>
        <v>127.96520448812177</v>
      </c>
      <c r="EQ19" s="621">
        <f t="shared" si="11"/>
        <v>129.88363296445684</v>
      </c>
      <c r="ER19" s="610">
        <f t="shared" si="12"/>
        <v>99.130006451210321</v>
      </c>
      <c r="ES19" s="611">
        <f t="shared" si="12"/>
        <v>127.92886867316928</v>
      </c>
      <c r="ET19" s="612">
        <f t="shared" si="12"/>
        <v>142.15301584996016</v>
      </c>
      <c r="EU19" s="610">
        <f t="shared" si="30"/>
        <v>100</v>
      </c>
      <c r="EV19" s="611">
        <f t="shared" si="31"/>
        <v>135</v>
      </c>
      <c r="EW19" s="645">
        <f t="shared" si="32"/>
        <v>1000000</v>
      </c>
      <c r="EX19" s="610">
        <f t="shared" si="13"/>
        <v>-26.490607033681229</v>
      </c>
      <c r="EY19" s="621">
        <f t="shared" si="14"/>
        <v>-3.6335814952497714E-2</v>
      </c>
      <c r="EZ19" s="612">
        <f t="shared" si="15"/>
        <v>12.269382885503306</v>
      </c>
      <c r="FA19" s="646">
        <f t="shared" si="16"/>
        <v>2.6166666666666671</v>
      </c>
      <c r="FB19" s="317"/>
      <c r="FC19" s="647">
        <f>$P$4</f>
        <v>4</v>
      </c>
      <c r="FD19" s="648">
        <v>4.666666666666667</v>
      </c>
      <c r="FE19" s="649">
        <f t="shared" si="17"/>
        <v>121.618970209745</v>
      </c>
      <c r="FF19" s="650">
        <f t="shared" si="17"/>
        <v>128.45830736359608</v>
      </c>
      <c r="FG19" s="651">
        <f t="shared" si="17"/>
        <v>131.82442716504937</v>
      </c>
      <c r="FI19" s="652">
        <v>112</v>
      </c>
      <c r="FJ19" s="653"/>
      <c r="FK19" s="633">
        <f t="shared" si="33"/>
        <v>100</v>
      </c>
      <c r="FL19" s="564">
        <f t="shared" si="34"/>
        <v>135</v>
      </c>
      <c r="FM19" s="634">
        <f t="shared" si="35"/>
        <v>-1000000000</v>
      </c>
      <c r="FN19" s="621">
        <f t="shared" si="18"/>
        <v>118.27433628318586</v>
      </c>
      <c r="FO19" s="621">
        <f t="shared" si="18"/>
        <v>122.45493931735497</v>
      </c>
      <c r="FP19" s="654">
        <f t="shared" si="18"/>
        <v>125.87583574040035</v>
      </c>
      <c r="FQ19" s="610">
        <f t="shared" si="19"/>
        <v>3.3446339265591405</v>
      </c>
      <c r="FR19" s="611">
        <f t="shared" si="19"/>
        <v>6.0033680462411105</v>
      </c>
      <c r="FS19" s="612">
        <f t="shared" si="19"/>
        <v>5.9485914246490381</v>
      </c>
      <c r="FT19" s="633">
        <f t="shared" si="36"/>
        <v>0</v>
      </c>
      <c r="FU19" s="564">
        <f t="shared" si="20"/>
        <v>270.87588127460089</v>
      </c>
      <c r="FV19" s="655">
        <f t="shared" si="20"/>
        <v>0</v>
      </c>
      <c r="FW19" s="633">
        <f t="shared" si="37"/>
        <v>0</v>
      </c>
      <c r="FX19" s="564">
        <f t="shared" si="21"/>
        <v>1</v>
      </c>
      <c r="FY19" s="655">
        <f t="shared" si="21"/>
        <v>0</v>
      </c>
    </row>
    <row r="20" spans="2:181" ht="15" customHeight="1" x14ac:dyDescent="0.2">
      <c r="B20" s="669">
        <f>$B$6</f>
        <v>1.75</v>
      </c>
      <c r="C20" s="670">
        <f>$C$6</f>
        <v>133</v>
      </c>
      <c r="D20" s="631">
        <f>$D$6</f>
        <v>129</v>
      </c>
      <c r="E20" s="631">
        <f>$E$6</f>
        <v>124</v>
      </c>
      <c r="F20" s="631">
        <f>$F$6</f>
        <v>121.5</v>
      </c>
      <c r="G20" s="631">
        <f>$G$6</f>
        <v>116.5</v>
      </c>
      <c r="H20" s="631">
        <f>$H$6</f>
        <v>114.5</v>
      </c>
      <c r="I20" s="671">
        <f>$I$6</f>
        <v>109</v>
      </c>
      <c r="J20" s="631">
        <f>$J$6</f>
        <v>105</v>
      </c>
      <c r="K20" s="631">
        <f>$K$6</f>
        <v>103</v>
      </c>
      <c r="L20" s="631">
        <f>$L$6</f>
        <v>100</v>
      </c>
      <c r="M20" s="631">
        <f>$M$6</f>
        <v>97</v>
      </c>
      <c r="N20" s="631">
        <f>$N$6</f>
        <v>94</v>
      </c>
      <c r="O20" s="631">
        <f>$O$6</f>
        <v>90</v>
      </c>
      <c r="P20" s="631">
        <f>$P$6</f>
        <v>85</v>
      </c>
      <c r="Q20" s="631">
        <f>$Q$6</f>
        <v>78.5</v>
      </c>
      <c r="R20" s="631">
        <f>$R$6</f>
        <v>71</v>
      </c>
      <c r="S20" s="671">
        <f>$S$6</f>
        <v>52</v>
      </c>
      <c r="T20" s="578"/>
      <c r="AI20" s="550"/>
      <c r="AJ20" s="550"/>
      <c r="AK20" s="550"/>
      <c r="AL20" s="550"/>
      <c r="AM20" s="550"/>
      <c r="AN20" s="550"/>
      <c r="AO20" s="550"/>
      <c r="AP20" s="550"/>
      <c r="AQ20" s="550"/>
      <c r="AR20" s="550"/>
      <c r="AS20" s="550"/>
      <c r="AT20" s="550"/>
      <c r="AU20" s="550"/>
      <c r="AV20" s="550"/>
      <c r="AW20" s="550"/>
      <c r="AX20" s="550"/>
      <c r="AY20" s="550"/>
      <c r="AZ20" s="550"/>
      <c r="BA20" s="550"/>
      <c r="BB20" s="550"/>
      <c r="BC20" s="550"/>
      <c r="BD20" s="550"/>
      <c r="BE20" s="550"/>
      <c r="BF20" s="550"/>
      <c r="BG20" s="550"/>
      <c r="BH20" s="550"/>
      <c r="BI20" s="550"/>
      <c r="BJ20" s="550"/>
      <c r="BK20" s="550"/>
      <c r="BL20" s="550"/>
      <c r="BM20" s="550"/>
      <c r="BN20" s="550"/>
      <c r="BO20" s="550"/>
      <c r="BP20" s="550"/>
      <c r="BQ20" s="550"/>
      <c r="BR20" s="550"/>
      <c r="BS20" s="550"/>
      <c r="BT20" s="550"/>
      <c r="BU20" s="550"/>
      <c r="BV20" s="550"/>
      <c r="BW20" s="550"/>
      <c r="BX20" s="550"/>
      <c r="BY20" s="550"/>
      <c r="BZ20" s="550"/>
      <c r="CA20" s="550"/>
      <c r="CB20" s="550"/>
      <c r="CC20" s="550"/>
      <c r="CD20" s="550"/>
      <c r="CE20" s="550"/>
      <c r="CF20" s="550"/>
      <c r="CG20" s="550"/>
      <c r="CH20" s="550"/>
      <c r="CL20" s="562"/>
      <c r="CM20" s="562"/>
      <c r="CN20" s="562"/>
      <c r="CO20" s="562"/>
      <c r="CP20" s="552"/>
      <c r="CQ20" s="552"/>
      <c r="CR20" s="672" t="s">
        <v>262</v>
      </c>
      <c r="CS20" s="673">
        <f>X24</f>
        <v>2.25</v>
      </c>
      <c r="CT20" s="660" t="s">
        <v>263</v>
      </c>
      <c r="CU20" s="562"/>
      <c r="CV20" s="562"/>
      <c r="CW20" s="562"/>
      <c r="CX20" s="562"/>
      <c r="CY20" s="562"/>
      <c r="CZ20" s="642">
        <f t="shared" si="39"/>
        <v>13</v>
      </c>
      <c r="DA20" s="609">
        <f t="shared" si="0"/>
        <v>14.625</v>
      </c>
      <c r="DB20" s="609">
        <f t="shared" si="22"/>
        <v>5.2</v>
      </c>
      <c r="DC20" s="610">
        <f t="shared" si="1"/>
        <v>94.692616822708885</v>
      </c>
      <c r="DD20" s="611">
        <f t="shared" si="1"/>
        <v>100.69231751953815</v>
      </c>
      <c r="DE20" s="612">
        <f t="shared" si="1"/>
        <v>112.0697744222623</v>
      </c>
      <c r="DF20" s="610">
        <f t="shared" si="2"/>
        <v>19.411764705882348</v>
      </c>
      <c r="DG20" s="611">
        <f t="shared" si="2"/>
        <v>22</v>
      </c>
      <c r="DH20" s="612">
        <f t="shared" si="2"/>
        <v>28.470588235294098</v>
      </c>
      <c r="DI20" s="610">
        <f t="shared" si="3"/>
        <v>114.10438152859123</v>
      </c>
      <c r="DJ20" s="611">
        <f t="shared" si="3"/>
        <v>122.69231751953815</v>
      </c>
      <c r="DK20" s="612">
        <f t="shared" si="3"/>
        <v>140.54036265755639</v>
      </c>
      <c r="DL20" s="613">
        <f t="shared" si="23"/>
        <v>22.294117647058798</v>
      </c>
      <c r="DM20" s="613">
        <f t="shared" si="23"/>
        <v>22.294117647058798</v>
      </c>
      <c r="DN20" s="613">
        <f t="shared" si="23"/>
        <v>22.294117647058798</v>
      </c>
      <c r="DO20" s="609">
        <f t="shared" si="5"/>
        <v>135</v>
      </c>
      <c r="DP20" s="609"/>
      <c r="DQ20" s="609">
        <f t="shared" si="24"/>
        <v>5.2</v>
      </c>
      <c r="DR20" s="610">
        <f t="shared" si="6"/>
        <v>9.3694521565065312</v>
      </c>
      <c r="DS20" s="611">
        <f t="shared" si="6"/>
        <v>9.0381311354075837</v>
      </c>
      <c r="DT20" s="612">
        <f t="shared" si="6"/>
        <v>7.8175261538854661</v>
      </c>
      <c r="DU20" s="611">
        <f t="shared" si="38"/>
        <v>12.499999999999998</v>
      </c>
      <c r="DV20" s="611">
        <f t="shared" si="38"/>
        <v>12.499999999999998</v>
      </c>
      <c r="DW20" s="611">
        <f t="shared" si="38"/>
        <v>12.499999999999998</v>
      </c>
      <c r="DX20" s="614">
        <f t="shared" si="7"/>
        <v>12.5</v>
      </c>
      <c r="DY20" s="615"/>
      <c r="DZ20" s="609">
        <f t="shared" si="25"/>
        <v>5.2</v>
      </c>
      <c r="EA20" s="611">
        <f t="shared" si="8"/>
        <v>2.0961796482412063</v>
      </c>
      <c r="EB20" s="611">
        <f t="shared" si="8"/>
        <v>2.1172225433526011</v>
      </c>
      <c r="EC20" s="611">
        <f t="shared" si="8"/>
        <v>2.1949910714285714</v>
      </c>
      <c r="ED20" s="610">
        <f t="shared" si="9"/>
        <v>0.22002999999999975</v>
      </c>
      <c r="EE20" s="611">
        <f t="shared" si="9"/>
        <v>0.22005999999999976</v>
      </c>
      <c r="EF20" s="612">
        <f t="shared" si="9"/>
        <v>0.22012499999999974</v>
      </c>
      <c r="EG20" s="611">
        <f t="shared" si="10"/>
        <v>2.3162096482412062</v>
      </c>
      <c r="EH20" s="611">
        <f t="shared" si="10"/>
        <v>2.3372825433526008</v>
      </c>
      <c r="EI20" s="611">
        <f t="shared" si="10"/>
        <v>2.4151160714285713</v>
      </c>
      <c r="EJ20" s="610">
        <f t="shared" si="26"/>
        <v>2.2999999999999998</v>
      </c>
      <c r="EK20" s="643">
        <f t="shared" si="27"/>
        <v>2.25</v>
      </c>
      <c r="EL20" s="644">
        <f t="shared" si="28"/>
        <v>2.83</v>
      </c>
      <c r="EN20" s="620">
        <f t="shared" si="29"/>
        <v>2.8347222222222226</v>
      </c>
      <c r="EO20" s="621">
        <f t="shared" si="11"/>
        <v>124.83912101496979</v>
      </c>
      <c r="EP20" s="621">
        <f t="shared" si="11"/>
        <v>127.37904076260438</v>
      </c>
      <c r="EQ20" s="621">
        <f t="shared" si="11"/>
        <v>129.45730566663025</v>
      </c>
      <c r="ER20" s="610">
        <f t="shared" si="12"/>
        <v>96.877630048989545</v>
      </c>
      <c r="ES20" s="611">
        <f t="shared" si="12"/>
        <v>126.00481871219124</v>
      </c>
      <c r="ET20" s="612">
        <f t="shared" si="12"/>
        <v>141.00403888352756</v>
      </c>
      <c r="EU20" s="610">
        <f t="shared" si="30"/>
        <v>100</v>
      </c>
      <c r="EV20" s="611">
        <f t="shared" si="31"/>
        <v>135</v>
      </c>
      <c r="EW20" s="645">
        <f t="shared" si="32"/>
        <v>1000000</v>
      </c>
      <c r="EX20" s="610">
        <f t="shared" si="13"/>
        <v>-27.961490965980254</v>
      </c>
      <c r="EY20" s="621">
        <f t="shared" si="14"/>
        <v>-1.3742220504131382</v>
      </c>
      <c r="EZ20" s="612">
        <f t="shared" si="15"/>
        <v>11.546733216897307</v>
      </c>
      <c r="FA20" s="646">
        <f t="shared" si="16"/>
        <v>2.8347222222222226</v>
      </c>
      <c r="FB20" s="317"/>
      <c r="FC20" s="647">
        <f>$Q$4</f>
        <v>3</v>
      </c>
      <c r="FD20" s="648">
        <v>4.854166666666667</v>
      </c>
      <c r="FE20" s="649">
        <f t="shared" si="17"/>
        <v>120.33343599133245</v>
      </c>
      <c r="FF20" s="650">
        <f t="shared" si="17"/>
        <v>127.42812843505962</v>
      </c>
      <c r="FG20" s="651">
        <f t="shared" si="17"/>
        <v>130.92984498276343</v>
      </c>
      <c r="FI20" s="653"/>
      <c r="FJ20" s="652">
        <v>116.5</v>
      </c>
      <c r="FK20" s="633">
        <f t="shared" si="33"/>
        <v>100</v>
      </c>
      <c r="FL20" s="564">
        <f t="shared" si="34"/>
        <v>135</v>
      </c>
      <c r="FM20" s="634">
        <f t="shared" si="35"/>
        <v>-1000000000</v>
      </c>
      <c r="FN20" s="621">
        <f t="shared" si="18"/>
        <v>117.6025041857925</v>
      </c>
      <c r="FO20" s="621">
        <f t="shared" si="18"/>
        <v>121.95099862614592</v>
      </c>
      <c r="FP20" s="654">
        <f t="shared" si="18"/>
        <v>125.50929377181261</v>
      </c>
      <c r="FQ20" s="610">
        <f t="shared" si="19"/>
        <v>2.7309318055399565</v>
      </c>
      <c r="FR20" s="611">
        <f t="shared" si="19"/>
        <v>5.4771298089137019</v>
      </c>
      <c r="FS20" s="612">
        <f t="shared" si="19"/>
        <v>5.420551210950812</v>
      </c>
      <c r="FT20" s="633">
        <f t="shared" si="36"/>
        <v>0</v>
      </c>
      <c r="FU20" s="564">
        <f t="shared" si="20"/>
        <v>0</v>
      </c>
      <c r="FV20" s="655">
        <f t="shared" si="20"/>
        <v>208.22042622658284</v>
      </c>
      <c r="FW20" s="633">
        <f t="shared" si="37"/>
        <v>0</v>
      </c>
      <c r="FX20" s="564">
        <f t="shared" si="21"/>
        <v>0</v>
      </c>
      <c r="FY20" s="655">
        <f t="shared" si="21"/>
        <v>1</v>
      </c>
    </row>
    <row r="21" spans="2:181" ht="15" customHeight="1" x14ac:dyDescent="0.25">
      <c r="B21" s="674">
        <f>$B$7</f>
        <v>1.78</v>
      </c>
      <c r="C21" s="675">
        <f>$C$7</f>
        <v>132</v>
      </c>
      <c r="D21" s="652">
        <f>$D$7</f>
        <v>128</v>
      </c>
      <c r="E21" s="652">
        <f>$E$7</f>
        <v>123.5</v>
      </c>
      <c r="F21" s="652">
        <f>$F$7</f>
        <v>120</v>
      </c>
      <c r="G21" s="652">
        <f>$G$7</f>
        <v>115.5</v>
      </c>
      <c r="H21" s="652">
        <f>$H$7</f>
        <v>113.5</v>
      </c>
      <c r="I21" s="676">
        <f>$I$7</f>
        <v>108.5</v>
      </c>
      <c r="J21" s="652">
        <f>$J$7</f>
        <v>104.1</v>
      </c>
      <c r="K21" s="652">
        <f>$K$7</f>
        <v>102.1</v>
      </c>
      <c r="L21" s="652">
        <f>$L$7</f>
        <v>99</v>
      </c>
      <c r="M21" s="652">
        <f>$M$7</f>
        <v>96.2</v>
      </c>
      <c r="N21" s="652">
        <f>$N$7</f>
        <v>93</v>
      </c>
      <c r="O21" s="652">
        <f>$O$7</f>
        <v>89</v>
      </c>
      <c r="P21" s="652">
        <f>$P$7</f>
        <v>84</v>
      </c>
      <c r="Q21" s="652">
        <f>$Q$7</f>
        <v>78</v>
      </c>
      <c r="R21" s="652">
        <f>$R$7</f>
        <v>69.5</v>
      </c>
      <c r="S21" s="676">
        <f>$S$7</f>
        <v>51.5</v>
      </c>
      <c r="T21" s="578"/>
      <c r="W21" s="677" t="s">
        <v>173</v>
      </c>
      <c r="X21" s="678">
        <v>100</v>
      </c>
      <c r="Y21" s="679" t="s">
        <v>264</v>
      </c>
      <c r="AA21" s="677" t="s">
        <v>265</v>
      </c>
      <c r="AB21" s="680">
        <v>2.08</v>
      </c>
      <c r="AC21" s="679" t="s">
        <v>266</v>
      </c>
      <c r="AI21" s="550"/>
      <c r="AJ21" s="550"/>
      <c r="AK21" s="550"/>
      <c r="AL21" s="550"/>
      <c r="AM21" s="550"/>
      <c r="AN21" s="550"/>
      <c r="AO21" s="550"/>
      <c r="AP21" s="550"/>
      <c r="AQ21" s="550"/>
      <c r="AR21" s="550"/>
      <c r="AS21" s="550"/>
      <c r="AT21" s="550"/>
      <c r="AU21" s="550"/>
      <c r="AV21" s="550"/>
      <c r="AW21" s="550"/>
      <c r="AX21" s="550"/>
      <c r="AY21" s="550"/>
      <c r="AZ21" s="550"/>
      <c r="BA21" s="550"/>
      <c r="BB21" s="550"/>
      <c r="BC21" s="550"/>
      <c r="BD21" s="550"/>
      <c r="BE21" s="550"/>
      <c r="BF21" s="550"/>
      <c r="BG21" s="550"/>
      <c r="BH21" s="550"/>
      <c r="BI21" s="550"/>
      <c r="BJ21" s="550"/>
      <c r="BK21" s="550"/>
      <c r="BL21" s="550"/>
      <c r="BM21" s="550"/>
      <c r="BN21" s="550"/>
      <c r="BO21" s="550"/>
      <c r="BP21" s="550"/>
      <c r="BQ21" s="550"/>
      <c r="BR21" s="550"/>
      <c r="BS21" s="550"/>
      <c r="BT21" s="550"/>
      <c r="BU21" s="550"/>
      <c r="BV21" s="550"/>
      <c r="BW21" s="550"/>
      <c r="BX21" s="550"/>
      <c r="BY21" s="550"/>
      <c r="BZ21" s="550"/>
      <c r="CA21" s="550"/>
      <c r="CB21" s="550"/>
      <c r="CC21" s="550"/>
      <c r="CD21" s="550"/>
      <c r="CE21" s="550"/>
      <c r="CF21" s="550"/>
      <c r="CG21" s="550"/>
      <c r="CH21" s="550"/>
      <c r="CL21" s="562"/>
      <c r="CM21" s="562"/>
      <c r="CN21" s="562"/>
      <c r="CO21" s="562"/>
      <c r="CP21" s="552"/>
      <c r="CQ21" s="552"/>
      <c r="CR21" s="672" t="s">
        <v>151</v>
      </c>
      <c r="CS21" s="673">
        <f>AB21</f>
        <v>2.08</v>
      </c>
      <c r="CT21" s="660" t="s">
        <v>263</v>
      </c>
      <c r="CU21" s="561"/>
      <c r="CV21" s="144"/>
      <c r="CW21" s="653"/>
      <c r="CX21" s="653"/>
      <c r="CY21" s="562"/>
      <c r="CZ21" s="642">
        <f t="shared" si="39"/>
        <v>14</v>
      </c>
      <c r="DA21" s="609">
        <f t="shared" si="0"/>
        <v>15.75</v>
      </c>
      <c r="DB21" s="609">
        <f t="shared" si="22"/>
        <v>5.6</v>
      </c>
      <c r="DC21" s="610">
        <f t="shared" si="1"/>
        <v>98.27144021255161</v>
      </c>
      <c r="DD21" s="611">
        <f t="shared" si="1"/>
        <v>104.12360536650928</v>
      </c>
      <c r="DE21" s="612">
        <f t="shared" si="1"/>
        <v>114.99293914125703</v>
      </c>
      <c r="DF21" s="610">
        <f t="shared" si="2"/>
        <v>19.411764705882348</v>
      </c>
      <c r="DG21" s="611">
        <f t="shared" si="2"/>
        <v>22</v>
      </c>
      <c r="DH21" s="612">
        <f t="shared" si="2"/>
        <v>28.470588235294098</v>
      </c>
      <c r="DI21" s="610">
        <f t="shared" si="3"/>
        <v>117.68320491843396</v>
      </c>
      <c r="DJ21" s="611">
        <f t="shared" si="3"/>
        <v>126.12360536650928</v>
      </c>
      <c r="DK21" s="612">
        <f t="shared" si="3"/>
        <v>143.46352737655113</v>
      </c>
      <c r="DL21" s="613">
        <f t="shared" si="23"/>
        <v>27.294117647058791</v>
      </c>
      <c r="DM21" s="613">
        <f t="shared" si="23"/>
        <v>27.294117647058791</v>
      </c>
      <c r="DN21" s="613">
        <f t="shared" si="23"/>
        <v>27.294117647058791</v>
      </c>
      <c r="DO21" s="609">
        <f t="shared" si="5"/>
        <v>135</v>
      </c>
      <c r="DP21" s="609"/>
      <c r="DQ21" s="609">
        <f t="shared" si="24"/>
        <v>5.6</v>
      </c>
      <c r="DR21" s="610">
        <f t="shared" si="6"/>
        <v>8.5375545763478335</v>
      </c>
      <c r="DS21" s="611">
        <f t="shared" si="6"/>
        <v>8.1341811369803505</v>
      </c>
      <c r="DT21" s="612">
        <f t="shared" si="6"/>
        <v>6.8209412504624982</v>
      </c>
      <c r="DU21" s="611">
        <f t="shared" si="38"/>
        <v>12.499999999999998</v>
      </c>
      <c r="DV21" s="611">
        <f t="shared" si="38"/>
        <v>12.499999999999998</v>
      </c>
      <c r="DW21" s="611">
        <f t="shared" si="38"/>
        <v>12.499999999999998</v>
      </c>
      <c r="DX21" s="614">
        <f t="shared" si="7"/>
        <v>12.5</v>
      </c>
      <c r="DY21" s="615"/>
      <c r="DZ21" s="609">
        <f t="shared" si="25"/>
        <v>5.6</v>
      </c>
      <c r="EA21" s="611">
        <f t="shared" si="8"/>
        <v>2.0963439086294415</v>
      </c>
      <c r="EB21" s="611">
        <f t="shared" si="8"/>
        <v>2.1181035502958578</v>
      </c>
      <c r="EC21" s="611">
        <f t="shared" si="8"/>
        <v>2.2038365384615384</v>
      </c>
      <c r="ED21" s="610">
        <f t="shared" si="9"/>
        <v>0.22002999999999975</v>
      </c>
      <c r="EE21" s="611">
        <f t="shared" si="9"/>
        <v>0.22005999999999976</v>
      </c>
      <c r="EF21" s="612">
        <f t="shared" si="9"/>
        <v>0.22012499999999974</v>
      </c>
      <c r="EG21" s="611">
        <f t="shared" si="10"/>
        <v>2.3163739086294415</v>
      </c>
      <c r="EH21" s="611">
        <f t="shared" si="10"/>
        <v>2.3381635502958575</v>
      </c>
      <c r="EI21" s="611">
        <f t="shared" si="10"/>
        <v>2.4239615384615383</v>
      </c>
      <c r="EJ21" s="610">
        <f t="shared" si="26"/>
        <v>2.2999999999999998</v>
      </c>
      <c r="EK21" s="643">
        <f t="shared" si="27"/>
        <v>2.25</v>
      </c>
      <c r="EL21" s="644">
        <f t="shared" si="28"/>
        <v>2.83</v>
      </c>
      <c r="EN21" s="620">
        <f t="shared" si="29"/>
        <v>3.052777777777778</v>
      </c>
      <c r="EO21" s="621">
        <f t="shared" si="11"/>
        <v>124.05764747614566</v>
      </c>
      <c r="EP21" s="621">
        <f t="shared" si="11"/>
        <v>126.79288768708702</v>
      </c>
      <c r="EQ21" s="621">
        <f t="shared" si="11"/>
        <v>129.03098400240583</v>
      </c>
      <c r="ER21" s="610">
        <f t="shared" si="12"/>
        <v>94.815289060599639</v>
      </c>
      <c r="ES21" s="611">
        <f t="shared" si="12"/>
        <v>124.14185568514435</v>
      </c>
      <c r="ET21" s="612">
        <f t="shared" si="12"/>
        <v>139.86756445500936</v>
      </c>
      <c r="EU21" s="610">
        <f t="shared" si="30"/>
        <v>100</v>
      </c>
      <c r="EV21" s="611">
        <f t="shared" si="31"/>
        <v>135</v>
      </c>
      <c r="EW21" s="645">
        <f t="shared" si="32"/>
        <v>1000000</v>
      </c>
      <c r="EX21" s="610">
        <f t="shared" si="13"/>
        <v>-29.242358415546015</v>
      </c>
      <c r="EY21" s="621">
        <f t="shared" si="14"/>
        <v>-2.6510320019426672</v>
      </c>
      <c r="EZ21" s="612">
        <f t="shared" si="15"/>
        <v>10.836580452603538</v>
      </c>
      <c r="FA21" s="646">
        <f t="shared" si="16"/>
        <v>3.052777777777778</v>
      </c>
      <c r="FB21" s="317"/>
      <c r="FC21" s="647">
        <f>$R$4</f>
        <v>2</v>
      </c>
      <c r="FD21" s="648">
        <v>5</v>
      </c>
      <c r="FE21" s="649">
        <f t="shared" si="17"/>
        <v>119.33990953947661</v>
      </c>
      <c r="FF21" s="650">
        <f t="shared" si="17"/>
        <v>126.63230616048736</v>
      </c>
      <c r="FG21" s="651">
        <f t="shared" si="17"/>
        <v>130.23950284899161</v>
      </c>
      <c r="FH21" s="652">
        <v>100</v>
      </c>
      <c r="FK21" s="633">
        <f t="shared" si="33"/>
        <v>100</v>
      </c>
      <c r="FL21" s="564">
        <f t="shared" si="34"/>
        <v>135</v>
      </c>
      <c r="FM21" s="634">
        <f t="shared" si="35"/>
        <v>-1000000000</v>
      </c>
      <c r="FN21" s="621">
        <f t="shared" si="18"/>
        <v>117.07997778394892</v>
      </c>
      <c r="FO21" s="621">
        <f t="shared" si="18"/>
        <v>121.55905019787544</v>
      </c>
      <c r="FP21" s="654">
        <f t="shared" si="18"/>
        <v>125.22420845326465</v>
      </c>
      <c r="FQ21" s="610">
        <f t="shared" si="19"/>
        <v>2.2599317555276919</v>
      </c>
      <c r="FR21" s="611">
        <f t="shared" si="19"/>
        <v>5.073255962611924</v>
      </c>
      <c r="FS21" s="612">
        <f t="shared" si="19"/>
        <v>5.0152943957269649</v>
      </c>
      <c r="FT21" s="633">
        <f t="shared" si="36"/>
        <v>374.03210099513831</v>
      </c>
      <c r="FU21" s="564">
        <f t="shared" si="20"/>
        <v>0</v>
      </c>
      <c r="FV21" s="655">
        <f t="shared" si="20"/>
        <v>0</v>
      </c>
      <c r="FW21" s="633">
        <f t="shared" si="37"/>
        <v>1</v>
      </c>
      <c r="FX21" s="564">
        <f t="shared" si="21"/>
        <v>0</v>
      </c>
      <c r="FY21" s="655">
        <f t="shared" si="21"/>
        <v>0</v>
      </c>
    </row>
    <row r="22" spans="2:181" ht="15" customHeight="1" x14ac:dyDescent="0.25">
      <c r="B22" s="674">
        <f>$B$8</f>
        <v>1.8</v>
      </c>
      <c r="C22" s="675">
        <f>$C$8</f>
        <v>131.5</v>
      </c>
      <c r="D22" s="652">
        <f>$D$8</f>
        <v>127.5</v>
      </c>
      <c r="E22" s="652">
        <f>$E$8</f>
        <v>122.5</v>
      </c>
      <c r="F22" s="652">
        <f>$F$8</f>
        <v>118.5</v>
      </c>
      <c r="G22" s="652">
        <f>$G$8</f>
        <v>114.5</v>
      </c>
      <c r="H22" s="652">
        <f>$H$8</f>
        <v>112.5</v>
      </c>
      <c r="I22" s="676">
        <f>$I$8</f>
        <v>107.5</v>
      </c>
      <c r="J22" s="652">
        <f>$J$8</f>
        <v>103.9</v>
      </c>
      <c r="K22" s="652">
        <f>$K$8</f>
        <v>101.9</v>
      </c>
      <c r="L22" s="652">
        <f>$L$8</f>
        <v>98.5</v>
      </c>
      <c r="M22" s="652">
        <f>$M$8</f>
        <v>96</v>
      </c>
      <c r="N22" s="652">
        <f>$N$8</f>
        <v>92.1</v>
      </c>
      <c r="O22" s="652">
        <f>$O$8</f>
        <v>88</v>
      </c>
      <c r="P22" s="652">
        <f>$P$8</f>
        <v>83</v>
      </c>
      <c r="Q22" s="652">
        <f>$Q$8</f>
        <v>76.5</v>
      </c>
      <c r="R22" s="652">
        <f>$R$8</f>
        <v>68</v>
      </c>
      <c r="S22" s="676">
        <f>$S$8</f>
        <v>50.1</v>
      </c>
      <c r="W22" s="677" t="s">
        <v>174</v>
      </c>
      <c r="X22" s="678">
        <v>8</v>
      </c>
      <c r="Y22" s="679" t="s">
        <v>267</v>
      </c>
      <c r="AA22" s="677" t="s">
        <v>268</v>
      </c>
      <c r="AB22" s="681">
        <v>135</v>
      </c>
      <c r="AC22" s="679" t="s">
        <v>264</v>
      </c>
      <c r="AI22" s="550"/>
      <c r="AJ22" s="550"/>
      <c r="AK22" s="550"/>
      <c r="AL22" s="550"/>
      <c r="AM22" s="550"/>
      <c r="AN22" s="550"/>
      <c r="AO22" s="550"/>
      <c r="AP22" s="550"/>
      <c r="AQ22" s="550"/>
      <c r="AR22" s="550"/>
      <c r="AS22" s="550"/>
      <c r="AT22" s="550"/>
      <c r="AU22" s="550"/>
      <c r="AV22" s="550"/>
      <c r="AW22" s="550"/>
      <c r="AX22" s="550"/>
      <c r="AY22" s="550"/>
      <c r="AZ22" s="550"/>
      <c r="BA22" s="550"/>
      <c r="BB22" s="550"/>
      <c r="BC22" s="550"/>
      <c r="BD22" s="550"/>
      <c r="BE22" s="550"/>
      <c r="BF22" s="550"/>
      <c r="BG22" s="550"/>
      <c r="BH22" s="550"/>
      <c r="BI22" s="550"/>
      <c r="BJ22" s="550"/>
      <c r="BK22" s="550"/>
      <c r="BL22" s="550"/>
      <c r="BM22" s="550"/>
      <c r="BN22" s="550"/>
      <c r="BO22" s="550"/>
      <c r="BP22" s="550"/>
      <c r="BQ22" s="550"/>
      <c r="BR22" s="550"/>
      <c r="BS22" s="550"/>
      <c r="BT22" s="550"/>
      <c r="BU22" s="550"/>
      <c r="BV22" s="550"/>
      <c r="BW22" s="550"/>
      <c r="BX22" s="550"/>
      <c r="BY22" s="550"/>
      <c r="BZ22" s="550"/>
      <c r="CA22" s="550"/>
      <c r="CB22" s="550"/>
      <c r="CC22" s="550"/>
      <c r="CD22" s="550"/>
      <c r="CE22" s="550"/>
      <c r="CF22" s="550"/>
      <c r="CG22" s="550"/>
      <c r="CH22" s="550"/>
      <c r="CL22" s="562"/>
      <c r="CM22" s="552"/>
      <c r="CN22" s="552"/>
      <c r="CO22" s="552"/>
      <c r="CP22" s="552"/>
      <c r="CQ22" s="552"/>
      <c r="CR22" s="672" t="s">
        <v>269</v>
      </c>
      <c r="CS22" s="673">
        <f>X25</f>
        <v>2</v>
      </c>
      <c r="CT22" s="660" t="s">
        <v>263</v>
      </c>
      <c r="CU22" s="561"/>
      <c r="CV22" s="144"/>
      <c r="CW22" s="653"/>
      <c r="CX22" s="653"/>
      <c r="CY22" s="562"/>
      <c r="CZ22" s="642">
        <f t="shared" si="39"/>
        <v>15</v>
      </c>
      <c r="DA22" s="609">
        <f t="shared" si="0"/>
        <v>16.875</v>
      </c>
      <c r="DB22" s="609">
        <f t="shared" si="22"/>
        <v>6</v>
      </c>
      <c r="DC22" s="610">
        <f t="shared" si="1"/>
        <v>101.53250601442714</v>
      </c>
      <c r="DD22" s="611">
        <f t="shared" si="1"/>
        <v>107.21171246102136</v>
      </c>
      <c r="DE22" s="612">
        <f t="shared" si="1"/>
        <v>117.54345632804993</v>
      </c>
      <c r="DF22" s="610">
        <f t="shared" si="2"/>
        <v>19.411764705882348</v>
      </c>
      <c r="DG22" s="611">
        <f t="shared" si="2"/>
        <v>22</v>
      </c>
      <c r="DH22" s="612">
        <f t="shared" si="2"/>
        <v>28.470588235294098</v>
      </c>
      <c r="DI22" s="610">
        <f t="shared" si="3"/>
        <v>120.94427072030949</v>
      </c>
      <c r="DJ22" s="611">
        <f t="shared" si="3"/>
        <v>129.21171246102136</v>
      </c>
      <c r="DK22" s="612">
        <f t="shared" si="3"/>
        <v>146.01404456334402</v>
      </c>
      <c r="DL22" s="613">
        <f t="shared" si="23"/>
        <v>32.294117647058798</v>
      </c>
      <c r="DM22" s="613">
        <f t="shared" si="23"/>
        <v>32.294117647058798</v>
      </c>
      <c r="DN22" s="613">
        <f t="shared" si="23"/>
        <v>32.294117647058798</v>
      </c>
      <c r="DO22" s="609">
        <f t="shared" si="5"/>
        <v>135</v>
      </c>
      <c r="DP22" s="609"/>
      <c r="DQ22" s="609">
        <f t="shared" si="24"/>
        <v>6</v>
      </c>
      <c r="DR22" s="610">
        <f t="shared" si="6"/>
        <v>7.7795197548983852</v>
      </c>
      <c r="DS22" s="611">
        <f t="shared" si="6"/>
        <v>7.3206398289576411</v>
      </c>
      <c r="DT22" s="612">
        <f t="shared" si="6"/>
        <v>5.9514018407392113</v>
      </c>
      <c r="DU22" s="611">
        <f t="shared" si="38"/>
        <v>12.500000000000007</v>
      </c>
      <c r="DV22" s="611">
        <f t="shared" si="38"/>
        <v>12.500000000000007</v>
      </c>
      <c r="DW22" s="611">
        <f t="shared" si="38"/>
        <v>12.500000000000007</v>
      </c>
      <c r="DX22" s="614">
        <f t="shared" si="7"/>
        <v>12.5</v>
      </c>
      <c r="DY22" s="615"/>
      <c r="DZ22" s="609">
        <f t="shared" si="25"/>
        <v>6</v>
      </c>
      <c r="EA22" s="611">
        <f t="shared" si="8"/>
        <v>2.0965115384615385</v>
      </c>
      <c r="EB22" s="611">
        <f t="shared" si="8"/>
        <v>2.1190272727272728</v>
      </c>
      <c r="EC22" s="611">
        <f t="shared" si="8"/>
        <v>2.2141562500000003</v>
      </c>
      <c r="ED22" s="610">
        <f t="shared" si="9"/>
        <v>0.22002999999999975</v>
      </c>
      <c r="EE22" s="611">
        <f t="shared" si="9"/>
        <v>0.22005999999999976</v>
      </c>
      <c r="EF22" s="612">
        <f t="shared" si="9"/>
        <v>0.22012499999999974</v>
      </c>
      <c r="EG22" s="611">
        <f t="shared" si="10"/>
        <v>2.3165415384615384</v>
      </c>
      <c r="EH22" s="611">
        <f t="shared" si="10"/>
        <v>2.3390872727272725</v>
      </c>
      <c r="EI22" s="611">
        <f t="shared" si="10"/>
        <v>2.4342812500000002</v>
      </c>
      <c r="EJ22" s="610">
        <f t="shared" si="26"/>
        <v>2.2999999999999998</v>
      </c>
      <c r="EK22" s="643">
        <f t="shared" si="27"/>
        <v>2.25</v>
      </c>
      <c r="EL22" s="644">
        <f t="shared" si="28"/>
        <v>2.83</v>
      </c>
      <c r="EN22" s="620">
        <f t="shared" si="29"/>
        <v>3.2708333333333335</v>
      </c>
      <c r="EO22" s="621">
        <f t="shared" ref="EO22:EQ85" si="40">$CS$28*((1-($CS$36*$EN22)/($CS$21-EO$4))/(1+(($CS$37*$EN22)/($CS$21-EO$4))))</f>
        <v>123.27619286773124</v>
      </c>
      <c r="EP22" s="621">
        <f t="shared" si="40"/>
        <v>126.20674526127951</v>
      </c>
      <c r="EQ22" s="621">
        <f t="shared" si="40"/>
        <v>128.604667971672</v>
      </c>
      <c r="ER22" s="610">
        <f t="shared" si="12"/>
        <v>92.918436161857329</v>
      </c>
      <c r="ES22" s="611">
        <f t="shared" si="12"/>
        <v>122.33719137824166</v>
      </c>
      <c r="ET22" s="612">
        <f t="shared" si="12"/>
        <v>138.74337645319042</v>
      </c>
      <c r="EU22" s="610">
        <f t="shared" si="30"/>
        <v>100</v>
      </c>
      <c r="EV22" s="611">
        <f t="shared" si="31"/>
        <v>135</v>
      </c>
      <c r="EW22" s="645">
        <f t="shared" si="32"/>
        <v>1000000</v>
      </c>
      <c r="EX22" s="610">
        <f t="shared" si="13"/>
        <v>-30.357756705873918</v>
      </c>
      <c r="EY22" s="621">
        <f t="shared" si="14"/>
        <v>-3.8695538830378489</v>
      </c>
      <c r="EZ22" s="612">
        <f t="shared" si="15"/>
        <v>10.138708481518423</v>
      </c>
      <c r="FA22" s="646">
        <f t="shared" si="16"/>
        <v>3.2708333333333335</v>
      </c>
      <c r="FB22" s="317"/>
      <c r="FC22" s="682">
        <f>$S$4</f>
        <v>1</v>
      </c>
      <c r="FD22" s="648">
        <v>5.5250000000000004</v>
      </c>
      <c r="FE22" s="649">
        <f t="shared" si="17"/>
        <v>115.80806601842406</v>
      </c>
      <c r="FF22" s="650">
        <f t="shared" si="17"/>
        <v>123.80578481635796</v>
      </c>
      <c r="FG22" s="651">
        <f t="shared" si="17"/>
        <v>127.79282293014333</v>
      </c>
      <c r="FI22" s="652">
        <v>110.5</v>
      </c>
      <c r="FJ22" s="653"/>
      <c r="FK22" s="633">
        <f t="shared" si="33"/>
        <v>100</v>
      </c>
      <c r="FL22" s="564">
        <f t="shared" si="34"/>
        <v>135</v>
      </c>
      <c r="FM22" s="634">
        <f t="shared" si="35"/>
        <v>-1000000000</v>
      </c>
      <c r="FN22" s="621">
        <f t="shared" ref="FN22:FP56" si="41">$CS$28*((1-($CS$36*$FD22)/($CS$21-FN$4))/(1+(($CS$37*$FD22)/($CS$21-FN$4))))</f>
        <v>115.19895282142568</v>
      </c>
      <c r="FO22" s="621">
        <f t="shared" si="41"/>
        <v>120.148075286835</v>
      </c>
      <c r="FP22" s="654">
        <f t="shared" si="41"/>
        <v>124.19792216606159</v>
      </c>
      <c r="FQ22" s="610">
        <f t="shared" ref="FQ22:FS56" si="42">$CS$30-($CS$30-FQ$2)*((1-EXP(-$FD22/$EQ$136))/(1-EXP(-1)))</f>
        <v>0.60911319699838273</v>
      </c>
      <c r="FR22" s="611">
        <f t="shared" si="42"/>
        <v>3.6577095295229576</v>
      </c>
      <c r="FS22" s="612">
        <f t="shared" si="42"/>
        <v>3.5949007640817356</v>
      </c>
      <c r="FT22" s="633">
        <f t="shared" si="36"/>
        <v>0</v>
      </c>
      <c r="FU22" s="564">
        <f t="shared" si="36"/>
        <v>177.04390957922195</v>
      </c>
      <c r="FV22" s="655">
        <f t="shared" si="36"/>
        <v>0</v>
      </c>
      <c r="FW22" s="633">
        <f t="shared" si="37"/>
        <v>0</v>
      </c>
      <c r="FX22" s="564">
        <f t="shared" si="37"/>
        <v>1</v>
      </c>
      <c r="FY22" s="655">
        <f t="shared" si="37"/>
        <v>0</v>
      </c>
    </row>
    <row r="23" spans="2:181" ht="15" customHeight="1" x14ac:dyDescent="0.25">
      <c r="B23" s="674">
        <f>$B$9</f>
        <v>1.81</v>
      </c>
      <c r="C23" s="675">
        <f>$C$9</f>
        <v>131</v>
      </c>
      <c r="D23" s="652">
        <f>$D$9</f>
        <v>127</v>
      </c>
      <c r="E23" s="652">
        <f>$E$9</f>
        <v>121.5</v>
      </c>
      <c r="F23" s="652">
        <f>$F$9</f>
        <v>118</v>
      </c>
      <c r="G23" s="652">
        <f>$G$9</f>
        <v>114.4</v>
      </c>
      <c r="H23" s="652">
        <f>$H$9</f>
        <v>112</v>
      </c>
      <c r="I23" s="676">
        <f>$I$9</f>
        <v>107</v>
      </c>
      <c r="J23" s="652">
        <f>$J$9</f>
        <v>103</v>
      </c>
      <c r="K23" s="652">
        <f>$K$9</f>
        <v>101</v>
      </c>
      <c r="L23" s="652">
        <f>$L$9</f>
        <v>98</v>
      </c>
      <c r="M23" s="652">
        <f>$M$9</f>
        <v>95.1</v>
      </c>
      <c r="N23" s="652">
        <f>$N$9</f>
        <v>91.9</v>
      </c>
      <c r="O23" s="652">
        <f>$O$9</f>
        <v>87.5</v>
      </c>
      <c r="P23" s="652">
        <f>$P$9</f>
        <v>82.5</v>
      </c>
      <c r="Q23" s="652">
        <f>$Q$9</f>
        <v>76</v>
      </c>
      <c r="R23" s="652">
        <f>$R$9</f>
        <v>67.5</v>
      </c>
      <c r="S23" s="676">
        <f>$S$9</f>
        <v>49.9</v>
      </c>
      <c r="W23" s="677" t="s">
        <v>270</v>
      </c>
      <c r="X23" s="683">
        <f>X21/X22</f>
        <v>12.5</v>
      </c>
      <c r="Y23" s="679" t="s">
        <v>271</v>
      </c>
      <c r="Z23" s="550"/>
      <c r="AA23" s="677" t="s">
        <v>272</v>
      </c>
      <c r="AB23" s="684">
        <v>22</v>
      </c>
      <c r="AC23" s="679" t="s">
        <v>264</v>
      </c>
      <c r="AI23" s="550"/>
      <c r="AJ23" s="550"/>
      <c r="AK23" s="550"/>
      <c r="AL23" s="550"/>
      <c r="AM23" s="550"/>
      <c r="AN23" s="550"/>
      <c r="AO23" s="550"/>
      <c r="AP23" s="550"/>
      <c r="AQ23" s="550"/>
      <c r="AR23" s="550"/>
      <c r="AS23" s="550"/>
      <c r="AT23" s="550"/>
      <c r="AU23" s="550"/>
      <c r="AV23" s="550"/>
      <c r="AW23" s="550"/>
      <c r="AX23" s="550"/>
      <c r="AY23" s="550"/>
      <c r="AZ23" s="550"/>
      <c r="BA23" s="550"/>
      <c r="BB23" s="550"/>
      <c r="BC23" s="550"/>
      <c r="BD23" s="550"/>
      <c r="BE23" s="550"/>
      <c r="BF23" s="550"/>
      <c r="BG23" s="550"/>
      <c r="BH23" s="550"/>
      <c r="BI23" s="550"/>
      <c r="BJ23" s="550"/>
      <c r="BK23" s="550"/>
      <c r="BL23" s="550"/>
      <c r="BM23" s="550"/>
      <c r="BN23" s="550"/>
      <c r="BO23" s="550"/>
      <c r="BP23" s="550"/>
      <c r="BQ23" s="550"/>
      <c r="BR23" s="550"/>
      <c r="BS23" s="550"/>
      <c r="BT23" s="550"/>
      <c r="BU23" s="550"/>
      <c r="BV23" s="550"/>
      <c r="BW23" s="550"/>
      <c r="BX23" s="550"/>
      <c r="BY23" s="550"/>
      <c r="BZ23" s="550"/>
      <c r="CA23" s="550"/>
      <c r="CB23" s="550"/>
      <c r="CC23" s="550"/>
      <c r="CD23" s="550"/>
      <c r="CE23" s="550"/>
      <c r="CF23" s="550"/>
      <c r="CG23" s="550"/>
      <c r="CH23" s="550"/>
      <c r="CL23" s="562"/>
      <c r="CM23" s="552"/>
      <c r="CN23" s="552"/>
      <c r="CO23" s="552"/>
      <c r="CP23" s="552"/>
      <c r="CQ23" s="552"/>
      <c r="CR23" s="672" t="s">
        <v>273</v>
      </c>
      <c r="CS23" s="673">
        <f>X26</f>
        <v>1.75</v>
      </c>
      <c r="CT23" s="660" t="s">
        <v>263</v>
      </c>
      <c r="CU23" s="552"/>
      <c r="CV23" s="552"/>
      <c r="CW23" s="552"/>
      <c r="CX23" s="562"/>
      <c r="CY23" s="562"/>
      <c r="CZ23" s="642">
        <f t="shared" si="39"/>
        <v>16</v>
      </c>
      <c r="DA23" s="609">
        <f t="shared" si="0"/>
        <v>18</v>
      </c>
      <c r="DB23" s="609">
        <f t="shared" si="22"/>
        <v>6.4</v>
      </c>
      <c r="DC23" s="610">
        <f t="shared" si="1"/>
        <v>104.50402737933848</v>
      </c>
      <c r="DD23" s="611">
        <f t="shared" si="1"/>
        <v>109.99096207588353</v>
      </c>
      <c r="DE23" s="612">
        <f t="shared" si="1"/>
        <v>119.76883140796093</v>
      </c>
      <c r="DF23" s="610">
        <f t="shared" si="2"/>
        <v>19.411764705882348</v>
      </c>
      <c r="DG23" s="611">
        <f t="shared" si="2"/>
        <v>22</v>
      </c>
      <c r="DH23" s="612">
        <f t="shared" si="2"/>
        <v>28.470588235294098</v>
      </c>
      <c r="DI23" s="610">
        <f t="shared" si="3"/>
        <v>123.91579208522083</v>
      </c>
      <c r="DJ23" s="611">
        <f t="shared" si="3"/>
        <v>131.99096207588354</v>
      </c>
      <c r="DK23" s="612">
        <f t="shared" si="3"/>
        <v>148.23941964325502</v>
      </c>
      <c r="DL23" s="613">
        <f t="shared" ref="DL23:DN38" si="43">IF((DL22+$CS$33*($DB23-$DB22))&lt;DI23,(DL22+$CS$33*($DB23-$DB22)),DI23)</f>
        <v>37.294117647058805</v>
      </c>
      <c r="DM23" s="613">
        <f t="shared" si="43"/>
        <v>37.294117647058805</v>
      </c>
      <c r="DN23" s="613">
        <f t="shared" si="43"/>
        <v>37.294117647058805</v>
      </c>
      <c r="DO23" s="609">
        <f t="shared" si="5"/>
        <v>135</v>
      </c>
      <c r="DP23" s="609"/>
      <c r="DQ23" s="609">
        <f t="shared" si="24"/>
        <v>6.4</v>
      </c>
      <c r="DR23" s="610">
        <f t="shared" si="6"/>
        <v>7.0887895445517204</v>
      </c>
      <c r="DS23" s="611">
        <f t="shared" si="6"/>
        <v>6.5884649730354825</v>
      </c>
      <c r="DT23" s="612">
        <f t="shared" si="6"/>
        <v>5.1927120567931082</v>
      </c>
      <c r="DU23" s="611">
        <f t="shared" si="38"/>
        <v>12.500000000000007</v>
      </c>
      <c r="DV23" s="611">
        <f t="shared" si="38"/>
        <v>12.500000000000007</v>
      </c>
      <c r="DW23" s="611">
        <f t="shared" si="38"/>
        <v>12.500000000000007</v>
      </c>
      <c r="DX23" s="614">
        <f t="shared" si="7"/>
        <v>12.5</v>
      </c>
      <c r="DY23" s="615"/>
      <c r="DZ23" s="609">
        <f t="shared" si="25"/>
        <v>6.4</v>
      </c>
      <c r="EA23" s="611">
        <f t="shared" si="8"/>
        <v>2.0966826424870466</v>
      </c>
      <c r="EB23" s="611">
        <f t="shared" si="8"/>
        <v>2.1199968944099381</v>
      </c>
      <c r="EC23" s="611">
        <f t="shared" si="8"/>
        <v>2.2263522727272727</v>
      </c>
      <c r="ED23" s="610">
        <f t="shared" si="9"/>
        <v>0.22002999999999975</v>
      </c>
      <c r="EE23" s="611">
        <f t="shared" si="9"/>
        <v>0.22005999999999976</v>
      </c>
      <c r="EF23" s="612">
        <f t="shared" si="9"/>
        <v>0.22012499999999974</v>
      </c>
      <c r="EG23" s="611">
        <f t="shared" si="10"/>
        <v>2.3167126424870466</v>
      </c>
      <c r="EH23" s="611">
        <f t="shared" si="10"/>
        <v>2.3400568944099378</v>
      </c>
      <c r="EI23" s="611">
        <f t="shared" si="10"/>
        <v>2.4464772727272726</v>
      </c>
      <c r="EJ23" s="610">
        <f t="shared" si="26"/>
        <v>2.2999999999999998</v>
      </c>
      <c r="EK23" s="643">
        <f t="shared" si="27"/>
        <v>2.25</v>
      </c>
      <c r="EL23" s="644">
        <f t="shared" si="28"/>
        <v>2.83</v>
      </c>
      <c r="EN23" s="620">
        <f t="shared" si="29"/>
        <v>3.4888888888888889</v>
      </c>
      <c r="EO23" s="621">
        <f t="shared" si="40"/>
        <v>122.49475718903868</v>
      </c>
      <c r="EP23" s="621">
        <f t="shared" si="40"/>
        <v>125.62061348489155</v>
      </c>
      <c r="EQ23" s="621">
        <f t="shared" si="40"/>
        <v>128.17835757431706</v>
      </c>
      <c r="ER23" s="610">
        <f t="shared" si="12"/>
        <v>91.165695180271669</v>
      </c>
      <c r="ES23" s="611">
        <f t="shared" si="12"/>
        <v>120.58816486334618</v>
      </c>
      <c r="ET23" s="612">
        <f t="shared" si="12"/>
        <v>137.6312625041017</v>
      </c>
      <c r="EU23" s="610">
        <f t="shared" si="30"/>
        <v>100</v>
      </c>
      <c r="EV23" s="611">
        <f t="shared" si="31"/>
        <v>135</v>
      </c>
      <c r="EW23" s="645">
        <f t="shared" si="32"/>
        <v>1000000</v>
      </c>
      <c r="EX23" s="610">
        <f t="shared" si="13"/>
        <v>-31.329062008767011</v>
      </c>
      <c r="EY23" s="621">
        <f t="shared" si="14"/>
        <v>-5.0324486215453774</v>
      </c>
      <c r="EZ23" s="612">
        <f t="shared" si="15"/>
        <v>9.4529049297846406</v>
      </c>
      <c r="FA23" s="646">
        <f t="shared" si="16"/>
        <v>3.4888888888888889</v>
      </c>
      <c r="FB23" s="317"/>
      <c r="FC23" s="562"/>
      <c r="FD23" s="648">
        <v>5.7249999999999996</v>
      </c>
      <c r="FE23" s="649">
        <f t="shared" si="17"/>
        <v>114.48064476356441</v>
      </c>
      <c r="FF23" s="650">
        <f t="shared" si="17"/>
        <v>122.74447776404861</v>
      </c>
      <c r="FG23" s="651">
        <f t="shared" si="17"/>
        <v>126.87626262124402</v>
      </c>
      <c r="FI23" s="653"/>
      <c r="FJ23" s="652">
        <v>114.5</v>
      </c>
      <c r="FK23" s="633">
        <f t="shared" si="33"/>
        <v>100</v>
      </c>
      <c r="FL23" s="564">
        <f t="shared" si="34"/>
        <v>135</v>
      </c>
      <c r="FM23" s="634">
        <f t="shared" si="35"/>
        <v>-1000000000</v>
      </c>
      <c r="FN23" s="621">
        <f t="shared" si="41"/>
        <v>114.48240073643245</v>
      </c>
      <c r="FO23" s="621">
        <f t="shared" si="41"/>
        <v>119.6105772685474</v>
      </c>
      <c r="FP23" s="654">
        <f t="shared" si="41"/>
        <v>123.80696454933197</v>
      </c>
      <c r="FQ23" s="610">
        <f t="shared" si="42"/>
        <v>-1.755972868036082E-3</v>
      </c>
      <c r="FR23" s="611">
        <f t="shared" si="42"/>
        <v>3.1339004955012015</v>
      </c>
      <c r="FS23" s="612">
        <f t="shared" si="42"/>
        <v>3.0692980719120619</v>
      </c>
      <c r="FT23" s="633">
        <f t="shared" si="36"/>
        <v>0</v>
      </c>
      <c r="FU23" s="564">
        <f t="shared" si="36"/>
        <v>0</v>
      </c>
      <c r="FV23" s="655">
        <f t="shared" si="36"/>
        <v>153.17187647000199</v>
      </c>
      <c r="FW23" s="633">
        <f t="shared" si="37"/>
        <v>0</v>
      </c>
      <c r="FX23" s="564">
        <f t="shared" si="37"/>
        <v>0</v>
      </c>
      <c r="FY23" s="655">
        <f t="shared" si="37"/>
        <v>1</v>
      </c>
    </row>
    <row r="24" spans="2:181" ht="15" customHeight="1" x14ac:dyDescent="0.25">
      <c r="B24" s="674">
        <f>$B$10</f>
        <v>1.83</v>
      </c>
      <c r="C24" s="675">
        <f>$C$10</f>
        <v>129</v>
      </c>
      <c r="D24" s="652">
        <f>$D$10</f>
        <v>125</v>
      </c>
      <c r="E24" s="652">
        <f>$E$10</f>
        <v>120.5</v>
      </c>
      <c r="F24" s="652">
        <f>$F$10</f>
        <v>117.5</v>
      </c>
      <c r="G24" s="652">
        <f>$G$10</f>
        <v>113</v>
      </c>
      <c r="H24" s="652">
        <f>$H$10</f>
        <v>111</v>
      </c>
      <c r="I24" s="676">
        <f>$I$10</f>
        <v>106</v>
      </c>
      <c r="J24" s="652">
        <f>$J$10</f>
        <v>102.5</v>
      </c>
      <c r="K24" s="652">
        <f>$K$10</f>
        <v>100</v>
      </c>
      <c r="L24" s="652">
        <f>$L$10</f>
        <v>97</v>
      </c>
      <c r="M24" s="652">
        <f>$M$10</f>
        <v>94</v>
      </c>
      <c r="N24" s="652">
        <f>$N$10</f>
        <v>90</v>
      </c>
      <c r="O24" s="652">
        <f>$O$10</f>
        <v>86</v>
      </c>
      <c r="P24" s="652">
        <f>$P$10</f>
        <v>80.5</v>
      </c>
      <c r="Q24" s="652">
        <f>$Q$10</f>
        <v>74</v>
      </c>
      <c r="R24" s="652">
        <f>$R$10</f>
        <v>65</v>
      </c>
      <c r="S24" s="676">
        <f>$S$10</f>
        <v>48</v>
      </c>
      <c r="W24" s="677" t="s">
        <v>274</v>
      </c>
      <c r="X24" s="685">
        <v>2.25</v>
      </c>
      <c r="Y24" s="679" t="s">
        <v>266</v>
      </c>
      <c r="Z24" s="550"/>
      <c r="AA24" s="677" t="s">
        <v>275</v>
      </c>
      <c r="AB24" s="686">
        <v>4.7699999999999996</v>
      </c>
      <c r="AC24" s="687" t="s">
        <v>276</v>
      </c>
      <c r="AD24" s="688">
        <f>AB24/1000</f>
        <v>4.7699999999999999E-3</v>
      </c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689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689"/>
      <c r="BJ24" s="550"/>
      <c r="BK24" s="550"/>
      <c r="BL24" s="550"/>
      <c r="BM24" s="550"/>
      <c r="BN24" s="550"/>
      <c r="BO24" s="550"/>
      <c r="BP24" s="550"/>
      <c r="BQ24" s="689"/>
      <c r="BR24" s="550"/>
      <c r="BS24" s="550"/>
      <c r="BT24" s="550"/>
      <c r="BU24" s="550"/>
      <c r="BV24" s="550"/>
      <c r="BW24" s="689"/>
      <c r="BX24" s="550"/>
      <c r="BY24" s="550"/>
      <c r="BZ24" s="550"/>
      <c r="CA24" s="550"/>
      <c r="CB24" s="550"/>
      <c r="CC24" s="550"/>
      <c r="CD24" s="550"/>
      <c r="CE24" s="689"/>
      <c r="CF24" s="550"/>
      <c r="CG24" s="550"/>
      <c r="CH24" s="550"/>
      <c r="CL24" s="562"/>
      <c r="CM24" s="552"/>
      <c r="CN24" s="552"/>
      <c r="CO24" s="552"/>
      <c r="CP24" s="552"/>
      <c r="CQ24" s="552"/>
      <c r="CR24" s="672" t="s">
        <v>277</v>
      </c>
      <c r="CS24" s="673">
        <f>CS20-CS21</f>
        <v>0.16999999999999993</v>
      </c>
      <c r="CT24" s="660" t="s">
        <v>263</v>
      </c>
      <c r="CU24" s="552"/>
      <c r="CV24" s="552"/>
      <c r="CW24" s="552"/>
      <c r="CX24" s="552"/>
      <c r="CY24" s="562"/>
      <c r="CZ24" s="642">
        <f t="shared" si="39"/>
        <v>17</v>
      </c>
      <c r="DA24" s="609">
        <f t="shared" si="0"/>
        <v>19.125</v>
      </c>
      <c r="DB24" s="609">
        <f t="shared" si="22"/>
        <v>6.8</v>
      </c>
      <c r="DC24" s="610">
        <f t="shared" si="1"/>
        <v>107.21171246102135</v>
      </c>
      <c r="DD24" s="611">
        <f t="shared" si="1"/>
        <v>112.49224463678901</v>
      </c>
      <c r="DE24" s="612">
        <f t="shared" si="1"/>
        <v>121.71051377416214</v>
      </c>
      <c r="DF24" s="610">
        <f t="shared" si="2"/>
        <v>19.411764705882348</v>
      </c>
      <c r="DG24" s="611">
        <f t="shared" si="2"/>
        <v>22</v>
      </c>
      <c r="DH24" s="612">
        <f t="shared" si="2"/>
        <v>28.470588235294098</v>
      </c>
      <c r="DI24" s="610">
        <f t="shared" si="3"/>
        <v>126.6234771669037</v>
      </c>
      <c r="DJ24" s="611">
        <f t="shared" si="3"/>
        <v>134.492244636789</v>
      </c>
      <c r="DK24" s="612">
        <f t="shared" si="3"/>
        <v>150.18110200945623</v>
      </c>
      <c r="DL24" s="613">
        <f t="shared" si="43"/>
        <v>42.294117647058798</v>
      </c>
      <c r="DM24" s="613">
        <f t="shared" si="43"/>
        <v>42.294117647058798</v>
      </c>
      <c r="DN24" s="613">
        <f t="shared" si="43"/>
        <v>42.294117647058798</v>
      </c>
      <c r="DO24" s="609">
        <f t="shared" si="5"/>
        <v>135</v>
      </c>
      <c r="DP24" s="609"/>
      <c r="DQ24" s="609">
        <f t="shared" si="24"/>
        <v>6.8</v>
      </c>
      <c r="DR24" s="610">
        <f t="shared" si="6"/>
        <v>6.4593880843743916</v>
      </c>
      <c r="DS24" s="611">
        <f t="shared" si="6"/>
        <v>5.9295186916873819</v>
      </c>
      <c r="DT24" s="612">
        <f t="shared" si="6"/>
        <v>4.5307406937615466</v>
      </c>
      <c r="DU24" s="611">
        <f t="shared" ref="DU24:DW39" si="44">(DL24-DL23)/($DQ24-$DQ23)</f>
        <v>12.499999999999998</v>
      </c>
      <c r="DV24" s="611">
        <f t="shared" si="44"/>
        <v>12.499999999999998</v>
      </c>
      <c r="DW24" s="611">
        <f t="shared" si="44"/>
        <v>12.499999999999998</v>
      </c>
      <c r="DX24" s="614">
        <f t="shared" si="7"/>
        <v>12.5</v>
      </c>
      <c r="DY24" s="615"/>
      <c r="DZ24" s="609">
        <f t="shared" si="25"/>
        <v>6.8</v>
      </c>
      <c r="EA24" s="611">
        <f t="shared" si="8"/>
        <v>2.096857329842932</v>
      </c>
      <c r="EB24" s="611">
        <f t="shared" si="8"/>
        <v>2.1210159235668788</v>
      </c>
      <c r="EC24" s="611">
        <f t="shared" si="8"/>
        <v>2.2409875000000001</v>
      </c>
      <c r="ED24" s="610">
        <f t="shared" si="9"/>
        <v>0.22002999999999975</v>
      </c>
      <c r="EE24" s="611">
        <f t="shared" si="9"/>
        <v>0.22005999999999976</v>
      </c>
      <c r="EF24" s="612">
        <f t="shared" si="9"/>
        <v>0.22012499999999974</v>
      </c>
      <c r="EG24" s="611">
        <f t="shared" si="10"/>
        <v>2.316887329842932</v>
      </c>
      <c r="EH24" s="611">
        <f t="shared" si="10"/>
        <v>2.3410759235668785</v>
      </c>
      <c r="EI24" s="611">
        <f t="shared" si="10"/>
        <v>2.4611125</v>
      </c>
      <c r="EJ24" s="610">
        <f t="shared" si="26"/>
        <v>2.2999999999999998</v>
      </c>
      <c r="EK24" s="643">
        <f t="shared" si="27"/>
        <v>2.25</v>
      </c>
      <c r="EL24" s="644">
        <f t="shared" si="28"/>
        <v>2.83</v>
      </c>
      <c r="EN24" s="620">
        <f t="shared" si="29"/>
        <v>3.7069444444444444</v>
      </c>
      <c r="EO24" s="621">
        <f t="shared" si="40"/>
        <v>121.7133404393802</v>
      </c>
      <c r="EP24" s="621">
        <f t="shared" si="40"/>
        <v>125.03449235763297</v>
      </c>
      <c r="EQ24" s="621">
        <f t="shared" si="40"/>
        <v>127.75205281022934</v>
      </c>
      <c r="ER24" s="610">
        <f t="shared" si="12"/>
        <v>89.53845142907555</v>
      </c>
      <c r="ES24" s="611">
        <f t="shared" si="12"/>
        <v>118.89223668721208</v>
      </c>
      <c r="ET24" s="612">
        <f t="shared" si="12"/>
        <v>136.53101390639165</v>
      </c>
      <c r="EU24" s="610">
        <f t="shared" si="30"/>
        <v>100</v>
      </c>
      <c r="EV24" s="611">
        <f t="shared" si="31"/>
        <v>135</v>
      </c>
      <c r="EW24" s="645">
        <f t="shared" si="32"/>
        <v>1000000</v>
      </c>
      <c r="EX24" s="610">
        <f t="shared" si="13"/>
        <v>-32.174889010304653</v>
      </c>
      <c r="EY24" s="621">
        <f t="shared" si="14"/>
        <v>-6.1422556704208908</v>
      </c>
      <c r="EZ24" s="612">
        <f t="shared" si="15"/>
        <v>8.7789610961623197</v>
      </c>
      <c r="FA24" s="646">
        <f t="shared" si="16"/>
        <v>3.7069444444444444</v>
      </c>
      <c r="FB24" s="317"/>
      <c r="FC24" s="562"/>
      <c r="FD24" s="648">
        <v>7.916666666666667</v>
      </c>
      <c r="FE24" s="649">
        <f t="shared" si="17"/>
        <v>100.53835707774567</v>
      </c>
      <c r="FF24" s="650">
        <f t="shared" si="17"/>
        <v>111.63196433270895</v>
      </c>
      <c r="FG24" s="651">
        <f t="shared" si="17"/>
        <v>117.35142644345717</v>
      </c>
      <c r="FH24" s="652">
        <v>95</v>
      </c>
      <c r="FK24" s="633">
        <f t="shared" si="33"/>
        <v>100</v>
      </c>
      <c r="FL24" s="564">
        <f t="shared" si="34"/>
        <v>135</v>
      </c>
      <c r="FM24" s="634">
        <f t="shared" si="35"/>
        <v>-1000000000</v>
      </c>
      <c r="FN24" s="621">
        <f t="shared" si="41"/>
        <v>106.63122700664061</v>
      </c>
      <c r="FO24" s="621">
        <f t="shared" si="41"/>
        <v>113.72108158767074</v>
      </c>
      <c r="FP24" s="654">
        <f t="shared" si="41"/>
        <v>119.52303109102614</v>
      </c>
      <c r="FQ24" s="610">
        <f t="shared" si="42"/>
        <v>-6.0928699288949453</v>
      </c>
      <c r="FR24" s="611">
        <f t="shared" si="42"/>
        <v>-2.0891172549617956</v>
      </c>
      <c r="FS24" s="612">
        <f t="shared" si="42"/>
        <v>-2.1716046475689659</v>
      </c>
      <c r="FT24" s="633">
        <f t="shared" si="36"/>
        <v>30.673399120615585</v>
      </c>
      <c r="FU24" s="564">
        <f t="shared" si="36"/>
        <v>0</v>
      </c>
      <c r="FV24" s="655">
        <f t="shared" si="36"/>
        <v>0</v>
      </c>
      <c r="FW24" s="633">
        <f t="shared" si="37"/>
        <v>1</v>
      </c>
      <c r="FX24" s="564">
        <f t="shared" si="37"/>
        <v>0</v>
      </c>
      <c r="FY24" s="655">
        <f t="shared" si="37"/>
        <v>0</v>
      </c>
    </row>
    <row r="25" spans="2:181" ht="15" customHeight="1" x14ac:dyDescent="0.25">
      <c r="B25" s="674">
        <f>$B$11</f>
        <v>1.84</v>
      </c>
      <c r="C25" s="675">
        <f>$C$11</f>
        <v>128</v>
      </c>
      <c r="D25" s="652">
        <f>$D$11</f>
        <v>124</v>
      </c>
      <c r="E25" s="652">
        <f>$E$11</f>
        <v>119.5</v>
      </c>
      <c r="F25" s="652">
        <f>$F$11</f>
        <v>116.5</v>
      </c>
      <c r="G25" s="652">
        <f>$G$11</f>
        <v>112</v>
      </c>
      <c r="H25" s="652">
        <f>$H$11</f>
        <v>110.5</v>
      </c>
      <c r="I25" s="676">
        <f>$I$11</f>
        <v>105.5</v>
      </c>
      <c r="J25" s="652">
        <f>$J$11</f>
        <v>102</v>
      </c>
      <c r="K25" s="652">
        <f>$K$11</f>
        <v>99</v>
      </c>
      <c r="L25" s="652">
        <f>$L$11</f>
        <v>96</v>
      </c>
      <c r="M25" s="652">
        <f>$M$11</f>
        <v>93.1</v>
      </c>
      <c r="N25" s="652">
        <f>$N$11</f>
        <v>89</v>
      </c>
      <c r="O25" s="652">
        <f>$O$11</f>
        <v>85</v>
      </c>
      <c r="P25" s="652">
        <f>$P$11</f>
        <v>79.5</v>
      </c>
      <c r="Q25" s="652">
        <f>$Q$11</f>
        <v>73</v>
      </c>
      <c r="R25" s="652">
        <f>$R$11</f>
        <v>64</v>
      </c>
      <c r="S25" s="676">
        <f>$S$11</f>
        <v>47</v>
      </c>
      <c r="T25" s="578"/>
      <c r="W25" s="677" t="s">
        <v>278</v>
      </c>
      <c r="X25" s="685">
        <v>2</v>
      </c>
      <c r="Y25" s="679" t="s">
        <v>266</v>
      </c>
      <c r="Z25" s="550"/>
      <c r="AA25" s="677" t="s">
        <v>279</v>
      </c>
      <c r="AB25" s="686">
        <v>0.01</v>
      </c>
      <c r="AC25" s="687" t="s">
        <v>276</v>
      </c>
      <c r="AD25" s="688">
        <f>AB25/1000</f>
        <v>1.0000000000000001E-5</v>
      </c>
      <c r="AG25" s="690"/>
      <c r="AH25" s="550"/>
      <c r="AI25" s="550"/>
      <c r="AJ25" s="550"/>
      <c r="AK25" s="550"/>
      <c r="AL25" s="550"/>
      <c r="AM25" s="550"/>
      <c r="AN25" s="550"/>
      <c r="AO25" s="550"/>
      <c r="AP25" s="550"/>
      <c r="AQ25" s="550"/>
      <c r="AR25" s="550"/>
      <c r="AS25" s="550"/>
      <c r="AT25" s="550"/>
      <c r="AU25" s="689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689"/>
      <c r="BJ25" s="550"/>
      <c r="BK25" s="550"/>
      <c r="BL25" s="550"/>
      <c r="BM25" s="550"/>
      <c r="BN25" s="550"/>
      <c r="BO25" s="550"/>
      <c r="BP25" s="550"/>
      <c r="BQ25" s="689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689"/>
      <c r="CF25" s="550"/>
      <c r="CG25" s="550"/>
      <c r="CH25" s="550"/>
      <c r="CL25" s="562"/>
      <c r="CM25" s="552"/>
      <c r="CN25" s="552"/>
      <c r="CO25" s="552"/>
      <c r="CP25" s="552"/>
      <c r="CQ25" s="552"/>
      <c r="CR25" s="672" t="s">
        <v>280</v>
      </c>
      <c r="CS25" s="673">
        <v>2.2999999999999998</v>
      </c>
      <c r="CT25" s="660" t="s">
        <v>263</v>
      </c>
      <c r="CU25" s="552"/>
      <c r="CV25" s="552"/>
      <c r="CW25" s="552"/>
      <c r="CX25" s="552"/>
      <c r="CY25" s="562"/>
      <c r="CZ25" s="642">
        <f t="shared" si="39"/>
        <v>18</v>
      </c>
      <c r="DA25" s="609">
        <f t="shared" si="0"/>
        <v>20.25</v>
      </c>
      <c r="DB25" s="609">
        <f t="shared" si="22"/>
        <v>7.1999999999999993</v>
      </c>
      <c r="DC25" s="610">
        <f t="shared" si="1"/>
        <v>109.6789868303533</v>
      </c>
      <c r="DD25" s="611">
        <f t="shared" si="1"/>
        <v>114.743361059018</v>
      </c>
      <c r="DE25" s="612">
        <f t="shared" si="1"/>
        <v>123.40466881582257</v>
      </c>
      <c r="DF25" s="610">
        <f t="shared" si="2"/>
        <v>19.411764705882348</v>
      </c>
      <c r="DG25" s="611">
        <f t="shared" si="2"/>
        <v>22</v>
      </c>
      <c r="DH25" s="612">
        <f t="shared" si="2"/>
        <v>28.470588235294098</v>
      </c>
      <c r="DI25" s="610">
        <f t="shared" si="3"/>
        <v>129.09075153623564</v>
      </c>
      <c r="DJ25" s="611">
        <f t="shared" si="3"/>
        <v>136.74336105901801</v>
      </c>
      <c r="DK25" s="612">
        <f t="shared" si="3"/>
        <v>151.87525705111668</v>
      </c>
      <c r="DL25" s="613">
        <f t="shared" si="43"/>
        <v>47.294117647058791</v>
      </c>
      <c r="DM25" s="613">
        <f t="shared" si="43"/>
        <v>47.294117647058791</v>
      </c>
      <c r="DN25" s="613">
        <f t="shared" si="43"/>
        <v>47.294117647058791</v>
      </c>
      <c r="DO25" s="609">
        <f t="shared" si="5"/>
        <v>135</v>
      </c>
      <c r="DP25" s="609"/>
      <c r="DQ25" s="609">
        <f t="shared" si="24"/>
        <v>7.1999999999999993</v>
      </c>
      <c r="DR25" s="610">
        <f t="shared" si="6"/>
        <v>5.8858700998713838</v>
      </c>
      <c r="DS25" s="611">
        <f t="shared" si="6"/>
        <v>5.336477018389802</v>
      </c>
      <c r="DT25" s="612">
        <f t="shared" si="6"/>
        <v>3.9531580048334547</v>
      </c>
      <c r="DU25" s="611">
        <f t="shared" si="44"/>
        <v>12.499999999999998</v>
      </c>
      <c r="DV25" s="611">
        <f t="shared" si="44"/>
        <v>12.499999999999998</v>
      </c>
      <c r="DW25" s="611">
        <f t="shared" si="44"/>
        <v>12.499999999999998</v>
      </c>
      <c r="DX25" s="614">
        <f t="shared" si="7"/>
        <v>12.5</v>
      </c>
      <c r="DY25" s="615"/>
      <c r="DZ25" s="609">
        <f t="shared" si="25"/>
        <v>7.1999999999999993</v>
      </c>
      <c r="EA25" s="611">
        <f t="shared" si="8"/>
        <v>2.0970357142857146</v>
      </c>
      <c r="EB25" s="611">
        <f t="shared" si="8"/>
        <v>2.1220882352941177</v>
      </c>
      <c r="EC25" s="611">
        <f t="shared" si="8"/>
        <v>2.2588750000000002</v>
      </c>
      <c r="ED25" s="610">
        <f t="shared" si="9"/>
        <v>0.22002999999999975</v>
      </c>
      <c r="EE25" s="611">
        <f t="shared" si="9"/>
        <v>0.22005999999999976</v>
      </c>
      <c r="EF25" s="612">
        <f t="shared" si="9"/>
        <v>0.22012499999999974</v>
      </c>
      <c r="EG25" s="611">
        <f t="shared" si="10"/>
        <v>2.3170657142857145</v>
      </c>
      <c r="EH25" s="611">
        <f t="shared" si="10"/>
        <v>2.3421482352941174</v>
      </c>
      <c r="EI25" s="611">
        <f t="shared" si="10"/>
        <v>2.4790000000000001</v>
      </c>
      <c r="EJ25" s="610">
        <f t="shared" si="26"/>
        <v>2.2999999999999998</v>
      </c>
      <c r="EK25" s="643">
        <f t="shared" si="27"/>
        <v>2.25</v>
      </c>
      <c r="EL25" s="644">
        <f t="shared" si="28"/>
        <v>2.83</v>
      </c>
      <c r="EN25" s="620">
        <f t="shared" si="29"/>
        <v>3.9249999999999998</v>
      </c>
      <c r="EO25" s="621">
        <f t="shared" si="40"/>
        <v>120.93194261806802</v>
      </c>
      <c r="EP25" s="621">
        <f t="shared" si="40"/>
        <v>124.44838187921349</v>
      </c>
      <c r="EQ25" s="621">
        <f t="shared" si="40"/>
        <v>127.32575367929724</v>
      </c>
      <c r="ER25" s="610">
        <f t="shared" si="12"/>
        <v>88.020494964050386</v>
      </c>
      <c r="ES25" s="611">
        <f t="shared" si="12"/>
        <v>117.24698332599435</v>
      </c>
      <c r="ET25" s="612">
        <f t="shared" si="12"/>
        <v>135.44242556781506</v>
      </c>
      <c r="EU25" s="610">
        <f t="shared" si="30"/>
        <v>100</v>
      </c>
      <c r="EV25" s="611">
        <f t="shared" si="31"/>
        <v>135</v>
      </c>
      <c r="EW25" s="645">
        <f t="shared" si="32"/>
        <v>1000000</v>
      </c>
      <c r="EX25" s="610">
        <f t="shared" si="13"/>
        <v>-32.911447654017628</v>
      </c>
      <c r="EY25" s="621">
        <f t="shared" si="14"/>
        <v>-7.2013985532191391</v>
      </c>
      <c r="EZ25" s="612">
        <f t="shared" si="15"/>
        <v>8.1166718885178213</v>
      </c>
      <c r="FA25" s="646">
        <f t="shared" si="16"/>
        <v>3.9249999999999998</v>
      </c>
      <c r="FB25" s="317"/>
      <c r="FC25" s="562"/>
      <c r="FD25" s="648">
        <v>8.7916666666666661</v>
      </c>
      <c r="FE25" s="649">
        <f t="shared" si="17"/>
        <v>95.25562477887604</v>
      </c>
      <c r="FF25" s="650">
        <f t="shared" si="17"/>
        <v>107.43841703345562</v>
      </c>
      <c r="FG25" s="651">
        <f t="shared" si="17"/>
        <v>113.79243233854362</v>
      </c>
      <c r="FI25" s="652">
        <v>105.5</v>
      </c>
      <c r="FJ25" s="653"/>
      <c r="FK25" s="633">
        <f t="shared" si="33"/>
        <v>100</v>
      </c>
      <c r="FL25" s="564">
        <f t="shared" si="34"/>
        <v>135</v>
      </c>
      <c r="FM25" s="634">
        <f t="shared" si="35"/>
        <v>-1000000000</v>
      </c>
      <c r="FN25" s="621">
        <f t="shared" si="41"/>
        <v>103.497261754097</v>
      </c>
      <c r="FO25" s="621">
        <f t="shared" si="41"/>
        <v>111.37006235563014</v>
      </c>
      <c r="FP25" s="654">
        <f t="shared" si="41"/>
        <v>117.81287434786944</v>
      </c>
      <c r="FQ25" s="610">
        <f t="shared" si="42"/>
        <v>-8.2416369752209562</v>
      </c>
      <c r="FR25" s="611">
        <f t="shared" si="42"/>
        <v>-3.9316453221745178</v>
      </c>
      <c r="FS25" s="612">
        <f t="shared" si="42"/>
        <v>-4.0204420093258264</v>
      </c>
      <c r="FT25" s="633">
        <f t="shared" si="36"/>
        <v>0</v>
      </c>
      <c r="FU25" s="564">
        <f t="shared" si="36"/>
        <v>3.7574605955908926</v>
      </c>
      <c r="FV25" s="655">
        <f t="shared" si="36"/>
        <v>0</v>
      </c>
      <c r="FW25" s="633">
        <f t="shared" si="37"/>
        <v>0</v>
      </c>
      <c r="FX25" s="564">
        <f t="shared" si="37"/>
        <v>1</v>
      </c>
      <c r="FY25" s="655">
        <f t="shared" si="37"/>
        <v>0</v>
      </c>
    </row>
    <row r="26" spans="2:181" ht="15" customHeight="1" x14ac:dyDescent="0.25">
      <c r="B26" s="674">
        <f>$B$12</f>
        <v>1.86</v>
      </c>
      <c r="C26" s="675">
        <f>$C$12</f>
        <v>125</v>
      </c>
      <c r="D26" s="652">
        <f>$D$12</f>
        <v>121</v>
      </c>
      <c r="E26" s="652">
        <f>$E$12</f>
        <v>116.5</v>
      </c>
      <c r="F26" s="652">
        <f>$F$12</f>
        <v>113.5</v>
      </c>
      <c r="G26" s="652">
        <f>$G$12</f>
        <v>109.5</v>
      </c>
      <c r="H26" s="652">
        <f>$H$12</f>
        <v>108</v>
      </c>
      <c r="I26" s="676">
        <f>$I$12</f>
        <v>103.5</v>
      </c>
      <c r="J26" s="652">
        <f>$J$12</f>
        <v>99</v>
      </c>
      <c r="K26" s="652">
        <f>$K$12</f>
        <v>97</v>
      </c>
      <c r="L26" s="652">
        <f>$L$12</f>
        <v>94</v>
      </c>
      <c r="M26" s="652">
        <f>$M$12</f>
        <v>90</v>
      </c>
      <c r="N26" s="652">
        <f>$N$12</f>
        <v>88</v>
      </c>
      <c r="O26" s="652">
        <f>$O$12</f>
        <v>82</v>
      </c>
      <c r="P26" s="652">
        <f>$P$12</f>
        <v>77</v>
      </c>
      <c r="Q26" s="652">
        <f>$Q$12</f>
        <v>70</v>
      </c>
      <c r="R26" s="652">
        <f>$R$12</f>
        <v>61</v>
      </c>
      <c r="S26" s="676">
        <f>$S$12</f>
        <v>44.5</v>
      </c>
      <c r="T26" s="578"/>
      <c r="W26" s="677" t="s">
        <v>281</v>
      </c>
      <c r="X26" s="685">
        <v>1.75</v>
      </c>
      <c r="Y26" s="679" t="s">
        <v>266</v>
      </c>
      <c r="Z26" s="550"/>
      <c r="AF26" s="691"/>
      <c r="AG26" s="692"/>
      <c r="AH26" s="550"/>
      <c r="AI26" s="550"/>
      <c r="AJ26" s="550"/>
      <c r="AK26" s="550"/>
      <c r="AL26" s="550"/>
      <c r="AM26" s="550"/>
      <c r="AN26" s="550"/>
      <c r="AO26" s="550"/>
      <c r="AP26" s="550"/>
      <c r="AQ26" s="550"/>
      <c r="AR26" s="550"/>
      <c r="AS26" s="550"/>
      <c r="AT26" s="550"/>
      <c r="AU26" s="689"/>
      <c r="AV26" s="550"/>
      <c r="AW26" s="550"/>
      <c r="AX26" s="550"/>
      <c r="AY26" s="550"/>
      <c r="BA26" s="550"/>
      <c r="BB26" s="550"/>
      <c r="BC26" s="550"/>
      <c r="BD26" s="550"/>
      <c r="BE26" s="550"/>
      <c r="BF26" s="550"/>
      <c r="BG26" s="550"/>
      <c r="BH26" s="550"/>
      <c r="BI26" s="689"/>
      <c r="BJ26" s="550"/>
      <c r="BK26" s="550"/>
      <c r="BL26" s="550"/>
      <c r="BM26" s="550"/>
      <c r="BN26" s="550"/>
      <c r="BO26" s="550"/>
      <c r="BP26" s="550"/>
      <c r="BQ26" s="689"/>
      <c r="BR26" s="550"/>
      <c r="BS26" s="550"/>
      <c r="BT26" s="550"/>
      <c r="BU26" s="550"/>
      <c r="BW26" s="550"/>
      <c r="BX26" s="550"/>
      <c r="BY26" s="550"/>
      <c r="BZ26" s="550"/>
      <c r="CA26" s="550"/>
      <c r="CB26" s="550"/>
      <c r="CC26" s="550"/>
      <c r="CD26" s="550"/>
      <c r="CE26" s="689"/>
      <c r="CF26" s="550"/>
      <c r="CG26" s="550"/>
      <c r="CH26" s="550"/>
      <c r="CL26" s="562"/>
      <c r="CM26" s="552"/>
      <c r="CN26" s="552"/>
      <c r="CR26" s="672" t="s">
        <v>282</v>
      </c>
      <c r="CS26" s="673">
        <v>2.83</v>
      </c>
      <c r="CT26" s="660" t="s">
        <v>263</v>
      </c>
      <c r="CU26" s="552"/>
      <c r="CV26" s="552"/>
      <c r="CW26" s="552"/>
      <c r="CX26" s="552"/>
      <c r="CY26" s="562"/>
      <c r="CZ26" s="642">
        <f t="shared" si="39"/>
        <v>19</v>
      </c>
      <c r="DA26" s="609">
        <f t="shared" si="0"/>
        <v>21.375</v>
      </c>
      <c r="DB26" s="609">
        <f t="shared" si="22"/>
        <v>7.6</v>
      </c>
      <c r="DC26" s="610">
        <f t="shared" ref="DC26:DE45" si="45">$CS$28*(1-EXP(-$DB26/DC$4))</f>
        <v>111.92719614196896</v>
      </c>
      <c r="DD26" s="611">
        <f t="shared" si="45"/>
        <v>116.76933174527049</v>
      </c>
      <c r="DE26" s="612">
        <f t="shared" si="45"/>
        <v>124.88285152744643</v>
      </c>
      <c r="DF26" s="610">
        <f t="shared" ref="DF26:DH45" si="46">$CS$31*((DF$3-$CS$21)+($CS$23-DF$3)*EXP(-$DB26/DF$4))</f>
        <v>19.411764705882348</v>
      </c>
      <c r="DG26" s="611">
        <f t="shared" si="46"/>
        <v>22</v>
      </c>
      <c r="DH26" s="612">
        <f t="shared" si="46"/>
        <v>28.470588235294098</v>
      </c>
      <c r="DI26" s="610">
        <f t="shared" si="3"/>
        <v>131.3389608478513</v>
      </c>
      <c r="DJ26" s="611">
        <f t="shared" si="3"/>
        <v>138.76933174527051</v>
      </c>
      <c r="DK26" s="612">
        <f t="shared" si="3"/>
        <v>153.35343976274052</v>
      </c>
      <c r="DL26" s="613">
        <f t="shared" si="43"/>
        <v>52.294117647058798</v>
      </c>
      <c r="DM26" s="613">
        <f t="shared" si="43"/>
        <v>52.294117647058798</v>
      </c>
      <c r="DN26" s="613">
        <f t="shared" si="43"/>
        <v>52.294117647058798</v>
      </c>
      <c r="DO26" s="609">
        <f t="shared" si="5"/>
        <v>135</v>
      </c>
      <c r="DP26" s="609"/>
      <c r="DQ26" s="609">
        <f t="shared" si="24"/>
        <v>7.6</v>
      </c>
      <c r="DR26" s="610">
        <f t="shared" si="6"/>
        <v>5.3632737931266883</v>
      </c>
      <c r="DS26" s="611">
        <f t="shared" si="6"/>
        <v>4.8027484941949696</v>
      </c>
      <c r="DT26" s="612">
        <f t="shared" si="6"/>
        <v>3.4492060498400439</v>
      </c>
      <c r="DU26" s="611">
        <f t="shared" si="44"/>
        <v>12.500000000000007</v>
      </c>
      <c r="DV26" s="611">
        <f t="shared" si="44"/>
        <v>12.500000000000007</v>
      </c>
      <c r="DW26" s="611">
        <f t="shared" si="44"/>
        <v>12.500000000000007</v>
      </c>
      <c r="DX26" s="614">
        <f t="shared" si="7"/>
        <v>12.5</v>
      </c>
      <c r="DY26" s="615"/>
      <c r="DZ26" s="609">
        <f t="shared" si="25"/>
        <v>7.6</v>
      </c>
      <c r="EA26" s="611">
        <f t="shared" ref="EA26:EC45" si="47">IF((EA$4*$DZ26)&gt;=$CS$28,1000000,($CS$21+($CS$36*EA$4)/(1-(EA$4*$DZ26)/($CS$28))))</f>
        <v>2.0972179144385028</v>
      </c>
      <c r="EB26" s="611">
        <f t="shared" si="47"/>
        <v>2.1232181208053693</v>
      </c>
      <c r="EC26" s="611">
        <f t="shared" si="47"/>
        <v>2.2812343749999999</v>
      </c>
      <c r="ED26" s="610">
        <f t="shared" ref="ED26:EF45" si="48">($CS$25-$CS$21)+($CS$23-$CS$25)*EXP(-$DZ26/$CX$14)+$CS$37*ED$4</f>
        <v>0.22002999999999975</v>
      </c>
      <c r="EE26" s="611">
        <f t="shared" si="48"/>
        <v>0.22005999999999976</v>
      </c>
      <c r="EF26" s="612">
        <f t="shared" si="48"/>
        <v>0.22012499999999974</v>
      </c>
      <c r="EG26" s="611">
        <f t="shared" si="10"/>
        <v>2.3172479144385028</v>
      </c>
      <c r="EH26" s="611">
        <f t="shared" si="10"/>
        <v>2.343278120805369</v>
      </c>
      <c r="EI26" s="611">
        <f t="shared" si="10"/>
        <v>2.5013593749999998</v>
      </c>
      <c r="EJ26" s="610">
        <f t="shared" si="26"/>
        <v>2.2999999999999998</v>
      </c>
      <c r="EK26" s="643">
        <f t="shared" si="27"/>
        <v>2.25</v>
      </c>
      <c r="EL26" s="644">
        <f t="shared" si="28"/>
        <v>2.83</v>
      </c>
      <c r="EN26" s="620">
        <f t="shared" si="29"/>
        <v>4.1430555555555557</v>
      </c>
      <c r="EO26" s="621">
        <f t="shared" si="40"/>
        <v>120.15056372441437</v>
      </c>
      <c r="EP26" s="621">
        <f t="shared" si="40"/>
        <v>123.86228204934298</v>
      </c>
      <c r="EQ26" s="621">
        <f t="shared" si="40"/>
        <v>126.89946018140903</v>
      </c>
      <c r="ER26" s="610">
        <f t="shared" si="12"/>
        <v>86.597709926301036</v>
      </c>
      <c r="ES26" s="611">
        <f t="shared" si="12"/>
        <v>115.65009189291786</v>
      </c>
      <c r="ET26" s="612">
        <f t="shared" si="12"/>
        <v>134.36529594281987</v>
      </c>
      <c r="EU26" s="610">
        <f t="shared" si="30"/>
        <v>100</v>
      </c>
      <c r="EV26" s="611">
        <f t="shared" si="31"/>
        <v>135</v>
      </c>
      <c r="EW26" s="645">
        <f t="shared" si="32"/>
        <v>1000000</v>
      </c>
      <c r="EX26" s="610">
        <f t="shared" si="13"/>
        <v>-33.55285379811334</v>
      </c>
      <c r="EY26" s="621">
        <f t="shared" si="14"/>
        <v>-8.2121901564251267</v>
      </c>
      <c r="EZ26" s="612">
        <f t="shared" si="15"/>
        <v>7.4658357614108422</v>
      </c>
      <c r="FA26" s="646">
        <f t="shared" si="16"/>
        <v>4.1430555555555557</v>
      </c>
      <c r="FB26" s="317"/>
      <c r="FC26" s="562"/>
      <c r="FD26" s="648">
        <v>9.0833333333333339</v>
      </c>
      <c r="FE26" s="649">
        <f t="shared" si="17"/>
        <v>93.527563065332032</v>
      </c>
      <c r="FF26" s="650">
        <f t="shared" si="17"/>
        <v>106.06871544067147</v>
      </c>
      <c r="FG26" s="651">
        <f t="shared" si="17"/>
        <v>112.63432679819032</v>
      </c>
      <c r="FI26" s="653"/>
      <c r="FJ26" s="652">
        <v>109</v>
      </c>
      <c r="FK26" s="633">
        <f t="shared" si="33"/>
        <v>100</v>
      </c>
      <c r="FL26" s="564">
        <f t="shared" si="34"/>
        <v>135</v>
      </c>
      <c r="FM26" s="634">
        <f t="shared" si="35"/>
        <v>-1000000000</v>
      </c>
      <c r="FN26" s="621">
        <f t="shared" si="41"/>
        <v>102.45267434489081</v>
      </c>
      <c r="FO26" s="621">
        <f t="shared" si="41"/>
        <v>110.5864273590898</v>
      </c>
      <c r="FP26" s="654">
        <f t="shared" si="41"/>
        <v>117.24284224796709</v>
      </c>
      <c r="FQ26" s="610">
        <f t="shared" si="42"/>
        <v>-8.9251112795587844</v>
      </c>
      <c r="FR26" s="611">
        <f t="shared" si="42"/>
        <v>-4.5177119184183212</v>
      </c>
      <c r="FS26" s="612">
        <f t="shared" si="42"/>
        <v>-4.6085154497767746</v>
      </c>
      <c r="FT26" s="633">
        <f t="shared" si="36"/>
        <v>0</v>
      </c>
      <c r="FU26" s="564">
        <f t="shared" si="36"/>
        <v>0</v>
      </c>
      <c r="FV26" s="655">
        <f t="shared" si="36"/>
        <v>13.208331276044269</v>
      </c>
      <c r="FW26" s="633">
        <f t="shared" si="37"/>
        <v>0</v>
      </c>
      <c r="FX26" s="564">
        <f t="shared" si="37"/>
        <v>0</v>
      </c>
      <c r="FY26" s="655">
        <f t="shared" si="37"/>
        <v>1</v>
      </c>
    </row>
    <row r="27" spans="2:181" ht="15" customHeight="1" x14ac:dyDescent="0.25">
      <c r="B27" s="674">
        <f>$B$13</f>
        <v>1.88</v>
      </c>
      <c r="C27" s="675">
        <f>$C$13</f>
        <v>121.5</v>
      </c>
      <c r="D27" s="652">
        <f>$D$13</f>
        <v>118</v>
      </c>
      <c r="E27" s="652">
        <f>$E$13</f>
        <v>113.5</v>
      </c>
      <c r="F27" s="652">
        <f>$F$13</f>
        <v>110.5</v>
      </c>
      <c r="G27" s="652">
        <f>$G$13</f>
        <v>106</v>
      </c>
      <c r="H27" s="652">
        <f>$H$13</f>
        <v>104.5</v>
      </c>
      <c r="I27" s="676">
        <f>$I$13</f>
        <v>99.5</v>
      </c>
      <c r="J27" s="652">
        <f>$J$13</f>
        <v>95</v>
      </c>
      <c r="K27" s="652">
        <f>$K$13</f>
        <v>92.5</v>
      </c>
      <c r="L27" s="652">
        <f>$L$13</f>
        <v>90</v>
      </c>
      <c r="M27" s="652">
        <f>$M$13</f>
        <v>96.4</v>
      </c>
      <c r="N27" s="652">
        <f>$N$13</f>
        <v>82.4</v>
      </c>
      <c r="O27" s="652">
        <f>$O$13</f>
        <v>78</v>
      </c>
      <c r="P27" s="652">
        <f>$P$13</f>
        <v>73</v>
      </c>
      <c r="Q27" s="652">
        <f>$Q$13</f>
        <v>66</v>
      </c>
      <c r="R27" s="652">
        <f>$R$13</f>
        <v>57</v>
      </c>
      <c r="S27" s="676">
        <f>$S$13</f>
        <v>41</v>
      </c>
      <c r="AA27" s="677" t="s">
        <v>283</v>
      </c>
      <c r="AB27" s="693">
        <f>AB24+AB25</f>
        <v>4.7799999999999994</v>
      </c>
      <c r="AC27" s="687" t="s">
        <v>276</v>
      </c>
      <c r="AD27" s="694">
        <f>AB27/1000</f>
        <v>4.7799999999999995E-3</v>
      </c>
      <c r="AG27" s="564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  <c r="AU27" s="689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689"/>
      <c r="BJ27" s="550"/>
      <c r="BK27" s="550"/>
      <c r="BL27" s="550"/>
      <c r="BM27" s="550"/>
      <c r="BN27" s="550"/>
      <c r="BO27" s="550"/>
      <c r="BP27" s="550"/>
      <c r="BQ27" s="689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689"/>
      <c r="CF27" s="550"/>
      <c r="CG27" s="550"/>
      <c r="CH27" s="550"/>
      <c r="CL27" s="562"/>
      <c r="CM27" s="552"/>
      <c r="CN27" s="552"/>
      <c r="CO27" s="552"/>
      <c r="CP27" s="552"/>
      <c r="CQ27" s="552"/>
      <c r="CU27" s="552"/>
      <c r="CV27" s="552"/>
      <c r="CW27" s="552"/>
      <c r="CX27" s="552"/>
      <c r="CY27" s="660"/>
      <c r="CZ27" s="642">
        <f t="shared" si="39"/>
        <v>20</v>
      </c>
      <c r="DA27" s="609">
        <f t="shared" si="0"/>
        <v>22.5</v>
      </c>
      <c r="DB27" s="609">
        <f t="shared" si="22"/>
        <v>8</v>
      </c>
      <c r="DC27" s="610">
        <f t="shared" si="45"/>
        <v>113.97579080645457</v>
      </c>
      <c r="DD27" s="611">
        <f t="shared" si="45"/>
        <v>118.59267467903587</v>
      </c>
      <c r="DE27" s="612">
        <f t="shared" si="45"/>
        <v>126.17259424591812</v>
      </c>
      <c r="DF27" s="610">
        <f t="shared" si="46"/>
        <v>19.411764705882348</v>
      </c>
      <c r="DG27" s="611">
        <f t="shared" si="46"/>
        <v>22</v>
      </c>
      <c r="DH27" s="612">
        <f t="shared" si="46"/>
        <v>28.470588235294098</v>
      </c>
      <c r="DI27" s="610">
        <f t="shared" si="3"/>
        <v>133.38755551233692</v>
      </c>
      <c r="DJ27" s="611">
        <f t="shared" si="3"/>
        <v>140.59267467903587</v>
      </c>
      <c r="DK27" s="612">
        <f t="shared" si="3"/>
        <v>154.64318248121222</v>
      </c>
      <c r="DL27" s="613">
        <f t="shared" si="43"/>
        <v>57.294117647058805</v>
      </c>
      <c r="DM27" s="613">
        <f t="shared" si="43"/>
        <v>57.294117647058805</v>
      </c>
      <c r="DN27" s="613">
        <f t="shared" si="43"/>
        <v>57.294117647058805</v>
      </c>
      <c r="DO27" s="609">
        <f t="shared" si="5"/>
        <v>135</v>
      </c>
      <c r="DP27" s="609"/>
      <c r="DQ27" s="609">
        <f t="shared" si="24"/>
        <v>8</v>
      </c>
      <c r="DR27" s="610">
        <f t="shared" si="6"/>
        <v>4.8870779157474251</v>
      </c>
      <c r="DS27" s="611">
        <f t="shared" si="6"/>
        <v>4.3224009058792836</v>
      </c>
      <c r="DT27" s="612">
        <f t="shared" si="6"/>
        <v>3.0094983200031193</v>
      </c>
      <c r="DU27" s="611">
        <f t="shared" si="44"/>
        <v>12.500000000000007</v>
      </c>
      <c r="DV27" s="611">
        <f t="shared" si="44"/>
        <v>12.500000000000007</v>
      </c>
      <c r="DW27" s="611">
        <f t="shared" si="44"/>
        <v>12.500000000000007</v>
      </c>
      <c r="DX27" s="614">
        <f t="shared" si="7"/>
        <v>12.5</v>
      </c>
      <c r="DY27" s="615"/>
      <c r="DZ27" s="609">
        <f t="shared" si="25"/>
        <v>8</v>
      </c>
      <c r="EA27" s="611">
        <f t="shared" si="47"/>
        <v>2.0974040540540542</v>
      </c>
      <c r="EB27" s="611">
        <f t="shared" si="47"/>
        <v>2.1244103448275862</v>
      </c>
      <c r="EC27" s="611">
        <f t="shared" si="47"/>
        <v>2.3099821428571428</v>
      </c>
      <c r="ED27" s="610">
        <f t="shared" si="48"/>
        <v>0.22002999999999975</v>
      </c>
      <c r="EE27" s="611">
        <f t="shared" si="48"/>
        <v>0.22005999999999976</v>
      </c>
      <c r="EF27" s="612">
        <f t="shared" si="48"/>
        <v>0.22012499999999974</v>
      </c>
      <c r="EG27" s="611">
        <f t="shared" si="10"/>
        <v>2.3174340540540541</v>
      </c>
      <c r="EH27" s="611">
        <f t="shared" si="10"/>
        <v>2.3444703448275859</v>
      </c>
      <c r="EI27" s="611">
        <f t="shared" si="10"/>
        <v>2.5301071428571427</v>
      </c>
      <c r="EJ27" s="610">
        <f t="shared" si="26"/>
        <v>2.2999999999999998</v>
      </c>
      <c r="EK27" s="643">
        <f t="shared" si="27"/>
        <v>2.25</v>
      </c>
      <c r="EL27" s="644">
        <f t="shared" si="28"/>
        <v>2.83</v>
      </c>
      <c r="EN27" s="620">
        <f t="shared" si="29"/>
        <v>4.3611111111111107</v>
      </c>
      <c r="EO27" s="621">
        <f t="shared" si="40"/>
        <v>119.36920375773154</v>
      </c>
      <c r="EP27" s="621">
        <f t="shared" si="40"/>
        <v>123.27619286773123</v>
      </c>
      <c r="EQ27" s="621">
        <f t="shared" si="40"/>
        <v>126.47317231645312</v>
      </c>
      <c r="ER27" s="610">
        <f t="shared" si="12"/>
        <v>85.25780401735642</v>
      </c>
      <c r="ES27" s="611">
        <f t="shared" si="12"/>
        <v>114.09935508754791</v>
      </c>
      <c r="ET27" s="612">
        <f t="shared" si="12"/>
        <v>133.29942697121396</v>
      </c>
      <c r="EU27" s="610">
        <f t="shared" si="30"/>
        <v>100</v>
      </c>
      <c r="EV27" s="611">
        <f t="shared" si="31"/>
        <v>135</v>
      </c>
      <c r="EW27" s="645">
        <f t="shared" si="32"/>
        <v>1000000</v>
      </c>
      <c r="EX27" s="610">
        <f t="shared" si="13"/>
        <v>-34.111399740375127</v>
      </c>
      <c r="EY27" s="621">
        <f t="shared" si="14"/>
        <v>-9.1768377801833232</v>
      </c>
      <c r="EZ27" s="612">
        <f t="shared" si="15"/>
        <v>6.8262546547608594</v>
      </c>
      <c r="FA27" s="646">
        <f t="shared" si="16"/>
        <v>4.3611111111111107</v>
      </c>
      <c r="FB27" s="317"/>
      <c r="FC27" s="562"/>
      <c r="FD27" s="648">
        <v>9.1</v>
      </c>
      <c r="FE27" s="649">
        <f t="shared" si="17"/>
        <v>93.429297304343464</v>
      </c>
      <c r="FF27" s="650">
        <f t="shared" si="17"/>
        <v>105.99085860202345</v>
      </c>
      <c r="FG27" s="651">
        <f t="shared" si="17"/>
        <v>112.56856229995347</v>
      </c>
      <c r="FH27" s="652">
        <v>91</v>
      </c>
      <c r="FK27" s="633">
        <f t="shared" si="33"/>
        <v>100</v>
      </c>
      <c r="FL27" s="564">
        <f t="shared" si="34"/>
        <v>135</v>
      </c>
      <c r="FM27" s="634">
        <f t="shared" si="35"/>
        <v>-1000000000</v>
      </c>
      <c r="FN27" s="621">
        <f t="shared" si="41"/>
        <v>102.3929846577564</v>
      </c>
      <c r="FO27" s="621">
        <f t="shared" si="41"/>
        <v>110.5416487914999</v>
      </c>
      <c r="FP27" s="654">
        <f t="shared" si="41"/>
        <v>117.21026928937779</v>
      </c>
      <c r="FQ27" s="610">
        <f t="shared" si="42"/>
        <v>-8.96368735341294</v>
      </c>
      <c r="FR27" s="611">
        <f t="shared" si="42"/>
        <v>-4.5507901894764515</v>
      </c>
      <c r="FS27" s="612">
        <f t="shared" si="42"/>
        <v>-4.6417069894243141</v>
      </c>
      <c r="FT27" s="633">
        <f t="shared" si="36"/>
        <v>5.9014853928904216</v>
      </c>
      <c r="FU27" s="564">
        <f t="shared" si="36"/>
        <v>0</v>
      </c>
      <c r="FV27" s="655">
        <f t="shared" si="36"/>
        <v>0</v>
      </c>
      <c r="FW27" s="633">
        <f t="shared" si="37"/>
        <v>1</v>
      </c>
      <c r="FX27" s="564">
        <f t="shared" si="37"/>
        <v>0</v>
      </c>
      <c r="FY27" s="655">
        <f t="shared" si="37"/>
        <v>0</v>
      </c>
    </row>
    <row r="28" spans="2:181" ht="15" customHeight="1" x14ac:dyDescent="0.25">
      <c r="B28" s="674">
        <f>$B$14</f>
        <v>1.9</v>
      </c>
      <c r="C28" s="675">
        <f>$C$14</f>
        <v>117</v>
      </c>
      <c r="D28" s="652">
        <f>$D$14</f>
        <v>113.5</v>
      </c>
      <c r="E28" s="652">
        <f>$E$14</f>
        <v>109</v>
      </c>
      <c r="F28" s="652">
        <f>$F$14</f>
        <v>106</v>
      </c>
      <c r="G28" s="652">
        <f>$G$14</f>
        <v>102</v>
      </c>
      <c r="H28" s="652">
        <f>$H$14</f>
        <v>100</v>
      </c>
      <c r="I28" s="676">
        <f>$I$14</f>
        <v>95</v>
      </c>
      <c r="J28" s="652">
        <f>$J$14</f>
        <v>91</v>
      </c>
      <c r="K28" s="652">
        <f>$K$14</f>
        <v>88</v>
      </c>
      <c r="L28" s="652">
        <f>$L$14</f>
        <v>85</v>
      </c>
      <c r="M28" s="652">
        <f>$M$14</f>
        <v>82</v>
      </c>
      <c r="N28" s="652">
        <f>$N$14</f>
        <v>78.5</v>
      </c>
      <c r="O28" s="652">
        <f>$O$14</f>
        <v>74</v>
      </c>
      <c r="P28" s="652">
        <f>$P$14</f>
        <v>69</v>
      </c>
      <c r="Q28" s="652">
        <f>$Q$14</f>
        <v>62.5</v>
      </c>
      <c r="R28" s="652">
        <f>$R$14</f>
        <v>54</v>
      </c>
      <c r="S28" s="676">
        <f>$S$14</f>
        <v>38</v>
      </c>
      <c r="T28" s="550"/>
      <c r="W28" s="677" t="s">
        <v>284</v>
      </c>
      <c r="X28" s="695">
        <f>X21/$AB$22</f>
        <v>0.7407407407407407</v>
      </c>
      <c r="AA28" s="696" t="s">
        <v>285</v>
      </c>
      <c r="AB28" s="697">
        <f>X24-AB21</f>
        <v>0.16999999999999993</v>
      </c>
      <c r="AC28" s="679" t="s">
        <v>266</v>
      </c>
      <c r="AH28" s="550"/>
      <c r="AI28" s="550"/>
      <c r="AJ28" s="550"/>
      <c r="AK28" s="550"/>
      <c r="AL28" s="550"/>
      <c r="AM28" s="550"/>
      <c r="AN28" s="550"/>
      <c r="AO28" s="550"/>
      <c r="AP28" s="550"/>
      <c r="AQ28" s="550"/>
      <c r="AR28" s="550"/>
      <c r="AS28" s="550"/>
      <c r="AT28" s="550"/>
      <c r="AU28" s="689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CL28" s="562"/>
      <c r="CM28" s="552"/>
      <c r="CN28" s="552"/>
      <c r="CO28" s="552"/>
      <c r="CP28" s="552"/>
      <c r="CQ28" s="552"/>
      <c r="CR28" s="144" t="s">
        <v>268</v>
      </c>
      <c r="CS28" s="698">
        <f>AB22</f>
        <v>135</v>
      </c>
      <c r="CT28" s="660" t="s">
        <v>286</v>
      </c>
      <c r="CU28" s="552"/>
      <c r="CV28" s="552"/>
      <c r="CW28" s="552"/>
      <c r="CX28" s="552"/>
      <c r="CY28" s="562"/>
      <c r="CZ28" s="642">
        <f t="shared" si="39"/>
        <v>21</v>
      </c>
      <c r="DA28" s="609">
        <f t="shared" si="0"/>
        <v>23.625</v>
      </c>
      <c r="DB28" s="609">
        <f t="shared" si="22"/>
        <v>8.3999999999999986</v>
      </c>
      <c r="DC28" s="610">
        <f t="shared" si="45"/>
        <v>115.84249426581478</v>
      </c>
      <c r="DD28" s="611">
        <f t="shared" si="45"/>
        <v>120.23365570441372</v>
      </c>
      <c r="DE28" s="612">
        <f t="shared" si="45"/>
        <v>127.29791946232747</v>
      </c>
      <c r="DF28" s="610">
        <f t="shared" si="46"/>
        <v>19.411764705882348</v>
      </c>
      <c r="DG28" s="611">
        <f t="shared" si="46"/>
        <v>22</v>
      </c>
      <c r="DH28" s="612">
        <f t="shared" si="46"/>
        <v>28.470588235294098</v>
      </c>
      <c r="DI28" s="610">
        <f t="shared" si="3"/>
        <v>135.25425897169714</v>
      </c>
      <c r="DJ28" s="611">
        <f t="shared" si="3"/>
        <v>142.23365570441371</v>
      </c>
      <c r="DK28" s="612">
        <f t="shared" si="3"/>
        <v>155.76850769762157</v>
      </c>
      <c r="DL28" s="613">
        <f t="shared" si="43"/>
        <v>62.294117647058783</v>
      </c>
      <c r="DM28" s="613">
        <f t="shared" si="43"/>
        <v>62.294117647058783</v>
      </c>
      <c r="DN28" s="613">
        <f t="shared" si="43"/>
        <v>62.294117647058783</v>
      </c>
      <c r="DO28" s="609">
        <f t="shared" si="5"/>
        <v>135</v>
      </c>
      <c r="DP28" s="609"/>
      <c r="DQ28" s="609">
        <f t="shared" si="24"/>
        <v>8.3999999999999986</v>
      </c>
      <c r="DR28" s="610">
        <f t="shared" si="6"/>
        <v>4.4531626532276203</v>
      </c>
      <c r="DS28" s="611">
        <f t="shared" si="6"/>
        <v>3.8900953513864347</v>
      </c>
      <c r="DT28" s="612">
        <f t="shared" si="6"/>
        <v>2.625844906691388</v>
      </c>
      <c r="DU28" s="611">
        <f t="shared" si="44"/>
        <v>12.499999999999991</v>
      </c>
      <c r="DV28" s="611">
        <f t="shared" si="44"/>
        <v>12.499999999999991</v>
      </c>
      <c r="DW28" s="611">
        <f t="shared" si="44"/>
        <v>12.499999999999991</v>
      </c>
      <c r="DX28" s="614">
        <f t="shared" si="7"/>
        <v>12.5</v>
      </c>
      <c r="DY28" s="615"/>
      <c r="DZ28" s="609">
        <f t="shared" si="25"/>
        <v>8.3999999999999986</v>
      </c>
      <c r="EA28" s="611">
        <f t="shared" si="47"/>
        <v>2.0975942622950821</v>
      </c>
      <c r="EB28" s="611">
        <f t="shared" si="47"/>
        <v>2.1256702127659577</v>
      </c>
      <c r="EC28" s="611">
        <f t="shared" si="47"/>
        <v>2.3483125</v>
      </c>
      <c r="ED28" s="610">
        <f t="shared" si="48"/>
        <v>0.22002999999999975</v>
      </c>
      <c r="EE28" s="611">
        <f t="shared" si="48"/>
        <v>0.22005999999999976</v>
      </c>
      <c r="EF28" s="612">
        <f t="shared" si="48"/>
        <v>0.22012499999999974</v>
      </c>
      <c r="EG28" s="611">
        <f t="shared" si="10"/>
        <v>2.317624262295082</v>
      </c>
      <c r="EH28" s="611">
        <f t="shared" si="10"/>
        <v>2.3457302127659574</v>
      </c>
      <c r="EI28" s="611">
        <f t="shared" si="10"/>
        <v>2.5684374999999999</v>
      </c>
      <c r="EJ28" s="610">
        <f t="shared" si="26"/>
        <v>2.2999999999999998</v>
      </c>
      <c r="EK28" s="643">
        <f t="shared" si="27"/>
        <v>2.25</v>
      </c>
      <c r="EL28" s="644">
        <f t="shared" si="28"/>
        <v>2.83</v>
      </c>
      <c r="EN28" s="620">
        <f t="shared" si="29"/>
        <v>4.5791666666666666</v>
      </c>
      <c r="EO28" s="621">
        <f t="shared" si="40"/>
        <v>118.58786271733187</v>
      </c>
      <c r="EP28" s="621">
        <f t="shared" si="40"/>
        <v>122.69011433408799</v>
      </c>
      <c r="EQ28" s="621">
        <f t="shared" si="40"/>
        <v>126.04689008431787</v>
      </c>
      <c r="ER28" s="610">
        <f t="shared" si="12"/>
        <v>83.990072922092295</v>
      </c>
      <c r="ES28" s="611">
        <f t="shared" si="12"/>
        <v>112.59266637563364</v>
      </c>
      <c r="ET28" s="612">
        <f t="shared" si="12"/>
        <v>132.24462401789205</v>
      </c>
      <c r="EU28" s="610">
        <f t="shared" si="30"/>
        <v>100</v>
      </c>
      <c r="EV28" s="611">
        <f t="shared" si="31"/>
        <v>135</v>
      </c>
      <c r="EW28" s="645">
        <f t="shared" si="32"/>
        <v>1000000</v>
      </c>
      <c r="EX28" s="610">
        <f t="shared" si="13"/>
        <v>-34.597789795239578</v>
      </c>
      <c r="EY28" s="621">
        <f t="shared" si="14"/>
        <v>-10.097447958454353</v>
      </c>
      <c r="EZ28" s="612">
        <f t="shared" si="15"/>
        <v>6.1977339335741863</v>
      </c>
      <c r="FA28" s="646">
        <f t="shared" si="16"/>
        <v>4.5791666666666666</v>
      </c>
      <c r="FB28" s="317"/>
      <c r="FC28" s="562"/>
      <c r="FD28" s="648">
        <v>9.7777777777777786</v>
      </c>
      <c r="FE28" s="649">
        <f t="shared" si="17"/>
        <v>89.476040159847088</v>
      </c>
      <c r="FF28" s="650">
        <f t="shared" si="17"/>
        <v>102.8614249764572</v>
      </c>
      <c r="FG28" s="651">
        <f t="shared" si="17"/>
        <v>109.93098469105179</v>
      </c>
      <c r="FH28" s="652">
        <v>88</v>
      </c>
      <c r="FK28" s="633">
        <f t="shared" si="33"/>
        <v>100</v>
      </c>
      <c r="FL28" s="564">
        <f t="shared" si="34"/>
        <v>135</v>
      </c>
      <c r="FM28" s="634">
        <f t="shared" si="35"/>
        <v>-1000000000</v>
      </c>
      <c r="FN28" s="621">
        <f t="shared" si="41"/>
        <v>99.965697645723353</v>
      </c>
      <c r="FO28" s="621">
        <f t="shared" si="41"/>
        <v>108.72070637888267</v>
      </c>
      <c r="FP28" s="654">
        <f t="shared" si="41"/>
        <v>115.88566350710902</v>
      </c>
      <c r="FQ28" s="610">
        <f t="shared" si="42"/>
        <v>-10.489657485876265</v>
      </c>
      <c r="FR28" s="611">
        <f t="shared" si="42"/>
        <v>-5.8592814024254665</v>
      </c>
      <c r="FS28" s="612">
        <f t="shared" si="42"/>
        <v>-5.9546788160572248</v>
      </c>
      <c r="FT28" s="633">
        <f t="shared" si="36"/>
        <v>2.1786945534814164</v>
      </c>
      <c r="FU28" s="564">
        <f t="shared" si="36"/>
        <v>0</v>
      </c>
      <c r="FV28" s="655">
        <f t="shared" si="36"/>
        <v>0</v>
      </c>
      <c r="FW28" s="633">
        <f t="shared" si="37"/>
        <v>1</v>
      </c>
      <c r="FX28" s="564">
        <f t="shared" si="37"/>
        <v>0</v>
      </c>
      <c r="FY28" s="655">
        <f t="shared" si="37"/>
        <v>0</v>
      </c>
    </row>
    <row r="29" spans="2:181" ht="15" customHeight="1" x14ac:dyDescent="0.25">
      <c r="B29" s="674">
        <f>$B$15</f>
        <v>1.92</v>
      </c>
      <c r="C29" s="675">
        <f>$C$15</f>
        <v>112</v>
      </c>
      <c r="D29" s="652">
        <f>$D$15</f>
        <v>107.5</v>
      </c>
      <c r="E29" s="652">
        <f>$E$15</f>
        <v>103.5</v>
      </c>
      <c r="F29" s="652">
        <f>$F$15</f>
        <v>100.5</v>
      </c>
      <c r="G29" s="652">
        <f>$G$15</f>
        <v>97</v>
      </c>
      <c r="H29" s="652">
        <f>$H$15</f>
        <v>95</v>
      </c>
      <c r="I29" s="676">
        <f>$I$15</f>
        <v>90.5</v>
      </c>
      <c r="J29" s="652">
        <f>$J$15</f>
        <v>85</v>
      </c>
      <c r="K29" s="652">
        <f>$K$15</f>
        <v>83</v>
      </c>
      <c r="L29" s="652">
        <f>$L$15</f>
        <v>80</v>
      </c>
      <c r="M29" s="652">
        <f>$M$15</f>
        <v>77</v>
      </c>
      <c r="N29" s="652">
        <f>$N$15</f>
        <v>73</v>
      </c>
      <c r="O29" s="652">
        <f>$O$15</f>
        <v>69</v>
      </c>
      <c r="P29" s="652">
        <f>$P$15</f>
        <v>64</v>
      </c>
      <c r="Q29" s="652">
        <f>$Q$15</f>
        <v>58</v>
      </c>
      <c r="R29" s="652">
        <f>$R$15</f>
        <v>49</v>
      </c>
      <c r="S29" s="676">
        <f>$S$15</f>
        <v>34.5</v>
      </c>
      <c r="T29" s="550"/>
      <c r="W29" s="677" t="s">
        <v>287</v>
      </c>
      <c r="X29" s="695">
        <f>AB23/$AB$22</f>
        <v>0.16296296296296298</v>
      </c>
      <c r="AA29" s="677" t="s">
        <v>288</v>
      </c>
      <c r="AB29" s="699">
        <f>AB23/AB28</f>
        <v>129.4117647058824</v>
      </c>
      <c r="AC29" s="679" t="s">
        <v>289</v>
      </c>
      <c r="AL29" s="550"/>
      <c r="AM29" s="550"/>
      <c r="AZ29" s="550"/>
      <c r="BA29" s="550"/>
      <c r="BB29" s="550"/>
      <c r="BC29" s="550"/>
      <c r="BD29" s="550"/>
      <c r="BE29" s="550"/>
      <c r="BF29" s="550"/>
      <c r="CL29" s="552"/>
      <c r="CM29" s="552"/>
      <c r="CN29" s="552"/>
      <c r="CO29" s="552"/>
      <c r="CP29" s="552"/>
      <c r="CQ29" s="562"/>
      <c r="CR29" s="144" t="s">
        <v>173</v>
      </c>
      <c r="CS29" s="700">
        <f>X21</f>
        <v>100</v>
      </c>
      <c r="CT29" s="660" t="s">
        <v>286</v>
      </c>
      <c r="CU29" s="552"/>
      <c r="CV29" s="552"/>
      <c r="CW29" s="552"/>
      <c r="CX29" s="701">
        <f>CS28/CS33-CQ14</f>
        <v>7.0041176470588233</v>
      </c>
      <c r="CY29" s="660" t="s">
        <v>259</v>
      </c>
      <c r="CZ29" s="642">
        <f t="shared" si="39"/>
        <v>22</v>
      </c>
      <c r="DA29" s="609">
        <f t="shared" si="0"/>
        <v>24.75</v>
      </c>
      <c r="DB29" s="609">
        <f t="shared" si="22"/>
        <v>8.7999999999999989</v>
      </c>
      <c r="DC29" s="610">
        <f t="shared" si="45"/>
        <v>117.54345632804994</v>
      </c>
      <c r="DD29" s="611">
        <f t="shared" si="45"/>
        <v>121.71051377416217</v>
      </c>
      <c r="DE29" s="612">
        <f t="shared" si="45"/>
        <v>128.2797872601061</v>
      </c>
      <c r="DF29" s="610">
        <f t="shared" si="46"/>
        <v>19.411764705882348</v>
      </c>
      <c r="DG29" s="611">
        <f t="shared" si="46"/>
        <v>22</v>
      </c>
      <c r="DH29" s="612">
        <f t="shared" si="46"/>
        <v>28.470588235294098</v>
      </c>
      <c r="DI29" s="610">
        <f t="shared" si="3"/>
        <v>136.95522103393228</v>
      </c>
      <c r="DJ29" s="611">
        <f t="shared" si="3"/>
        <v>143.71051377416217</v>
      </c>
      <c r="DK29" s="612">
        <f t="shared" si="3"/>
        <v>156.75037549540019</v>
      </c>
      <c r="DL29" s="613">
        <f t="shared" si="43"/>
        <v>67.294117647058783</v>
      </c>
      <c r="DM29" s="613">
        <f t="shared" si="43"/>
        <v>67.294117647058783</v>
      </c>
      <c r="DN29" s="613">
        <f t="shared" si="43"/>
        <v>67.294117647058783</v>
      </c>
      <c r="DO29" s="609">
        <f t="shared" si="5"/>
        <v>135</v>
      </c>
      <c r="DP29" s="609"/>
      <c r="DQ29" s="609">
        <f t="shared" si="24"/>
        <v>8.7999999999999989</v>
      </c>
      <c r="DR29" s="610">
        <f t="shared" si="6"/>
        <v>4.0577739823221881</v>
      </c>
      <c r="DS29" s="611">
        <f t="shared" si="6"/>
        <v>3.5010268997248293</v>
      </c>
      <c r="DT29" s="612">
        <f t="shared" si="6"/>
        <v>2.2910999578128877</v>
      </c>
      <c r="DU29" s="611">
        <f t="shared" si="44"/>
        <v>12.499999999999989</v>
      </c>
      <c r="DV29" s="611">
        <f t="shared" si="44"/>
        <v>12.499999999999989</v>
      </c>
      <c r="DW29" s="611">
        <f t="shared" si="44"/>
        <v>12.499999999999989</v>
      </c>
      <c r="DX29" s="614">
        <f t="shared" si="7"/>
        <v>12.5</v>
      </c>
      <c r="DY29" s="615"/>
      <c r="DZ29" s="609">
        <f t="shared" si="25"/>
        <v>8.7999999999999989</v>
      </c>
      <c r="EA29" s="611">
        <f t="shared" si="47"/>
        <v>2.0977886740331493</v>
      </c>
      <c r="EB29" s="611">
        <f t="shared" si="47"/>
        <v>2.1270036496350366</v>
      </c>
      <c r="EC29" s="611">
        <f t="shared" si="47"/>
        <v>2.4019749999999997</v>
      </c>
      <c r="ED29" s="610">
        <f t="shared" si="48"/>
        <v>0.22002999999999975</v>
      </c>
      <c r="EE29" s="611">
        <f t="shared" si="48"/>
        <v>0.22005999999999976</v>
      </c>
      <c r="EF29" s="612">
        <f t="shared" si="48"/>
        <v>0.22012499999999974</v>
      </c>
      <c r="EG29" s="611">
        <f t="shared" si="10"/>
        <v>2.3178186740331492</v>
      </c>
      <c r="EH29" s="611">
        <f t="shared" si="10"/>
        <v>2.3470636496350363</v>
      </c>
      <c r="EI29" s="611">
        <f t="shared" si="10"/>
        <v>2.6220999999999997</v>
      </c>
      <c r="EJ29" s="610">
        <f t="shared" si="26"/>
        <v>2.2999999999999998</v>
      </c>
      <c r="EK29" s="643">
        <f t="shared" si="27"/>
        <v>2.25</v>
      </c>
      <c r="EL29" s="644">
        <f t="shared" si="28"/>
        <v>2.83</v>
      </c>
      <c r="EN29" s="620">
        <f t="shared" si="29"/>
        <v>4.7972222222222225</v>
      </c>
      <c r="EO29" s="621">
        <f t="shared" si="40"/>
        <v>117.80654060252769</v>
      </c>
      <c r="EP29" s="621">
        <f t="shared" si="40"/>
        <v>122.10404644812317</v>
      </c>
      <c r="EQ29" s="621">
        <f t="shared" si="40"/>
        <v>125.62061348489155</v>
      </c>
      <c r="ER29" s="610">
        <f t="shared" si="12"/>
        <v>82.785195164733352</v>
      </c>
      <c r="ES29" s="611">
        <f t="shared" si="12"/>
        <v>111.12801538899799</v>
      </c>
      <c r="ET29" s="612">
        <f t="shared" si="12"/>
        <v>131.20069581360494</v>
      </c>
      <c r="EU29" s="610">
        <f t="shared" si="30"/>
        <v>100</v>
      </c>
      <c r="EV29" s="611">
        <f t="shared" si="31"/>
        <v>135</v>
      </c>
      <c r="EW29" s="645">
        <f t="shared" si="32"/>
        <v>1000000</v>
      </c>
      <c r="EX29" s="610">
        <f t="shared" si="13"/>
        <v>-35.021345437794345</v>
      </c>
      <c r="EY29" s="621">
        <f t="shared" si="14"/>
        <v>-10.976031059125177</v>
      </c>
      <c r="EZ29" s="612">
        <f t="shared" si="15"/>
        <v>5.5800823287133881</v>
      </c>
      <c r="FA29" s="646">
        <f t="shared" si="16"/>
        <v>4.7972222222222225</v>
      </c>
      <c r="FB29" s="317"/>
      <c r="FC29" s="552"/>
      <c r="FD29" s="648">
        <v>10.199999999999999</v>
      </c>
      <c r="FE29" s="649">
        <f t="shared" si="17"/>
        <v>87.054435676721269</v>
      </c>
      <c r="FF29" s="650">
        <f t="shared" si="17"/>
        <v>100.94714010777534</v>
      </c>
      <c r="FG29" s="651">
        <f t="shared" si="17"/>
        <v>108.32319780920056</v>
      </c>
      <c r="FI29" s="652">
        <v>102</v>
      </c>
      <c r="FJ29" s="653"/>
      <c r="FK29" s="633">
        <f t="shared" si="33"/>
        <v>100</v>
      </c>
      <c r="FL29" s="564">
        <f t="shared" si="34"/>
        <v>135</v>
      </c>
      <c r="FM29" s="634">
        <f t="shared" si="35"/>
        <v>-1000000000</v>
      </c>
      <c r="FN29" s="621">
        <f t="shared" si="41"/>
        <v>98.453709564580109</v>
      </c>
      <c r="FO29" s="621">
        <f t="shared" si="41"/>
        <v>107.58640077966865</v>
      </c>
      <c r="FP29" s="654">
        <f t="shared" si="41"/>
        <v>115.06052674627844</v>
      </c>
      <c r="FQ29" s="610">
        <f t="shared" si="42"/>
        <v>-11.39927388785884</v>
      </c>
      <c r="FR29" s="611">
        <f t="shared" si="42"/>
        <v>-6.6392606718933145</v>
      </c>
      <c r="FS29" s="612">
        <f t="shared" si="42"/>
        <v>-6.7373289370778728</v>
      </c>
      <c r="FT29" s="633">
        <f t="shared" si="36"/>
        <v>0</v>
      </c>
      <c r="FU29" s="564">
        <f t="shared" si="36"/>
        <v>1.1085139526553229</v>
      </c>
      <c r="FV29" s="655">
        <f t="shared" si="36"/>
        <v>0</v>
      </c>
      <c r="FW29" s="633">
        <f t="shared" si="37"/>
        <v>0</v>
      </c>
      <c r="FX29" s="564">
        <f t="shared" si="37"/>
        <v>1</v>
      </c>
      <c r="FY29" s="655">
        <f t="shared" si="37"/>
        <v>0</v>
      </c>
    </row>
    <row r="30" spans="2:181" ht="15" customHeight="1" x14ac:dyDescent="0.2">
      <c r="B30" s="702">
        <f>$B$16</f>
        <v>1.94</v>
      </c>
      <c r="C30" s="703">
        <f>$C$16</f>
        <v>104.5</v>
      </c>
      <c r="D30" s="704">
        <f>$D$16</f>
        <v>101</v>
      </c>
      <c r="E30" s="704">
        <f>$E$16</f>
        <v>97</v>
      </c>
      <c r="F30" s="704">
        <f>$F$16</f>
        <v>94</v>
      </c>
      <c r="G30" s="704">
        <f>$G$16</f>
        <v>90.5</v>
      </c>
      <c r="H30" s="704">
        <f>$H$16</f>
        <v>88.5</v>
      </c>
      <c r="I30" s="705">
        <f>$I$16</f>
        <v>84</v>
      </c>
      <c r="J30" s="704">
        <f>$J$16</f>
        <v>81</v>
      </c>
      <c r="K30" s="704">
        <f>$K$16</f>
        <v>78.5</v>
      </c>
      <c r="L30" s="704">
        <f>$L$16</f>
        <v>76</v>
      </c>
      <c r="M30" s="704">
        <f>$M$16</f>
        <v>73</v>
      </c>
      <c r="N30" s="704">
        <f>$N$16</f>
        <v>69</v>
      </c>
      <c r="O30" s="704">
        <f>$O$16</f>
        <v>65</v>
      </c>
      <c r="P30" s="704">
        <f>$P$16</f>
        <v>60</v>
      </c>
      <c r="Q30" s="704">
        <f>$Q$16</f>
        <v>54</v>
      </c>
      <c r="R30" s="704">
        <f>$R$16</f>
        <v>46</v>
      </c>
      <c r="S30" s="705">
        <f>$S$16</f>
        <v>31</v>
      </c>
      <c r="T30" s="578"/>
      <c r="AL30" s="550"/>
      <c r="AM30" s="550"/>
      <c r="AZ30" s="550"/>
      <c r="BA30" s="550"/>
      <c r="BB30" s="550"/>
      <c r="BC30" s="550"/>
      <c r="BD30" s="550"/>
      <c r="BE30" s="550"/>
      <c r="BF30" s="550"/>
      <c r="CL30" s="552"/>
      <c r="CM30" s="552"/>
      <c r="CN30" s="552"/>
      <c r="CO30" s="552"/>
      <c r="CP30" s="552"/>
      <c r="CQ30" s="562"/>
      <c r="CR30" s="144" t="s">
        <v>290</v>
      </c>
      <c r="CS30" s="698">
        <f>AB23</f>
        <v>22</v>
      </c>
      <c r="CT30" s="660" t="s">
        <v>286</v>
      </c>
      <c r="CU30" s="552"/>
      <c r="CV30" s="562"/>
      <c r="CW30" s="562"/>
      <c r="CX30" s="562"/>
      <c r="CY30" s="562"/>
      <c r="CZ30" s="642">
        <f t="shared" si="39"/>
        <v>23</v>
      </c>
      <c r="DA30" s="609">
        <f t="shared" si="0"/>
        <v>25.875</v>
      </c>
      <c r="DB30" s="609">
        <f t="shared" si="22"/>
        <v>9.2000000000000011</v>
      </c>
      <c r="DC30" s="610">
        <f t="shared" si="45"/>
        <v>119.09339288741913</v>
      </c>
      <c r="DD30" s="611">
        <f t="shared" si="45"/>
        <v>123.03966366952969</v>
      </c>
      <c r="DE30" s="612">
        <f t="shared" si="45"/>
        <v>129.1364857133681</v>
      </c>
      <c r="DF30" s="610">
        <f t="shared" si="46"/>
        <v>19.411764705882348</v>
      </c>
      <c r="DG30" s="611">
        <f t="shared" si="46"/>
        <v>22</v>
      </c>
      <c r="DH30" s="612">
        <f t="shared" si="46"/>
        <v>28.470588235294098</v>
      </c>
      <c r="DI30" s="610">
        <f t="shared" si="3"/>
        <v>138.50515759330148</v>
      </c>
      <c r="DJ30" s="611">
        <f t="shared" si="3"/>
        <v>145.03966366952969</v>
      </c>
      <c r="DK30" s="612">
        <f t="shared" si="3"/>
        <v>157.60707394866219</v>
      </c>
      <c r="DL30" s="613">
        <f t="shared" si="43"/>
        <v>72.294117647058812</v>
      </c>
      <c r="DM30" s="613">
        <f t="shared" si="43"/>
        <v>72.294117647058812</v>
      </c>
      <c r="DN30" s="613">
        <f t="shared" si="43"/>
        <v>72.294117647058812</v>
      </c>
      <c r="DO30" s="609">
        <f t="shared" si="5"/>
        <v>135</v>
      </c>
      <c r="DP30" s="609"/>
      <c r="DQ30" s="609">
        <f t="shared" si="24"/>
        <v>9.2000000000000011</v>
      </c>
      <c r="DR30" s="610">
        <f t="shared" si="6"/>
        <v>3.6974911930685415</v>
      </c>
      <c r="DS30" s="611">
        <f t="shared" si="6"/>
        <v>3.1508711857739859</v>
      </c>
      <c r="DT30" s="612">
        <f t="shared" si="6"/>
        <v>1.9990285805966432</v>
      </c>
      <c r="DU30" s="611">
        <f t="shared" si="44"/>
        <v>12.500000000000004</v>
      </c>
      <c r="DV30" s="611">
        <f t="shared" si="44"/>
        <v>12.500000000000004</v>
      </c>
      <c r="DW30" s="611">
        <f t="shared" si="44"/>
        <v>12.500000000000004</v>
      </c>
      <c r="DX30" s="614">
        <f t="shared" si="7"/>
        <v>12.5</v>
      </c>
      <c r="DY30" s="615"/>
      <c r="DZ30" s="609">
        <f t="shared" si="25"/>
        <v>9.2000000000000011</v>
      </c>
      <c r="EA30" s="611">
        <f t="shared" si="47"/>
        <v>2.0979874301675978</v>
      </c>
      <c r="EB30" s="611">
        <f t="shared" si="47"/>
        <v>2.1284172932330829</v>
      </c>
      <c r="EC30" s="611">
        <f t="shared" si="47"/>
        <v>2.4824687500000002</v>
      </c>
      <c r="ED30" s="610">
        <f t="shared" si="48"/>
        <v>0.22002999999999975</v>
      </c>
      <c r="EE30" s="611">
        <f t="shared" si="48"/>
        <v>0.22005999999999976</v>
      </c>
      <c r="EF30" s="612">
        <f t="shared" si="48"/>
        <v>0.22012499999999974</v>
      </c>
      <c r="EG30" s="611">
        <f t="shared" si="10"/>
        <v>2.3180174301675978</v>
      </c>
      <c r="EH30" s="611">
        <f t="shared" si="10"/>
        <v>2.3484772932330826</v>
      </c>
      <c r="EI30" s="611">
        <f t="shared" si="10"/>
        <v>2.7025937500000001</v>
      </c>
      <c r="EJ30" s="610">
        <f t="shared" si="26"/>
        <v>2.2999999999999998</v>
      </c>
      <c r="EK30" s="643">
        <f t="shared" si="27"/>
        <v>2.25</v>
      </c>
      <c r="EL30" s="644">
        <f t="shared" si="28"/>
        <v>2.83</v>
      </c>
      <c r="EN30" s="620">
        <f t="shared" si="29"/>
        <v>5.0152777777777784</v>
      </c>
      <c r="EO30" s="621">
        <f t="shared" si="40"/>
        <v>117.02523741263141</v>
      </c>
      <c r="EP30" s="621">
        <f t="shared" si="40"/>
        <v>121.51798920954653</v>
      </c>
      <c r="EQ30" s="621">
        <f t="shared" si="40"/>
        <v>125.1943425180626</v>
      </c>
      <c r="ER30" s="610">
        <f t="shared" si="12"/>
        <v>81.635053466430548</v>
      </c>
      <c r="ES30" s="611">
        <f t="shared" si="12"/>
        <v>109.70348353542843</v>
      </c>
      <c r="ET30" s="612">
        <f t="shared" si="12"/>
        <v>130.1674543967535</v>
      </c>
      <c r="EU30" s="610">
        <f t="shared" si="30"/>
        <v>100</v>
      </c>
      <c r="EV30" s="611">
        <f t="shared" si="31"/>
        <v>135</v>
      </c>
      <c r="EW30" s="645">
        <f t="shared" si="32"/>
        <v>1000000</v>
      </c>
      <c r="EX30" s="610">
        <f t="shared" si="13"/>
        <v>-35.390183946200871</v>
      </c>
      <c r="EY30" s="621">
        <f t="shared" si="14"/>
        <v>-11.814505674118102</v>
      </c>
      <c r="EZ30" s="612">
        <f t="shared" si="15"/>
        <v>4.9731118786909008</v>
      </c>
      <c r="FA30" s="646">
        <f t="shared" si="16"/>
        <v>5.0152777777777784</v>
      </c>
      <c r="FB30" s="317"/>
      <c r="FC30" s="552"/>
      <c r="FD30" s="648">
        <v>10.5</v>
      </c>
      <c r="FE30" s="649">
        <f t="shared" si="17"/>
        <v>85.352283783317574</v>
      </c>
      <c r="FF30" s="650">
        <f t="shared" si="17"/>
        <v>99.602808303474291</v>
      </c>
      <c r="FG30" s="651">
        <f t="shared" si="17"/>
        <v>107.19668355645972</v>
      </c>
      <c r="FI30" s="653"/>
      <c r="FJ30" s="652">
        <v>105</v>
      </c>
      <c r="FK30" s="633">
        <f t="shared" si="33"/>
        <v>100</v>
      </c>
      <c r="FL30" s="564">
        <f t="shared" si="34"/>
        <v>135</v>
      </c>
      <c r="FM30" s="634">
        <f t="shared" si="35"/>
        <v>-1000000000</v>
      </c>
      <c r="FN30" s="621">
        <f t="shared" si="41"/>
        <v>97.379445323561285</v>
      </c>
      <c r="FO30" s="621">
        <f t="shared" si="41"/>
        <v>106.78047104391828</v>
      </c>
      <c r="FP30" s="654">
        <f t="shared" si="41"/>
        <v>114.47425819057572</v>
      </c>
      <c r="FQ30" s="610">
        <f t="shared" si="42"/>
        <v>-12.027161540243718</v>
      </c>
      <c r="FR30" s="611">
        <f t="shared" si="42"/>
        <v>-7.177662740443985</v>
      </c>
      <c r="FS30" s="612">
        <f t="shared" si="42"/>
        <v>-7.2775746341160072</v>
      </c>
      <c r="FT30" s="633">
        <f t="shared" si="36"/>
        <v>0</v>
      </c>
      <c r="FU30" s="564">
        <f t="shared" si="36"/>
        <v>0</v>
      </c>
      <c r="FV30" s="655">
        <f t="shared" si="36"/>
        <v>4.8254186472205136</v>
      </c>
      <c r="FW30" s="633">
        <f t="shared" si="37"/>
        <v>0</v>
      </c>
      <c r="FX30" s="564">
        <f t="shared" si="37"/>
        <v>0</v>
      </c>
      <c r="FY30" s="655">
        <f t="shared" si="37"/>
        <v>1</v>
      </c>
    </row>
    <row r="31" spans="2:181" ht="15" customHeight="1" x14ac:dyDescent="0.25">
      <c r="T31" s="578"/>
      <c r="Z31" s="706" t="s">
        <v>291</v>
      </c>
      <c r="AA31" s="707">
        <f>F33*100</f>
        <v>0.25443829903727833</v>
      </c>
      <c r="AB31" s="708" t="s">
        <v>292</v>
      </c>
      <c r="AL31" s="550"/>
      <c r="AM31" s="550"/>
      <c r="AZ31" s="550"/>
      <c r="BA31" s="550"/>
      <c r="BB31" s="550"/>
      <c r="BC31" s="550"/>
      <c r="BD31" s="550"/>
      <c r="BE31" s="550"/>
      <c r="BF31" s="550"/>
      <c r="CL31" s="552"/>
      <c r="CM31" s="552"/>
      <c r="CN31" s="552"/>
      <c r="CO31" s="552"/>
      <c r="CP31" s="552"/>
      <c r="CQ31" s="562"/>
      <c r="CR31" s="709" t="s">
        <v>288</v>
      </c>
      <c r="CS31" s="710">
        <f>AB29</f>
        <v>129.4117647058824</v>
      </c>
      <c r="CT31" s="711" t="s">
        <v>293</v>
      </c>
      <c r="CU31" s="562"/>
      <c r="CV31" s="562"/>
      <c r="CW31" s="562"/>
      <c r="CX31" s="562"/>
      <c r="CY31" s="562"/>
      <c r="CZ31" s="642">
        <f t="shared" si="39"/>
        <v>24</v>
      </c>
      <c r="DA31" s="609">
        <f t="shared" si="0"/>
        <v>27</v>
      </c>
      <c r="DB31" s="609">
        <f t="shared" si="22"/>
        <v>9.6000000000000014</v>
      </c>
      <c r="DC31" s="610">
        <f t="shared" si="45"/>
        <v>120.50571323918076</v>
      </c>
      <c r="DD31" s="611">
        <f t="shared" si="45"/>
        <v>124.23587844503373</v>
      </c>
      <c r="DE31" s="612">
        <f t="shared" si="45"/>
        <v>129.88397151693755</v>
      </c>
      <c r="DF31" s="610">
        <f t="shared" si="46"/>
        <v>19.411764705882348</v>
      </c>
      <c r="DG31" s="611">
        <f t="shared" si="46"/>
        <v>22</v>
      </c>
      <c r="DH31" s="612">
        <f t="shared" si="46"/>
        <v>28.470588235294098</v>
      </c>
      <c r="DI31" s="610">
        <f t="shared" si="3"/>
        <v>139.91747794506313</v>
      </c>
      <c r="DJ31" s="611">
        <f t="shared" si="3"/>
        <v>146.23587844503373</v>
      </c>
      <c r="DK31" s="612">
        <f t="shared" si="3"/>
        <v>158.35455975223164</v>
      </c>
      <c r="DL31" s="613">
        <f t="shared" si="43"/>
        <v>77.294117647058812</v>
      </c>
      <c r="DM31" s="613">
        <f t="shared" si="43"/>
        <v>77.294117647058812</v>
      </c>
      <c r="DN31" s="613">
        <f t="shared" si="43"/>
        <v>77.294117647058812</v>
      </c>
      <c r="DO31" s="609">
        <f t="shared" si="5"/>
        <v>135</v>
      </c>
      <c r="DP31" s="609"/>
      <c r="DQ31" s="609">
        <f t="shared" si="24"/>
        <v>9.6000000000000014</v>
      </c>
      <c r="DR31" s="610">
        <f t="shared" si="6"/>
        <v>3.3691972944721589</v>
      </c>
      <c r="DS31" s="611">
        <f t="shared" si="6"/>
        <v>2.8357363464191274</v>
      </c>
      <c r="DT31" s="612">
        <f t="shared" si="6"/>
        <v>1.7441907117212703</v>
      </c>
      <c r="DU31" s="611">
        <f t="shared" si="44"/>
        <v>12.499999999999989</v>
      </c>
      <c r="DV31" s="611">
        <f t="shared" si="44"/>
        <v>12.499999999999989</v>
      </c>
      <c r="DW31" s="611">
        <f t="shared" si="44"/>
        <v>12.499999999999989</v>
      </c>
      <c r="DX31" s="614">
        <f t="shared" si="7"/>
        <v>12.5</v>
      </c>
      <c r="DY31" s="615"/>
      <c r="DZ31" s="609">
        <f t="shared" si="25"/>
        <v>9.6000000000000014</v>
      </c>
      <c r="EA31" s="611">
        <f t="shared" si="47"/>
        <v>2.0981906779661017</v>
      </c>
      <c r="EB31" s="611">
        <f t="shared" si="47"/>
        <v>2.1299186046511629</v>
      </c>
      <c r="EC31" s="611">
        <f t="shared" si="47"/>
        <v>2.6166250000000004</v>
      </c>
      <c r="ED31" s="610">
        <f t="shared" si="48"/>
        <v>0.22002999999999975</v>
      </c>
      <c r="EE31" s="611">
        <f t="shared" si="48"/>
        <v>0.22005999999999976</v>
      </c>
      <c r="EF31" s="612">
        <f t="shared" si="48"/>
        <v>0.22012499999999974</v>
      </c>
      <c r="EG31" s="611">
        <f t="shared" si="10"/>
        <v>2.3182206779661017</v>
      </c>
      <c r="EH31" s="611">
        <f t="shared" si="10"/>
        <v>2.3499786046511626</v>
      </c>
      <c r="EI31" s="611">
        <f t="shared" si="10"/>
        <v>2.8367500000000003</v>
      </c>
      <c r="EJ31" s="610">
        <f t="shared" si="26"/>
        <v>2.2999999999999998</v>
      </c>
      <c r="EK31" s="643">
        <f t="shared" si="27"/>
        <v>2.25</v>
      </c>
      <c r="EL31" s="644">
        <f t="shared" si="28"/>
        <v>2.83</v>
      </c>
      <c r="EN31" s="620">
        <f t="shared" si="29"/>
        <v>5.2333333333333343</v>
      </c>
      <c r="EO31" s="621">
        <f t="shared" si="40"/>
        <v>116.24395314695545</v>
      </c>
      <c r="EP31" s="621">
        <f t="shared" si="40"/>
        <v>120.93194261806801</v>
      </c>
      <c r="EQ31" s="621">
        <f t="shared" si="40"/>
        <v>124.76807718371933</v>
      </c>
      <c r="ER31" s="610">
        <f t="shared" si="12"/>
        <v>80.53257918080115</v>
      </c>
      <c r="ES31" s="611">
        <f t="shared" si="12"/>
        <v>108.31723980898255</v>
      </c>
      <c r="ET31" s="612">
        <f t="shared" si="12"/>
        <v>129.14471505618869</v>
      </c>
      <c r="EU31" s="610">
        <f t="shared" si="30"/>
        <v>100</v>
      </c>
      <c r="EV31" s="611">
        <f t="shared" si="31"/>
        <v>135</v>
      </c>
      <c r="EW31" s="645">
        <f t="shared" si="32"/>
        <v>1000000</v>
      </c>
      <c r="EX31" s="610">
        <f t="shared" si="13"/>
        <v>-35.711373966154305</v>
      </c>
      <c r="EY31" s="621">
        <f t="shared" si="14"/>
        <v>-12.61470280908545</v>
      </c>
      <c r="EZ31" s="612">
        <f t="shared" si="15"/>
        <v>4.3766378724693524</v>
      </c>
      <c r="FA31" s="646">
        <f t="shared" si="16"/>
        <v>5.2333333333333343</v>
      </c>
      <c r="FB31" s="317"/>
      <c r="FC31" s="552"/>
      <c r="FD31" s="648">
        <v>10.625</v>
      </c>
      <c r="FE31" s="649">
        <f t="shared" si="17"/>
        <v>84.647479438104682</v>
      </c>
      <c r="FF31" s="650">
        <f t="shared" si="17"/>
        <v>99.046461817751052</v>
      </c>
      <c r="FG31" s="651">
        <f t="shared" si="17"/>
        <v>106.7311045486252</v>
      </c>
      <c r="FH31" s="652">
        <v>85</v>
      </c>
      <c r="FK31" s="633">
        <f t="shared" si="33"/>
        <v>100</v>
      </c>
      <c r="FL31" s="564">
        <f t="shared" si="34"/>
        <v>135</v>
      </c>
      <c r="FM31" s="634">
        <f t="shared" si="35"/>
        <v>-1000000000</v>
      </c>
      <c r="FN31" s="621">
        <f t="shared" si="41"/>
        <v>96.931845785473897</v>
      </c>
      <c r="FO31" s="621">
        <f t="shared" si="41"/>
        <v>106.44467293125439</v>
      </c>
      <c r="FP31" s="654">
        <f t="shared" si="41"/>
        <v>114.22998277069884</v>
      </c>
      <c r="FQ31" s="610">
        <f t="shared" si="42"/>
        <v>-12.284366347369208</v>
      </c>
      <c r="FR31" s="611">
        <f t="shared" si="42"/>
        <v>-7.3982111135033328</v>
      </c>
      <c r="FS31" s="612">
        <f t="shared" si="42"/>
        <v>-7.498878222073639</v>
      </c>
      <c r="FT31" s="633">
        <f t="shared" si="36"/>
        <v>0.12427074655899073</v>
      </c>
      <c r="FU31" s="564">
        <f t="shared" si="36"/>
        <v>0</v>
      </c>
      <c r="FV31" s="655">
        <f t="shared" si="36"/>
        <v>0</v>
      </c>
      <c r="FW31" s="633">
        <f t="shared" si="37"/>
        <v>1</v>
      </c>
      <c r="FX31" s="564">
        <f t="shared" si="37"/>
        <v>0</v>
      </c>
      <c r="FY31" s="655">
        <f t="shared" si="37"/>
        <v>0</v>
      </c>
    </row>
    <row r="32" spans="2:181" ht="15" customHeight="1" x14ac:dyDescent="0.2">
      <c r="B32" s="712"/>
      <c r="C32" s="652"/>
      <c r="D32" s="652"/>
      <c r="E32" s="652"/>
      <c r="F32" s="652"/>
      <c r="G32" s="652"/>
      <c r="H32" s="652"/>
      <c r="I32" s="652"/>
      <c r="J32" s="652"/>
      <c r="K32" s="652"/>
      <c r="L32" s="652"/>
      <c r="M32" s="652"/>
      <c r="N32" s="652"/>
      <c r="O32" s="652"/>
      <c r="P32" s="652"/>
      <c r="Q32" s="652"/>
      <c r="R32" s="652"/>
      <c r="S32" s="652"/>
      <c r="T32" s="578"/>
      <c r="U32" s="578"/>
      <c r="V32" s="713"/>
      <c r="W32" s="713"/>
      <c r="X32" s="714"/>
      <c r="Y32" s="714"/>
      <c r="Z32" s="715"/>
      <c r="AA32" s="550"/>
      <c r="AB32" s="689"/>
      <c r="AC32" s="716"/>
      <c r="AD32" s="550"/>
      <c r="AE32" s="550"/>
      <c r="AF32" s="550"/>
      <c r="AG32" s="550"/>
      <c r="AH32" s="550"/>
      <c r="AI32" s="550"/>
      <c r="AJ32" s="699">
        <f>BB36</f>
        <v>1.92</v>
      </c>
      <c r="AK32" s="699">
        <f>BA36</f>
        <v>1.9</v>
      </c>
      <c r="AL32" s="699">
        <f>AZ36</f>
        <v>1.88</v>
      </c>
      <c r="AM32" s="699">
        <f>AY36</f>
        <v>1.86</v>
      </c>
      <c r="AN32" s="699">
        <f>AX36</f>
        <v>1.84</v>
      </c>
      <c r="AO32" s="699">
        <f>AW36</f>
        <v>1.83</v>
      </c>
      <c r="AP32" s="699">
        <f>AV36</f>
        <v>1.81</v>
      </c>
      <c r="AQ32" s="699">
        <f>AU36</f>
        <v>1.8</v>
      </c>
      <c r="AR32" s="699">
        <f>AT36</f>
        <v>1.75</v>
      </c>
      <c r="AS32" s="699">
        <f>AT36</f>
        <v>1.75</v>
      </c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CL32" s="552"/>
      <c r="CM32" s="552"/>
      <c r="CN32" s="552"/>
      <c r="CO32" s="552"/>
      <c r="CR32" s="709"/>
      <c r="CS32" s="717">
        <f>(CS31/3600)*1000000</f>
        <v>35947.712418300667</v>
      </c>
      <c r="CT32" s="711" t="s">
        <v>294</v>
      </c>
      <c r="CU32" s="552"/>
      <c r="CV32" s="144"/>
      <c r="CW32" s="718"/>
      <c r="CX32" s="552"/>
      <c r="CY32" s="552"/>
      <c r="CZ32" s="642">
        <f t="shared" si="39"/>
        <v>25</v>
      </c>
      <c r="DA32" s="609">
        <f t="shared" si="0"/>
        <v>28.125</v>
      </c>
      <c r="DB32" s="609">
        <f t="shared" si="22"/>
        <v>10</v>
      </c>
      <c r="DC32" s="610">
        <f t="shared" si="45"/>
        <v>121.79263609027599</v>
      </c>
      <c r="DD32" s="611">
        <f t="shared" si="45"/>
        <v>125.31245362599824</v>
      </c>
      <c r="DE32" s="612">
        <f t="shared" si="45"/>
        <v>130.53616719256928</v>
      </c>
      <c r="DF32" s="610">
        <f t="shared" si="46"/>
        <v>19.411764705882348</v>
      </c>
      <c r="DG32" s="611">
        <f t="shared" si="46"/>
        <v>22</v>
      </c>
      <c r="DH32" s="612">
        <f t="shared" si="46"/>
        <v>28.470588235294098</v>
      </c>
      <c r="DI32" s="610">
        <f t="shared" si="3"/>
        <v>141.20440079615832</v>
      </c>
      <c r="DJ32" s="611">
        <f t="shared" si="3"/>
        <v>147.31245362599824</v>
      </c>
      <c r="DK32" s="612">
        <f t="shared" si="3"/>
        <v>159.00675542786337</v>
      </c>
      <c r="DL32" s="613">
        <f t="shared" si="43"/>
        <v>82.294117647058798</v>
      </c>
      <c r="DM32" s="613">
        <f t="shared" si="43"/>
        <v>82.294117647058798</v>
      </c>
      <c r="DN32" s="613">
        <f t="shared" si="43"/>
        <v>82.294117647058798</v>
      </c>
      <c r="DO32" s="609">
        <f t="shared" si="5"/>
        <v>135</v>
      </c>
      <c r="DP32" s="609"/>
      <c r="DQ32" s="609">
        <f t="shared" si="24"/>
        <v>10</v>
      </c>
      <c r="DR32" s="610">
        <f t="shared" si="6"/>
        <v>3.0700520478205484</v>
      </c>
      <c r="DS32" s="611">
        <f t="shared" si="6"/>
        <v>2.5521197638002446</v>
      </c>
      <c r="DT32" s="612">
        <f t="shared" si="6"/>
        <v>1.5218397917786437</v>
      </c>
      <c r="DU32" s="611">
        <f t="shared" si="44"/>
        <v>12.500000000000009</v>
      </c>
      <c r="DV32" s="611">
        <f t="shared" si="44"/>
        <v>12.500000000000009</v>
      </c>
      <c r="DW32" s="611">
        <f t="shared" si="44"/>
        <v>12.500000000000009</v>
      </c>
      <c r="DX32" s="614">
        <f t="shared" si="7"/>
        <v>12.5</v>
      </c>
      <c r="DY32" s="615"/>
      <c r="DZ32" s="609">
        <f t="shared" si="25"/>
        <v>10</v>
      </c>
      <c r="EA32" s="611">
        <f t="shared" si="47"/>
        <v>2.0983985714285716</v>
      </c>
      <c r="EB32" s="611">
        <f t="shared" si="47"/>
        <v>2.131516</v>
      </c>
      <c r="EC32" s="611">
        <f t="shared" si="47"/>
        <v>2.8849374999999999</v>
      </c>
      <c r="ED32" s="610">
        <f t="shared" si="48"/>
        <v>0.22002999999999975</v>
      </c>
      <c r="EE32" s="611">
        <f t="shared" si="48"/>
        <v>0.22005999999999976</v>
      </c>
      <c r="EF32" s="612">
        <f t="shared" si="48"/>
        <v>0.22012499999999974</v>
      </c>
      <c r="EG32" s="611">
        <f t="shared" si="10"/>
        <v>2.3184285714285715</v>
      </c>
      <c r="EH32" s="611">
        <f t="shared" si="10"/>
        <v>2.3515759999999997</v>
      </c>
      <c r="EI32" s="611">
        <f t="shared" si="10"/>
        <v>3.1050624999999998</v>
      </c>
      <c r="EJ32" s="610">
        <f t="shared" si="26"/>
        <v>2.2999999999999998</v>
      </c>
      <c r="EK32" s="643">
        <f t="shared" si="27"/>
        <v>2.25</v>
      </c>
      <c r="EL32" s="644">
        <f t="shared" si="28"/>
        <v>2.83</v>
      </c>
      <c r="EN32" s="620">
        <f t="shared" si="29"/>
        <v>5.4513888888888893</v>
      </c>
      <c r="EO32" s="621">
        <f t="shared" si="40"/>
        <v>115.46268780481223</v>
      </c>
      <c r="EP32" s="621">
        <f t="shared" si="40"/>
        <v>120.34590667339739</v>
      </c>
      <c r="EQ32" s="621">
        <f t="shared" si="40"/>
        <v>124.34181748175018</v>
      </c>
      <c r="ER32" s="610">
        <f t="shared" si="12"/>
        <v>79.471616826099847</v>
      </c>
      <c r="ES32" s="611">
        <f t="shared" si="12"/>
        <v>106.96753679155822</v>
      </c>
      <c r="ET32" s="612">
        <f t="shared" si="12"/>
        <v>128.1322962750011</v>
      </c>
      <c r="EU32" s="610">
        <f t="shared" si="30"/>
        <v>100</v>
      </c>
      <c r="EV32" s="611">
        <f t="shared" si="31"/>
        <v>135</v>
      </c>
      <c r="EW32" s="645">
        <f t="shared" si="32"/>
        <v>1000000</v>
      </c>
      <c r="EX32" s="610">
        <f t="shared" si="13"/>
        <v>-35.991070978712386</v>
      </c>
      <c r="EY32" s="621">
        <f t="shared" si="14"/>
        <v>-13.37836988183917</v>
      </c>
      <c r="EZ32" s="612">
        <f t="shared" si="15"/>
        <v>3.7904787932509088</v>
      </c>
      <c r="FA32" s="646">
        <f t="shared" si="16"/>
        <v>5.4513888888888893</v>
      </c>
      <c r="FB32" s="317"/>
      <c r="FC32" s="552"/>
      <c r="FD32" s="648">
        <v>11</v>
      </c>
      <c r="FE32" s="649">
        <f t="shared" si="17"/>
        <v>82.548357457494745</v>
      </c>
      <c r="FF32" s="650">
        <f t="shared" si="17"/>
        <v>97.390523171205984</v>
      </c>
      <c r="FG32" s="651">
        <f t="shared" si="17"/>
        <v>105.34750324645137</v>
      </c>
      <c r="FI32" s="652">
        <v>99</v>
      </c>
      <c r="FJ32" s="653"/>
      <c r="FK32" s="633">
        <f t="shared" si="33"/>
        <v>100</v>
      </c>
      <c r="FL32" s="564">
        <f t="shared" si="34"/>
        <v>135</v>
      </c>
      <c r="FM32" s="634">
        <f t="shared" si="35"/>
        <v>-1000000000</v>
      </c>
      <c r="FN32" s="621">
        <f t="shared" si="41"/>
        <v>95.589084448392683</v>
      </c>
      <c r="FO32" s="621">
        <f t="shared" si="41"/>
        <v>105.43729957102994</v>
      </c>
      <c r="FP32" s="654">
        <f t="shared" si="41"/>
        <v>113.4971676107964</v>
      </c>
      <c r="FQ32" s="610">
        <f t="shared" si="42"/>
        <v>-13.040726990897937</v>
      </c>
      <c r="FR32" s="611">
        <f t="shared" si="42"/>
        <v>-8.0467763998239619</v>
      </c>
      <c r="FS32" s="612">
        <f t="shared" si="42"/>
        <v>-8.1496643643450213</v>
      </c>
      <c r="FT32" s="633">
        <f t="shared" si="36"/>
        <v>0</v>
      </c>
      <c r="FU32" s="564">
        <f t="shared" si="36"/>
        <v>2.5904156624248409</v>
      </c>
      <c r="FV32" s="655">
        <f t="shared" si="36"/>
        <v>0</v>
      </c>
      <c r="FW32" s="633">
        <f t="shared" si="37"/>
        <v>0</v>
      </c>
      <c r="FX32" s="564">
        <f t="shared" si="37"/>
        <v>1</v>
      </c>
      <c r="FY32" s="655">
        <f t="shared" si="37"/>
        <v>0</v>
      </c>
    </row>
    <row r="33" spans="1:181" ht="15" customHeight="1" x14ac:dyDescent="0.2">
      <c r="B33" s="712"/>
      <c r="C33" s="719" t="s">
        <v>295</v>
      </c>
      <c r="D33" s="599">
        <f>SUM(D36:D222)</f>
        <v>345.27</v>
      </c>
      <c r="E33" s="719" t="s">
        <v>296</v>
      </c>
      <c r="F33" s="720">
        <f>H33/D33</f>
        <v>2.5443829903727833E-3</v>
      </c>
      <c r="G33" s="719" t="s">
        <v>295</v>
      </c>
      <c r="H33" s="721">
        <f>SUM(H36:H222)</f>
        <v>0.87849911508601086</v>
      </c>
      <c r="I33" s="652"/>
      <c r="J33" s="652"/>
      <c r="K33" s="652"/>
      <c r="L33" s="1242" t="s">
        <v>249</v>
      </c>
      <c r="M33" s="1243"/>
      <c r="N33" s="1243"/>
      <c r="O33" s="1243"/>
      <c r="P33" s="1243"/>
      <c r="Q33" s="1243"/>
      <c r="R33" s="1243"/>
      <c r="S33" s="1243"/>
      <c r="T33" s="1243"/>
      <c r="U33" s="1244"/>
      <c r="V33" s="713"/>
      <c r="W33" s="722"/>
      <c r="X33" s="1242" t="s">
        <v>249</v>
      </c>
      <c r="Y33" s="1243"/>
      <c r="Z33" s="1243"/>
      <c r="AA33" s="1243"/>
      <c r="AB33" s="1243"/>
      <c r="AC33" s="1243"/>
      <c r="AD33" s="1243"/>
      <c r="AE33" s="1243"/>
      <c r="AF33" s="1243"/>
      <c r="AG33" s="1244"/>
      <c r="AI33" s="550"/>
      <c r="AJ33" s="1242" t="s">
        <v>249</v>
      </c>
      <c r="AK33" s="1243"/>
      <c r="AL33" s="1243"/>
      <c r="AM33" s="1243"/>
      <c r="AN33" s="1243"/>
      <c r="AO33" s="1243"/>
      <c r="AP33" s="1243"/>
      <c r="AQ33" s="1243"/>
      <c r="AR33" s="1243"/>
      <c r="AS33" s="1244"/>
      <c r="AW33" s="550"/>
      <c r="AX33" s="550"/>
      <c r="AY33" s="550"/>
      <c r="AZ33" s="550"/>
      <c r="BA33" s="550"/>
      <c r="BB33" s="550"/>
      <c r="BC33" s="550"/>
      <c r="BD33" s="550"/>
      <c r="BF33" s="1242" t="s">
        <v>249</v>
      </c>
      <c r="BG33" s="1243"/>
      <c r="BH33" s="1243"/>
      <c r="BI33" s="1243"/>
      <c r="BJ33" s="1243"/>
      <c r="BK33" s="1243"/>
      <c r="BL33" s="1243"/>
      <c r="BM33" s="1243"/>
      <c r="BN33" s="1243"/>
      <c r="BO33" s="1244"/>
      <c r="BZ33" s="574"/>
      <c r="CA33" s="1242" t="s">
        <v>249</v>
      </c>
      <c r="CB33" s="1243"/>
      <c r="CC33" s="1243"/>
      <c r="CD33" s="1243"/>
      <c r="CE33" s="1243"/>
      <c r="CF33" s="1243"/>
      <c r="CG33" s="1243"/>
      <c r="CH33" s="1243"/>
      <c r="CI33" s="1243"/>
      <c r="CJ33" s="1244"/>
      <c r="CL33" s="552"/>
      <c r="CM33" s="552"/>
      <c r="CN33" s="552"/>
      <c r="CO33" s="552"/>
      <c r="CP33" s="562"/>
      <c r="CQ33" s="562"/>
      <c r="CR33" s="144" t="s">
        <v>297</v>
      </c>
      <c r="CS33" s="718">
        <f>X23</f>
        <v>12.5</v>
      </c>
      <c r="CT33" s="660" t="s">
        <v>260</v>
      </c>
      <c r="CU33" s="552"/>
      <c r="CV33" s="562"/>
      <c r="CW33" s="562"/>
      <c r="CX33" s="552"/>
      <c r="CY33" s="552"/>
      <c r="CZ33" s="642">
        <f t="shared" si="39"/>
        <v>26</v>
      </c>
      <c r="DA33" s="609">
        <f t="shared" si="0"/>
        <v>29.25</v>
      </c>
      <c r="DB33" s="609">
        <f t="shared" si="22"/>
        <v>10.4</v>
      </c>
      <c r="DC33" s="610">
        <f t="shared" si="45"/>
        <v>122.96529526962244</v>
      </c>
      <c r="DD33" s="611">
        <f t="shared" si="45"/>
        <v>126.28135498385045</v>
      </c>
      <c r="DE33" s="612">
        <f t="shared" si="45"/>
        <v>131.10522040706712</v>
      </c>
      <c r="DF33" s="610">
        <f t="shared" si="46"/>
        <v>19.411764705882348</v>
      </c>
      <c r="DG33" s="611">
        <f t="shared" si="46"/>
        <v>22</v>
      </c>
      <c r="DH33" s="612">
        <f t="shared" si="46"/>
        <v>28.470588235294098</v>
      </c>
      <c r="DI33" s="610">
        <f t="shared" si="3"/>
        <v>142.37705997550478</v>
      </c>
      <c r="DJ33" s="611">
        <f t="shared" si="3"/>
        <v>148.28135498385046</v>
      </c>
      <c r="DK33" s="612">
        <f t="shared" si="3"/>
        <v>159.57580864236121</v>
      </c>
      <c r="DL33" s="613">
        <f t="shared" si="43"/>
        <v>87.294117647058798</v>
      </c>
      <c r="DM33" s="613">
        <f t="shared" si="43"/>
        <v>87.294117647058798</v>
      </c>
      <c r="DN33" s="613">
        <f t="shared" si="43"/>
        <v>87.294117647058798</v>
      </c>
      <c r="DO33" s="609">
        <f t="shared" si="5"/>
        <v>135</v>
      </c>
      <c r="DP33" s="609"/>
      <c r="DQ33" s="609">
        <f t="shared" si="24"/>
        <v>10.4</v>
      </c>
      <c r="DR33" s="610">
        <f t="shared" si="6"/>
        <v>2.7974673943230024</v>
      </c>
      <c r="DS33" s="611">
        <f t="shared" si="6"/>
        <v>2.2968691348914048</v>
      </c>
      <c r="DT33" s="612">
        <f t="shared" si="6"/>
        <v>1.3278343568033928</v>
      </c>
      <c r="DU33" s="611">
        <f t="shared" si="44"/>
        <v>12.499999999999989</v>
      </c>
      <c r="DV33" s="611">
        <f t="shared" si="44"/>
        <v>12.499999999999989</v>
      </c>
      <c r="DW33" s="611">
        <f t="shared" si="44"/>
        <v>12.499999999999989</v>
      </c>
      <c r="DX33" s="614">
        <f t="shared" si="7"/>
        <v>12.5</v>
      </c>
      <c r="DY33" s="615"/>
      <c r="DZ33" s="609">
        <f t="shared" si="25"/>
        <v>10.4</v>
      </c>
      <c r="EA33" s="611">
        <f t="shared" si="47"/>
        <v>2.0986112716763006</v>
      </c>
      <c r="EB33" s="611">
        <f t="shared" si="47"/>
        <v>2.1332190082644629</v>
      </c>
      <c r="EC33" s="611">
        <f t="shared" si="47"/>
        <v>3.6898749999999976</v>
      </c>
      <c r="ED33" s="610">
        <f t="shared" si="48"/>
        <v>0.22002999999999975</v>
      </c>
      <c r="EE33" s="611">
        <f t="shared" si="48"/>
        <v>0.22005999999999976</v>
      </c>
      <c r="EF33" s="612">
        <f t="shared" si="48"/>
        <v>0.22012499999999974</v>
      </c>
      <c r="EG33" s="611">
        <f t="shared" si="10"/>
        <v>2.3186412716763005</v>
      </c>
      <c r="EH33" s="611">
        <f t="shared" si="10"/>
        <v>2.3532790082644626</v>
      </c>
      <c r="EI33" s="611">
        <f t="shared" si="10"/>
        <v>3.9099999999999975</v>
      </c>
      <c r="EJ33" s="610">
        <f t="shared" si="26"/>
        <v>2.2999999999999998</v>
      </c>
      <c r="EK33" s="643">
        <f t="shared" si="27"/>
        <v>2.25</v>
      </c>
      <c r="EL33" s="644">
        <f t="shared" si="28"/>
        <v>2.83</v>
      </c>
      <c r="EN33" s="620">
        <f t="shared" si="29"/>
        <v>5.6694444444444452</v>
      </c>
      <c r="EO33" s="621">
        <f t="shared" si="40"/>
        <v>114.68144138551425</v>
      </c>
      <c r="EP33" s="621">
        <f t="shared" si="40"/>
        <v>119.75988137524457</v>
      </c>
      <c r="EQ33" s="621">
        <f t="shared" si="40"/>
        <v>123.91556341204345</v>
      </c>
      <c r="ER33" s="610">
        <f t="shared" si="12"/>
        <v>78.446806117832793</v>
      </c>
      <c r="ES33" s="611">
        <f t="shared" si="12"/>
        <v>105.65270683699777</v>
      </c>
      <c r="ET33" s="612">
        <f t="shared" si="12"/>
        <v>127.13001967528221</v>
      </c>
      <c r="EU33" s="610">
        <f t="shared" si="30"/>
        <v>100</v>
      </c>
      <c r="EV33" s="611">
        <f t="shared" si="31"/>
        <v>135</v>
      </c>
      <c r="EW33" s="645">
        <f t="shared" si="32"/>
        <v>1000000</v>
      </c>
      <c r="EX33" s="610">
        <f t="shared" si="13"/>
        <v>-36.234635267681455</v>
      </c>
      <c r="EY33" s="621">
        <f t="shared" si="14"/>
        <v>-14.107174538246809</v>
      </c>
      <c r="EZ33" s="612">
        <f t="shared" si="15"/>
        <v>3.2144562632387554</v>
      </c>
      <c r="FA33" s="646">
        <f t="shared" si="16"/>
        <v>5.6694444444444452</v>
      </c>
      <c r="FB33" s="317"/>
      <c r="FC33" s="552"/>
      <c r="FD33" s="648">
        <v>11.444444444444445</v>
      </c>
      <c r="FE33" s="649">
        <f t="shared" si="17"/>
        <v>80.089474987271188</v>
      </c>
      <c r="FF33" s="650">
        <f t="shared" si="17"/>
        <v>95.452745522248179</v>
      </c>
      <c r="FG33" s="651">
        <f t="shared" si="17"/>
        <v>103.73256143536926</v>
      </c>
      <c r="FI33" s="653"/>
      <c r="FJ33" s="652">
        <v>103</v>
      </c>
      <c r="FK33" s="633">
        <f t="shared" si="33"/>
        <v>100</v>
      </c>
      <c r="FL33" s="564">
        <f t="shared" si="34"/>
        <v>135</v>
      </c>
      <c r="FM33" s="634">
        <f t="shared" si="35"/>
        <v>-1000000000</v>
      </c>
      <c r="FN33" s="621">
        <f t="shared" si="41"/>
        <v>93.997736007353382</v>
      </c>
      <c r="FO33" s="621">
        <f t="shared" si="41"/>
        <v>104.24341633387783</v>
      </c>
      <c r="FP33" s="654">
        <f t="shared" si="41"/>
        <v>112.62866749915014</v>
      </c>
      <c r="FQ33" s="610">
        <f t="shared" si="42"/>
        <v>-13.9082610200822</v>
      </c>
      <c r="FR33" s="611">
        <f t="shared" si="42"/>
        <v>-8.7906708116296564</v>
      </c>
      <c r="FS33" s="612">
        <f t="shared" si="42"/>
        <v>-8.89610606378087</v>
      </c>
      <c r="FT33" s="633">
        <f t="shared" si="36"/>
        <v>0</v>
      </c>
      <c r="FU33" s="564">
        <f t="shared" si="36"/>
        <v>0</v>
      </c>
      <c r="FV33" s="655">
        <f t="shared" si="36"/>
        <v>0.53664625659027476</v>
      </c>
      <c r="FW33" s="633">
        <f t="shared" si="37"/>
        <v>0</v>
      </c>
      <c r="FX33" s="564">
        <f t="shared" si="37"/>
        <v>0</v>
      </c>
      <c r="FY33" s="655">
        <f t="shared" si="37"/>
        <v>1</v>
      </c>
    </row>
    <row r="34" spans="1:181" ht="15" customHeight="1" x14ac:dyDescent="0.2">
      <c r="A34" s="564"/>
      <c r="B34" s="712"/>
      <c r="C34" s="652"/>
      <c r="D34" s="652"/>
      <c r="E34" s="652"/>
      <c r="F34" s="652"/>
      <c r="G34" s="652"/>
      <c r="H34" s="652"/>
      <c r="I34" s="652"/>
      <c r="J34" s="652"/>
      <c r="K34" s="652"/>
      <c r="L34" s="723">
        <f>$E$45</f>
        <v>1.1200000000000001</v>
      </c>
      <c r="M34" s="724">
        <f>$E$55</f>
        <v>1.5763888888888888</v>
      </c>
      <c r="N34" s="724">
        <f>$E$65</f>
        <v>2.3645833333333335</v>
      </c>
      <c r="O34" s="724">
        <f>$E$75</f>
        <v>3.1527777777777777</v>
      </c>
      <c r="P34" s="724">
        <f>$E$85</f>
        <v>4.666666666666667</v>
      </c>
      <c r="Q34" s="724">
        <f>$E$95</f>
        <v>5.55</v>
      </c>
      <c r="R34" s="724">
        <f>$E$105</f>
        <v>8.9166666666666661</v>
      </c>
      <c r="S34" s="724">
        <f>$E$115</f>
        <v>10.39</v>
      </c>
      <c r="T34" s="725">
        <f>$E$135</f>
        <v>12.5</v>
      </c>
      <c r="U34" s="726">
        <f>$E$190</f>
        <v>26.166666666666668</v>
      </c>
      <c r="V34" s="713"/>
      <c r="W34" s="727"/>
      <c r="X34" s="723">
        <f>$E$45</f>
        <v>1.1200000000000001</v>
      </c>
      <c r="Y34" s="724">
        <f>$E$55</f>
        <v>1.5763888888888888</v>
      </c>
      <c r="Z34" s="724">
        <f>$E$65</f>
        <v>2.3645833333333335</v>
      </c>
      <c r="AA34" s="724">
        <f>$E$75</f>
        <v>3.1527777777777777</v>
      </c>
      <c r="AB34" s="724">
        <f>$E$85</f>
        <v>4.666666666666667</v>
      </c>
      <c r="AC34" s="724">
        <f>$E$95</f>
        <v>5.55</v>
      </c>
      <c r="AD34" s="724">
        <f>$E$105</f>
        <v>8.9166666666666661</v>
      </c>
      <c r="AE34" s="724">
        <f>$E$115</f>
        <v>10.39</v>
      </c>
      <c r="AF34" s="725">
        <f>$E$135</f>
        <v>12.5</v>
      </c>
      <c r="AG34" s="726">
        <f>$E$190</f>
        <v>26.166666666666668</v>
      </c>
      <c r="AI34" s="550"/>
      <c r="AJ34" s="723">
        <f>$E$45</f>
        <v>1.1200000000000001</v>
      </c>
      <c r="AK34" s="724">
        <f>$E$55</f>
        <v>1.5763888888888888</v>
      </c>
      <c r="AL34" s="724">
        <f>$E$65</f>
        <v>2.3645833333333335</v>
      </c>
      <c r="AM34" s="724">
        <f>$E$75</f>
        <v>3.1527777777777777</v>
      </c>
      <c r="AN34" s="724">
        <f>$E$85</f>
        <v>4.666666666666667</v>
      </c>
      <c r="AO34" s="724">
        <f>$E$95</f>
        <v>5.55</v>
      </c>
      <c r="AP34" s="724">
        <f>$E$105</f>
        <v>8.9166666666666661</v>
      </c>
      <c r="AQ34" s="724">
        <f>$E$115</f>
        <v>10.39</v>
      </c>
      <c r="AR34" s="725">
        <f>$E$135</f>
        <v>12.5</v>
      </c>
      <c r="AS34" s="728">
        <f>$E$190</f>
        <v>26.166666666666668</v>
      </c>
      <c r="BF34" s="729">
        <f>$E$45</f>
        <v>1.1200000000000001</v>
      </c>
      <c r="BG34" s="730">
        <f>$E$55</f>
        <v>1.5763888888888888</v>
      </c>
      <c r="BH34" s="730">
        <f>$E$65</f>
        <v>2.3645833333333335</v>
      </c>
      <c r="BI34" s="730">
        <f>$E$75</f>
        <v>3.1527777777777777</v>
      </c>
      <c r="BJ34" s="730">
        <f>$E$85</f>
        <v>4.666666666666667</v>
      </c>
      <c r="BK34" s="730">
        <f>$E$95</f>
        <v>5.55</v>
      </c>
      <c r="BL34" s="730">
        <f>$E$105</f>
        <v>8.9166666666666661</v>
      </c>
      <c r="BM34" s="730">
        <f>$E$115</f>
        <v>10.39</v>
      </c>
      <c r="BN34" s="731">
        <f>$E$135</f>
        <v>12.5</v>
      </c>
      <c r="BO34" s="732">
        <f>$E$190</f>
        <v>26.166666666666668</v>
      </c>
      <c r="BZ34" s="633">
        <v>120</v>
      </c>
      <c r="CA34" s="729">
        <f>$E$45</f>
        <v>1.1200000000000001</v>
      </c>
      <c r="CB34" s="730">
        <f>$E$55</f>
        <v>1.5763888888888888</v>
      </c>
      <c r="CC34" s="730">
        <f>$E$65</f>
        <v>2.3645833333333335</v>
      </c>
      <c r="CD34" s="730">
        <f>$E$75</f>
        <v>3.1527777777777777</v>
      </c>
      <c r="CE34" s="730">
        <f>$E$85</f>
        <v>4.666666666666667</v>
      </c>
      <c r="CF34" s="730">
        <f>$E$95</f>
        <v>5.55</v>
      </c>
      <c r="CG34" s="730">
        <f>$E$105</f>
        <v>8.9166666666666661</v>
      </c>
      <c r="CH34" s="730">
        <f>$E$115</f>
        <v>10.39</v>
      </c>
      <c r="CI34" s="731">
        <f>$E$135</f>
        <v>12.5</v>
      </c>
      <c r="CJ34" s="732">
        <f>$E$190</f>
        <v>26.166666666666668</v>
      </c>
      <c r="CL34" s="562"/>
      <c r="CM34" s="552"/>
      <c r="CN34" s="552"/>
      <c r="CO34" s="552"/>
      <c r="CP34" s="562"/>
      <c r="CQ34" s="562"/>
      <c r="CR34" s="144" t="s">
        <v>298</v>
      </c>
      <c r="CS34" s="718">
        <f>X22</f>
        <v>8</v>
      </c>
      <c r="CT34" s="660" t="s">
        <v>259</v>
      </c>
      <c r="CU34" s="552"/>
      <c r="CV34" s="562"/>
      <c r="CW34" s="562"/>
      <c r="CX34" s="562"/>
      <c r="CY34" s="562"/>
      <c r="CZ34" s="642">
        <f t="shared" si="39"/>
        <v>27</v>
      </c>
      <c r="DA34" s="609">
        <f t="shared" si="0"/>
        <v>30.375</v>
      </c>
      <c r="DB34" s="609">
        <f t="shared" si="22"/>
        <v>10.8</v>
      </c>
      <c r="DC34" s="733">
        <f t="shared" si="45"/>
        <v>124.03383605257238</v>
      </c>
      <c r="DD34" s="563">
        <f t="shared" si="45"/>
        <v>127.1533515316501</v>
      </c>
      <c r="DE34" s="734">
        <f t="shared" si="45"/>
        <v>131.60173023230737</v>
      </c>
      <c r="DF34" s="733">
        <f t="shared" si="46"/>
        <v>19.411764705882348</v>
      </c>
      <c r="DG34" s="563">
        <f t="shared" si="46"/>
        <v>22</v>
      </c>
      <c r="DH34" s="734">
        <f t="shared" si="46"/>
        <v>28.470588235294098</v>
      </c>
      <c r="DI34" s="733">
        <f t="shared" si="3"/>
        <v>143.44560075845473</v>
      </c>
      <c r="DJ34" s="563">
        <f t="shared" si="3"/>
        <v>149.15335153165012</v>
      </c>
      <c r="DK34" s="734">
        <f t="shared" si="3"/>
        <v>160.07231846760146</v>
      </c>
      <c r="DL34" s="613">
        <f t="shared" si="43"/>
        <v>92.294117647058798</v>
      </c>
      <c r="DM34" s="613">
        <f t="shared" si="43"/>
        <v>92.294117647058798</v>
      </c>
      <c r="DN34" s="613">
        <f t="shared" si="43"/>
        <v>92.294117647058798</v>
      </c>
      <c r="DO34" s="609">
        <f t="shared" si="5"/>
        <v>135</v>
      </c>
      <c r="DP34" s="609"/>
      <c r="DQ34" s="735">
        <f t="shared" si="24"/>
        <v>10.8</v>
      </c>
      <c r="DR34" s="610">
        <f t="shared" si="6"/>
        <v>2.5490850644880538</v>
      </c>
      <c r="DS34" s="611">
        <f t="shared" si="6"/>
        <v>2.067147434711734</v>
      </c>
      <c r="DT34" s="612">
        <f t="shared" si="6"/>
        <v>1.1585609001896398</v>
      </c>
      <c r="DU34" s="611">
        <f t="shared" si="44"/>
        <v>12.499999999999989</v>
      </c>
      <c r="DV34" s="611">
        <f t="shared" si="44"/>
        <v>12.499999999999989</v>
      </c>
      <c r="DW34" s="611">
        <f t="shared" si="44"/>
        <v>12.499999999999989</v>
      </c>
      <c r="DX34" s="736">
        <f t="shared" si="7"/>
        <v>12.5</v>
      </c>
      <c r="DY34" s="737"/>
      <c r="DZ34" s="609">
        <f t="shared" si="25"/>
        <v>10.8</v>
      </c>
      <c r="EA34" s="611">
        <f t="shared" si="47"/>
        <v>2.0988289473684212</v>
      </c>
      <c r="EB34" s="611">
        <f t="shared" si="47"/>
        <v>2.1350384615384614</v>
      </c>
      <c r="EC34" s="611">
        <f t="shared" si="47"/>
        <v>1000000</v>
      </c>
      <c r="ED34" s="610">
        <f t="shared" si="48"/>
        <v>0.22002999999999975</v>
      </c>
      <c r="EE34" s="611">
        <f t="shared" si="48"/>
        <v>0.22005999999999976</v>
      </c>
      <c r="EF34" s="612">
        <f t="shared" si="48"/>
        <v>0.22012499999999974</v>
      </c>
      <c r="EG34" s="611">
        <f t="shared" si="10"/>
        <v>2.3188589473684211</v>
      </c>
      <c r="EH34" s="611">
        <f t="shared" si="10"/>
        <v>2.3550984615384611</v>
      </c>
      <c r="EI34" s="611">
        <f t="shared" si="10"/>
        <v>1000000.220125</v>
      </c>
      <c r="EJ34" s="610">
        <f t="shared" si="26"/>
        <v>2.2999999999999998</v>
      </c>
      <c r="EK34" s="643">
        <f t="shared" si="27"/>
        <v>2.25</v>
      </c>
      <c r="EL34" s="644">
        <f t="shared" si="28"/>
        <v>2.83</v>
      </c>
      <c r="EN34" s="620">
        <f t="shared" si="29"/>
        <v>5.8875000000000002</v>
      </c>
      <c r="EO34" s="621">
        <f t="shared" si="40"/>
        <v>113.90021388837403</v>
      </c>
      <c r="EP34" s="621">
        <f t="shared" si="40"/>
        <v>119.17386672331943</v>
      </c>
      <c r="EQ34" s="621">
        <f t="shared" si="40"/>
        <v>123.48931497448748</v>
      </c>
      <c r="ER34" s="610">
        <f t="shared" si="12"/>
        <v>77.453479241015827</v>
      </c>
      <c r="ES34" s="611">
        <f t="shared" si="12"/>
        <v>104.37115842939278</v>
      </c>
      <c r="ET34" s="612">
        <f t="shared" si="12"/>
        <v>126.13770996384133</v>
      </c>
      <c r="EU34" s="610">
        <f t="shared" si="30"/>
        <v>100</v>
      </c>
      <c r="EV34" s="611">
        <f t="shared" si="31"/>
        <v>135</v>
      </c>
      <c r="EW34" s="645">
        <f t="shared" si="32"/>
        <v>1000000</v>
      </c>
      <c r="EX34" s="610">
        <f t="shared" si="13"/>
        <v>-36.446734647358191</v>
      </c>
      <c r="EY34" s="621">
        <f t="shared" si="14"/>
        <v>-14.802708293926656</v>
      </c>
      <c r="EZ34" s="612">
        <f t="shared" si="15"/>
        <v>2.6483949893538536</v>
      </c>
      <c r="FA34" s="646">
        <f t="shared" si="16"/>
        <v>5.8875000000000002</v>
      </c>
      <c r="FB34" s="317"/>
      <c r="FC34" s="562"/>
      <c r="FD34" s="648">
        <v>11.714285714285714</v>
      </c>
      <c r="FE34" s="649">
        <f t="shared" si="17"/>
        <v>78.611473503849112</v>
      </c>
      <c r="FF34" s="650">
        <f t="shared" si="17"/>
        <v>94.288995510914631</v>
      </c>
      <c r="FG34" s="651">
        <f t="shared" si="17"/>
        <v>102.7648523562044</v>
      </c>
      <c r="FH34" s="652">
        <v>82</v>
      </c>
      <c r="FK34" s="633">
        <f t="shared" si="33"/>
        <v>100</v>
      </c>
      <c r="FL34" s="564">
        <f t="shared" si="34"/>
        <v>135</v>
      </c>
      <c r="FM34" s="634">
        <f t="shared" si="35"/>
        <v>-1000000000</v>
      </c>
      <c r="FN34" s="621">
        <f t="shared" si="41"/>
        <v>93.031598483526636</v>
      </c>
      <c r="FO34" s="621">
        <f t="shared" si="41"/>
        <v>103.51858021679895</v>
      </c>
      <c r="FP34" s="654">
        <f t="shared" si="41"/>
        <v>112.1013752693849</v>
      </c>
      <c r="FQ34" s="610">
        <f t="shared" si="42"/>
        <v>-14.420124979677531</v>
      </c>
      <c r="FR34" s="611">
        <f t="shared" si="42"/>
        <v>-9.2295847058843208</v>
      </c>
      <c r="FS34" s="612">
        <f t="shared" si="42"/>
        <v>-9.3365229131805023</v>
      </c>
      <c r="FT34" s="633">
        <f t="shared" si="36"/>
        <v>11.482111815116614</v>
      </c>
      <c r="FU34" s="564">
        <f t="shared" si="36"/>
        <v>0</v>
      </c>
      <c r="FV34" s="655">
        <f t="shared" si="36"/>
        <v>0</v>
      </c>
      <c r="FW34" s="633">
        <f t="shared" si="37"/>
        <v>1</v>
      </c>
      <c r="FX34" s="564">
        <f t="shared" si="37"/>
        <v>0</v>
      </c>
      <c r="FY34" s="655">
        <f t="shared" si="37"/>
        <v>0</v>
      </c>
    </row>
    <row r="35" spans="1:181" ht="15" customHeight="1" x14ac:dyDescent="0.25">
      <c r="A35" s="564"/>
      <c r="B35" s="574" t="s">
        <v>160</v>
      </c>
      <c r="C35" s="738" t="s">
        <v>299</v>
      </c>
      <c r="D35" s="739" t="s">
        <v>300</v>
      </c>
      <c r="E35" s="740" t="s">
        <v>249</v>
      </c>
      <c r="F35" s="712"/>
      <c r="G35" s="740" t="s">
        <v>301</v>
      </c>
      <c r="H35" s="741" t="s">
        <v>302</v>
      </c>
      <c r="I35" s="712"/>
      <c r="J35" s="740" t="s">
        <v>159</v>
      </c>
      <c r="K35" s="739" t="s">
        <v>303</v>
      </c>
      <c r="L35" s="1242" t="s">
        <v>304</v>
      </c>
      <c r="M35" s="1243"/>
      <c r="N35" s="1243"/>
      <c r="O35" s="1243"/>
      <c r="P35" s="1243"/>
      <c r="Q35" s="1243"/>
      <c r="R35" s="1243"/>
      <c r="S35" s="1243"/>
      <c r="T35" s="1243"/>
      <c r="U35" s="1244"/>
      <c r="W35" s="740" t="s">
        <v>303</v>
      </c>
      <c r="X35" s="1242" t="s">
        <v>305</v>
      </c>
      <c r="Y35" s="1243"/>
      <c r="Z35" s="1243"/>
      <c r="AA35" s="1243"/>
      <c r="AB35" s="1243"/>
      <c r="AC35" s="1243"/>
      <c r="AD35" s="1243"/>
      <c r="AE35" s="1243"/>
      <c r="AF35" s="1243"/>
      <c r="AG35" s="1244"/>
      <c r="AI35" s="740" t="s">
        <v>303</v>
      </c>
      <c r="AJ35" s="1242" t="s">
        <v>306</v>
      </c>
      <c r="AK35" s="1243"/>
      <c r="AL35" s="1243"/>
      <c r="AM35" s="1243"/>
      <c r="AN35" s="1243"/>
      <c r="AO35" s="1243"/>
      <c r="AP35" s="1243"/>
      <c r="AQ35" s="1243"/>
      <c r="AR35" s="1243"/>
      <c r="AS35" s="1244"/>
      <c r="AT35" s="1242" t="s">
        <v>300</v>
      </c>
      <c r="AU35" s="1243"/>
      <c r="AV35" s="1243"/>
      <c r="AW35" s="1243"/>
      <c r="AX35" s="1243"/>
      <c r="AY35" s="1243"/>
      <c r="AZ35" s="1243"/>
      <c r="BA35" s="1243"/>
      <c r="BB35" s="1244"/>
      <c r="BC35" s="742" t="s">
        <v>307</v>
      </c>
      <c r="BD35" s="743" t="s">
        <v>308</v>
      </c>
      <c r="BF35" s="1248" t="s">
        <v>306</v>
      </c>
      <c r="BG35" s="1249"/>
      <c r="BH35" s="1249"/>
      <c r="BI35" s="1249"/>
      <c r="BJ35" s="1249"/>
      <c r="BK35" s="1249"/>
      <c r="BL35" s="1249"/>
      <c r="BM35" s="1249"/>
      <c r="BN35" s="1249"/>
      <c r="BO35" s="1250"/>
      <c r="BZ35" s="740" t="s">
        <v>309</v>
      </c>
      <c r="CA35" s="1242" t="s">
        <v>306</v>
      </c>
      <c r="CB35" s="1243"/>
      <c r="CC35" s="1243"/>
      <c r="CD35" s="1243"/>
      <c r="CE35" s="1243"/>
      <c r="CF35" s="1243"/>
      <c r="CG35" s="1243"/>
      <c r="CH35" s="1243"/>
      <c r="CI35" s="1243"/>
      <c r="CJ35" s="1244"/>
      <c r="CK35" s="427" t="s">
        <v>232</v>
      </c>
      <c r="CL35" s="552"/>
      <c r="CM35" s="562"/>
      <c r="CN35" s="562"/>
      <c r="CO35" s="562"/>
      <c r="CU35" s="562"/>
      <c r="CV35" s="562"/>
      <c r="CW35" s="562"/>
      <c r="CX35" s="562"/>
      <c r="CY35" s="562"/>
      <c r="CZ35" s="642">
        <f t="shared" si="39"/>
        <v>28</v>
      </c>
      <c r="DA35" s="609">
        <f t="shared" si="0"/>
        <v>31.5</v>
      </c>
      <c r="DB35" s="609">
        <f t="shared" si="22"/>
        <v>11.2</v>
      </c>
      <c r="DC35" s="610">
        <f t="shared" si="45"/>
        <v>125.00750293288762</v>
      </c>
      <c r="DD35" s="611">
        <f t="shared" si="45"/>
        <v>127.93813521805144</v>
      </c>
      <c r="DE35" s="612">
        <f t="shared" si="45"/>
        <v>132.03494456144114</v>
      </c>
      <c r="DF35" s="610">
        <f t="shared" si="46"/>
        <v>19.411764705882348</v>
      </c>
      <c r="DG35" s="611">
        <f t="shared" si="46"/>
        <v>22</v>
      </c>
      <c r="DH35" s="612">
        <f t="shared" si="46"/>
        <v>28.470588235294098</v>
      </c>
      <c r="DI35" s="610">
        <f t="shared" si="3"/>
        <v>144.41926763876995</v>
      </c>
      <c r="DJ35" s="611">
        <f t="shared" si="3"/>
        <v>149.93813521805146</v>
      </c>
      <c r="DK35" s="612">
        <f t="shared" si="3"/>
        <v>160.50553279673522</v>
      </c>
      <c r="DL35" s="613">
        <f t="shared" si="43"/>
        <v>97.294117647058783</v>
      </c>
      <c r="DM35" s="613">
        <f t="shared" si="43"/>
        <v>97.294117647058783</v>
      </c>
      <c r="DN35" s="613">
        <f t="shared" si="43"/>
        <v>97.294117647058783</v>
      </c>
      <c r="DO35" s="609">
        <f t="shared" si="5"/>
        <v>135</v>
      </c>
      <c r="DP35" s="609"/>
      <c r="DQ35" s="609">
        <f t="shared" si="24"/>
        <v>11.2</v>
      </c>
      <c r="DR35" s="610">
        <f t="shared" si="6"/>
        <v>2.3227561755258894</v>
      </c>
      <c r="DS35" s="611">
        <f t="shared" si="6"/>
        <v>1.8604013837459368</v>
      </c>
      <c r="DT35" s="612">
        <f t="shared" si="6"/>
        <v>1.0108665682363971</v>
      </c>
      <c r="DU35" s="611">
        <f t="shared" si="44"/>
        <v>12.500000000000009</v>
      </c>
      <c r="DV35" s="611">
        <f t="shared" si="44"/>
        <v>12.500000000000009</v>
      </c>
      <c r="DW35" s="611">
        <f t="shared" si="44"/>
        <v>12.500000000000009</v>
      </c>
      <c r="DX35" s="614">
        <f t="shared" si="7"/>
        <v>12.5</v>
      </c>
      <c r="DY35" s="615"/>
      <c r="DZ35" s="609">
        <f t="shared" si="25"/>
        <v>11.2</v>
      </c>
      <c r="EA35" s="611">
        <f t="shared" si="47"/>
        <v>2.0990517751479292</v>
      </c>
      <c r="EB35" s="611">
        <f t="shared" si="47"/>
        <v>2.1369867256637169</v>
      </c>
      <c r="EC35" s="611">
        <f t="shared" si="47"/>
        <v>1000000</v>
      </c>
      <c r="ED35" s="610">
        <f t="shared" si="48"/>
        <v>0.22002999999999975</v>
      </c>
      <c r="EE35" s="611">
        <f t="shared" si="48"/>
        <v>0.22005999999999976</v>
      </c>
      <c r="EF35" s="612">
        <f t="shared" si="48"/>
        <v>0.22012499999999974</v>
      </c>
      <c r="EG35" s="611">
        <f t="shared" si="10"/>
        <v>2.3190817751479291</v>
      </c>
      <c r="EH35" s="611">
        <f t="shared" si="10"/>
        <v>2.3570467256637166</v>
      </c>
      <c r="EI35" s="611">
        <f t="shared" si="10"/>
        <v>1000000.220125</v>
      </c>
      <c r="EJ35" s="610">
        <f t="shared" si="26"/>
        <v>2.2999999999999998</v>
      </c>
      <c r="EK35" s="643">
        <f t="shared" si="27"/>
        <v>2.25</v>
      </c>
      <c r="EL35" s="644">
        <f t="shared" si="28"/>
        <v>2.83</v>
      </c>
      <c r="EN35" s="620">
        <f t="shared" si="29"/>
        <v>6.1055555555555561</v>
      </c>
      <c r="EO35" s="621">
        <f t="shared" si="40"/>
        <v>113.11900531270412</v>
      </c>
      <c r="EP35" s="621">
        <f t="shared" si="40"/>
        <v>118.58786271733186</v>
      </c>
      <c r="EQ35" s="621">
        <f t="shared" si="40"/>
        <v>123.06307216897075</v>
      </c>
      <c r="ER35" s="610">
        <f t="shared" si="12"/>
        <v>76.487571393339877</v>
      </c>
      <c r="ES35" s="611">
        <f t="shared" si="12"/>
        <v>103.12137270763697</v>
      </c>
      <c r="ET35" s="612">
        <f t="shared" si="12"/>
        <v>125.1551948788611</v>
      </c>
      <c r="EU35" s="610">
        <f t="shared" si="30"/>
        <v>100</v>
      </c>
      <c r="EV35" s="611">
        <f t="shared" si="31"/>
        <v>135</v>
      </c>
      <c r="EW35" s="645">
        <f t="shared" si="32"/>
        <v>1000000</v>
      </c>
      <c r="EX35" s="610">
        <f t="shared" si="13"/>
        <v>-36.631433919364241</v>
      </c>
      <c r="EY35" s="621">
        <f t="shared" si="14"/>
        <v>-15.466490009694894</v>
      </c>
      <c r="EZ35" s="612">
        <f t="shared" si="15"/>
        <v>2.0921227098903401</v>
      </c>
      <c r="FA35" s="646">
        <f t="shared" si="16"/>
        <v>6.1055555555555561</v>
      </c>
      <c r="FB35" s="317"/>
      <c r="FC35" s="552"/>
      <c r="FD35" s="648">
        <v>12</v>
      </c>
      <c r="FE35" s="649">
        <f t="shared" si="17"/>
        <v>77.058472085330408</v>
      </c>
      <c r="FF35" s="650">
        <f t="shared" si="17"/>
        <v>93.067019786760284</v>
      </c>
      <c r="FG35" s="651">
        <f t="shared" si="17"/>
        <v>101.75047599273276</v>
      </c>
      <c r="FI35" s="652">
        <v>96</v>
      </c>
      <c r="FJ35" s="653"/>
      <c r="FK35" s="633">
        <f t="shared" si="33"/>
        <v>100</v>
      </c>
      <c r="FL35" s="564">
        <f t="shared" si="34"/>
        <v>135</v>
      </c>
      <c r="FM35" s="634">
        <f t="shared" si="35"/>
        <v>-1000000000</v>
      </c>
      <c r="FN35" s="621">
        <f t="shared" si="41"/>
        <v>92.00866089273822</v>
      </c>
      <c r="FO35" s="621">
        <f t="shared" si="41"/>
        <v>102.75112443778112</v>
      </c>
      <c r="FP35" s="654">
        <f t="shared" si="41"/>
        <v>111.54307524536533</v>
      </c>
      <c r="FQ35" s="610">
        <f t="shared" si="42"/>
        <v>-14.950188807407812</v>
      </c>
      <c r="FR35" s="611">
        <f t="shared" si="42"/>
        <v>-9.6841046510208351</v>
      </c>
      <c r="FS35" s="612">
        <f t="shared" si="42"/>
        <v>-9.7925992526325665</v>
      </c>
      <c r="FT35" s="633">
        <f t="shared" si="36"/>
        <v>0</v>
      </c>
      <c r="FU35" s="564">
        <f t="shared" si="36"/>
        <v>8.602372931255692</v>
      </c>
      <c r="FV35" s="655">
        <f t="shared" si="36"/>
        <v>0</v>
      </c>
      <c r="FW35" s="633">
        <f t="shared" si="37"/>
        <v>0</v>
      </c>
      <c r="FX35" s="564">
        <f t="shared" si="37"/>
        <v>1</v>
      </c>
      <c r="FY35" s="655">
        <f t="shared" si="37"/>
        <v>0</v>
      </c>
    </row>
    <row r="36" spans="1:181" s="564" customFormat="1" ht="15" customHeight="1" x14ac:dyDescent="0.2">
      <c r="B36" s="626">
        <f>$C$4</f>
        <v>100</v>
      </c>
      <c r="C36" s="631">
        <f>$C$6</f>
        <v>133</v>
      </c>
      <c r="D36" s="744">
        <f>$B$6</f>
        <v>1.75</v>
      </c>
      <c r="E36" s="745">
        <f t="shared" ref="E36:E99" si="49">C36/B36</f>
        <v>1.33</v>
      </c>
      <c r="F36" s="746"/>
      <c r="G36" s="747">
        <f t="shared" ref="G36:G99" si="50">$AB$21+$AB$28*(1-(1-EXP(-(C36)/($AB$23)))/(1-EXP(-1)))-($AD$24/(1-(C36)/($AB$22))+$AD$25)*E36</f>
        <v>1.5534609128008923</v>
      </c>
      <c r="H36" s="748">
        <f>(D36-G36)^2</f>
        <v>3.8627612797058473E-2</v>
      </c>
      <c r="I36" s="746"/>
      <c r="J36" s="749">
        <v>0</v>
      </c>
      <c r="K36" s="750">
        <v>0</v>
      </c>
      <c r="L36" s="747">
        <f t="shared" ref="L36:U36" si="51">$AB$21</f>
        <v>2.08</v>
      </c>
      <c r="M36" s="751">
        <f t="shared" si="51"/>
        <v>2.08</v>
      </c>
      <c r="N36" s="751">
        <f t="shared" si="51"/>
        <v>2.08</v>
      </c>
      <c r="O36" s="751">
        <f t="shared" si="51"/>
        <v>2.08</v>
      </c>
      <c r="P36" s="751">
        <f t="shared" si="51"/>
        <v>2.08</v>
      </c>
      <c r="Q36" s="751">
        <f t="shared" si="51"/>
        <v>2.08</v>
      </c>
      <c r="R36" s="751">
        <f t="shared" si="51"/>
        <v>2.08</v>
      </c>
      <c r="S36" s="751">
        <f t="shared" si="51"/>
        <v>2.08</v>
      </c>
      <c r="T36" s="752">
        <f t="shared" si="51"/>
        <v>2.08</v>
      </c>
      <c r="U36" s="753">
        <f t="shared" si="51"/>
        <v>2.08</v>
      </c>
      <c r="W36" s="749">
        <v>0</v>
      </c>
      <c r="X36" s="754">
        <f t="shared" ref="X36:AG36" si="52">$AB$28</f>
        <v>0.16999999999999993</v>
      </c>
      <c r="Y36" s="755">
        <f t="shared" si="52"/>
        <v>0.16999999999999993</v>
      </c>
      <c r="Z36" s="755">
        <f t="shared" si="52"/>
        <v>0.16999999999999993</v>
      </c>
      <c r="AA36" s="755">
        <f t="shared" si="52"/>
        <v>0.16999999999999993</v>
      </c>
      <c r="AB36" s="755">
        <f t="shared" si="52"/>
        <v>0.16999999999999993</v>
      </c>
      <c r="AC36" s="755">
        <f t="shared" si="52"/>
        <v>0.16999999999999993</v>
      </c>
      <c r="AD36" s="755">
        <f t="shared" si="52"/>
        <v>0.16999999999999993</v>
      </c>
      <c r="AE36" s="755">
        <f t="shared" si="52"/>
        <v>0.16999999999999993</v>
      </c>
      <c r="AF36" s="756">
        <f t="shared" si="52"/>
        <v>0.16999999999999993</v>
      </c>
      <c r="AG36" s="757">
        <f t="shared" si="52"/>
        <v>0.16999999999999993</v>
      </c>
      <c r="AI36" s="749">
        <v>0</v>
      </c>
      <c r="AJ36" s="758">
        <f t="shared" ref="AJ36:AS61" si="53">L36+X36</f>
        <v>2.25</v>
      </c>
      <c r="AK36" s="759">
        <f t="shared" si="53"/>
        <v>2.25</v>
      </c>
      <c r="AL36" s="759">
        <f t="shared" si="53"/>
        <v>2.25</v>
      </c>
      <c r="AM36" s="759">
        <f t="shared" si="53"/>
        <v>2.25</v>
      </c>
      <c r="AN36" s="759">
        <f t="shared" si="53"/>
        <v>2.25</v>
      </c>
      <c r="AO36" s="759">
        <f t="shared" si="53"/>
        <v>2.25</v>
      </c>
      <c r="AP36" s="759">
        <f t="shared" si="53"/>
        <v>2.25</v>
      </c>
      <c r="AQ36" s="759">
        <f t="shared" si="53"/>
        <v>2.25</v>
      </c>
      <c r="AR36" s="760">
        <f t="shared" si="53"/>
        <v>2.25</v>
      </c>
      <c r="AS36" s="759">
        <f t="shared" si="53"/>
        <v>2.25</v>
      </c>
      <c r="AT36" s="669">
        <f>$B$6</f>
        <v>1.75</v>
      </c>
      <c r="AU36" s="761">
        <f>$B$8</f>
        <v>1.8</v>
      </c>
      <c r="AV36" s="761">
        <f>$B$9</f>
        <v>1.81</v>
      </c>
      <c r="AW36" s="761">
        <f>$B$10</f>
        <v>1.83</v>
      </c>
      <c r="AX36" s="761">
        <f>$B$11</f>
        <v>1.84</v>
      </c>
      <c r="AY36" s="761">
        <f>$B$12</f>
        <v>1.86</v>
      </c>
      <c r="AZ36" s="761">
        <f>$B$13</f>
        <v>1.88</v>
      </c>
      <c r="BA36" s="761">
        <f>$B$14</f>
        <v>1.9</v>
      </c>
      <c r="BB36" s="761">
        <f>$B$15</f>
        <v>1.92</v>
      </c>
      <c r="BC36" s="762">
        <f>IF($AI36&lt;$AB$22,1000000,IF($AI36=$AB$22,0,-1000000))</f>
        <v>1000000</v>
      </c>
      <c r="BD36" s="763">
        <f>IF($AI36&lt;$X$21,-1000000,IF($AI36=$X$21,0,1000000))</f>
        <v>-1000000</v>
      </c>
      <c r="BF36" s="764">
        <f t="shared" ref="BF36:BO36" si="54">$X$24</f>
        <v>2.25</v>
      </c>
      <c r="BG36" s="765">
        <f t="shared" si="54"/>
        <v>2.25</v>
      </c>
      <c r="BH36" s="765">
        <f t="shared" si="54"/>
        <v>2.25</v>
      </c>
      <c r="BI36" s="765">
        <f t="shared" si="54"/>
        <v>2.25</v>
      </c>
      <c r="BJ36" s="765">
        <f t="shared" si="54"/>
        <v>2.25</v>
      </c>
      <c r="BK36" s="765">
        <f t="shared" si="54"/>
        <v>2.25</v>
      </c>
      <c r="BL36" s="765">
        <f t="shared" si="54"/>
        <v>2.25</v>
      </c>
      <c r="BM36" s="765">
        <f t="shared" si="54"/>
        <v>2.25</v>
      </c>
      <c r="BN36" s="765">
        <f t="shared" si="54"/>
        <v>2.25</v>
      </c>
      <c r="BO36" s="766">
        <f t="shared" si="54"/>
        <v>2.25</v>
      </c>
      <c r="BP36" s="764">
        <f t="shared" ref="BP36:BY61" si="55">IF($BZ36*BF$34&lt;$AB$22,BF36,-1000000)</f>
        <v>2.25</v>
      </c>
      <c r="BQ36" s="765">
        <f t="shared" si="55"/>
        <v>2.25</v>
      </c>
      <c r="BR36" s="765">
        <f t="shared" si="55"/>
        <v>2.25</v>
      </c>
      <c r="BS36" s="765">
        <f t="shared" si="55"/>
        <v>2.25</v>
      </c>
      <c r="BT36" s="765">
        <f t="shared" si="55"/>
        <v>2.25</v>
      </c>
      <c r="BU36" s="765">
        <f t="shared" si="55"/>
        <v>2.25</v>
      </c>
      <c r="BV36" s="765">
        <f t="shared" si="55"/>
        <v>2.25</v>
      </c>
      <c r="BW36" s="765">
        <f t="shared" si="55"/>
        <v>2.25</v>
      </c>
      <c r="BX36" s="765">
        <f t="shared" si="55"/>
        <v>2.25</v>
      </c>
      <c r="BY36" s="765">
        <f t="shared" si="55"/>
        <v>2.25</v>
      </c>
      <c r="BZ36" s="627">
        <f t="shared" ref="BZ36:BZ99" si="56">(J36/$J$157)*$BZ$34</f>
        <v>0</v>
      </c>
      <c r="CA36" s="767">
        <f t="shared" ref="CA36:CJ51" si="57">IF(BP36&lt;0,-1000000,BP36)</f>
        <v>2.25</v>
      </c>
      <c r="CB36" s="767">
        <f t="shared" si="57"/>
        <v>2.25</v>
      </c>
      <c r="CC36" s="767">
        <f t="shared" si="57"/>
        <v>2.25</v>
      </c>
      <c r="CD36" s="767">
        <f t="shared" si="57"/>
        <v>2.25</v>
      </c>
      <c r="CE36" s="767">
        <f t="shared" si="57"/>
        <v>2.25</v>
      </c>
      <c r="CF36" s="767">
        <f t="shared" si="57"/>
        <v>2.25</v>
      </c>
      <c r="CG36" s="767">
        <f t="shared" si="57"/>
        <v>2.25</v>
      </c>
      <c r="CH36" s="767">
        <f t="shared" si="57"/>
        <v>2.25</v>
      </c>
      <c r="CI36" s="767">
        <f t="shared" si="57"/>
        <v>2.25</v>
      </c>
      <c r="CJ36" s="767">
        <f t="shared" si="57"/>
        <v>2.25</v>
      </c>
      <c r="CK36" s="764">
        <f t="shared" ref="CK36:CK99" si="58">$X$26</f>
        <v>1.75</v>
      </c>
      <c r="CL36" s="768">
        <f>IF(BZ36&lt;$X$22,-1000000,IF(BZ36=$X$22,0,1000000))</f>
        <v>-1000000</v>
      </c>
      <c r="CM36" s="552"/>
      <c r="CN36" s="552"/>
      <c r="CO36" s="552"/>
      <c r="CP36" s="769" t="s">
        <v>310</v>
      </c>
      <c r="CQ36" s="698">
        <f>AB24</f>
        <v>4.7699999999999996</v>
      </c>
      <c r="CR36" s="711" t="s">
        <v>311</v>
      </c>
      <c r="CS36" s="770">
        <f>CQ36/1000</f>
        <v>4.7699999999999999E-3</v>
      </c>
      <c r="CT36" s="711" t="s">
        <v>312</v>
      </c>
      <c r="CU36" s="552"/>
      <c r="CV36" s="552"/>
      <c r="CW36" s="552"/>
      <c r="CX36" s="552"/>
      <c r="CY36" s="552"/>
      <c r="CZ36" s="642">
        <f t="shared" si="39"/>
        <v>29</v>
      </c>
      <c r="DA36" s="609">
        <f t="shared" si="0"/>
        <v>32.625</v>
      </c>
      <c r="DB36" s="609">
        <f t="shared" si="22"/>
        <v>11.6</v>
      </c>
      <c r="DC36" s="610">
        <f t="shared" si="45"/>
        <v>125.89471960159123</v>
      </c>
      <c r="DD36" s="611">
        <f t="shared" si="45"/>
        <v>128.64442865005617</v>
      </c>
      <c r="DE36" s="612">
        <f t="shared" si="45"/>
        <v>132.41293235831105</v>
      </c>
      <c r="DF36" s="610">
        <f t="shared" si="46"/>
        <v>19.411764705882348</v>
      </c>
      <c r="DG36" s="611">
        <f t="shared" si="46"/>
        <v>22</v>
      </c>
      <c r="DH36" s="612">
        <f t="shared" si="46"/>
        <v>28.470588235294098</v>
      </c>
      <c r="DI36" s="610">
        <f t="shared" si="3"/>
        <v>145.30648430747357</v>
      </c>
      <c r="DJ36" s="611">
        <f t="shared" si="3"/>
        <v>150.64442865005617</v>
      </c>
      <c r="DK36" s="612">
        <f t="shared" si="3"/>
        <v>160.88352059360514</v>
      </c>
      <c r="DL36" s="613">
        <f t="shared" si="43"/>
        <v>102.29411764705878</v>
      </c>
      <c r="DM36" s="613">
        <f t="shared" si="43"/>
        <v>102.29411764705878</v>
      </c>
      <c r="DN36" s="613">
        <f t="shared" si="43"/>
        <v>102.29411764705878</v>
      </c>
      <c r="DO36" s="609">
        <f t="shared" si="5"/>
        <v>135</v>
      </c>
      <c r="DP36" s="609"/>
      <c r="DQ36" s="609">
        <f t="shared" si="24"/>
        <v>11.6</v>
      </c>
      <c r="DR36" s="610">
        <f t="shared" si="6"/>
        <v>2.1165226402623798</v>
      </c>
      <c r="DS36" s="611">
        <f t="shared" si="6"/>
        <v>1.6743330691003415</v>
      </c>
      <c r="DT36" s="612">
        <f t="shared" si="6"/>
        <v>0.88200043572225473</v>
      </c>
      <c r="DU36" s="611">
        <f t="shared" si="44"/>
        <v>12.499999999999989</v>
      </c>
      <c r="DV36" s="611">
        <f t="shared" si="44"/>
        <v>12.499999999999989</v>
      </c>
      <c r="DW36" s="611">
        <f t="shared" si="44"/>
        <v>12.499999999999989</v>
      </c>
      <c r="DX36" s="614">
        <f t="shared" si="7"/>
        <v>12.5</v>
      </c>
      <c r="DY36" s="615"/>
      <c r="DZ36" s="609">
        <f t="shared" si="25"/>
        <v>11.6</v>
      </c>
      <c r="EA36" s="611">
        <f t="shared" si="47"/>
        <v>2.0992799401197604</v>
      </c>
      <c r="EB36" s="611">
        <f t="shared" si="47"/>
        <v>2.1390779816513761</v>
      </c>
      <c r="EC36" s="611">
        <f t="shared" si="47"/>
        <v>1000000</v>
      </c>
      <c r="ED36" s="610">
        <f t="shared" si="48"/>
        <v>0.22002999999999975</v>
      </c>
      <c r="EE36" s="611">
        <f t="shared" si="48"/>
        <v>0.22005999999999976</v>
      </c>
      <c r="EF36" s="612">
        <f t="shared" si="48"/>
        <v>0.22012499999999974</v>
      </c>
      <c r="EG36" s="611">
        <f t="shared" si="10"/>
        <v>2.3193099401197603</v>
      </c>
      <c r="EH36" s="611">
        <f t="shared" si="10"/>
        <v>2.3591379816513758</v>
      </c>
      <c r="EI36" s="611">
        <f t="shared" si="10"/>
        <v>1000000.220125</v>
      </c>
      <c r="EJ36" s="610">
        <f t="shared" si="26"/>
        <v>2.2999999999999998</v>
      </c>
      <c r="EK36" s="643">
        <f t="shared" si="27"/>
        <v>2.25</v>
      </c>
      <c r="EL36" s="644">
        <f t="shared" si="28"/>
        <v>2.83</v>
      </c>
      <c r="EN36" s="620">
        <f t="shared" si="29"/>
        <v>6.3236111111111111</v>
      </c>
      <c r="EO36" s="621">
        <f t="shared" si="40"/>
        <v>112.33781565781715</v>
      </c>
      <c r="EP36" s="621">
        <f t="shared" si="40"/>
        <v>118.00186935699178</v>
      </c>
      <c r="EQ36" s="621">
        <f t="shared" si="40"/>
        <v>122.63683499538159</v>
      </c>
      <c r="ER36" s="610">
        <f t="shared" si="12"/>
        <v>75.545542884838341</v>
      </c>
      <c r="ES36" s="611">
        <f t="shared" si="12"/>
        <v>101.90190014863811</v>
      </c>
      <c r="ET36" s="612">
        <f t="shared" si="12"/>
        <v>124.18230513747508</v>
      </c>
      <c r="EU36" s="610">
        <f t="shared" si="30"/>
        <v>100</v>
      </c>
      <c r="EV36" s="611">
        <f t="shared" si="31"/>
        <v>135</v>
      </c>
      <c r="EW36" s="645">
        <f t="shared" si="32"/>
        <v>1000000</v>
      </c>
      <c r="EX36" s="610">
        <f t="shared" si="13"/>
        <v>-36.792272772978805</v>
      </c>
      <c r="EY36" s="621">
        <f t="shared" si="14"/>
        <v>-16.09996920835367</v>
      </c>
      <c r="EZ36" s="612">
        <f t="shared" si="15"/>
        <v>1.545470142093496</v>
      </c>
      <c r="FA36" s="646">
        <f t="shared" si="16"/>
        <v>6.3236111111111111</v>
      </c>
      <c r="FB36" s="317"/>
      <c r="FC36" s="552"/>
      <c r="FD36" s="648">
        <v>12.5</v>
      </c>
      <c r="FE36" s="649">
        <f t="shared" si="17"/>
        <v>74.369457476153983</v>
      </c>
      <c r="FF36" s="650">
        <f t="shared" si="17"/>
        <v>90.953181453077107</v>
      </c>
      <c r="FG36" s="651">
        <f t="shared" si="17"/>
        <v>100</v>
      </c>
      <c r="FI36" s="653"/>
      <c r="FJ36" s="652">
        <v>100</v>
      </c>
      <c r="FK36" s="633">
        <f t="shared" si="33"/>
        <v>100</v>
      </c>
      <c r="FL36" s="564">
        <f t="shared" si="34"/>
        <v>135</v>
      </c>
      <c r="FM36" s="634">
        <f t="shared" si="35"/>
        <v>1000000000</v>
      </c>
      <c r="FN36" s="621">
        <f t="shared" si="41"/>
        <v>90.218598195697453</v>
      </c>
      <c r="FO36" s="621">
        <f t="shared" si="41"/>
        <v>101.40812077043208</v>
      </c>
      <c r="FP36" s="654">
        <f t="shared" si="41"/>
        <v>110.56607345702383</v>
      </c>
      <c r="FQ36" s="610">
        <f t="shared" si="42"/>
        <v>-15.84914071954347</v>
      </c>
      <c r="FR36" s="611">
        <f t="shared" si="42"/>
        <v>-10.45493931735497</v>
      </c>
      <c r="FS36" s="612">
        <f t="shared" si="42"/>
        <v>-10.566073457023833</v>
      </c>
      <c r="FT36" s="633">
        <f t="shared" si="36"/>
        <v>0</v>
      </c>
      <c r="FU36" s="564">
        <f t="shared" si="36"/>
        <v>0</v>
      </c>
      <c r="FV36" s="655">
        <f t="shared" si="36"/>
        <v>0</v>
      </c>
      <c r="FW36" s="633">
        <f t="shared" si="37"/>
        <v>0</v>
      </c>
      <c r="FX36" s="564">
        <f t="shared" si="37"/>
        <v>0</v>
      </c>
      <c r="FY36" s="655">
        <f t="shared" si="37"/>
        <v>1</v>
      </c>
    </row>
    <row r="37" spans="1:181" s="564" customFormat="1" ht="15" customHeight="1" x14ac:dyDescent="0.2">
      <c r="B37" s="647">
        <f t="shared" ref="B37:B46" si="59">$C$4</f>
        <v>100</v>
      </c>
      <c r="C37" s="652">
        <f>$C$7</f>
        <v>132</v>
      </c>
      <c r="D37" s="771">
        <f>$B$7</f>
        <v>1.78</v>
      </c>
      <c r="E37" s="772">
        <f t="shared" si="49"/>
        <v>1.32</v>
      </c>
      <c r="F37" s="652"/>
      <c r="G37" s="747">
        <f t="shared" si="50"/>
        <v>1.698379385627165</v>
      </c>
      <c r="H37" s="748">
        <f t="shared" ref="H37:H100" si="60">(D37-G37)^2</f>
        <v>6.6619246905990515E-3</v>
      </c>
      <c r="I37" s="652"/>
      <c r="J37" s="773">
        <v>0</v>
      </c>
      <c r="K37" s="774">
        <f t="shared" ref="K37:K100" si="61">($J37/$J$157)*$AB$22</f>
        <v>0</v>
      </c>
      <c r="L37" s="747">
        <f t="shared" ref="L37:U52" si="62">$AB$21-($AD$24*L$34)/(1-($K37)/($AB$22))</f>
        <v>2.0746576000000001</v>
      </c>
      <c r="M37" s="751">
        <f t="shared" si="62"/>
        <v>2.0724806249999999</v>
      </c>
      <c r="N37" s="751">
        <f t="shared" si="62"/>
        <v>2.0687209375000002</v>
      </c>
      <c r="O37" s="751">
        <f t="shared" si="62"/>
        <v>2.0649612500000001</v>
      </c>
      <c r="P37" s="751">
        <f t="shared" si="62"/>
        <v>2.0577399999999999</v>
      </c>
      <c r="Q37" s="751">
        <f t="shared" si="62"/>
        <v>2.0535265000000003</v>
      </c>
      <c r="R37" s="751">
        <f t="shared" si="62"/>
        <v>2.0374675</v>
      </c>
      <c r="S37" s="751">
        <f t="shared" si="62"/>
        <v>2.0304397000000001</v>
      </c>
      <c r="T37" s="752">
        <f t="shared" si="62"/>
        <v>2.020375</v>
      </c>
      <c r="U37" s="753">
        <f t="shared" si="62"/>
        <v>1.9551850000000002</v>
      </c>
      <c r="W37" s="773">
        <f t="shared" ref="W37:W100" si="63">($J37/$J$157)*$AB$22</f>
        <v>0</v>
      </c>
      <c r="X37" s="775">
        <f t="shared" ref="X37:AG52" si="64">$AB$28*(1-(1-EXP(-(($W37)/($AB$23))))/(1-EXP(-1)))-$AD$25*X$34</f>
        <v>0.16998879999999994</v>
      </c>
      <c r="Y37" s="776">
        <f t="shared" si="64"/>
        <v>0.16998423611111105</v>
      </c>
      <c r="Z37" s="776">
        <f t="shared" si="64"/>
        <v>0.16997635416666659</v>
      </c>
      <c r="AA37" s="776">
        <f t="shared" si="64"/>
        <v>0.16996847222222214</v>
      </c>
      <c r="AB37" s="776">
        <f t="shared" si="64"/>
        <v>0.16995333333333326</v>
      </c>
      <c r="AC37" s="776">
        <f t="shared" si="64"/>
        <v>0.16994449999999994</v>
      </c>
      <c r="AD37" s="776">
        <f t="shared" si="64"/>
        <v>0.16991083333333326</v>
      </c>
      <c r="AE37" s="776">
        <f t="shared" si="64"/>
        <v>0.16989609999999994</v>
      </c>
      <c r="AF37" s="777">
        <f t="shared" si="64"/>
        <v>0.16987499999999994</v>
      </c>
      <c r="AG37" s="778">
        <f t="shared" si="64"/>
        <v>0.16973833333333327</v>
      </c>
      <c r="AI37" s="773">
        <f t="shared" ref="AI37:AI100" si="65">($J37/$J$157)*$AB$22</f>
        <v>0</v>
      </c>
      <c r="AJ37" s="747">
        <f t="shared" si="53"/>
        <v>2.2446464000000002</v>
      </c>
      <c r="AK37" s="751">
        <f t="shared" si="53"/>
        <v>2.2424648611111109</v>
      </c>
      <c r="AL37" s="751">
        <f t="shared" si="53"/>
        <v>2.238697291666667</v>
      </c>
      <c r="AM37" s="751">
        <f t="shared" si="53"/>
        <v>2.2349297222222222</v>
      </c>
      <c r="AN37" s="751">
        <f t="shared" si="53"/>
        <v>2.2276933333333333</v>
      </c>
      <c r="AO37" s="751">
        <f t="shared" si="53"/>
        <v>2.223471</v>
      </c>
      <c r="AP37" s="751">
        <f t="shared" si="53"/>
        <v>2.2073783333333332</v>
      </c>
      <c r="AQ37" s="751">
        <f t="shared" si="53"/>
        <v>2.2003358</v>
      </c>
      <c r="AR37" s="752">
        <f t="shared" si="53"/>
        <v>2.1902499999999998</v>
      </c>
      <c r="AS37" s="751">
        <f t="shared" si="53"/>
        <v>2.1249233333333333</v>
      </c>
      <c r="AT37" s="674">
        <f t="shared" ref="AT37:AT100" si="66">$B$6</f>
        <v>1.75</v>
      </c>
      <c r="AU37" s="712">
        <f t="shared" ref="AU37:AU100" si="67">$B$8</f>
        <v>1.8</v>
      </c>
      <c r="AV37" s="712">
        <f t="shared" ref="AV37:AV100" si="68">$B$9</f>
        <v>1.81</v>
      </c>
      <c r="AW37" s="712">
        <f t="shared" ref="AW37:AW100" si="69">$B$10</f>
        <v>1.83</v>
      </c>
      <c r="AX37" s="712">
        <f t="shared" ref="AX37:AX100" si="70">$B$11</f>
        <v>1.84</v>
      </c>
      <c r="AY37" s="712">
        <f t="shared" ref="AY37:AY100" si="71">$B$12</f>
        <v>1.86</v>
      </c>
      <c r="AZ37" s="712">
        <f t="shared" ref="AZ37:AZ100" si="72">$B$13</f>
        <v>1.88</v>
      </c>
      <c r="BA37" s="712">
        <f t="shared" ref="BA37:BA100" si="73">$B$14</f>
        <v>1.9</v>
      </c>
      <c r="BB37" s="712">
        <f t="shared" ref="BB37:BB100" si="74">$B$15</f>
        <v>1.92</v>
      </c>
      <c r="BC37" s="779">
        <f t="shared" ref="BC37:BC100" si="75">IF($AI37&lt;$AB$22,1000000,IF($AI37=$AB$22,0,-1000000))</f>
        <v>1000000</v>
      </c>
      <c r="BD37" s="780">
        <f t="shared" ref="BD37:BD100" si="76">IF($AI37&lt;$X$21,-1000000,IF($AI37=$X$21,0,1000000))</f>
        <v>-1000000</v>
      </c>
      <c r="BF37" s="781">
        <f t="shared" ref="BF37:BO52" si="77">$AB$21-(($AD$24/(1-(BF$34*$BZ37)/($AB$22)))+$AD$25)*BF$34+$AB$28*(1-(1-EXP(-(BF$34*$BZ37)/($AB$23)))/(1-EXP(-1)))</f>
        <v>2.2446464000000002</v>
      </c>
      <c r="BG37" s="767">
        <f t="shared" si="77"/>
        <v>2.2424648611111113</v>
      </c>
      <c r="BH37" s="767">
        <f t="shared" si="77"/>
        <v>2.2386972916666665</v>
      </c>
      <c r="BI37" s="767">
        <f t="shared" si="77"/>
        <v>2.2349297222222222</v>
      </c>
      <c r="BJ37" s="767">
        <f t="shared" si="77"/>
        <v>2.2276933333333333</v>
      </c>
      <c r="BK37" s="767">
        <f t="shared" si="77"/>
        <v>2.223471</v>
      </c>
      <c r="BL37" s="767">
        <f t="shared" si="77"/>
        <v>2.2073783333333332</v>
      </c>
      <c r="BM37" s="767">
        <f t="shared" si="77"/>
        <v>2.2003358</v>
      </c>
      <c r="BN37" s="767">
        <f t="shared" si="77"/>
        <v>2.1902499999999998</v>
      </c>
      <c r="BO37" s="782">
        <f t="shared" si="77"/>
        <v>2.1249233333333333</v>
      </c>
      <c r="BP37" s="781">
        <f t="shared" si="55"/>
        <v>2.2446464000000002</v>
      </c>
      <c r="BQ37" s="767">
        <f t="shared" si="55"/>
        <v>2.2424648611111113</v>
      </c>
      <c r="BR37" s="767">
        <f t="shared" si="55"/>
        <v>2.2386972916666665</v>
      </c>
      <c r="BS37" s="767">
        <f t="shared" si="55"/>
        <v>2.2349297222222222</v>
      </c>
      <c r="BT37" s="767">
        <f t="shared" si="55"/>
        <v>2.2276933333333333</v>
      </c>
      <c r="BU37" s="767">
        <f t="shared" si="55"/>
        <v>2.223471</v>
      </c>
      <c r="BV37" s="767">
        <f t="shared" si="55"/>
        <v>2.2073783333333332</v>
      </c>
      <c r="BW37" s="767">
        <f t="shared" si="55"/>
        <v>2.2003358</v>
      </c>
      <c r="BX37" s="767">
        <f t="shared" si="55"/>
        <v>2.1902499999999998</v>
      </c>
      <c r="BY37" s="767">
        <f t="shared" si="55"/>
        <v>2.1249233333333333</v>
      </c>
      <c r="BZ37" s="648">
        <f t="shared" si="56"/>
        <v>0</v>
      </c>
      <c r="CA37" s="767">
        <f t="shared" si="57"/>
        <v>2.2446464000000002</v>
      </c>
      <c r="CB37" s="767">
        <f t="shared" si="57"/>
        <v>2.2424648611111113</v>
      </c>
      <c r="CC37" s="767">
        <f t="shared" si="57"/>
        <v>2.2386972916666665</v>
      </c>
      <c r="CD37" s="767">
        <f t="shared" si="57"/>
        <v>2.2349297222222222</v>
      </c>
      <c r="CE37" s="767">
        <f t="shared" si="57"/>
        <v>2.2276933333333333</v>
      </c>
      <c r="CF37" s="767">
        <f t="shared" si="57"/>
        <v>2.223471</v>
      </c>
      <c r="CG37" s="767">
        <f t="shared" si="57"/>
        <v>2.2073783333333332</v>
      </c>
      <c r="CH37" s="767">
        <f t="shared" si="57"/>
        <v>2.2003358</v>
      </c>
      <c r="CI37" s="767">
        <f t="shared" si="57"/>
        <v>2.1902499999999998</v>
      </c>
      <c r="CJ37" s="767">
        <f t="shared" si="57"/>
        <v>2.1249233333333333</v>
      </c>
      <c r="CK37" s="781">
        <f t="shared" si="58"/>
        <v>1.75</v>
      </c>
      <c r="CL37" s="783">
        <f t="shared" ref="CL37:CL100" si="78">IF(BZ37&lt;$X$22,-1000000,IF(BZ37=$X$22,0,1000000))</f>
        <v>-1000000</v>
      </c>
      <c r="CM37" s="552"/>
      <c r="CN37" s="552"/>
      <c r="CO37" s="552"/>
      <c r="CP37" s="769" t="s">
        <v>313</v>
      </c>
      <c r="CQ37" s="698">
        <f>AB25</f>
        <v>0.01</v>
      </c>
      <c r="CR37" s="711" t="s">
        <v>311</v>
      </c>
      <c r="CS37" s="770">
        <f>CQ37/1000</f>
        <v>1.0000000000000001E-5</v>
      </c>
      <c r="CT37" s="711" t="s">
        <v>312</v>
      </c>
      <c r="CU37" s="552"/>
      <c r="CV37" s="552"/>
      <c r="CW37" s="552"/>
      <c r="CX37" s="613"/>
      <c r="CY37" s="613"/>
      <c r="CZ37" s="642">
        <f t="shared" si="39"/>
        <v>30</v>
      </c>
      <c r="DA37" s="609">
        <f t="shared" si="0"/>
        <v>33.75</v>
      </c>
      <c r="DB37" s="609">
        <f t="shared" si="22"/>
        <v>12</v>
      </c>
      <c r="DC37" s="610">
        <f t="shared" si="45"/>
        <v>126.70316182463439</v>
      </c>
      <c r="DD37" s="611">
        <f t="shared" si="45"/>
        <v>129.2800820418596</v>
      </c>
      <c r="DE37" s="612">
        <f t="shared" si="45"/>
        <v>132.74273394836518</v>
      </c>
      <c r="DF37" s="610">
        <f t="shared" si="46"/>
        <v>19.411764705882348</v>
      </c>
      <c r="DG37" s="611">
        <f t="shared" si="46"/>
        <v>22</v>
      </c>
      <c r="DH37" s="612">
        <f t="shared" si="46"/>
        <v>28.470588235294098</v>
      </c>
      <c r="DI37" s="610">
        <f t="shared" si="3"/>
        <v>146.11492653051675</v>
      </c>
      <c r="DJ37" s="611">
        <f t="shared" si="3"/>
        <v>151.2800820418596</v>
      </c>
      <c r="DK37" s="612">
        <f t="shared" si="3"/>
        <v>161.21332218365927</v>
      </c>
      <c r="DL37" s="613">
        <f t="shared" si="43"/>
        <v>107.29411764705878</v>
      </c>
      <c r="DM37" s="613">
        <f t="shared" si="43"/>
        <v>107.29411764705878</v>
      </c>
      <c r="DN37" s="613">
        <f t="shared" si="43"/>
        <v>107.29411764705878</v>
      </c>
      <c r="DO37" s="609">
        <f t="shared" si="5"/>
        <v>135</v>
      </c>
      <c r="DP37" s="609"/>
      <c r="DQ37" s="609">
        <f t="shared" si="24"/>
        <v>12</v>
      </c>
      <c r="DR37" s="610">
        <f t="shared" si="6"/>
        <v>1.9286002267237556</v>
      </c>
      <c r="DS37" s="611">
        <f t="shared" si="6"/>
        <v>1.5068744039731428</v>
      </c>
      <c r="DT37" s="612">
        <f t="shared" si="6"/>
        <v>0.76956226771991199</v>
      </c>
      <c r="DU37" s="611">
        <f t="shared" si="44"/>
        <v>12.499999999999989</v>
      </c>
      <c r="DV37" s="611">
        <f t="shared" si="44"/>
        <v>12.499999999999989</v>
      </c>
      <c r="DW37" s="611">
        <f t="shared" si="44"/>
        <v>12.499999999999989</v>
      </c>
      <c r="DX37" s="614">
        <f t="shared" si="7"/>
        <v>12.5</v>
      </c>
      <c r="DY37" s="615"/>
      <c r="DZ37" s="609">
        <f t="shared" si="25"/>
        <v>12</v>
      </c>
      <c r="EA37" s="611">
        <f t="shared" si="47"/>
        <v>2.0995136363636364</v>
      </c>
      <c r="EB37" s="611">
        <f t="shared" si="47"/>
        <v>2.1413285714285717</v>
      </c>
      <c r="EC37" s="611">
        <f t="shared" si="47"/>
        <v>1000000</v>
      </c>
      <c r="ED37" s="610">
        <f t="shared" si="48"/>
        <v>0.22002999999999975</v>
      </c>
      <c r="EE37" s="611">
        <f t="shared" si="48"/>
        <v>0.22005999999999976</v>
      </c>
      <c r="EF37" s="612">
        <f t="shared" si="48"/>
        <v>0.22012499999999974</v>
      </c>
      <c r="EG37" s="611">
        <f t="shared" si="10"/>
        <v>2.3195436363636364</v>
      </c>
      <c r="EH37" s="611">
        <f t="shared" si="10"/>
        <v>2.3613885714285714</v>
      </c>
      <c r="EI37" s="611">
        <f t="shared" si="10"/>
        <v>1000000.220125</v>
      </c>
      <c r="EJ37" s="610">
        <f t="shared" si="26"/>
        <v>2.2999999999999998</v>
      </c>
      <c r="EK37" s="643">
        <f t="shared" si="27"/>
        <v>2.25</v>
      </c>
      <c r="EL37" s="644">
        <f t="shared" si="28"/>
        <v>2.83</v>
      </c>
      <c r="EN37" s="620">
        <f t="shared" si="29"/>
        <v>6.541666666666667</v>
      </c>
      <c r="EO37" s="621">
        <f t="shared" si="40"/>
        <v>111.55664492302567</v>
      </c>
      <c r="EP37" s="621">
        <f t="shared" si="40"/>
        <v>117.41588664200903</v>
      </c>
      <c r="EQ37" s="621">
        <f t="shared" si="40"/>
        <v>122.21060345360831</v>
      </c>
      <c r="ER37" s="610">
        <f t="shared" si="12"/>
        <v>74.624311301127022</v>
      </c>
      <c r="ES37" s="611">
        <f t="shared" si="12"/>
        <v>100.71135740194535</v>
      </c>
      <c r="ET37" s="612">
        <f t="shared" si="12"/>
        <v>123.21887438425254</v>
      </c>
      <c r="EU37" s="610">
        <f t="shared" si="30"/>
        <v>100</v>
      </c>
      <c r="EV37" s="611">
        <f t="shared" si="31"/>
        <v>135</v>
      </c>
      <c r="EW37" s="645">
        <f t="shared" si="32"/>
        <v>1000000</v>
      </c>
      <c r="EX37" s="610">
        <f t="shared" si="13"/>
        <v>-36.932333621898643</v>
      </c>
      <c r="EY37" s="621">
        <f t="shared" si="14"/>
        <v>-16.704529240063685</v>
      </c>
      <c r="EZ37" s="612">
        <f t="shared" si="15"/>
        <v>1.0082709306442297</v>
      </c>
      <c r="FA37" s="646">
        <f t="shared" si="16"/>
        <v>6.541666666666667</v>
      </c>
      <c r="FB37" s="317"/>
      <c r="FC37" s="552"/>
      <c r="FD37" s="648">
        <v>13.083333333333334</v>
      </c>
      <c r="FE37" s="649">
        <f t="shared" si="17"/>
        <v>71.276851586663469</v>
      </c>
      <c r="FF37" s="650">
        <f t="shared" si="17"/>
        <v>88.525224376282807</v>
      </c>
      <c r="FG37" s="651">
        <f t="shared" si="17"/>
        <v>97.996062893915507</v>
      </c>
      <c r="FH37" s="652">
        <v>78.5</v>
      </c>
      <c r="FK37" s="633">
        <f t="shared" si="33"/>
        <v>100</v>
      </c>
      <c r="FL37" s="564">
        <f t="shared" si="34"/>
        <v>135</v>
      </c>
      <c r="FM37" s="634">
        <f t="shared" si="35"/>
        <v>1000000000</v>
      </c>
      <c r="FN37" s="621">
        <f t="shared" si="41"/>
        <v>88.13031731565485</v>
      </c>
      <c r="FO37" s="621">
        <f t="shared" si="41"/>
        <v>99.841353845299608</v>
      </c>
      <c r="FP37" s="654">
        <f t="shared" si="41"/>
        <v>109.42627544130231</v>
      </c>
      <c r="FQ37" s="610">
        <f t="shared" si="42"/>
        <v>-16.853465728991374</v>
      </c>
      <c r="FR37" s="611">
        <f t="shared" si="42"/>
        <v>-11.316129469016801</v>
      </c>
      <c r="FS37" s="612">
        <f t="shared" si="42"/>
        <v>-11.430212547386809</v>
      </c>
      <c r="FT37" s="633">
        <f t="shared" si="36"/>
        <v>52.173873001086051</v>
      </c>
      <c r="FU37" s="564">
        <f t="shared" si="36"/>
        <v>0</v>
      </c>
      <c r="FV37" s="655">
        <f t="shared" si="36"/>
        <v>0</v>
      </c>
      <c r="FW37" s="633">
        <f t="shared" si="37"/>
        <v>1</v>
      </c>
      <c r="FX37" s="564">
        <f t="shared" si="37"/>
        <v>0</v>
      </c>
      <c r="FY37" s="655">
        <f t="shared" si="37"/>
        <v>0</v>
      </c>
    </row>
    <row r="38" spans="1:181" s="564" customFormat="1" ht="15" customHeight="1" x14ac:dyDescent="0.2">
      <c r="B38" s="647">
        <f t="shared" si="59"/>
        <v>100</v>
      </c>
      <c r="C38" s="652">
        <f>$C$8</f>
        <v>131.5</v>
      </c>
      <c r="D38" s="771">
        <f>$B$8</f>
        <v>1.8</v>
      </c>
      <c r="E38" s="772">
        <f t="shared" si="49"/>
        <v>1.3149999999999999</v>
      </c>
      <c r="F38" s="652"/>
      <c r="G38" s="747">
        <f t="shared" si="50"/>
        <v>1.7397915454051822</v>
      </c>
      <c r="H38" s="748">
        <f t="shared" si="60"/>
        <v>3.6250580046962399E-3</v>
      </c>
      <c r="I38" s="652"/>
      <c r="J38" s="773">
        <f>1+J37</f>
        <v>1</v>
      </c>
      <c r="K38" s="774">
        <f t="shared" si="61"/>
        <v>1.125</v>
      </c>
      <c r="L38" s="747">
        <f t="shared" si="62"/>
        <v>2.0746127058823531</v>
      </c>
      <c r="M38" s="751">
        <f t="shared" si="62"/>
        <v>2.0724174369747899</v>
      </c>
      <c r="N38" s="751">
        <f t="shared" si="62"/>
        <v>2.068626155462185</v>
      </c>
      <c r="O38" s="751">
        <f t="shared" si="62"/>
        <v>2.0648348739495801</v>
      </c>
      <c r="P38" s="751">
        <f t="shared" si="62"/>
        <v>2.0575529411764708</v>
      </c>
      <c r="Q38" s="751">
        <f t="shared" si="62"/>
        <v>2.0533040336134456</v>
      </c>
      <c r="R38" s="751">
        <f t="shared" si="62"/>
        <v>2.0371100840336136</v>
      </c>
      <c r="S38" s="751">
        <f t="shared" si="62"/>
        <v>2.0300232268907563</v>
      </c>
      <c r="T38" s="752">
        <f t="shared" si="62"/>
        <v>2.0198739495798321</v>
      </c>
      <c r="U38" s="753">
        <f t="shared" si="62"/>
        <v>1.9541361344537815</v>
      </c>
      <c r="W38" s="773">
        <f t="shared" si="63"/>
        <v>1.125</v>
      </c>
      <c r="X38" s="775">
        <f t="shared" si="64"/>
        <v>0.1565820952558398</v>
      </c>
      <c r="Y38" s="776">
        <f t="shared" si="64"/>
        <v>0.15657753136695091</v>
      </c>
      <c r="Z38" s="776">
        <f t="shared" si="64"/>
        <v>0.15656964942250645</v>
      </c>
      <c r="AA38" s="776">
        <f t="shared" si="64"/>
        <v>0.156561767478062</v>
      </c>
      <c r="AB38" s="776">
        <f t="shared" si="64"/>
        <v>0.15654662858917312</v>
      </c>
      <c r="AC38" s="776">
        <f t="shared" si="64"/>
        <v>0.15653779525583977</v>
      </c>
      <c r="AD38" s="776">
        <f t="shared" si="64"/>
        <v>0.15650412858917312</v>
      </c>
      <c r="AE38" s="776">
        <f t="shared" si="64"/>
        <v>0.1564893952558398</v>
      </c>
      <c r="AF38" s="777">
        <f t="shared" si="64"/>
        <v>0.1564682952558398</v>
      </c>
      <c r="AG38" s="778">
        <f t="shared" si="64"/>
        <v>0.15633162858917313</v>
      </c>
      <c r="AI38" s="773">
        <f t="shared" si="65"/>
        <v>1.125</v>
      </c>
      <c r="AJ38" s="747">
        <f t="shared" si="53"/>
        <v>2.231194801138193</v>
      </c>
      <c r="AK38" s="751">
        <f t="shared" si="53"/>
        <v>2.2289949683417407</v>
      </c>
      <c r="AL38" s="751">
        <f t="shared" si="53"/>
        <v>2.2251958048846916</v>
      </c>
      <c r="AM38" s="751">
        <f t="shared" si="53"/>
        <v>2.221396641427642</v>
      </c>
      <c r="AN38" s="751">
        <f t="shared" si="53"/>
        <v>2.214099569765644</v>
      </c>
      <c r="AO38" s="751">
        <f t="shared" si="53"/>
        <v>2.2098418288692852</v>
      </c>
      <c r="AP38" s="751">
        <f t="shared" si="53"/>
        <v>2.1936142126227867</v>
      </c>
      <c r="AQ38" s="751">
        <f t="shared" si="53"/>
        <v>2.186512622146596</v>
      </c>
      <c r="AR38" s="752">
        <f t="shared" si="53"/>
        <v>2.1763422448356717</v>
      </c>
      <c r="AS38" s="751">
        <f t="shared" si="53"/>
        <v>2.1104677630429545</v>
      </c>
      <c r="AT38" s="674">
        <f t="shared" si="66"/>
        <v>1.75</v>
      </c>
      <c r="AU38" s="712">
        <f t="shared" si="67"/>
        <v>1.8</v>
      </c>
      <c r="AV38" s="712">
        <f t="shared" si="68"/>
        <v>1.81</v>
      </c>
      <c r="AW38" s="712">
        <f t="shared" si="69"/>
        <v>1.83</v>
      </c>
      <c r="AX38" s="712">
        <f t="shared" si="70"/>
        <v>1.84</v>
      </c>
      <c r="AY38" s="712">
        <f t="shared" si="71"/>
        <v>1.86</v>
      </c>
      <c r="AZ38" s="712">
        <f t="shared" si="72"/>
        <v>1.88</v>
      </c>
      <c r="BA38" s="712">
        <f t="shared" si="73"/>
        <v>1.9</v>
      </c>
      <c r="BB38" s="712">
        <f t="shared" si="74"/>
        <v>1.92</v>
      </c>
      <c r="BC38" s="779">
        <f t="shared" si="75"/>
        <v>1000000</v>
      </c>
      <c r="BD38" s="780">
        <f t="shared" si="76"/>
        <v>-1000000</v>
      </c>
      <c r="BF38" s="781">
        <f t="shared" si="77"/>
        <v>2.2312530837856821</v>
      </c>
      <c r="BG38" s="767">
        <f t="shared" si="77"/>
        <v>2.2237798670316815</v>
      </c>
      <c r="BH38" s="767">
        <f t="shared" si="77"/>
        <v>2.2110898899472984</v>
      </c>
      <c r="BI38" s="767">
        <f t="shared" si="77"/>
        <v>2.1986636741828662</v>
      </c>
      <c r="BJ38" s="767">
        <f t="shared" si="77"/>
        <v>2.1754936530344104</v>
      </c>
      <c r="BK38" s="767">
        <f t="shared" si="77"/>
        <v>2.1623720649585843</v>
      </c>
      <c r="BL38" s="767">
        <f t="shared" si="77"/>
        <v>2.1147541316165772</v>
      </c>
      <c r="BM38" s="767">
        <f t="shared" si="77"/>
        <v>2.094971470877157</v>
      </c>
      <c r="BN38" s="767">
        <f t="shared" si="77"/>
        <v>2.0675967273835214</v>
      </c>
      <c r="BO38" s="782">
        <f t="shared" si="77"/>
        <v>1.9078438363309074</v>
      </c>
      <c r="BP38" s="781">
        <f t="shared" si="55"/>
        <v>2.2312530837856821</v>
      </c>
      <c r="BQ38" s="767">
        <f t="shared" si="55"/>
        <v>2.2237798670316815</v>
      </c>
      <c r="BR38" s="767">
        <f t="shared" si="55"/>
        <v>2.2110898899472984</v>
      </c>
      <c r="BS38" s="767">
        <f t="shared" si="55"/>
        <v>2.1986636741828662</v>
      </c>
      <c r="BT38" s="767">
        <f t="shared" si="55"/>
        <v>2.1754936530344104</v>
      </c>
      <c r="BU38" s="767">
        <f t="shared" si="55"/>
        <v>2.1623720649585843</v>
      </c>
      <c r="BV38" s="767">
        <f t="shared" si="55"/>
        <v>2.1147541316165772</v>
      </c>
      <c r="BW38" s="767">
        <f t="shared" si="55"/>
        <v>2.094971470877157</v>
      </c>
      <c r="BX38" s="767">
        <f t="shared" si="55"/>
        <v>2.0675967273835214</v>
      </c>
      <c r="BY38" s="767">
        <f t="shared" si="55"/>
        <v>1.9078438363309074</v>
      </c>
      <c r="BZ38" s="648">
        <f t="shared" si="56"/>
        <v>1</v>
      </c>
      <c r="CA38" s="767">
        <f t="shared" si="57"/>
        <v>2.2312530837856821</v>
      </c>
      <c r="CB38" s="767">
        <f t="shared" si="57"/>
        <v>2.2237798670316815</v>
      </c>
      <c r="CC38" s="767">
        <f t="shared" si="57"/>
        <v>2.2110898899472984</v>
      </c>
      <c r="CD38" s="767">
        <f t="shared" si="57"/>
        <v>2.1986636741828662</v>
      </c>
      <c r="CE38" s="767">
        <f t="shared" si="57"/>
        <v>2.1754936530344104</v>
      </c>
      <c r="CF38" s="767">
        <f t="shared" si="57"/>
        <v>2.1623720649585843</v>
      </c>
      <c r="CG38" s="767">
        <f t="shared" si="57"/>
        <v>2.1147541316165772</v>
      </c>
      <c r="CH38" s="767">
        <f t="shared" si="57"/>
        <v>2.094971470877157</v>
      </c>
      <c r="CI38" s="767">
        <f t="shared" si="57"/>
        <v>2.0675967273835214</v>
      </c>
      <c r="CJ38" s="767">
        <f t="shared" si="57"/>
        <v>1.9078438363309074</v>
      </c>
      <c r="CK38" s="781">
        <f t="shared" si="58"/>
        <v>1.75</v>
      </c>
      <c r="CL38" s="783">
        <f t="shared" si="78"/>
        <v>-1000000</v>
      </c>
      <c r="CM38" s="613"/>
      <c r="CN38" s="613"/>
      <c r="CO38" s="613"/>
      <c r="CP38" s="769" t="s">
        <v>314</v>
      </c>
      <c r="CQ38" s="698">
        <f>AB27</f>
        <v>4.7799999999999994</v>
      </c>
      <c r="CR38" s="711" t="s">
        <v>311</v>
      </c>
      <c r="CS38" s="770">
        <f>CQ38/1000</f>
        <v>4.7799999999999995E-3</v>
      </c>
      <c r="CT38" s="711" t="s">
        <v>312</v>
      </c>
      <c r="CU38" s="613"/>
      <c r="CV38" s="613"/>
      <c r="CW38" s="613"/>
      <c r="CX38" s="613"/>
      <c r="CY38" s="613"/>
      <c r="CZ38" s="642">
        <f t="shared" si="39"/>
        <v>31</v>
      </c>
      <c r="DA38" s="609">
        <f t="shared" si="0"/>
        <v>34.875</v>
      </c>
      <c r="DB38" s="609">
        <f t="shared" si="22"/>
        <v>12.400000000000002</v>
      </c>
      <c r="DC38" s="610">
        <f t="shared" si="45"/>
        <v>127.43982384988011</v>
      </c>
      <c r="DD38" s="611">
        <f t="shared" si="45"/>
        <v>129.85216046734394</v>
      </c>
      <c r="DE38" s="612">
        <f t="shared" si="45"/>
        <v>133.0304921503573</v>
      </c>
      <c r="DF38" s="610">
        <f t="shared" si="46"/>
        <v>19.411764705882348</v>
      </c>
      <c r="DG38" s="611">
        <f t="shared" si="46"/>
        <v>22</v>
      </c>
      <c r="DH38" s="612">
        <f t="shared" si="46"/>
        <v>28.470588235294098</v>
      </c>
      <c r="DI38" s="610">
        <f t="shared" si="3"/>
        <v>146.85158855576248</v>
      </c>
      <c r="DJ38" s="611">
        <f t="shared" si="3"/>
        <v>151.85216046734394</v>
      </c>
      <c r="DK38" s="612">
        <f t="shared" si="3"/>
        <v>161.50108038565139</v>
      </c>
      <c r="DL38" s="613">
        <f t="shared" si="43"/>
        <v>112.29411764705881</v>
      </c>
      <c r="DM38" s="613">
        <f t="shared" si="43"/>
        <v>112.29411764705881</v>
      </c>
      <c r="DN38" s="613">
        <f t="shared" si="43"/>
        <v>112.29411764705881</v>
      </c>
      <c r="DO38" s="609">
        <f t="shared" si="5"/>
        <v>135</v>
      </c>
      <c r="DP38" s="609"/>
      <c r="DQ38" s="609">
        <f t="shared" si="24"/>
        <v>12.400000000000002</v>
      </c>
      <c r="DR38" s="610">
        <f t="shared" ref="DR38:DT69" si="79">((DF$3-$CS$21)/$CS$38)*EXP(-$DB38/DC$4)-(($CS$23-DF$3)/$CS$36)*EXP(-$DB38/DF$4)</f>
        <v>1.7573631218316776</v>
      </c>
      <c r="DS38" s="611">
        <f t="shared" si="79"/>
        <v>1.3561641415644372</v>
      </c>
      <c r="DT38" s="612">
        <f t="shared" si="79"/>
        <v>0.67145781329830023</v>
      </c>
      <c r="DU38" s="611">
        <f t="shared" si="44"/>
        <v>12.500000000000004</v>
      </c>
      <c r="DV38" s="611">
        <f t="shared" si="44"/>
        <v>12.500000000000004</v>
      </c>
      <c r="DW38" s="611">
        <f t="shared" si="44"/>
        <v>12.500000000000004</v>
      </c>
      <c r="DX38" s="614">
        <f t="shared" si="7"/>
        <v>12.5</v>
      </c>
      <c r="DY38" s="615"/>
      <c r="DZ38" s="609">
        <f t="shared" si="25"/>
        <v>12.400000000000002</v>
      </c>
      <c r="EA38" s="611">
        <f t="shared" si="47"/>
        <v>2.0997530674846625</v>
      </c>
      <c r="EB38" s="611">
        <f t="shared" si="47"/>
        <v>2.1437574257425744</v>
      </c>
      <c r="EC38" s="611">
        <f t="shared" si="47"/>
        <v>1000000</v>
      </c>
      <c r="ED38" s="610">
        <f t="shared" si="48"/>
        <v>0.22002999999999975</v>
      </c>
      <c r="EE38" s="611">
        <f t="shared" si="48"/>
        <v>0.22005999999999976</v>
      </c>
      <c r="EF38" s="612">
        <f t="shared" si="48"/>
        <v>0.22012499999999974</v>
      </c>
      <c r="EG38" s="611">
        <f t="shared" si="10"/>
        <v>2.3197830674846625</v>
      </c>
      <c r="EH38" s="611">
        <f t="shared" si="10"/>
        <v>2.3638174257425741</v>
      </c>
      <c r="EI38" s="611">
        <f t="shared" si="10"/>
        <v>1000000.220125</v>
      </c>
      <c r="EJ38" s="610">
        <f t="shared" si="26"/>
        <v>2.2999999999999998</v>
      </c>
      <c r="EK38" s="643">
        <f t="shared" si="27"/>
        <v>2.25</v>
      </c>
      <c r="EL38" s="644">
        <f t="shared" si="28"/>
        <v>2.83</v>
      </c>
      <c r="EN38" s="620">
        <f t="shared" si="29"/>
        <v>6.7597222222222229</v>
      </c>
      <c r="EO38" s="621">
        <f t="shared" si="40"/>
        <v>110.77549310764238</v>
      </c>
      <c r="EP38" s="621">
        <f t="shared" si="40"/>
        <v>116.8299145720936</v>
      </c>
      <c r="EQ38" s="621">
        <f t="shared" si="40"/>
        <v>121.78437754353938</v>
      </c>
      <c r="ER38" s="610">
        <f t="shared" ref="ER38:ET69" si="80">EO38+EX38</f>
        <v>73.721192430151802</v>
      </c>
      <c r="ES38" s="611">
        <f t="shared" si="80"/>
        <v>99.548424268880481</v>
      </c>
      <c r="ET38" s="612">
        <f t="shared" si="80"/>
        <v>122.26473914057382</v>
      </c>
      <c r="EU38" s="610">
        <f t="shared" si="30"/>
        <v>100</v>
      </c>
      <c r="EV38" s="611">
        <f t="shared" si="31"/>
        <v>135</v>
      </c>
      <c r="EW38" s="645">
        <f t="shared" si="32"/>
        <v>1000000</v>
      </c>
      <c r="EX38" s="610">
        <f t="shared" si="13"/>
        <v>-37.054300677490566</v>
      </c>
      <c r="EY38" s="621">
        <f t="shared" si="14"/>
        <v>-17.281490303213118</v>
      </c>
      <c r="EZ38" s="612">
        <f t="shared" si="15"/>
        <v>0.4803615970344417</v>
      </c>
      <c r="FA38" s="646">
        <f t="shared" si="16"/>
        <v>6.7597222222222229</v>
      </c>
      <c r="FB38" s="317"/>
      <c r="FC38" s="552"/>
      <c r="FD38" s="648">
        <v>13.299999999999999</v>
      </c>
      <c r="FE38" s="649">
        <f t="shared" ref="FE38:FG56" si="81">FN38+FQ38</f>
        <v>70.139980253130091</v>
      </c>
      <c r="FF38" s="650">
        <f t="shared" si="81"/>
        <v>87.633529185989374</v>
      </c>
      <c r="FG38" s="651">
        <f t="shared" si="81"/>
        <v>97.261886285607204</v>
      </c>
      <c r="FI38" s="652">
        <v>93.1</v>
      </c>
      <c r="FJ38" s="653"/>
      <c r="FK38" s="633">
        <f t="shared" si="33"/>
        <v>100</v>
      </c>
      <c r="FL38" s="564">
        <f t="shared" si="34"/>
        <v>135</v>
      </c>
      <c r="FM38" s="634">
        <f t="shared" si="35"/>
        <v>1000000000</v>
      </c>
      <c r="FN38" s="621">
        <f t="shared" si="41"/>
        <v>87.354704579394152</v>
      </c>
      <c r="FO38" s="621">
        <f t="shared" si="41"/>
        <v>99.259431231859011</v>
      </c>
      <c r="FP38" s="654">
        <f t="shared" si="41"/>
        <v>109.0029321515874</v>
      </c>
      <c r="FQ38" s="610">
        <f t="shared" si="42"/>
        <v>-17.214724326264069</v>
      </c>
      <c r="FR38" s="611">
        <f t="shared" si="42"/>
        <v>-11.62590204586963</v>
      </c>
      <c r="FS38" s="612">
        <f t="shared" si="42"/>
        <v>-11.741045865980205</v>
      </c>
      <c r="FT38" s="633">
        <f t="shared" si="36"/>
        <v>0</v>
      </c>
      <c r="FU38" s="564">
        <f t="shared" si="36"/>
        <v>29.882303160429931</v>
      </c>
      <c r="FV38" s="655">
        <f t="shared" si="36"/>
        <v>0</v>
      </c>
      <c r="FW38" s="633">
        <f t="shared" si="37"/>
        <v>0</v>
      </c>
      <c r="FX38" s="564">
        <f t="shared" si="37"/>
        <v>1</v>
      </c>
      <c r="FY38" s="655">
        <f t="shared" si="37"/>
        <v>0</v>
      </c>
    </row>
    <row r="39" spans="1:181" s="564" customFormat="1" ht="15" customHeight="1" x14ac:dyDescent="0.2">
      <c r="B39" s="647">
        <f t="shared" si="59"/>
        <v>100</v>
      </c>
      <c r="C39" s="652">
        <f>$C$9</f>
        <v>131</v>
      </c>
      <c r="D39" s="771">
        <f>$B$9</f>
        <v>1.81</v>
      </c>
      <c r="E39" s="772">
        <f t="shared" si="49"/>
        <v>1.31</v>
      </c>
      <c r="F39" s="652"/>
      <c r="G39" s="747">
        <f t="shared" si="50"/>
        <v>1.7708548610166197</v>
      </c>
      <c r="H39" s="748">
        <f t="shared" si="60"/>
        <v>1.5323419060281635E-3</v>
      </c>
      <c r="I39" s="652"/>
      <c r="J39" s="773">
        <f t="shared" ref="J39:J102" si="82">1+J38</f>
        <v>2</v>
      </c>
      <c r="K39" s="774">
        <f t="shared" si="61"/>
        <v>2.25</v>
      </c>
      <c r="L39" s="747">
        <f t="shared" si="62"/>
        <v>2.0745670508474578</v>
      </c>
      <c r="M39" s="751">
        <f t="shared" si="62"/>
        <v>2.072353177966102</v>
      </c>
      <c r="N39" s="751">
        <f t="shared" si="62"/>
        <v>2.0685297669491525</v>
      </c>
      <c r="O39" s="751">
        <f t="shared" si="62"/>
        <v>2.0647063559322034</v>
      </c>
      <c r="P39" s="751">
        <f t="shared" si="62"/>
        <v>2.0573627118644069</v>
      </c>
      <c r="Q39" s="751">
        <f t="shared" si="62"/>
        <v>2.0530777966101694</v>
      </c>
      <c r="R39" s="751">
        <f t="shared" si="62"/>
        <v>2.0367466101694918</v>
      </c>
      <c r="S39" s="751">
        <f t="shared" si="62"/>
        <v>2.0295996949152544</v>
      </c>
      <c r="T39" s="752">
        <f t="shared" si="62"/>
        <v>2.019364406779661</v>
      </c>
      <c r="U39" s="753">
        <f t="shared" si="62"/>
        <v>1.9530694915254239</v>
      </c>
      <c r="W39" s="773">
        <f t="shared" si="63"/>
        <v>2.25</v>
      </c>
      <c r="X39" s="775">
        <f t="shared" si="64"/>
        <v>0.14384372686401439</v>
      </c>
      <c r="Y39" s="776">
        <f t="shared" si="64"/>
        <v>0.1438391629751255</v>
      </c>
      <c r="Z39" s="776">
        <f t="shared" si="64"/>
        <v>0.14383128103068105</v>
      </c>
      <c r="AA39" s="776">
        <f t="shared" si="64"/>
        <v>0.14382339908623659</v>
      </c>
      <c r="AB39" s="776">
        <f t="shared" si="64"/>
        <v>0.14380826019734771</v>
      </c>
      <c r="AC39" s="776">
        <f t="shared" si="64"/>
        <v>0.14379942686401437</v>
      </c>
      <c r="AD39" s="776">
        <f t="shared" si="64"/>
        <v>0.14376576019734771</v>
      </c>
      <c r="AE39" s="776">
        <f t="shared" si="64"/>
        <v>0.14375102686401439</v>
      </c>
      <c r="AF39" s="777">
        <f t="shared" si="64"/>
        <v>0.1437299268640144</v>
      </c>
      <c r="AG39" s="778">
        <f t="shared" si="64"/>
        <v>0.14359326019734772</v>
      </c>
      <c r="AI39" s="773">
        <f t="shared" si="65"/>
        <v>2.25</v>
      </c>
      <c r="AJ39" s="747">
        <f t="shared" si="53"/>
        <v>2.2184107777114721</v>
      </c>
      <c r="AK39" s="751">
        <f t="shared" si="53"/>
        <v>2.2161923409412276</v>
      </c>
      <c r="AL39" s="751">
        <f t="shared" si="53"/>
        <v>2.2123610479798335</v>
      </c>
      <c r="AM39" s="751">
        <f t="shared" si="53"/>
        <v>2.2085297550184402</v>
      </c>
      <c r="AN39" s="751">
        <f t="shared" si="53"/>
        <v>2.2011709720617545</v>
      </c>
      <c r="AO39" s="751">
        <f t="shared" si="53"/>
        <v>2.1968772234741838</v>
      </c>
      <c r="AP39" s="751">
        <f t="shared" si="53"/>
        <v>2.1805123703668396</v>
      </c>
      <c r="AQ39" s="751">
        <f t="shared" si="53"/>
        <v>2.1733507217792689</v>
      </c>
      <c r="AR39" s="752">
        <f t="shared" si="53"/>
        <v>2.1630943336436754</v>
      </c>
      <c r="AS39" s="751">
        <f t="shared" si="53"/>
        <v>2.0966627517227714</v>
      </c>
      <c r="AT39" s="674">
        <f t="shared" si="66"/>
        <v>1.75</v>
      </c>
      <c r="AU39" s="712">
        <f t="shared" si="67"/>
        <v>1.8</v>
      </c>
      <c r="AV39" s="712">
        <f t="shared" si="68"/>
        <v>1.81</v>
      </c>
      <c r="AW39" s="712">
        <f t="shared" si="69"/>
        <v>1.83</v>
      </c>
      <c r="AX39" s="712">
        <f t="shared" si="70"/>
        <v>1.84</v>
      </c>
      <c r="AY39" s="712">
        <f t="shared" si="71"/>
        <v>1.86</v>
      </c>
      <c r="AZ39" s="712">
        <f t="shared" si="72"/>
        <v>1.88</v>
      </c>
      <c r="BA39" s="712">
        <f t="shared" si="73"/>
        <v>1.9</v>
      </c>
      <c r="BB39" s="712">
        <f t="shared" si="74"/>
        <v>1.92</v>
      </c>
      <c r="BC39" s="779">
        <f t="shared" si="75"/>
        <v>1000000</v>
      </c>
      <c r="BD39" s="780">
        <f t="shared" si="76"/>
        <v>-1000000</v>
      </c>
      <c r="BF39" s="781">
        <f t="shared" si="77"/>
        <v>2.2185215715583326</v>
      </c>
      <c r="BG39" s="767">
        <f t="shared" si="77"/>
        <v>2.2063786190472108</v>
      </c>
      <c r="BH39" s="767">
        <f t="shared" si="77"/>
        <v>2.1862680700117689</v>
      </c>
      <c r="BI39" s="767">
        <f t="shared" si="77"/>
        <v>2.1671739796160789</v>
      </c>
      <c r="BJ39" s="767">
        <f t="shared" si="77"/>
        <v>2.1330595369067247</v>
      </c>
      <c r="BK39" s="767">
        <f t="shared" si="77"/>
        <v>2.1145414330857171</v>
      </c>
      <c r="BL39" s="767">
        <f t="shared" si="77"/>
        <v>2.0515345215940508</v>
      </c>
      <c r="BM39" s="767">
        <f t="shared" si="77"/>
        <v>2.0269607429090888</v>
      </c>
      <c r="BN39" s="767">
        <f t="shared" si="77"/>
        <v>1.9940870208913164</v>
      </c>
      <c r="BO39" s="782">
        <f t="shared" si="77"/>
        <v>1.8018917196301869</v>
      </c>
      <c r="BP39" s="781">
        <f t="shared" si="55"/>
        <v>2.2185215715583326</v>
      </c>
      <c r="BQ39" s="767">
        <f t="shared" si="55"/>
        <v>2.2063786190472108</v>
      </c>
      <c r="BR39" s="767">
        <f t="shared" si="55"/>
        <v>2.1862680700117689</v>
      </c>
      <c r="BS39" s="767">
        <f t="shared" si="55"/>
        <v>2.1671739796160789</v>
      </c>
      <c r="BT39" s="767">
        <f t="shared" si="55"/>
        <v>2.1330595369067247</v>
      </c>
      <c r="BU39" s="767">
        <f t="shared" si="55"/>
        <v>2.1145414330857171</v>
      </c>
      <c r="BV39" s="767">
        <f t="shared" si="55"/>
        <v>2.0515345215940508</v>
      </c>
      <c r="BW39" s="767">
        <f t="shared" si="55"/>
        <v>2.0269607429090888</v>
      </c>
      <c r="BX39" s="767">
        <f t="shared" si="55"/>
        <v>1.9940870208913164</v>
      </c>
      <c r="BY39" s="767">
        <f t="shared" si="55"/>
        <v>1.8018917196301869</v>
      </c>
      <c r="BZ39" s="648">
        <f t="shared" si="56"/>
        <v>2</v>
      </c>
      <c r="CA39" s="767">
        <f t="shared" si="57"/>
        <v>2.2185215715583326</v>
      </c>
      <c r="CB39" s="767">
        <f t="shared" si="57"/>
        <v>2.2063786190472108</v>
      </c>
      <c r="CC39" s="767">
        <f t="shared" si="57"/>
        <v>2.1862680700117689</v>
      </c>
      <c r="CD39" s="767">
        <f t="shared" si="57"/>
        <v>2.1671739796160789</v>
      </c>
      <c r="CE39" s="767">
        <f t="shared" si="57"/>
        <v>2.1330595369067247</v>
      </c>
      <c r="CF39" s="767">
        <f t="shared" si="57"/>
        <v>2.1145414330857171</v>
      </c>
      <c r="CG39" s="767">
        <f t="shared" si="57"/>
        <v>2.0515345215940508</v>
      </c>
      <c r="CH39" s="767">
        <f t="shared" si="57"/>
        <v>2.0269607429090888</v>
      </c>
      <c r="CI39" s="767">
        <f t="shared" si="57"/>
        <v>1.9940870208913164</v>
      </c>
      <c r="CJ39" s="767">
        <f t="shared" si="57"/>
        <v>1.8018917196301869</v>
      </c>
      <c r="CK39" s="781">
        <f t="shared" si="58"/>
        <v>1.75</v>
      </c>
      <c r="CL39" s="783">
        <f t="shared" si="78"/>
        <v>-1000000</v>
      </c>
      <c r="CM39" s="552"/>
      <c r="CN39" s="552"/>
      <c r="CO39" s="552"/>
      <c r="CP39" s="552"/>
      <c r="CQ39" s="552"/>
      <c r="CR39" s="552"/>
      <c r="CS39" s="552"/>
      <c r="CT39" s="552"/>
      <c r="CU39" s="552"/>
      <c r="CV39" s="552"/>
      <c r="CW39" s="552"/>
      <c r="CX39" s="552"/>
      <c r="CY39" s="561"/>
      <c r="CZ39" s="642">
        <f t="shared" si="39"/>
        <v>32</v>
      </c>
      <c r="DA39" s="609">
        <f t="shared" si="0"/>
        <v>36</v>
      </c>
      <c r="DB39" s="609">
        <f t="shared" si="22"/>
        <v>12.8</v>
      </c>
      <c r="DC39" s="610">
        <f t="shared" si="45"/>
        <v>128.11107891792491</v>
      </c>
      <c r="DD39" s="611">
        <f t="shared" si="45"/>
        <v>130.36702238600077</v>
      </c>
      <c r="DE39" s="612">
        <f t="shared" si="45"/>
        <v>133.28156669126579</v>
      </c>
      <c r="DF39" s="610">
        <f t="shared" si="46"/>
        <v>19.411764705882348</v>
      </c>
      <c r="DG39" s="611">
        <f t="shared" si="46"/>
        <v>22</v>
      </c>
      <c r="DH39" s="612">
        <f t="shared" si="46"/>
        <v>28.470588235294098</v>
      </c>
      <c r="DI39" s="610">
        <f t="shared" si="3"/>
        <v>147.52284362380726</v>
      </c>
      <c r="DJ39" s="611">
        <f t="shared" si="3"/>
        <v>152.36702238600077</v>
      </c>
      <c r="DK39" s="612">
        <f t="shared" si="3"/>
        <v>161.75215492655988</v>
      </c>
      <c r="DL39" s="613">
        <f t="shared" ref="DL39:DN54" si="83">IF((DL38+$CS$33*($DB39-$DB38))&lt;DI39,(DL38+$CS$33*($DB39-$DB38)),DI39)</f>
        <v>117.2941176470588</v>
      </c>
      <c r="DM39" s="613">
        <f t="shared" si="83"/>
        <v>117.2941176470588</v>
      </c>
      <c r="DN39" s="613">
        <f t="shared" si="83"/>
        <v>117.2941176470588</v>
      </c>
      <c r="DO39" s="609">
        <f t="shared" si="5"/>
        <v>135</v>
      </c>
      <c r="DP39" s="609"/>
      <c r="DQ39" s="609">
        <f t="shared" si="24"/>
        <v>12.8</v>
      </c>
      <c r="DR39" s="610">
        <f t="shared" si="79"/>
        <v>1.6013298656613397</v>
      </c>
      <c r="DS39" s="611">
        <f t="shared" si="79"/>
        <v>1.2205271879433874</v>
      </c>
      <c r="DT39" s="612">
        <f t="shared" si="79"/>
        <v>0.58585979842170244</v>
      </c>
      <c r="DU39" s="611">
        <f t="shared" si="44"/>
        <v>12.500000000000009</v>
      </c>
      <c r="DV39" s="611">
        <f t="shared" si="44"/>
        <v>12.500000000000009</v>
      </c>
      <c r="DW39" s="611">
        <f t="shared" si="44"/>
        <v>12.500000000000009</v>
      </c>
      <c r="DX39" s="614">
        <f t="shared" si="7"/>
        <v>12.5</v>
      </c>
      <c r="DY39" s="615"/>
      <c r="DZ39" s="609">
        <f t="shared" si="25"/>
        <v>12.8</v>
      </c>
      <c r="EA39" s="611">
        <f t="shared" si="47"/>
        <v>2.0999984472049689</v>
      </c>
      <c r="EB39" s="611">
        <f t="shared" si="47"/>
        <v>2.1463865979381445</v>
      </c>
      <c r="EC39" s="611">
        <f t="shared" si="47"/>
        <v>1000000</v>
      </c>
      <c r="ED39" s="610">
        <f t="shared" si="48"/>
        <v>0.22002999999999975</v>
      </c>
      <c r="EE39" s="611">
        <f t="shared" si="48"/>
        <v>0.22005999999999976</v>
      </c>
      <c r="EF39" s="612">
        <f t="shared" si="48"/>
        <v>0.22012499999999974</v>
      </c>
      <c r="EG39" s="611">
        <f t="shared" si="10"/>
        <v>2.3200284472049688</v>
      </c>
      <c r="EH39" s="611">
        <f t="shared" si="10"/>
        <v>2.3664465979381442</v>
      </c>
      <c r="EI39" s="611">
        <f t="shared" si="10"/>
        <v>1000000.220125</v>
      </c>
      <c r="EJ39" s="610">
        <f t="shared" si="26"/>
        <v>2.2999999999999998</v>
      </c>
      <c r="EK39" s="643">
        <f t="shared" si="27"/>
        <v>2.25</v>
      </c>
      <c r="EL39" s="644">
        <f t="shared" si="28"/>
        <v>2.83</v>
      </c>
      <c r="EN39" s="620">
        <f t="shared" si="29"/>
        <v>6.9777777777777779</v>
      </c>
      <c r="EO39" s="621">
        <f t="shared" si="40"/>
        <v>109.99436021097995</v>
      </c>
      <c r="EP39" s="621">
        <f t="shared" si="40"/>
        <v>116.24395314695543</v>
      </c>
      <c r="EQ39" s="621">
        <f t="shared" si="40"/>
        <v>121.35815726506313</v>
      </c>
      <c r="ER39" s="610">
        <f t="shared" si="80"/>
        <v>72.833848820328029</v>
      </c>
      <c r="ES39" s="611">
        <f t="shared" si="80"/>
        <v>98.411840819575502</v>
      </c>
      <c r="ET39" s="612">
        <f t="shared" si="80"/>
        <v>121.31973875488096</v>
      </c>
      <c r="EU39" s="610">
        <f t="shared" si="30"/>
        <v>100</v>
      </c>
      <c r="EV39" s="611">
        <f t="shared" si="31"/>
        <v>135</v>
      </c>
      <c r="EW39" s="645">
        <f t="shared" si="32"/>
        <v>1000000</v>
      </c>
      <c r="EX39" s="610">
        <f t="shared" si="13"/>
        <v>-37.160511390651919</v>
      </c>
      <c r="EY39" s="621">
        <f t="shared" si="14"/>
        <v>-17.832112327379932</v>
      </c>
      <c r="EZ39" s="612">
        <f t="shared" si="15"/>
        <v>-3.8418510182168575E-2</v>
      </c>
      <c r="FA39" s="646">
        <f t="shared" si="16"/>
        <v>6.9777777777777779</v>
      </c>
      <c r="FB39" s="317"/>
      <c r="FC39" s="552"/>
      <c r="FD39" s="648">
        <v>13.857142857142858</v>
      </c>
      <c r="FE39" s="649">
        <f t="shared" si="81"/>
        <v>67.244932021078625</v>
      </c>
      <c r="FF39" s="650">
        <f t="shared" si="81"/>
        <v>85.364870359746149</v>
      </c>
      <c r="FG39" s="651">
        <f t="shared" si="81"/>
        <v>95.398335486232455</v>
      </c>
      <c r="FI39" s="653"/>
      <c r="FJ39" s="652">
        <v>97</v>
      </c>
      <c r="FK39" s="633">
        <f t="shared" si="33"/>
        <v>100</v>
      </c>
      <c r="FL39" s="564">
        <f t="shared" si="34"/>
        <v>135</v>
      </c>
      <c r="FM39" s="634">
        <f t="shared" si="35"/>
        <v>1000000000</v>
      </c>
      <c r="FN39" s="621">
        <f t="shared" si="41"/>
        <v>85.360357502557591</v>
      </c>
      <c r="FO39" s="621">
        <f t="shared" si="41"/>
        <v>97.763107015592183</v>
      </c>
      <c r="FP39" s="654">
        <f t="shared" si="41"/>
        <v>107.91436063644271</v>
      </c>
      <c r="FQ39" s="610">
        <f t="shared" si="42"/>
        <v>-18.115425481478958</v>
      </c>
      <c r="FR39" s="611">
        <f t="shared" si="42"/>
        <v>-12.398236655846034</v>
      </c>
      <c r="FS39" s="612">
        <f t="shared" si="42"/>
        <v>-12.516025150210254</v>
      </c>
      <c r="FT39" s="633">
        <f t="shared" si="36"/>
        <v>0</v>
      </c>
      <c r="FU39" s="564">
        <f t="shared" si="36"/>
        <v>0</v>
      </c>
      <c r="FV39" s="655">
        <f t="shared" si="36"/>
        <v>2.5653292146622277</v>
      </c>
      <c r="FW39" s="633">
        <f t="shared" si="37"/>
        <v>0</v>
      </c>
      <c r="FX39" s="564">
        <f t="shared" si="37"/>
        <v>0</v>
      </c>
      <c r="FY39" s="655">
        <f t="shared" si="37"/>
        <v>1</v>
      </c>
    </row>
    <row r="40" spans="1:181" s="564" customFormat="1" ht="15" customHeight="1" x14ac:dyDescent="0.2">
      <c r="B40" s="647">
        <f t="shared" si="59"/>
        <v>100</v>
      </c>
      <c r="C40" s="652">
        <f>$C$10</f>
        <v>129</v>
      </c>
      <c r="D40" s="771">
        <f>$B$10</f>
        <v>1.83</v>
      </c>
      <c r="E40" s="772">
        <f t="shared" si="49"/>
        <v>1.29</v>
      </c>
      <c r="F40" s="652"/>
      <c r="G40" s="747">
        <f t="shared" si="50"/>
        <v>1.8433658287098309</v>
      </c>
      <c r="H40" s="748">
        <f t="shared" si="60"/>
        <v>1.7864537710053806E-4</v>
      </c>
      <c r="I40" s="652"/>
      <c r="J40" s="773">
        <f t="shared" si="82"/>
        <v>3</v>
      </c>
      <c r="K40" s="774">
        <f t="shared" si="61"/>
        <v>3.375</v>
      </c>
      <c r="L40" s="747">
        <f t="shared" si="62"/>
        <v>2.0745206153846154</v>
      </c>
      <c r="M40" s="751">
        <f t="shared" si="62"/>
        <v>2.0722878205128206</v>
      </c>
      <c r="N40" s="751">
        <f t="shared" si="62"/>
        <v>2.0684317307692308</v>
      </c>
      <c r="O40" s="751">
        <f t="shared" si="62"/>
        <v>2.0645756410256411</v>
      </c>
      <c r="P40" s="751">
        <f t="shared" si="62"/>
        <v>2.0571692307692309</v>
      </c>
      <c r="Q40" s="751">
        <f t="shared" si="62"/>
        <v>2.0528476923076924</v>
      </c>
      <c r="R40" s="751">
        <f t="shared" si="62"/>
        <v>2.0363769230769231</v>
      </c>
      <c r="S40" s="751">
        <f t="shared" si="62"/>
        <v>2.0291689230769232</v>
      </c>
      <c r="T40" s="752">
        <f t="shared" si="62"/>
        <v>2.018846153846154</v>
      </c>
      <c r="U40" s="753">
        <f t="shared" si="62"/>
        <v>1.9519846153846154</v>
      </c>
      <c r="W40" s="773">
        <f t="shared" si="63"/>
        <v>3.375</v>
      </c>
      <c r="X40" s="775">
        <f t="shared" si="64"/>
        <v>0.1317403776531251</v>
      </c>
      <c r="Y40" s="776">
        <f t="shared" si="64"/>
        <v>0.13173581376423621</v>
      </c>
      <c r="Z40" s="776">
        <f t="shared" si="64"/>
        <v>0.13172793181979175</v>
      </c>
      <c r="AA40" s="776">
        <f t="shared" si="64"/>
        <v>0.1317200498753473</v>
      </c>
      <c r="AB40" s="776">
        <f t="shared" si="64"/>
        <v>0.13170491098645842</v>
      </c>
      <c r="AC40" s="776">
        <f t="shared" si="64"/>
        <v>0.13169607765312508</v>
      </c>
      <c r="AD40" s="776">
        <f t="shared" si="64"/>
        <v>0.13166241098645842</v>
      </c>
      <c r="AE40" s="776">
        <f t="shared" si="64"/>
        <v>0.1316476776531251</v>
      </c>
      <c r="AF40" s="777">
        <f t="shared" si="64"/>
        <v>0.1316265776531251</v>
      </c>
      <c r="AG40" s="778">
        <f t="shared" si="64"/>
        <v>0.13148991098645843</v>
      </c>
      <c r="AI40" s="773">
        <f t="shared" si="65"/>
        <v>3.375</v>
      </c>
      <c r="AJ40" s="747">
        <f t="shared" si="53"/>
        <v>2.2062609930377404</v>
      </c>
      <c r="AK40" s="751">
        <f t="shared" si="53"/>
        <v>2.2040236342770569</v>
      </c>
      <c r="AL40" s="751">
        <f t="shared" si="53"/>
        <v>2.2001596625890225</v>
      </c>
      <c r="AM40" s="751">
        <f t="shared" si="53"/>
        <v>2.1962956909009885</v>
      </c>
      <c r="AN40" s="751">
        <f t="shared" si="53"/>
        <v>2.1888741417556892</v>
      </c>
      <c r="AO40" s="751">
        <f t="shared" si="53"/>
        <v>2.1845437699608174</v>
      </c>
      <c r="AP40" s="751">
        <f t="shared" si="53"/>
        <v>2.1680393340633817</v>
      </c>
      <c r="AQ40" s="751">
        <f t="shared" si="53"/>
        <v>2.1608166007300484</v>
      </c>
      <c r="AR40" s="752">
        <f t="shared" si="53"/>
        <v>2.1504727314992791</v>
      </c>
      <c r="AS40" s="751">
        <f t="shared" si="53"/>
        <v>2.0834745263710737</v>
      </c>
      <c r="AT40" s="674">
        <f t="shared" si="66"/>
        <v>1.75</v>
      </c>
      <c r="AU40" s="712">
        <f t="shared" si="67"/>
        <v>1.8</v>
      </c>
      <c r="AV40" s="712">
        <f t="shared" si="68"/>
        <v>1.81</v>
      </c>
      <c r="AW40" s="712">
        <f t="shared" si="69"/>
        <v>1.83</v>
      </c>
      <c r="AX40" s="712">
        <f t="shared" si="70"/>
        <v>1.84</v>
      </c>
      <c r="AY40" s="712">
        <f t="shared" si="71"/>
        <v>1.86</v>
      </c>
      <c r="AZ40" s="712">
        <f t="shared" si="72"/>
        <v>1.88</v>
      </c>
      <c r="BA40" s="712">
        <f t="shared" si="73"/>
        <v>1.9</v>
      </c>
      <c r="BB40" s="712">
        <f t="shared" si="74"/>
        <v>1.92</v>
      </c>
      <c r="BC40" s="779">
        <f t="shared" si="75"/>
        <v>1000000</v>
      </c>
      <c r="BD40" s="780">
        <f t="shared" si="76"/>
        <v>-1000000</v>
      </c>
      <c r="BF40" s="781">
        <f t="shared" si="77"/>
        <v>2.2064189580427951</v>
      </c>
      <c r="BG40" s="767">
        <f t="shared" si="77"/>
        <v>2.1901721257927718</v>
      </c>
      <c r="BH40" s="767">
        <f t="shared" si="77"/>
        <v>2.1639468143247598</v>
      </c>
      <c r="BI40" s="767">
        <f t="shared" si="77"/>
        <v>2.1398192536993967</v>
      </c>
      <c r="BJ40" s="767">
        <f t="shared" si="77"/>
        <v>2.098506296442451</v>
      </c>
      <c r="BK40" s="767">
        <f t="shared" si="77"/>
        <v>2.0769837301920728</v>
      </c>
      <c r="BL40" s="767">
        <f t="shared" si="77"/>
        <v>2.0076554599718146</v>
      </c>
      <c r="BM40" s="767">
        <f t="shared" si="77"/>
        <v>1.9817344220764981</v>
      </c>
      <c r="BN40" s="767">
        <f t="shared" si="77"/>
        <v>1.9472886388460542</v>
      </c>
      <c r="BO40" s="782">
        <f t="shared" si="77"/>
        <v>1.6901576660097275</v>
      </c>
      <c r="BP40" s="781">
        <f t="shared" si="55"/>
        <v>2.2064189580427951</v>
      </c>
      <c r="BQ40" s="767">
        <f t="shared" si="55"/>
        <v>2.1901721257927718</v>
      </c>
      <c r="BR40" s="767">
        <f t="shared" si="55"/>
        <v>2.1639468143247598</v>
      </c>
      <c r="BS40" s="767">
        <f t="shared" si="55"/>
        <v>2.1398192536993967</v>
      </c>
      <c r="BT40" s="767">
        <f t="shared" si="55"/>
        <v>2.098506296442451</v>
      </c>
      <c r="BU40" s="767">
        <f t="shared" si="55"/>
        <v>2.0769837301920728</v>
      </c>
      <c r="BV40" s="767">
        <f t="shared" si="55"/>
        <v>2.0076554599718146</v>
      </c>
      <c r="BW40" s="767">
        <f t="shared" si="55"/>
        <v>1.9817344220764981</v>
      </c>
      <c r="BX40" s="767">
        <f t="shared" si="55"/>
        <v>1.9472886388460542</v>
      </c>
      <c r="BY40" s="767">
        <f t="shared" si="55"/>
        <v>1.6901576660097275</v>
      </c>
      <c r="BZ40" s="648">
        <f t="shared" si="56"/>
        <v>3</v>
      </c>
      <c r="CA40" s="767">
        <f t="shared" si="57"/>
        <v>2.2064189580427951</v>
      </c>
      <c r="CB40" s="767">
        <f t="shared" si="57"/>
        <v>2.1901721257927718</v>
      </c>
      <c r="CC40" s="767">
        <f t="shared" si="57"/>
        <v>2.1639468143247598</v>
      </c>
      <c r="CD40" s="767">
        <f t="shared" si="57"/>
        <v>2.1398192536993967</v>
      </c>
      <c r="CE40" s="767">
        <f t="shared" si="57"/>
        <v>2.098506296442451</v>
      </c>
      <c r="CF40" s="767">
        <f t="shared" si="57"/>
        <v>2.0769837301920728</v>
      </c>
      <c r="CG40" s="767">
        <f t="shared" si="57"/>
        <v>2.0076554599718146</v>
      </c>
      <c r="CH40" s="767">
        <f t="shared" si="57"/>
        <v>1.9817344220764981</v>
      </c>
      <c r="CI40" s="767">
        <f t="shared" si="57"/>
        <v>1.9472886388460542</v>
      </c>
      <c r="CJ40" s="767">
        <f t="shared" si="57"/>
        <v>1.6901576660097275</v>
      </c>
      <c r="CK40" s="781">
        <f t="shared" si="58"/>
        <v>1.75</v>
      </c>
      <c r="CL40" s="783">
        <f t="shared" si="78"/>
        <v>-1000000</v>
      </c>
      <c r="CM40" s="552"/>
      <c r="CN40" s="552"/>
      <c r="CO40" s="552"/>
      <c r="CP40" s="552"/>
      <c r="CQ40" s="552"/>
      <c r="CR40" s="552"/>
      <c r="CS40" s="552"/>
      <c r="CT40" s="552"/>
      <c r="CU40" s="552"/>
      <c r="CV40" s="552"/>
      <c r="CW40" s="552"/>
      <c r="CX40" s="552"/>
      <c r="CY40" s="561"/>
      <c r="CZ40" s="642">
        <f t="shared" si="39"/>
        <v>33</v>
      </c>
      <c r="DA40" s="609">
        <f t="shared" si="0"/>
        <v>37.125</v>
      </c>
      <c r="DB40" s="609">
        <f t="shared" si="22"/>
        <v>13.200000000000001</v>
      </c>
      <c r="DC40" s="610">
        <f t="shared" si="45"/>
        <v>128.72273440026842</v>
      </c>
      <c r="DD40" s="611">
        <f t="shared" si="45"/>
        <v>130.83039031507201</v>
      </c>
      <c r="DE40" s="612">
        <f t="shared" si="45"/>
        <v>133.50063403550135</v>
      </c>
      <c r="DF40" s="610">
        <f t="shared" si="46"/>
        <v>19.411764705882348</v>
      </c>
      <c r="DG40" s="611">
        <f t="shared" si="46"/>
        <v>22</v>
      </c>
      <c r="DH40" s="612">
        <f t="shared" si="46"/>
        <v>28.470588235294098</v>
      </c>
      <c r="DI40" s="610">
        <f t="shared" si="3"/>
        <v>148.13449910615077</v>
      </c>
      <c r="DJ40" s="611">
        <f t="shared" si="3"/>
        <v>152.83039031507201</v>
      </c>
      <c r="DK40" s="612">
        <f t="shared" si="3"/>
        <v>161.97122227079544</v>
      </c>
      <c r="DL40" s="613">
        <f t="shared" si="83"/>
        <v>122.2941176470588</v>
      </c>
      <c r="DM40" s="613">
        <f t="shared" si="83"/>
        <v>122.2941176470588</v>
      </c>
      <c r="DN40" s="613">
        <f t="shared" si="83"/>
        <v>122.2941176470588</v>
      </c>
      <c r="DO40" s="609">
        <f t="shared" si="5"/>
        <v>135</v>
      </c>
      <c r="DP40" s="609"/>
      <c r="DQ40" s="609">
        <f t="shared" si="24"/>
        <v>13.200000000000001</v>
      </c>
      <c r="DR40" s="610">
        <f t="shared" si="79"/>
        <v>1.4591505345726565</v>
      </c>
      <c r="DS40" s="611">
        <f t="shared" si="79"/>
        <v>1.0984559839419785</v>
      </c>
      <c r="DT40" s="612">
        <f t="shared" si="79"/>
        <v>0.51117389150736448</v>
      </c>
      <c r="DU40" s="611">
        <f t="shared" ref="DU40:DW55" si="84">(DL40-DL39)/($DQ40-$DQ39)</f>
        <v>12.499999999999989</v>
      </c>
      <c r="DV40" s="611">
        <f t="shared" si="84"/>
        <v>12.499999999999989</v>
      </c>
      <c r="DW40" s="611">
        <f t="shared" si="84"/>
        <v>12.499999999999989</v>
      </c>
      <c r="DX40" s="614">
        <f t="shared" si="7"/>
        <v>12.5</v>
      </c>
      <c r="DY40" s="615"/>
      <c r="DZ40" s="609">
        <f t="shared" si="25"/>
        <v>13.200000000000001</v>
      </c>
      <c r="EA40" s="611">
        <f t="shared" si="47"/>
        <v>2.10025</v>
      </c>
      <c r="EB40" s="611">
        <f t="shared" si="47"/>
        <v>2.1492419354838712</v>
      </c>
      <c r="EC40" s="611">
        <f t="shared" si="47"/>
        <v>1000000</v>
      </c>
      <c r="ED40" s="610">
        <f t="shared" si="48"/>
        <v>0.22002999999999975</v>
      </c>
      <c r="EE40" s="611">
        <f t="shared" si="48"/>
        <v>0.22005999999999976</v>
      </c>
      <c r="EF40" s="612">
        <f t="shared" si="48"/>
        <v>0.22012499999999974</v>
      </c>
      <c r="EG40" s="611">
        <f t="shared" si="10"/>
        <v>2.3202799999999999</v>
      </c>
      <c r="EH40" s="611">
        <f t="shared" si="10"/>
        <v>2.3693019354838709</v>
      </c>
      <c r="EI40" s="611">
        <f t="shared" si="10"/>
        <v>1000000.220125</v>
      </c>
      <c r="EJ40" s="610">
        <f t="shared" si="26"/>
        <v>2.2999999999999998</v>
      </c>
      <c r="EK40" s="643">
        <f t="shared" si="27"/>
        <v>2.25</v>
      </c>
      <c r="EL40" s="644">
        <f t="shared" si="28"/>
        <v>2.83</v>
      </c>
      <c r="EN40" s="620">
        <f t="shared" si="29"/>
        <v>7.1958333333333346</v>
      </c>
      <c r="EO40" s="621">
        <f t="shared" si="40"/>
        <v>109.21324623235112</v>
      </c>
      <c r="EP40" s="621">
        <f t="shared" si="40"/>
        <v>115.6580023663044</v>
      </c>
      <c r="EQ40" s="621">
        <f t="shared" si="40"/>
        <v>120.93194261806802</v>
      </c>
      <c r="ER40" s="610">
        <f t="shared" si="80"/>
        <v>71.9602449842086</v>
      </c>
      <c r="ES40" s="611">
        <f t="shared" si="80"/>
        <v>97.300404641621256</v>
      </c>
      <c r="ET40" s="612">
        <f t="shared" si="80"/>
        <v>120.38371535378904</v>
      </c>
      <c r="EU40" s="610">
        <f t="shared" si="30"/>
        <v>100</v>
      </c>
      <c r="EV40" s="611">
        <f t="shared" si="31"/>
        <v>135</v>
      </c>
      <c r="EW40" s="645">
        <f t="shared" si="32"/>
        <v>1000000</v>
      </c>
      <c r="EX40" s="610">
        <f t="shared" si="13"/>
        <v>-37.253001248142525</v>
      </c>
      <c r="EY40" s="621">
        <f t="shared" si="14"/>
        <v>-18.357597724683146</v>
      </c>
      <c r="EZ40" s="612">
        <f t="shared" si="15"/>
        <v>-0.5482272642789745</v>
      </c>
      <c r="FA40" s="646">
        <f t="shared" si="16"/>
        <v>7.1958333333333346</v>
      </c>
      <c r="FB40" s="317"/>
      <c r="FC40" s="552"/>
      <c r="FD40" s="648">
        <v>14.8</v>
      </c>
      <c r="FE40" s="649">
        <f t="shared" si="81"/>
        <v>62.43444536722464</v>
      </c>
      <c r="FF40" s="650">
        <f t="shared" si="81"/>
        <v>81.601685203330874</v>
      </c>
      <c r="FG40" s="651">
        <f t="shared" si="81"/>
        <v>92.320903279597047</v>
      </c>
      <c r="FH40" s="652">
        <v>74</v>
      </c>
      <c r="FK40" s="633">
        <f t="shared" si="33"/>
        <v>100</v>
      </c>
      <c r="FL40" s="564">
        <f t="shared" si="34"/>
        <v>135</v>
      </c>
      <c r="FM40" s="634">
        <f t="shared" si="35"/>
        <v>1000000000</v>
      </c>
      <c r="FN40" s="621">
        <f t="shared" si="41"/>
        <v>81.985589626307302</v>
      </c>
      <c r="FO40" s="621">
        <f t="shared" si="41"/>
        <v>95.231024201742244</v>
      </c>
      <c r="FP40" s="654">
        <f t="shared" si="41"/>
        <v>106.07224638646909</v>
      </c>
      <c r="FQ40" s="610">
        <f t="shared" si="42"/>
        <v>-19.551144259082662</v>
      </c>
      <c r="FR40" s="611">
        <f t="shared" si="42"/>
        <v>-13.629338998411377</v>
      </c>
      <c r="FS40" s="612">
        <f t="shared" si="42"/>
        <v>-13.751343106872035</v>
      </c>
      <c r="FT40" s="633">
        <f t="shared" si="36"/>
        <v>133.76205396371159</v>
      </c>
      <c r="FU40" s="564">
        <f t="shared" si="36"/>
        <v>0</v>
      </c>
      <c r="FV40" s="655">
        <f t="shared" si="36"/>
        <v>0</v>
      </c>
      <c r="FW40" s="633">
        <f t="shared" si="37"/>
        <v>1</v>
      </c>
      <c r="FX40" s="564">
        <f t="shared" si="37"/>
        <v>0</v>
      </c>
      <c r="FY40" s="655">
        <f t="shared" si="37"/>
        <v>0</v>
      </c>
    </row>
    <row r="41" spans="1:181" s="564" customFormat="1" ht="15" customHeight="1" x14ac:dyDescent="0.2">
      <c r="B41" s="647">
        <f t="shared" si="59"/>
        <v>100</v>
      </c>
      <c r="C41" s="652">
        <f>$C$11</f>
        <v>128</v>
      </c>
      <c r="D41" s="771">
        <f>$B$11</f>
        <v>1.84</v>
      </c>
      <c r="E41" s="772">
        <f t="shared" si="49"/>
        <v>1.28</v>
      </c>
      <c r="F41" s="652"/>
      <c r="G41" s="747">
        <f t="shared" si="50"/>
        <v>1.8640998510693365</v>
      </c>
      <c r="H41" s="748">
        <f t="shared" si="60"/>
        <v>5.8080282156419629E-4</v>
      </c>
      <c r="I41" s="652"/>
      <c r="J41" s="773">
        <f t="shared" si="82"/>
        <v>4</v>
      </c>
      <c r="K41" s="774">
        <f t="shared" si="61"/>
        <v>4.5</v>
      </c>
      <c r="L41" s="747">
        <f t="shared" si="62"/>
        <v>2.0744733793103447</v>
      </c>
      <c r="M41" s="751">
        <f t="shared" si="62"/>
        <v>2.0722213362068964</v>
      </c>
      <c r="N41" s="751">
        <f t="shared" si="62"/>
        <v>2.0683320043103448</v>
      </c>
      <c r="O41" s="751">
        <f t="shared" si="62"/>
        <v>2.0644426724137932</v>
      </c>
      <c r="P41" s="751">
        <f t="shared" si="62"/>
        <v>2.0569724137931034</v>
      </c>
      <c r="Q41" s="751">
        <f t="shared" si="62"/>
        <v>2.0526136206896552</v>
      </c>
      <c r="R41" s="751">
        <f t="shared" si="62"/>
        <v>2.0360008620689656</v>
      </c>
      <c r="S41" s="751">
        <f t="shared" si="62"/>
        <v>2.0287307241379313</v>
      </c>
      <c r="T41" s="752">
        <f t="shared" si="62"/>
        <v>2.0183189655172415</v>
      </c>
      <c r="U41" s="753">
        <f t="shared" si="62"/>
        <v>1.9508810344827587</v>
      </c>
      <c r="W41" s="773">
        <f t="shared" si="63"/>
        <v>4.5</v>
      </c>
      <c r="X41" s="775">
        <f t="shared" si="64"/>
        <v>0.12024039134288912</v>
      </c>
      <c r="Y41" s="776">
        <f t="shared" si="64"/>
        <v>0.12023582745400023</v>
      </c>
      <c r="Z41" s="776">
        <f t="shared" si="64"/>
        <v>0.12022794550955579</v>
      </c>
      <c r="AA41" s="776">
        <f t="shared" si="64"/>
        <v>0.12022006356511135</v>
      </c>
      <c r="AB41" s="776">
        <f t="shared" si="64"/>
        <v>0.12020492467622246</v>
      </c>
      <c r="AC41" s="776">
        <f t="shared" si="64"/>
        <v>0.12019609134288912</v>
      </c>
      <c r="AD41" s="776">
        <f t="shared" si="64"/>
        <v>0.12016242467622246</v>
      </c>
      <c r="AE41" s="776">
        <f t="shared" si="64"/>
        <v>0.12014769134288912</v>
      </c>
      <c r="AF41" s="777">
        <f t="shared" si="64"/>
        <v>0.12012659134288912</v>
      </c>
      <c r="AG41" s="778">
        <f t="shared" si="64"/>
        <v>0.11998992467622246</v>
      </c>
      <c r="AI41" s="773">
        <f t="shared" si="65"/>
        <v>4.5</v>
      </c>
      <c r="AJ41" s="747">
        <f t="shared" si="53"/>
        <v>2.1947137706532338</v>
      </c>
      <c r="AK41" s="751">
        <f t="shared" si="53"/>
        <v>2.1924571636608965</v>
      </c>
      <c r="AL41" s="751">
        <f t="shared" si="53"/>
        <v>2.1885599498199007</v>
      </c>
      <c r="AM41" s="751">
        <f t="shared" si="53"/>
        <v>2.1846627359789044</v>
      </c>
      <c r="AN41" s="751">
        <f t="shared" si="53"/>
        <v>2.1771773384693258</v>
      </c>
      <c r="AO41" s="751">
        <f t="shared" si="53"/>
        <v>2.1728097120325445</v>
      </c>
      <c r="AP41" s="751">
        <f t="shared" si="53"/>
        <v>2.1561632867451879</v>
      </c>
      <c r="AQ41" s="751">
        <f t="shared" si="53"/>
        <v>2.1488784154808203</v>
      </c>
      <c r="AR41" s="752">
        <f t="shared" si="53"/>
        <v>2.1384455568601308</v>
      </c>
      <c r="AS41" s="751">
        <f t="shared" si="53"/>
        <v>2.0708709591589813</v>
      </c>
      <c r="AT41" s="674">
        <f t="shared" si="66"/>
        <v>1.75</v>
      </c>
      <c r="AU41" s="712">
        <f t="shared" si="67"/>
        <v>1.8</v>
      </c>
      <c r="AV41" s="712">
        <f t="shared" si="68"/>
        <v>1.81</v>
      </c>
      <c r="AW41" s="712">
        <f t="shared" si="69"/>
        <v>1.83</v>
      </c>
      <c r="AX41" s="712">
        <f t="shared" si="70"/>
        <v>1.84</v>
      </c>
      <c r="AY41" s="712">
        <f t="shared" si="71"/>
        <v>1.86</v>
      </c>
      <c r="AZ41" s="712">
        <f t="shared" si="72"/>
        <v>1.88</v>
      </c>
      <c r="BA41" s="712">
        <f t="shared" si="73"/>
        <v>1.9</v>
      </c>
      <c r="BB41" s="712">
        <f t="shared" si="74"/>
        <v>1.92</v>
      </c>
      <c r="BC41" s="779">
        <f t="shared" si="75"/>
        <v>1000000</v>
      </c>
      <c r="BD41" s="780">
        <f t="shared" si="76"/>
        <v>-1000000</v>
      </c>
      <c r="BF41" s="781">
        <f t="shared" si="77"/>
        <v>2.1949139695991691</v>
      </c>
      <c r="BG41" s="767">
        <f t="shared" si="77"/>
        <v>2.1750775402889091</v>
      </c>
      <c r="BH41" s="767">
        <f t="shared" si="77"/>
        <v>2.1438700787238281</v>
      </c>
      <c r="BI41" s="767">
        <f t="shared" si="77"/>
        <v>2.1160434307526086</v>
      </c>
      <c r="BJ41" s="767">
        <f t="shared" si="77"/>
        <v>2.0703070618672172</v>
      </c>
      <c r="BK41" s="767">
        <f t="shared" si="77"/>
        <v>2.0473654472521798</v>
      </c>
      <c r="BL41" s="767">
        <f t="shared" si="77"/>
        <v>1.976328176529178</v>
      </c>
      <c r="BM41" s="767">
        <f t="shared" si="77"/>
        <v>1.9500220645740478</v>
      </c>
      <c r="BN41" s="767">
        <f t="shared" si="77"/>
        <v>1.9139491267187621</v>
      </c>
      <c r="BO41" s="782">
        <f t="shared" si="77"/>
        <v>1.4276161558302038</v>
      </c>
      <c r="BP41" s="781">
        <f t="shared" si="55"/>
        <v>2.1949139695991691</v>
      </c>
      <c r="BQ41" s="767">
        <f t="shared" si="55"/>
        <v>2.1750775402889091</v>
      </c>
      <c r="BR41" s="767">
        <f t="shared" si="55"/>
        <v>2.1438700787238281</v>
      </c>
      <c r="BS41" s="767">
        <f t="shared" si="55"/>
        <v>2.1160434307526086</v>
      </c>
      <c r="BT41" s="767">
        <f t="shared" si="55"/>
        <v>2.0703070618672172</v>
      </c>
      <c r="BU41" s="767">
        <f t="shared" si="55"/>
        <v>2.0473654472521798</v>
      </c>
      <c r="BV41" s="767">
        <f t="shared" si="55"/>
        <v>1.976328176529178</v>
      </c>
      <c r="BW41" s="767">
        <f t="shared" si="55"/>
        <v>1.9500220645740478</v>
      </c>
      <c r="BX41" s="767">
        <f t="shared" si="55"/>
        <v>1.9139491267187621</v>
      </c>
      <c r="BY41" s="767">
        <f t="shared" si="55"/>
        <v>1.4276161558302038</v>
      </c>
      <c r="BZ41" s="648">
        <f t="shared" si="56"/>
        <v>4</v>
      </c>
      <c r="CA41" s="767">
        <f t="shared" si="57"/>
        <v>2.1949139695991691</v>
      </c>
      <c r="CB41" s="767">
        <f t="shared" si="57"/>
        <v>2.1750775402889091</v>
      </c>
      <c r="CC41" s="767">
        <f t="shared" si="57"/>
        <v>2.1438700787238281</v>
      </c>
      <c r="CD41" s="767">
        <f t="shared" si="57"/>
        <v>2.1160434307526086</v>
      </c>
      <c r="CE41" s="767">
        <f t="shared" si="57"/>
        <v>2.0703070618672172</v>
      </c>
      <c r="CF41" s="767">
        <f t="shared" si="57"/>
        <v>2.0473654472521798</v>
      </c>
      <c r="CG41" s="767">
        <f t="shared" si="57"/>
        <v>1.976328176529178</v>
      </c>
      <c r="CH41" s="767">
        <f t="shared" si="57"/>
        <v>1.9500220645740478</v>
      </c>
      <c r="CI41" s="767">
        <f t="shared" si="57"/>
        <v>1.9139491267187621</v>
      </c>
      <c r="CJ41" s="767"/>
      <c r="CK41" s="781">
        <f t="shared" si="58"/>
        <v>1.75</v>
      </c>
      <c r="CL41" s="783">
        <f t="shared" si="78"/>
        <v>-1000000</v>
      </c>
      <c r="CM41" s="552"/>
      <c r="CN41" s="552"/>
      <c r="CO41" s="552"/>
      <c r="CP41" s="552"/>
      <c r="CQ41" s="552"/>
      <c r="CR41" s="552"/>
      <c r="CS41" s="552"/>
      <c r="CT41" s="552"/>
      <c r="CU41" s="552"/>
      <c r="CV41" s="552"/>
      <c r="CW41" s="552"/>
      <c r="CX41" s="552"/>
      <c r="CY41" s="562"/>
      <c r="CZ41" s="642">
        <f t="shared" si="39"/>
        <v>34</v>
      </c>
      <c r="DA41" s="609">
        <f t="shared" si="0"/>
        <v>38.25</v>
      </c>
      <c r="DB41" s="609">
        <f t="shared" si="22"/>
        <v>13.6</v>
      </c>
      <c r="DC41" s="610">
        <f t="shared" si="45"/>
        <v>129.2800820418596</v>
      </c>
      <c r="DD41" s="611">
        <f t="shared" si="45"/>
        <v>131.24741443340628</v>
      </c>
      <c r="DE41" s="612">
        <f t="shared" si="45"/>
        <v>133.69177448780198</v>
      </c>
      <c r="DF41" s="610">
        <f t="shared" si="46"/>
        <v>19.411764705882348</v>
      </c>
      <c r="DG41" s="611">
        <f t="shared" si="46"/>
        <v>22</v>
      </c>
      <c r="DH41" s="612">
        <f t="shared" si="46"/>
        <v>28.470588235294098</v>
      </c>
      <c r="DI41" s="610">
        <f t="shared" si="3"/>
        <v>148.69184674774195</v>
      </c>
      <c r="DJ41" s="611">
        <f t="shared" si="3"/>
        <v>153.24741443340628</v>
      </c>
      <c r="DK41" s="612">
        <f t="shared" si="3"/>
        <v>162.16236272309607</v>
      </c>
      <c r="DL41" s="613">
        <f t="shared" si="83"/>
        <v>127.29411764705878</v>
      </c>
      <c r="DM41" s="613">
        <f t="shared" si="83"/>
        <v>127.29411764705878</v>
      </c>
      <c r="DN41" s="613">
        <f t="shared" si="83"/>
        <v>127.29411764705878</v>
      </c>
      <c r="DO41" s="609">
        <f t="shared" si="5"/>
        <v>135</v>
      </c>
      <c r="DP41" s="609"/>
      <c r="DQ41" s="609">
        <f t="shared" si="24"/>
        <v>13.6</v>
      </c>
      <c r="DR41" s="610">
        <f t="shared" si="79"/>
        <v>1.3295950623292445</v>
      </c>
      <c r="DS41" s="611">
        <f t="shared" si="79"/>
        <v>0.98859374914138154</v>
      </c>
      <c r="DT41" s="612">
        <f t="shared" si="79"/>
        <v>0.44600900772286767</v>
      </c>
      <c r="DU41" s="611">
        <f t="shared" si="84"/>
        <v>12.500000000000009</v>
      </c>
      <c r="DV41" s="611">
        <f t="shared" si="84"/>
        <v>12.500000000000009</v>
      </c>
      <c r="DW41" s="611">
        <f t="shared" si="84"/>
        <v>12.500000000000009</v>
      </c>
      <c r="DX41" s="614">
        <f t="shared" si="7"/>
        <v>12.5</v>
      </c>
      <c r="DY41" s="615"/>
      <c r="DZ41" s="609">
        <f t="shared" si="25"/>
        <v>13.6</v>
      </c>
      <c r="EA41" s="611">
        <f t="shared" si="47"/>
        <v>2.1005079617834395</v>
      </c>
      <c r="EB41" s="611">
        <f t="shared" si="47"/>
        <v>2.1523539325842695</v>
      </c>
      <c r="EC41" s="611">
        <f t="shared" si="47"/>
        <v>1000000</v>
      </c>
      <c r="ED41" s="610">
        <f t="shared" si="48"/>
        <v>0.22002999999999975</v>
      </c>
      <c r="EE41" s="611">
        <f t="shared" si="48"/>
        <v>0.22005999999999976</v>
      </c>
      <c r="EF41" s="612">
        <f t="shared" si="48"/>
        <v>0.22012499999999974</v>
      </c>
      <c r="EG41" s="611">
        <f t="shared" si="10"/>
        <v>2.3205379617834394</v>
      </c>
      <c r="EH41" s="611">
        <f t="shared" si="10"/>
        <v>2.3724139325842692</v>
      </c>
      <c r="EI41" s="611">
        <f t="shared" si="10"/>
        <v>1000000.220125</v>
      </c>
      <c r="EJ41" s="610">
        <f t="shared" si="26"/>
        <v>2.2999999999999998</v>
      </c>
      <c r="EK41" s="643">
        <f t="shared" si="27"/>
        <v>2.25</v>
      </c>
      <c r="EL41" s="644">
        <f t="shared" si="28"/>
        <v>2.83</v>
      </c>
      <c r="EN41" s="620">
        <f t="shared" si="29"/>
        <v>7.4138888888888888</v>
      </c>
      <c r="EO41" s="621">
        <f t="shared" si="40"/>
        <v>108.43215117106861</v>
      </c>
      <c r="EP41" s="621">
        <f t="shared" si="40"/>
        <v>115.07206222985053</v>
      </c>
      <c r="EQ41" s="621">
        <f t="shared" si="40"/>
        <v>120.50573360244236</v>
      </c>
      <c r="ER41" s="610">
        <f t="shared" si="80"/>
        <v>71.098608389176718</v>
      </c>
      <c r="ES41" s="611">
        <f t="shared" si="80"/>
        <v>96.212968214319332</v>
      </c>
      <c r="ET41" s="612">
        <f t="shared" si="80"/>
        <v>119.45651379404255</v>
      </c>
      <c r="EU41" s="610">
        <f t="shared" si="30"/>
        <v>100</v>
      </c>
      <c r="EV41" s="611">
        <f t="shared" si="31"/>
        <v>135</v>
      </c>
      <c r="EW41" s="645">
        <f t="shared" si="32"/>
        <v>1000000</v>
      </c>
      <c r="EX41" s="610">
        <f t="shared" si="13"/>
        <v>-37.3335427818919</v>
      </c>
      <c r="EY41" s="621">
        <f t="shared" si="14"/>
        <v>-18.859094015531198</v>
      </c>
      <c r="EZ41" s="612">
        <f t="shared" si="15"/>
        <v>-1.0492198083998154</v>
      </c>
      <c r="FA41" s="646">
        <f t="shared" si="16"/>
        <v>7.4138888888888888</v>
      </c>
      <c r="FB41" s="317"/>
      <c r="FC41" s="552"/>
      <c r="FD41" s="648">
        <v>14.833333333333334</v>
      </c>
      <c r="FE41" s="649">
        <f t="shared" si="81"/>
        <v>62.266339449826525</v>
      </c>
      <c r="FF41" s="650">
        <f t="shared" si="81"/>
        <v>81.470323599867072</v>
      </c>
      <c r="FG41" s="651">
        <f t="shared" si="81"/>
        <v>92.213789495372168</v>
      </c>
      <c r="FI41" s="652">
        <v>89</v>
      </c>
      <c r="FJ41" s="653"/>
      <c r="FK41" s="633">
        <f t="shared" si="33"/>
        <v>100</v>
      </c>
      <c r="FL41" s="564">
        <f t="shared" si="34"/>
        <v>135</v>
      </c>
      <c r="FM41" s="634">
        <f t="shared" si="35"/>
        <v>1000000000</v>
      </c>
      <c r="FN41" s="621">
        <f t="shared" si="41"/>
        <v>81.866286116071052</v>
      </c>
      <c r="FO41" s="621">
        <f t="shared" si="41"/>
        <v>95.141509761328081</v>
      </c>
      <c r="FP41" s="654">
        <f t="shared" si="41"/>
        <v>106.0071230608464</v>
      </c>
      <c r="FQ41" s="610">
        <f t="shared" si="42"/>
        <v>-19.599946666244527</v>
      </c>
      <c r="FR41" s="611">
        <f t="shared" si="42"/>
        <v>-13.671186161461009</v>
      </c>
      <c r="FS41" s="612">
        <f t="shared" si="42"/>
        <v>-13.793333565474235</v>
      </c>
      <c r="FT41" s="633">
        <f t="shared" si="36"/>
        <v>0</v>
      </c>
      <c r="FU41" s="564">
        <f t="shared" si="36"/>
        <v>56.696026690718767</v>
      </c>
      <c r="FV41" s="655">
        <f t="shared" si="36"/>
        <v>0</v>
      </c>
      <c r="FW41" s="633">
        <f t="shared" si="37"/>
        <v>0</v>
      </c>
      <c r="FX41" s="564">
        <f t="shared" si="37"/>
        <v>1</v>
      </c>
      <c r="FY41" s="655">
        <f t="shared" si="37"/>
        <v>0</v>
      </c>
    </row>
    <row r="42" spans="1:181" s="564" customFormat="1" ht="15" customHeight="1" x14ac:dyDescent="0.2">
      <c r="B42" s="647">
        <f t="shared" si="59"/>
        <v>100</v>
      </c>
      <c r="C42" s="652">
        <f>$C$12</f>
        <v>125</v>
      </c>
      <c r="D42" s="771">
        <f>$B$12</f>
        <v>1.86</v>
      </c>
      <c r="E42" s="772">
        <f t="shared" si="49"/>
        <v>1.25</v>
      </c>
      <c r="F42" s="652"/>
      <c r="G42" s="747">
        <f t="shared" si="50"/>
        <v>1.901474071095909</v>
      </c>
      <c r="H42" s="748">
        <f t="shared" si="60"/>
        <v>1.7200985732685101E-3</v>
      </c>
      <c r="I42" s="652"/>
      <c r="J42" s="773">
        <f t="shared" si="82"/>
        <v>5</v>
      </c>
      <c r="K42" s="774">
        <f t="shared" si="61"/>
        <v>5.625</v>
      </c>
      <c r="L42" s="747">
        <f t="shared" si="62"/>
        <v>2.0744253217391306</v>
      </c>
      <c r="M42" s="751">
        <f t="shared" si="62"/>
        <v>2.0721536956521738</v>
      </c>
      <c r="N42" s="751">
        <f t="shared" si="62"/>
        <v>2.0682305434782609</v>
      </c>
      <c r="O42" s="751">
        <f t="shared" si="62"/>
        <v>2.0643073913043479</v>
      </c>
      <c r="P42" s="751">
        <f t="shared" si="62"/>
        <v>2.0567721739130436</v>
      </c>
      <c r="Q42" s="751">
        <f t="shared" si="62"/>
        <v>2.0523754782608696</v>
      </c>
      <c r="R42" s="751">
        <f t="shared" si="62"/>
        <v>2.0356182608695654</v>
      </c>
      <c r="S42" s="751">
        <f t="shared" si="62"/>
        <v>2.0282849043478262</v>
      </c>
      <c r="T42" s="752">
        <f t="shared" si="62"/>
        <v>2.0177826086956521</v>
      </c>
      <c r="U42" s="753">
        <f t="shared" si="62"/>
        <v>1.9497582608695652</v>
      </c>
      <c r="W42" s="773">
        <f t="shared" si="63"/>
        <v>5.625</v>
      </c>
      <c r="X42" s="775">
        <f t="shared" si="64"/>
        <v>0.10931368974721588</v>
      </c>
      <c r="Y42" s="776">
        <f t="shared" si="64"/>
        <v>0.10930912585832699</v>
      </c>
      <c r="Z42" s="776">
        <f t="shared" si="64"/>
        <v>0.10930124391388255</v>
      </c>
      <c r="AA42" s="776">
        <f t="shared" si="64"/>
        <v>0.1092933619694381</v>
      </c>
      <c r="AB42" s="776">
        <f t="shared" si="64"/>
        <v>0.10927822308054921</v>
      </c>
      <c r="AC42" s="776">
        <f t="shared" si="64"/>
        <v>0.10926938974721588</v>
      </c>
      <c r="AD42" s="776">
        <f t="shared" si="64"/>
        <v>0.10923572308054921</v>
      </c>
      <c r="AE42" s="776">
        <f t="shared" si="64"/>
        <v>0.10922098974721588</v>
      </c>
      <c r="AF42" s="777">
        <f t="shared" si="64"/>
        <v>0.10919988974721588</v>
      </c>
      <c r="AG42" s="778">
        <f t="shared" si="64"/>
        <v>0.10906322308054922</v>
      </c>
      <c r="AI42" s="773">
        <f t="shared" si="65"/>
        <v>5.625</v>
      </c>
      <c r="AJ42" s="747">
        <f t="shared" si="53"/>
        <v>2.1837390114863466</v>
      </c>
      <c r="AK42" s="751">
        <f t="shared" si="53"/>
        <v>2.1814628215105007</v>
      </c>
      <c r="AL42" s="751">
        <f t="shared" si="53"/>
        <v>2.1775317873921436</v>
      </c>
      <c r="AM42" s="751">
        <f t="shared" si="53"/>
        <v>2.173600753273786</v>
      </c>
      <c r="AN42" s="751">
        <f t="shared" si="53"/>
        <v>2.1660503969935929</v>
      </c>
      <c r="AO42" s="751">
        <f t="shared" si="53"/>
        <v>2.1616448680080853</v>
      </c>
      <c r="AP42" s="751">
        <f t="shared" si="53"/>
        <v>2.1448539839501146</v>
      </c>
      <c r="AQ42" s="751">
        <f t="shared" si="53"/>
        <v>2.137505894095042</v>
      </c>
      <c r="AR42" s="752">
        <f t="shared" si="53"/>
        <v>2.1269824984428678</v>
      </c>
      <c r="AS42" s="751">
        <f t="shared" si="53"/>
        <v>2.0588214839501142</v>
      </c>
      <c r="AT42" s="674">
        <f t="shared" si="66"/>
        <v>1.75</v>
      </c>
      <c r="AU42" s="712">
        <f t="shared" si="67"/>
        <v>1.8</v>
      </c>
      <c r="AV42" s="712">
        <f t="shared" si="68"/>
        <v>1.81</v>
      </c>
      <c r="AW42" s="712">
        <f t="shared" si="69"/>
        <v>1.83</v>
      </c>
      <c r="AX42" s="712">
        <f t="shared" si="70"/>
        <v>1.84</v>
      </c>
      <c r="AY42" s="712">
        <f t="shared" si="71"/>
        <v>1.86</v>
      </c>
      <c r="AZ42" s="712">
        <f t="shared" si="72"/>
        <v>1.88</v>
      </c>
      <c r="BA42" s="712">
        <f t="shared" si="73"/>
        <v>1.9</v>
      </c>
      <c r="BB42" s="712">
        <f t="shared" si="74"/>
        <v>1.92</v>
      </c>
      <c r="BC42" s="779">
        <f t="shared" si="75"/>
        <v>1000000</v>
      </c>
      <c r="BD42" s="780">
        <f t="shared" si="76"/>
        <v>-1000000</v>
      </c>
      <c r="BF42" s="781">
        <f t="shared" si="77"/>
        <v>2.1839768831753119</v>
      </c>
      <c r="BG42" s="767">
        <f t="shared" si="77"/>
        <v>2.1610177345794881</v>
      </c>
      <c r="BH42" s="767">
        <f t="shared" si="77"/>
        <v>2.1258078338094393</v>
      </c>
      <c r="BI42" s="767">
        <f t="shared" si="77"/>
        <v>2.0953643366835992</v>
      </c>
      <c r="BJ42" s="767">
        <f t="shared" si="77"/>
        <v>2.0472239513478327</v>
      </c>
      <c r="BK42" s="767">
        <f t="shared" si="77"/>
        <v>2.0238660099625951</v>
      </c>
      <c r="BL42" s="767">
        <f t="shared" si="77"/>
        <v>1.9529142041613823</v>
      </c>
      <c r="BM42" s="767">
        <f t="shared" si="77"/>
        <v>1.9257568621249499</v>
      </c>
      <c r="BN42" s="767">
        <f t="shared" si="77"/>
        <v>1.8856115871689572</v>
      </c>
      <c r="BO42" s="782">
        <f t="shared" si="77"/>
        <v>-2.0625007755334419</v>
      </c>
      <c r="BP42" s="781">
        <f t="shared" si="55"/>
        <v>2.1839768831753119</v>
      </c>
      <c r="BQ42" s="767">
        <f t="shared" si="55"/>
        <v>2.1610177345794881</v>
      </c>
      <c r="BR42" s="767">
        <f t="shared" si="55"/>
        <v>2.1258078338094393</v>
      </c>
      <c r="BS42" s="767">
        <f t="shared" si="55"/>
        <v>2.0953643366835992</v>
      </c>
      <c r="BT42" s="767">
        <f t="shared" si="55"/>
        <v>2.0472239513478327</v>
      </c>
      <c r="BU42" s="767">
        <f t="shared" si="55"/>
        <v>2.0238660099625951</v>
      </c>
      <c r="BV42" s="767">
        <f t="shared" si="55"/>
        <v>1.9529142041613823</v>
      </c>
      <c r="BW42" s="767">
        <f t="shared" si="55"/>
        <v>1.9257568621249499</v>
      </c>
      <c r="BX42" s="767">
        <f t="shared" si="55"/>
        <v>1.8856115871689572</v>
      </c>
      <c r="BY42" s="767">
        <f t="shared" si="55"/>
        <v>-2.0625007755334419</v>
      </c>
      <c r="BZ42" s="648">
        <f t="shared" si="56"/>
        <v>5</v>
      </c>
      <c r="CA42" s="767">
        <f t="shared" si="57"/>
        <v>2.1839768831753119</v>
      </c>
      <c r="CB42" s="767">
        <f t="shared" si="57"/>
        <v>2.1610177345794881</v>
      </c>
      <c r="CC42" s="767">
        <f t="shared" si="57"/>
        <v>2.1258078338094393</v>
      </c>
      <c r="CD42" s="767">
        <f t="shared" si="57"/>
        <v>2.0953643366835992</v>
      </c>
      <c r="CE42" s="767">
        <f t="shared" si="57"/>
        <v>2.0472239513478327</v>
      </c>
      <c r="CF42" s="767">
        <f t="shared" si="57"/>
        <v>2.0238660099625951</v>
      </c>
      <c r="CG42" s="767">
        <f t="shared" si="57"/>
        <v>1.9529142041613823</v>
      </c>
      <c r="CH42" s="767">
        <f t="shared" si="57"/>
        <v>1.9257568621249499</v>
      </c>
      <c r="CI42" s="767">
        <f t="shared" si="57"/>
        <v>1.8856115871689572</v>
      </c>
      <c r="CJ42" s="767"/>
      <c r="CK42" s="781">
        <f t="shared" si="58"/>
        <v>1.75</v>
      </c>
      <c r="CL42" s="783">
        <f t="shared" si="78"/>
        <v>-1000000</v>
      </c>
      <c r="CM42" s="552"/>
      <c r="CN42" s="552"/>
      <c r="CO42" s="552"/>
      <c r="CP42" s="552"/>
      <c r="CQ42" s="552"/>
      <c r="CR42" s="552"/>
      <c r="CS42" s="552"/>
      <c r="CT42" s="552"/>
      <c r="CU42" s="552"/>
      <c r="CV42" s="552"/>
      <c r="CW42" s="552"/>
      <c r="CX42" s="552"/>
      <c r="CY42" s="562"/>
      <c r="CZ42" s="642">
        <f t="shared" si="39"/>
        <v>35</v>
      </c>
      <c r="DA42" s="609">
        <f t="shared" si="0"/>
        <v>39.375</v>
      </c>
      <c r="DB42" s="609">
        <f t="shared" si="22"/>
        <v>14</v>
      </c>
      <c r="DC42" s="610">
        <f t="shared" si="45"/>
        <v>129.78794374269327</v>
      </c>
      <c r="DD42" s="611">
        <f t="shared" si="45"/>
        <v>131.62272982396655</v>
      </c>
      <c r="DE42" s="612">
        <f t="shared" si="45"/>
        <v>133.85854819217664</v>
      </c>
      <c r="DF42" s="610">
        <f t="shared" si="46"/>
        <v>19.411764705882348</v>
      </c>
      <c r="DG42" s="611">
        <f t="shared" si="46"/>
        <v>22</v>
      </c>
      <c r="DH42" s="612">
        <f t="shared" si="46"/>
        <v>28.470588235294098</v>
      </c>
      <c r="DI42" s="610">
        <f t="shared" si="3"/>
        <v>149.19970844857562</v>
      </c>
      <c r="DJ42" s="611">
        <f t="shared" si="3"/>
        <v>153.62272982396655</v>
      </c>
      <c r="DK42" s="612">
        <f t="shared" si="3"/>
        <v>162.32913642747073</v>
      </c>
      <c r="DL42" s="613">
        <f t="shared" si="83"/>
        <v>132.29411764705878</v>
      </c>
      <c r="DM42" s="613">
        <f t="shared" si="83"/>
        <v>132.29411764705878</v>
      </c>
      <c r="DN42" s="613">
        <f t="shared" si="83"/>
        <v>132.29411764705878</v>
      </c>
      <c r="DO42" s="609">
        <f t="shared" si="5"/>
        <v>135</v>
      </c>
      <c r="DP42" s="609"/>
      <c r="DQ42" s="609">
        <f t="shared" si="24"/>
        <v>14</v>
      </c>
      <c r="DR42" s="610">
        <f t="shared" si="79"/>
        <v>1.211542598165207</v>
      </c>
      <c r="DS42" s="611">
        <f t="shared" si="79"/>
        <v>0.88971940171344621</v>
      </c>
      <c r="DT42" s="612">
        <f t="shared" si="79"/>
        <v>0.38915139891699879</v>
      </c>
      <c r="DU42" s="611">
        <f t="shared" si="84"/>
        <v>12.499999999999989</v>
      </c>
      <c r="DV42" s="611">
        <f t="shared" si="84"/>
        <v>12.499999999999989</v>
      </c>
      <c r="DW42" s="611">
        <f t="shared" si="84"/>
        <v>12.499999999999989</v>
      </c>
      <c r="DX42" s="614">
        <f t="shared" si="7"/>
        <v>12.5</v>
      </c>
      <c r="DY42" s="615"/>
      <c r="DZ42" s="609">
        <f t="shared" si="25"/>
        <v>14</v>
      </c>
      <c r="EA42" s="611">
        <f t="shared" si="47"/>
        <v>2.1007725806451614</v>
      </c>
      <c r="EB42" s="611">
        <f t="shared" si="47"/>
        <v>2.1557588235294118</v>
      </c>
      <c r="EC42" s="611">
        <f t="shared" si="47"/>
        <v>1000000</v>
      </c>
      <c r="ED42" s="610">
        <f t="shared" si="48"/>
        <v>0.22002999999999975</v>
      </c>
      <c r="EE42" s="611">
        <f t="shared" si="48"/>
        <v>0.22005999999999976</v>
      </c>
      <c r="EF42" s="612">
        <f t="shared" si="48"/>
        <v>0.22012499999999974</v>
      </c>
      <c r="EG42" s="611">
        <f t="shared" si="10"/>
        <v>2.3208025806451613</v>
      </c>
      <c r="EH42" s="611">
        <f t="shared" si="10"/>
        <v>2.3758188235294115</v>
      </c>
      <c r="EI42" s="611">
        <f t="shared" si="10"/>
        <v>1000000.220125</v>
      </c>
      <c r="EJ42" s="610">
        <f t="shared" si="26"/>
        <v>2.2999999999999998</v>
      </c>
      <c r="EK42" s="643">
        <f t="shared" si="27"/>
        <v>2.25</v>
      </c>
      <c r="EL42" s="644">
        <f t="shared" si="28"/>
        <v>2.83</v>
      </c>
      <c r="EN42" s="620">
        <f t="shared" si="29"/>
        <v>7.6319444444444455</v>
      </c>
      <c r="EO42" s="621">
        <f t="shared" si="40"/>
        <v>107.65107502644521</v>
      </c>
      <c r="EP42" s="621">
        <f t="shared" si="40"/>
        <v>114.48613273730372</v>
      </c>
      <c r="EQ42" s="621">
        <f t="shared" si="40"/>
        <v>120.07953021807457</v>
      </c>
      <c r="ER42" s="610">
        <f t="shared" si="80"/>
        <v>70.247395487564987</v>
      </c>
      <c r="ES42" s="611">
        <f t="shared" si="80"/>
        <v>95.14843640280219</v>
      </c>
      <c r="ET42" s="612">
        <f t="shared" si="80"/>
        <v>118.53798161530293</v>
      </c>
      <c r="EU42" s="610">
        <f t="shared" si="30"/>
        <v>100</v>
      </c>
      <c r="EV42" s="611">
        <f t="shared" si="31"/>
        <v>135</v>
      </c>
      <c r="EW42" s="645">
        <f t="shared" si="32"/>
        <v>1000000</v>
      </c>
      <c r="EX42" s="610">
        <f t="shared" si="13"/>
        <v>-37.403679538880226</v>
      </c>
      <c r="EY42" s="621">
        <f t="shared" si="14"/>
        <v>-19.337696334501537</v>
      </c>
      <c r="EZ42" s="612">
        <f t="shared" si="15"/>
        <v>-1.5415486027716341</v>
      </c>
      <c r="FA42" s="646">
        <f t="shared" si="16"/>
        <v>7.6319444444444455</v>
      </c>
      <c r="FB42" s="317"/>
      <c r="FC42" s="552"/>
      <c r="FD42" s="648">
        <v>15.666666666666666</v>
      </c>
      <c r="FE42" s="649">
        <f t="shared" si="81"/>
        <v>58.105187792034826</v>
      </c>
      <c r="FF42" s="650">
        <f t="shared" si="81"/>
        <v>78.221823531200556</v>
      </c>
      <c r="FG42" s="651">
        <f t="shared" si="81"/>
        <v>89.571568307908365</v>
      </c>
      <c r="FI42" s="653"/>
      <c r="FJ42" s="652">
        <v>94</v>
      </c>
      <c r="FK42" s="633">
        <f t="shared" si="33"/>
        <v>100</v>
      </c>
      <c r="FL42" s="564">
        <f t="shared" si="34"/>
        <v>135</v>
      </c>
      <c r="FM42" s="634">
        <f t="shared" si="35"/>
        <v>1000000000</v>
      </c>
      <c r="FN42" s="621">
        <f t="shared" si="41"/>
        <v>78.883841841360351</v>
      </c>
      <c r="FO42" s="621">
        <f t="shared" si="41"/>
        <v>92.903729509903258</v>
      </c>
      <c r="FP42" s="654">
        <f t="shared" si="41"/>
        <v>104.37908265772816</v>
      </c>
      <c r="FQ42" s="610">
        <f t="shared" si="42"/>
        <v>-20.778654049325525</v>
      </c>
      <c r="FR42" s="611">
        <f t="shared" si="42"/>
        <v>-14.681905978702694</v>
      </c>
      <c r="FS42" s="612">
        <f t="shared" si="42"/>
        <v>-14.807514349819797</v>
      </c>
      <c r="FT42" s="633">
        <f t="shared" si="36"/>
        <v>0</v>
      </c>
      <c r="FU42" s="564">
        <f t="shared" si="36"/>
        <v>0</v>
      </c>
      <c r="FV42" s="655">
        <f t="shared" si="36"/>
        <v>19.611007251521585</v>
      </c>
      <c r="FW42" s="633">
        <f t="shared" si="37"/>
        <v>0</v>
      </c>
      <c r="FX42" s="564">
        <f t="shared" si="37"/>
        <v>0</v>
      </c>
      <c r="FY42" s="655">
        <f t="shared" si="37"/>
        <v>1</v>
      </c>
    </row>
    <row r="43" spans="1:181" s="564" customFormat="1" ht="15" customHeight="1" x14ac:dyDescent="0.2">
      <c r="B43" s="647">
        <f t="shared" si="59"/>
        <v>100</v>
      </c>
      <c r="C43" s="652">
        <f>$C$13</f>
        <v>121.5</v>
      </c>
      <c r="D43" s="771">
        <f>$B$13</f>
        <v>1.88</v>
      </c>
      <c r="E43" s="772">
        <f t="shared" si="49"/>
        <v>1.2150000000000001</v>
      </c>
      <c r="F43" s="652"/>
      <c r="G43" s="747">
        <f t="shared" si="50"/>
        <v>1.9241706925812314</v>
      </c>
      <c r="H43" s="748">
        <f t="shared" si="60"/>
        <v>1.9510500831056612E-3</v>
      </c>
      <c r="I43" s="652"/>
      <c r="J43" s="773">
        <f t="shared" si="82"/>
        <v>6</v>
      </c>
      <c r="K43" s="774">
        <f t="shared" si="61"/>
        <v>6.75</v>
      </c>
      <c r="L43" s="747">
        <f t="shared" si="62"/>
        <v>2.0743764210526319</v>
      </c>
      <c r="M43" s="751">
        <f t="shared" si="62"/>
        <v>2.0720848684210527</v>
      </c>
      <c r="N43" s="751">
        <f t="shared" si="62"/>
        <v>2.068127302631579</v>
      </c>
      <c r="O43" s="751">
        <f t="shared" si="62"/>
        <v>2.0641697368421053</v>
      </c>
      <c r="P43" s="751">
        <f t="shared" si="62"/>
        <v>2.0565684210526318</v>
      </c>
      <c r="Q43" s="751">
        <f t="shared" si="62"/>
        <v>2.0521331578947368</v>
      </c>
      <c r="R43" s="751">
        <f t="shared" si="62"/>
        <v>2.0352289473684211</v>
      </c>
      <c r="S43" s="751">
        <f t="shared" si="62"/>
        <v>2.027831263157895</v>
      </c>
      <c r="T43" s="752">
        <f t="shared" si="62"/>
        <v>2.0172368421052633</v>
      </c>
      <c r="U43" s="753">
        <f t="shared" si="62"/>
        <v>1.9486157894736842</v>
      </c>
      <c r="W43" s="773">
        <f t="shared" si="63"/>
        <v>6.75</v>
      </c>
      <c r="X43" s="775">
        <f t="shared" si="64"/>
        <v>9.8931694104784682E-2</v>
      </c>
      <c r="Y43" s="776">
        <f t="shared" si="64"/>
        <v>9.8927130215895789E-2</v>
      </c>
      <c r="Z43" s="776">
        <f t="shared" si="64"/>
        <v>9.8919248271451349E-2</v>
      </c>
      <c r="AA43" s="776">
        <f t="shared" si="64"/>
        <v>9.8911366327006908E-2</v>
      </c>
      <c r="AB43" s="776">
        <f t="shared" si="64"/>
        <v>9.8896227438118017E-2</v>
      </c>
      <c r="AC43" s="776">
        <f t="shared" si="64"/>
        <v>9.8887394104784684E-2</v>
      </c>
      <c r="AD43" s="776">
        <f t="shared" si="64"/>
        <v>9.8853727438118016E-2</v>
      </c>
      <c r="AE43" s="776">
        <f t="shared" si="64"/>
        <v>9.883899410478468E-2</v>
      </c>
      <c r="AF43" s="777">
        <f t="shared" si="64"/>
        <v>9.8817894104784684E-2</v>
      </c>
      <c r="AG43" s="778">
        <f t="shared" si="64"/>
        <v>9.8681227438118024E-2</v>
      </c>
      <c r="AI43" s="773">
        <f t="shared" si="65"/>
        <v>6.75</v>
      </c>
      <c r="AJ43" s="747">
        <f t="shared" si="53"/>
        <v>2.1733081151574165</v>
      </c>
      <c r="AK43" s="751">
        <f t="shared" si="53"/>
        <v>2.1710119986369483</v>
      </c>
      <c r="AL43" s="751">
        <f t="shared" si="53"/>
        <v>2.1670465509030303</v>
      </c>
      <c r="AM43" s="751">
        <f t="shared" si="53"/>
        <v>2.163081103169112</v>
      </c>
      <c r="AN43" s="751">
        <f t="shared" si="53"/>
        <v>2.1554646484907498</v>
      </c>
      <c r="AO43" s="751">
        <f t="shared" si="53"/>
        <v>2.1510205519995216</v>
      </c>
      <c r="AP43" s="751">
        <f t="shared" si="53"/>
        <v>2.1340826748065389</v>
      </c>
      <c r="AQ43" s="751">
        <f t="shared" si="53"/>
        <v>2.1266702572626794</v>
      </c>
      <c r="AR43" s="752">
        <f t="shared" si="53"/>
        <v>2.1160547362100481</v>
      </c>
      <c r="AS43" s="751">
        <f t="shared" si="53"/>
        <v>2.0472970169118021</v>
      </c>
      <c r="AT43" s="674">
        <f t="shared" si="66"/>
        <v>1.75</v>
      </c>
      <c r="AU43" s="712">
        <f t="shared" si="67"/>
        <v>1.8</v>
      </c>
      <c r="AV43" s="712">
        <f t="shared" si="68"/>
        <v>1.81</v>
      </c>
      <c r="AW43" s="712">
        <f t="shared" si="69"/>
        <v>1.83</v>
      </c>
      <c r="AX43" s="712">
        <f t="shared" si="70"/>
        <v>1.84</v>
      </c>
      <c r="AY43" s="712">
        <f t="shared" si="71"/>
        <v>1.86</v>
      </c>
      <c r="AZ43" s="712">
        <f t="shared" si="72"/>
        <v>1.88</v>
      </c>
      <c r="BA43" s="712">
        <f t="shared" si="73"/>
        <v>1.9</v>
      </c>
      <c r="BB43" s="712">
        <f t="shared" si="74"/>
        <v>1.92</v>
      </c>
      <c r="BC43" s="779">
        <f t="shared" si="75"/>
        <v>1000000</v>
      </c>
      <c r="BD43" s="780">
        <f t="shared" si="76"/>
        <v>-1000000</v>
      </c>
      <c r="BF43" s="781">
        <f t="shared" si="77"/>
        <v>2.1735794492792175</v>
      </c>
      <c r="BG43" s="767">
        <f t="shared" si="77"/>
        <v>2.1479209037482594</v>
      </c>
      <c r="BH43" s="767">
        <f t="shared" si="77"/>
        <v>2.1095534071943511</v>
      </c>
      <c r="BI43" s="767">
        <f t="shared" si="77"/>
        <v>2.0773637817989874</v>
      </c>
      <c r="BJ43" s="767">
        <f t="shared" si="77"/>
        <v>2.0282522920745683</v>
      </c>
      <c r="BK43" s="767">
        <f t="shared" si="77"/>
        <v>2.0050616539565165</v>
      </c>
      <c r="BL43" s="767">
        <f t="shared" si="77"/>
        <v>1.9341554542812127</v>
      </c>
      <c r="BM43" s="767">
        <f t="shared" si="77"/>
        <v>1.9046916539988459</v>
      </c>
      <c r="BN43" s="767">
        <f t="shared" si="77"/>
        <v>1.8556767612508713</v>
      </c>
      <c r="BO43" s="782">
        <f t="shared" si="77"/>
        <v>2.746926496730536</v>
      </c>
      <c r="BP43" s="781">
        <f t="shared" si="55"/>
        <v>2.1735794492792175</v>
      </c>
      <c r="BQ43" s="767">
        <f t="shared" si="55"/>
        <v>2.1479209037482594</v>
      </c>
      <c r="BR43" s="767">
        <f t="shared" si="55"/>
        <v>2.1095534071943511</v>
      </c>
      <c r="BS43" s="767">
        <f t="shared" si="55"/>
        <v>2.0773637817989874</v>
      </c>
      <c r="BT43" s="767">
        <f t="shared" si="55"/>
        <v>2.0282522920745683</v>
      </c>
      <c r="BU43" s="767">
        <f t="shared" si="55"/>
        <v>2.0050616539565165</v>
      </c>
      <c r="BV43" s="767">
        <f t="shared" si="55"/>
        <v>1.9341554542812127</v>
      </c>
      <c r="BW43" s="767">
        <f t="shared" si="55"/>
        <v>1.9046916539988459</v>
      </c>
      <c r="BX43" s="767">
        <f t="shared" si="55"/>
        <v>1.8556767612508713</v>
      </c>
      <c r="BY43" s="767">
        <f t="shared" si="55"/>
        <v>-1000000</v>
      </c>
      <c r="BZ43" s="648">
        <f t="shared" si="56"/>
        <v>6</v>
      </c>
      <c r="CA43" s="767">
        <f t="shared" si="57"/>
        <v>2.1735794492792175</v>
      </c>
      <c r="CB43" s="767">
        <f t="shared" si="57"/>
        <v>2.1479209037482594</v>
      </c>
      <c r="CC43" s="767">
        <f t="shared" si="57"/>
        <v>2.1095534071943511</v>
      </c>
      <c r="CD43" s="767">
        <f t="shared" si="57"/>
        <v>2.0773637817989874</v>
      </c>
      <c r="CE43" s="767">
        <f t="shared" si="57"/>
        <v>2.0282522920745683</v>
      </c>
      <c r="CF43" s="767">
        <f t="shared" si="57"/>
        <v>2.0050616539565165</v>
      </c>
      <c r="CG43" s="767">
        <f t="shared" si="57"/>
        <v>1.9341554542812127</v>
      </c>
      <c r="CH43" s="767">
        <f t="shared" si="57"/>
        <v>1.9046916539988459</v>
      </c>
      <c r="CI43" s="767">
        <f t="shared" si="57"/>
        <v>1.8556767612508713</v>
      </c>
      <c r="CJ43" s="767"/>
      <c r="CK43" s="781">
        <f t="shared" si="58"/>
        <v>1.75</v>
      </c>
      <c r="CL43" s="783">
        <f t="shared" si="78"/>
        <v>-1000000</v>
      </c>
      <c r="CM43" s="552"/>
      <c r="CN43" s="552"/>
      <c r="CO43" s="552"/>
      <c r="CP43" s="552"/>
      <c r="CQ43" s="552"/>
      <c r="CR43" s="552"/>
      <c r="CS43" s="552"/>
      <c r="CT43" s="552"/>
      <c r="CU43" s="552"/>
      <c r="CV43" s="552"/>
      <c r="CW43" s="552"/>
      <c r="CX43" s="552"/>
      <c r="CY43" s="561"/>
      <c r="CZ43" s="642">
        <f t="shared" si="39"/>
        <v>36</v>
      </c>
      <c r="DA43" s="609">
        <f t="shared" si="0"/>
        <v>40.5</v>
      </c>
      <c r="DB43" s="609">
        <f t="shared" si="22"/>
        <v>14.399999999999999</v>
      </c>
      <c r="DC43" s="610">
        <f t="shared" si="45"/>
        <v>130.25071327453762</v>
      </c>
      <c r="DD43" s="611">
        <f t="shared" si="45"/>
        <v>131.96050799121994</v>
      </c>
      <c r="DE43" s="612">
        <f t="shared" si="45"/>
        <v>134.00406144243883</v>
      </c>
      <c r="DF43" s="610">
        <f t="shared" si="46"/>
        <v>19.411764705882348</v>
      </c>
      <c r="DG43" s="611">
        <f t="shared" si="46"/>
        <v>22</v>
      </c>
      <c r="DH43" s="612">
        <f t="shared" si="46"/>
        <v>28.470588235294098</v>
      </c>
      <c r="DI43" s="610">
        <f t="shared" si="3"/>
        <v>149.66247798041996</v>
      </c>
      <c r="DJ43" s="611">
        <f t="shared" si="3"/>
        <v>153.96050799121994</v>
      </c>
      <c r="DK43" s="612">
        <f t="shared" si="3"/>
        <v>162.47464967773291</v>
      </c>
      <c r="DL43" s="613">
        <f t="shared" si="83"/>
        <v>137.29411764705875</v>
      </c>
      <c r="DM43" s="613">
        <f t="shared" si="83"/>
        <v>137.29411764705875</v>
      </c>
      <c r="DN43" s="613">
        <f t="shared" si="83"/>
        <v>137.29411764705875</v>
      </c>
      <c r="DO43" s="609">
        <f t="shared" si="5"/>
        <v>135</v>
      </c>
      <c r="DP43" s="609"/>
      <c r="DQ43" s="609">
        <f t="shared" si="24"/>
        <v>14.399999999999999</v>
      </c>
      <c r="DR43" s="610">
        <f t="shared" si="79"/>
        <v>1.1039718097309115</v>
      </c>
      <c r="DS43" s="611">
        <f t="shared" si="79"/>
        <v>0.800733986506447</v>
      </c>
      <c r="DT43" s="612">
        <f t="shared" si="79"/>
        <v>0.33954204658834014</v>
      </c>
      <c r="DU43" s="611">
        <f t="shared" si="84"/>
        <v>12.499999999999973</v>
      </c>
      <c r="DV43" s="611">
        <f t="shared" si="84"/>
        <v>12.499999999999973</v>
      </c>
      <c r="DW43" s="611">
        <f t="shared" si="84"/>
        <v>12.499999999999973</v>
      </c>
      <c r="DX43" s="614">
        <f t="shared" si="7"/>
        <v>12.5</v>
      </c>
      <c r="DY43" s="615"/>
      <c r="DZ43" s="609">
        <f t="shared" si="25"/>
        <v>14.399999999999999</v>
      </c>
      <c r="EA43" s="611">
        <f t="shared" si="47"/>
        <v>2.1010441176470587</v>
      </c>
      <c r="EB43" s="611">
        <f t="shared" si="47"/>
        <v>2.1595</v>
      </c>
      <c r="EC43" s="611">
        <f t="shared" si="47"/>
        <v>1000000</v>
      </c>
      <c r="ED43" s="610">
        <f t="shared" si="48"/>
        <v>0.22002999999999975</v>
      </c>
      <c r="EE43" s="611">
        <f t="shared" si="48"/>
        <v>0.22005999999999976</v>
      </c>
      <c r="EF43" s="612">
        <f t="shared" si="48"/>
        <v>0.22012499999999974</v>
      </c>
      <c r="EG43" s="611">
        <f t="shared" si="10"/>
        <v>2.3210741176470586</v>
      </c>
      <c r="EH43" s="611">
        <f t="shared" si="10"/>
        <v>2.3795599999999997</v>
      </c>
      <c r="EI43" s="611">
        <f t="shared" si="10"/>
        <v>1000000.220125</v>
      </c>
      <c r="EJ43" s="610">
        <f t="shared" si="26"/>
        <v>2.2999999999999998</v>
      </c>
      <c r="EK43" s="643">
        <f t="shared" si="27"/>
        <v>2.25</v>
      </c>
      <c r="EL43" s="644">
        <f t="shared" si="28"/>
        <v>2.83</v>
      </c>
      <c r="EN43" s="620">
        <f t="shared" si="29"/>
        <v>7.85</v>
      </c>
      <c r="EO43" s="621">
        <f t="shared" si="40"/>
        <v>106.87001779779378</v>
      </c>
      <c r="EP43" s="621">
        <f t="shared" si="40"/>
        <v>113.90021388837401</v>
      </c>
      <c r="EQ43" s="621">
        <f t="shared" si="40"/>
        <v>119.65333246485308</v>
      </c>
      <c r="ER43" s="610">
        <f t="shared" si="80"/>
        <v>69.405262135181601</v>
      </c>
      <c r="ES43" s="611">
        <f t="shared" si="80"/>
        <v>94.105764066550705</v>
      </c>
      <c r="ET43" s="612">
        <f t="shared" si="80"/>
        <v>117.62796899375252</v>
      </c>
      <c r="EU43" s="610">
        <f t="shared" si="30"/>
        <v>100</v>
      </c>
      <c r="EV43" s="611">
        <f t="shared" si="31"/>
        <v>135</v>
      </c>
      <c r="EW43" s="645">
        <f t="shared" si="32"/>
        <v>1000000</v>
      </c>
      <c r="EX43" s="610">
        <f t="shared" si="13"/>
        <v>-37.464755662612184</v>
      </c>
      <c r="EY43" s="621">
        <f t="shared" si="14"/>
        <v>-19.794449821823299</v>
      </c>
      <c r="EZ43" s="612">
        <f t="shared" si="15"/>
        <v>-2.0253634711005652</v>
      </c>
      <c r="FA43" s="646">
        <f t="shared" si="16"/>
        <v>7.85</v>
      </c>
      <c r="FB43" s="317"/>
      <c r="FC43" s="552"/>
      <c r="FD43" s="648">
        <v>17</v>
      </c>
      <c r="FE43" s="649">
        <f t="shared" si="81"/>
        <v>51.603984349644968</v>
      </c>
      <c r="FF43" s="650">
        <f t="shared" si="81"/>
        <v>73.158369588094388</v>
      </c>
      <c r="FG43" s="651">
        <f t="shared" si="81"/>
        <v>85.478466752256054</v>
      </c>
      <c r="FI43" s="652">
        <v>85</v>
      </c>
      <c r="FJ43" s="653"/>
      <c r="FK43" s="633">
        <f t="shared" si="33"/>
        <v>100</v>
      </c>
      <c r="FL43" s="564">
        <f t="shared" si="34"/>
        <v>135</v>
      </c>
      <c r="FM43" s="634">
        <f t="shared" si="35"/>
        <v>1000000000</v>
      </c>
      <c r="FN43" s="621">
        <f t="shared" si="41"/>
        <v>74.112504856524453</v>
      </c>
      <c r="FO43" s="621">
        <f t="shared" si="41"/>
        <v>89.323604113752765</v>
      </c>
      <c r="FP43" s="654">
        <f t="shared" si="41"/>
        <v>101.77438895114638</v>
      </c>
      <c r="FQ43" s="610">
        <f t="shared" si="42"/>
        <v>-22.508520506879485</v>
      </c>
      <c r="FR43" s="611">
        <f t="shared" si="42"/>
        <v>-16.165234525658377</v>
      </c>
      <c r="FS43" s="612">
        <f t="shared" si="42"/>
        <v>-16.295922198890331</v>
      </c>
      <c r="FT43" s="633">
        <f t="shared" si="36"/>
        <v>0</v>
      </c>
      <c r="FU43" s="564">
        <f t="shared" si="36"/>
        <v>140.22421081216788</v>
      </c>
      <c r="FV43" s="655">
        <f t="shared" si="36"/>
        <v>0</v>
      </c>
      <c r="FW43" s="633">
        <f t="shared" si="37"/>
        <v>0</v>
      </c>
      <c r="FX43" s="564">
        <f t="shared" si="37"/>
        <v>1</v>
      </c>
      <c r="FY43" s="655">
        <f t="shared" si="37"/>
        <v>0</v>
      </c>
    </row>
    <row r="44" spans="1:181" s="564" customFormat="1" ht="15" customHeight="1" x14ac:dyDescent="0.2">
      <c r="B44" s="647">
        <f t="shared" si="59"/>
        <v>100</v>
      </c>
      <c r="C44" s="652">
        <f>$C$14</f>
        <v>117</v>
      </c>
      <c r="D44" s="771">
        <f>$B$14</f>
        <v>1.9</v>
      </c>
      <c r="E44" s="772">
        <f t="shared" si="49"/>
        <v>1.17</v>
      </c>
      <c r="F44" s="652"/>
      <c r="G44" s="747">
        <f t="shared" si="50"/>
        <v>1.9405137422532401</v>
      </c>
      <c r="H44" s="748">
        <f t="shared" si="60"/>
        <v>1.6413633113619825E-3</v>
      </c>
      <c r="I44" s="652"/>
      <c r="J44" s="773">
        <f t="shared" si="82"/>
        <v>7</v>
      </c>
      <c r="K44" s="774">
        <f t="shared" si="61"/>
        <v>7.875</v>
      </c>
      <c r="L44" s="747">
        <f t="shared" si="62"/>
        <v>2.0743266548672565</v>
      </c>
      <c r="M44" s="751">
        <f t="shared" si="62"/>
        <v>2.0720148230088498</v>
      </c>
      <c r="N44" s="751">
        <f t="shared" si="62"/>
        <v>2.0680222345132746</v>
      </c>
      <c r="O44" s="751">
        <f t="shared" si="62"/>
        <v>2.064029646017699</v>
      </c>
      <c r="P44" s="751">
        <f t="shared" si="62"/>
        <v>2.0563610619469026</v>
      </c>
      <c r="Q44" s="751">
        <f t="shared" si="62"/>
        <v>2.0518865486725666</v>
      </c>
      <c r="R44" s="751">
        <f t="shared" si="62"/>
        <v>2.0348327433628319</v>
      </c>
      <c r="S44" s="751">
        <f t="shared" si="62"/>
        <v>2.0273695929203539</v>
      </c>
      <c r="T44" s="752">
        <f t="shared" si="62"/>
        <v>2.0166814159292037</v>
      </c>
      <c r="U44" s="753">
        <f t="shared" si="62"/>
        <v>1.9474530973451327</v>
      </c>
      <c r="W44" s="773">
        <f t="shared" si="63"/>
        <v>7.875</v>
      </c>
      <c r="X44" s="775">
        <f t="shared" si="64"/>
        <v>8.9067250331364353E-2</v>
      </c>
      <c r="Y44" s="776">
        <f t="shared" si="64"/>
        <v>8.9062686442475461E-2</v>
      </c>
      <c r="Z44" s="776">
        <f t="shared" si="64"/>
        <v>8.905480449803102E-2</v>
      </c>
      <c r="AA44" s="776">
        <f t="shared" si="64"/>
        <v>8.904692255358658E-2</v>
      </c>
      <c r="AB44" s="776">
        <f t="shared" si="64"/>
        <v>8.9031783664697689E-2</v>
      </c>
      <c r="AC44" s="776">
        <f t="shared" si="64"/>
        <v>8.9022950331364356E-2</v>
      </c>
      <c r="AD44" s="776">
        <f t="shared" si="64"/>
        <v>8.8989283664697688E-2</v>
      </c>
      <c r="AE44" s="776">
        <f t="shared" si="64"/>
        <v>8.8974550331364352E-2</v>
      </c>
      <c r="AF44" s="777">
        <f t="shared" si="64"/>
        <v>8.8953450331364356E-2</v>
      </c>
      <c r="AG44" s="778">
        <f t="shared" si="64"/>
        <v>8.8816783664697696E-2</v>
      </c>
      <c r="AI44" s="773">
        <f t="shared" si="65"/>
        <v>7.875</v>
      </c>
      <c r="AJ44" s="747">
        <f t="shared" si="53"/>
        <v>2.1633939051986211</v>
      </c>
      <c r="AK44" s="751">
        <f t="shared" si="53"/>
        <v>2.1610775094513253</v>
      </c>
      <c r="AL44" s="751">
        <f t="shared" si="53"/>
        <v>2.1570770390113054</v>
      </c>
      <c r="AM44" s="751">
        <f t="shared" si="53"/>
        <v>2.1530765685712856</v>
      </c>
      <c r="AN44" s="751">
        <f t="shared" si="53"/>
        <v>2.1453928456116005</v>
      </c>
      <c r="AO44" s="751">
        <f t="shared" si="53"/>
        <v>2.1409094990039308</v>
      </c>
      <c r="AP44" s="751">
        <f t="shared" si="53"/>
        <v>2.1238220270275296</v>
      </c>
      <c r="AQ44" s="751">
        <f t="shared" si="53"/>
        <v>2.1163441432517183</v>
      </c>
      <c r="AR44" s="752">
        <f t="shared" si="53"/>
        <v>2.105634866260568</v>
      </c>
      <c r="AS44" s="751">
        <f t="shared" si="53"/>
        <v>2.0362698810098303</v>
      </c>
      <c r="AT44" s="674">
        <f t="shared" si="66"/>
        <v>1.75</v>
      </c>
      <c r="AU44" s="712">
        <f t="shared" si="67"/>
        <v>1.8</v>
      </c>
      <c r="AV44" s="712">
        <f t="shared" si="68"/>
        <v>1.81</v>
      </c>
      <c r="AW44" s="712">
        <f t="shared" si="69"/>
        <v>1.83</v>
      </c>
      <c r="AX44" s="712">
        <f t="shared" si="70"/>
        <v>1.84</v>
      </c>
      <c r="AY44" s="712">
        <f t="shared" si="71"/>
        <v>1.86</v>
      </c>
      <c r="AZ44" s="712">
        <f t="shared" si="72"/>
        <v>1.88</v>
      </c>
      <c r="BA44" s="712">
        <f t="shared" si="73"/>
        <v>1.9</v>
      </c>
      <c r="BB44" s="712">
        <f t="shared" si="74"/>
        <v>1.92</v>
      </c>
      <c r="BC44" s="779">
        <f t="shared" si="75"/>
        <v>1000000</v>
      </c>
      <c r="BD44" s="780">
        <f t="shared" si="76"/>
        <v>-1000000</v>
      </c>
      <c r="BF44" s="781">
        <f t="shared" si="77"/>
        <v>2.163694818771567</v>
      </c>
      <c r="BG44" s="767">
        <f t="shared" si="77"/>
        <v>2.1357201972798938</v>
      </c>
      <c r="BH44" s="767">
        <f t="shared" si="77"/>
        <v>2.0949210958697604</v>
      </c>
      <c r="BI44" s="767">
        <f t="shared" si="77"/>
        <v>2.061678970021863</v>
      </c>
      <c r="BJ44" s="767">
        <f t="shared" si="77"/>
        <v>2.0125753679007503</v>
      </c>
      <c r="BK44" s="767">
        <f t="shared" si="77"/>
        <v>1.9898346415288106</v>
      </c>
      <c r="BL44" s="767">
        <f t="shared" si="77"/>
        <v>1.9176253392179274</v>
      </c>
      <c r="BM44" s="767">
        <f t="shared" si="77"/>
        <v>1.8833751841418045</v>
      </c>
      <c r="BN44" s="767">
        <f t="shared" si="77"/>
        <v>1.8165173992788854</v>
      </c>
      <c r="BO44" s="782">
        <f t="shared" si="77"/>
        <v>2.330694937418341</v>
      </c>
      <c r="BP44" s="781">
        <f t="shared" si="55"/>
        <v>2.163694818771567</v>
      </c>
      <c r="BQ44" s="767">
        <f t="shared" si="55"/>
        <v>2.1357201972798938</v>
      </c>
      <c r="BR44" s="767">
        <f t="shared" si="55"/>
        <v>2.0949210958697604</v>
      </c>
      <c r="BS44" s="767">
        <f t="shared" si="55"/>
        <v>2.061678970021863</v>
      </c>
      <c r="BT44" s="767">
        <f t="shared" si="55"/>
        <v>2.0125753679007503</v>
      </c>
      <c r="BU44" s="767">
        <f t="shared" si="55"/>
        <v>1.9898346415288106</v>
      </c>
      <c r="BV44" s="767">
        <f t="shared" si="55"/>
        <v>1.9176253392179274</v>
      </c>
      <c r="BW44" s="767">
        <f t="shared" si="55"/>
        <v>1.8833751841418045</v>
      </c>
      <c r="BX44" s="767">
        <f t="shared" si="55"/>
        <v>1.8165173992788854</v>
      </c>
      <c r="BY44" s="767">
        <f t="shared" si="55"/>
        <v>-1000000</v>
      </c>
      <c r="BZ44" s="648">
        <f t="shared" si="56"/>
        <v>7</v>
      </c>
      <c r="CA44" s="767">
        <f t="shared" si="57"/>
        <v>2.163694818771567</v>
      </c>
      <c r="CB44" s="767">
        <f t="shared" si="57"/>
        <v>2.1357201972798938</v>
      </c>
      <c r="CC44" s="767">
        <f t="shared" si="57"/>
        <v>2.0949210958697604</v>
      </c>
      <c r="CD44" s="767">
        <f t="shared" si="57"/>
        <v>2.061678970021863</v>
      </c>
      <c r="CE44" s="767">
        <f t="shared" si="57"/>
        <v>2.0125753679007503</v>
      </c>
      <c r="CF44" s="767">
        <f t="shared" si="57"/>
        <v>1.9898346415288106</v>
      </c>
      <c r="CG44" s="767">
        <f t="shared" si="57"/>
        <v>1.9176253392179274</v>
      </c>
      <c r="CH44" s="767">
        <f t="shared" si="57"/>
        <v>1.8833751841418045</v>
      </c>
      <c r="CI44" s="767">
        <f t="shared" si="57"/>
        <v>1.8165173992788854</v>
      </c>
      <c r="CJ44" s="767"/>
      <c r="CK44" s="781">
        <f t="shared" si="58"/>
        <v>1.75</v>
      </c>
      <c r="CL44" s="783">
        <f t="shared" si="78"/>
        <v>-1000000</v>
      </c>
      <c r="CM44" s="784"/>
      <c r="CN44" s="784"/>
      <c r="CO44" s="784"/>
      <c r="CP44" s="784"/>
      <c r="CQ44" s="784"/>
      <c r="CR44" s="784"/>
      <c r="CS44" s="784"/>
      <c r="CT44" s="784"/>
      <c r="CU44" s="784"/>
      <c r="CV44" s="784"/>
      <c r="CW44" s="784"/>
      <c r="CX44" s="784"/>
      <c r="CY44" s="552"/>
      <c r="CZ44" s="642">
        <f t="shared" si="39"/>
        <v>37</v>
      </c>
      <c r="DA44" s="609">
        <f t="shared" si="0"/>
        <v>41.625</v>
      </c>
      <c r="DB44" s="609">
        <f t="shared" si="22"/>
        <v>14.8</v>
      </c>
      <c r="DC44" s="610">
        <f t="shared" si="45"/>
        <v>130.6723942937046</v>
      </c>
      <c r="DD44" s="611">
        <f t="shared" si="45"/>
        <v>132.26450322600832</v>
      </c>
      <c r="DE44" s="612">
        <f t="shared" si="45"/>
        <v>134.13102453941664</v>
      </c>
      <c r="DF44" s="610">
        <f t="shared" si="46"/>
        <v>19.411764705882348</v>
      </c>
      <c r="DG44" s="611">
        <f t="shared" si="46"/>
        <v>22</v>
      </c>
      <c r="DH44" s="612">
        <f t="shared" si="46"/>
        <v>28.470588235294098</v>
      </c>
      <c r="DI44" s="610">
        <f t="shared" si="3"/>
        <v>150.08415899958695</v>
      </c>
      <c r="DJ44" s="611">
        <f t="shared" si="3"/>
        <v>154.26450322600832</v>
      </c>
      <c r="DK44" s="612">
        <f t="shared" si="3"/>
        <v>162.60161277471073</v>
      </c>
      <c r="DL44" s="613">
        <f t="shared" si="83"/>
        <v>142.29411764705878</v>
      </c>
      <c r="DM44" s="613">
        <f t="shared" si="83"/>
        <v>142.29411764705878</v>
      </c>
      <c r="DN44" s="613">
        <f t="shared" si="83"/>
        <v>142.29411764705878</v>
      </c>
      <c r="DO44" s="609">
        <f t="shared" si="5"/>
        <v>135</v>
      </c>
      <c r="DP44" s="609"/>
      <c r="DQ44" s="609">
        <f t="shared" si="24"/>
        <v>14.8</v>
      </c>
      <c r="DR44" s="610">
        <f t="shared" si="79"/>
        <v>1.0059520470235692</v>
      </c>
      <c r="DS44" s="611">
        <f t="shared" si="79"/>
        <v>0.72064846052779574</v>
      </c>
      <c r="DT44" s="612">
        <f t="shared" si="79"/>
        <v>0.29625693681750842</v>
      </c>
      <c r="DU44" s="611">
        <f t="shared" si="84"/>
        <v>12.500000000000004</v>
      </c>
      <c r="DV44" s="611">
        <f t="shared" si="84"/>
        <v>12.500000000000004</v>
      </c>
      <c r="DW44" s="611">
        <f t="shared" si="84"/>
        <v>12.500000000000004</v>
      </c>
      <c r="DX44" s="614">
        <f t="shared" si="7"/>
        <v>12.5</v>
      </c>
      <c r="DY44" s="615"/>
      <c r="DZ44" s="609">
        <f t="shared" si="25"/>
        <v>14.8</v>
      </c>
      <c r="EA44" s="611">
        <f t="shared" si="47"/>
        <v>2.1013228476821193</v>
      </c>
      <c r="EB44" s="611">
        <f t="shared" si="47"/>
        <v>2.1636298701298702</v>
      </c>
      <c r="EC44" s="611">
        <f t="shared" si="47"/>
        <v>1000000</v>
      </c>
      <c r="ED44" s="610">
        <f t="shared" si="48"/>
        <v>0.22002999999999975</v>
      </c>
      <c r="EE44" s="611">
        <f t="shared" si="48"/>
        <v>0.22005999999999976</v>
      </c>
      <c r="EF44" s="612">
        <f t="shared" si="48"/>
        <v>0.22012499999999974</v>
      </c>
      <c r="EG44" s="611">
        <f t="shared" si="10"/>
        <v>2.3213528476821192</v>
      </c>
      <c r="EH44" s="611">
        <f t="shared" si="10"/>
        <v>2.3836898701298699</v>
      </c>
      <c r="EI44" s="611">
        <f t="shared" si="10"/>
        <v>1000000.220125</v>
      </c>
      <c r="EJ44" s="610">
        <f t="shared" si="26"/>
        <v>2.2999999999999998</v>
      </c>
      <c r="EK44" s="643">
        <f t="shared" si="27"/>
        <v>2.25</v>
      </c>
      <c r="EL44" s="644">
        <f t="shared" si="28"/>
        <v>2.83</v>
      </c>
      <c r="EN44" s="620">
        <f t="shared" si="29"/>
        <v>8.0680555555555564</v>
      </c>
      <c r="EO44" s="621">
        <f t="shared" si="40"/>
        <v>106.0889794844271</v>
      </c>
      <c r="EP44" s="621">
        <f t="shared" si="40"/>
        <v>113.31430568277132</v>
      </c>
      <c r="EQ44" s="621">
        <f t="shared" si="40"/>
        <v>119.22714034266622</v>
      </c>
      <c r="ER44" s="610">
        <f t="shared" si="80"/>
        <v>68.571037831325754</v>
      </c>
      <c r="ES44" s="611">
        <f t="shared" si="80"/>
        <v>93.083953777085526</v>
      </c>
      <c r="ET44" s="612">
        <f t="shared" si="80"/>
        <v>116.72632869650042</v>
      </c>
      <c r="EU44" s="610">
        <f t="shared" si="30"/>
        <v>100</v>
      </c>
      <c r="EV44" s="611">
        <f t="shared" si="31"/>
        <v>135</v>
      </c>
      <c r="EW44" s="645">
        <f t="shared" si="32"/>
        <v>1000000</v>
      </c>
      <c r="EX44" s="610">
        <f t="shared" si="13"/>
        <v>-37.517941653101353</v>
      </c>
      <c r="EY44" s="621">
        <f t="shared" si="14"/>
        <v>-20.230351905685801</v>
      </c>
      <c r="EZ44" s="612">
        <f t="shared" si="15"/>
        <v>-2.5008116461658041</v>
      </c>
      <c r="FA44" s="646">
        <f t="shared" si="16"/>
        <v>8.0680555555555564</v>
      </c>
      <c r="FB44" s="317"/>
      <c r="FC44" s="552"/>
      <c r="FD44" s="648">
        <v>17.25</v>
      </c>
      <c r="FE44" s="649">
        <f t="shared" si="81"/>
        <v>50.405131712999356</v>
      </c>
      <c r="FF44" s="650">
        <f t="shared" si="81"/>
        <v>72.2262039218718</v>
      </c>
      <c r="FG44" s="651">
        <f t="shared" si="81"/>
        <v>84.728280180346886</v>
      </c>
      <c r="FH44" s="652">
        <v>69</v>
      </c>
      <c r="FK44" s="633">
        <f t="shared" si="33"/>
        <v>100</v>
      </c>
      <c r="FL44" s="564">
        <f t="shared" si="34"/>
        <v>135</v>
      </c>
      <c r="FM44" s="634">
        <f t="shared" si="35"/>
        <v>1000000000</v>
      </c>
      <c r="FN44" s="621">
        <f t="shared" si="41"/>
        <v>73.217957790450868</v>
      </c>
      <c r="FO44" s="621">
        <f t="shared" si="41"/>
        <v>88.65237485557256</v>
      </c>
      <c r="FP44" s="654">
        <f t="shared" si="41"/>
        <v>101.28603230129707</v>
      </c>
      <c r="FQ44" s="610">
        <f t="shared" si="42"/>
        <v>-22.812826077451511</v>
      </c>
      <c r="FR44" s="611">
        <f t="shared" si="42"/>
        <v>-16.42617093370076</v>
      </c>
      <c r="FS44" s="612">
        <f t="shared" si="42"/>
        <v>-16.557752120950184</v>
      </c>
      <c r="FT44" s="633">
        <f t="shared" si="36"/>
        <v>345.76912661090228</v>
      </c>
      <c r="FU44" s="564">
        <f t="shared" si="36"/>
        <v>0</v>
      </c>
      <c r="FV44" s="655">
        <f t="shared" si="36"/>
        <v>0</v>
      </c>
      <c r="FW44" s="633">
        <f t="shared" si="37"/>
        <v>1</v>
      </c>
      <c r="FX44" s="564">
        <f t="shared" si="37"/>
        <v>0</v>
      </c>
      <c r="FY44" s="655">
        <f t="shared" si="37"/>
        <v>0</v>
      </c>
    </row>
    <row r="45" spans="1:181" s="564" customFormat="1" ht="15" customHeight="1" x14ac:dyDescent="0.2">
      <c r="B45" s="785">
        <f t="shared" si="59"/>
        <v>100</v>
      </c>
      <c r="C45" s="786">
        <f>$C$15</f>
        <v>112</v>
      </c>
      <c r="D45" s="787">
        <f>$B$15</f>
        <v>1.92</v>
      </c>
      <c r="E45" s="788">
        <f t="shared" si="49"/>
        <v>1.1200000000000001</v>
      </c>
      <c r="F45" s="786"/>
      <c r="G45" s="747">
        <f t="shared" si="50"/>
        <v>1.9513498032249776</v>
      </c>
      <c r="H45" s="789">
        <f t="shared" si="60"/>
        <v>9.8281016224482302E-4</v>
      </c>
      <c r="I45" s="652"/>
      <c r="J45" s="773">
        <f t="shared" si="82"/>
        <v>8</v>
      </c>
      <c r="K45" s="774">
        <f t="shared" si="61"/>
        <v>9</v>
      </c>
      <c r="L45" s="747">
        <f t="shared" si="62"/>
        <v>2.0742760000000002</v>
      </c>
      <c r="M45" s="751">
        <f t="shared" si="62"/>
        <v>2.0719435267857143</v>
      </c>
      <c r="N45" s="751">
        <f t="shared" si="62"/>
        <v>2.0679152901785716</v>
      </c>
      <c r="O45" s="751">
        <f t="shared" si="62"/>
        <v>2.0638870535714284</v>
      </c>
      <c r="P45" s="751">
        <f t="shared" si="62"/>
        <v>2.0561500000000001</v>
      </c>
      <c r="Q45" s="751">
        <f t="shared" si="62"/>
        <v>2.0516355357142859</v>
      </c>
      <c r="R45" s="751">
        <f t="shared" si="62"/>
        <v>2.0344294642857141</v>
      </c>
      <c r="S45" s="751">
        <f t="shared" si="62"/>
        <v>2.0268996785714286</v>
      </c>
      <c r="T45" s="752">
        <f t="shared" si="62"/>
        <v>2.0161160714285713</v>
      </c>
      <c r="U45" s="753">
        <f t="shared" si="62"/>
        <v>1.9462696428571429</v>
      </c>
      <c r="W45" s="773">
        <f t="shared" si="63"/>
        <v>9</v>
      </c>
      <c r="X45" s="775">
        <f t="shared" si="64"/>
        <v>7.9694557998372467E-2</v>
      </c>
      <c r="Y45" s="776">
        <f t="shared" si="64"/>
        <v>7.9689994109483575E-2</v>
      </c>
      <c r="Z45" s="776">
        <f t="shared" si="64"/>
        <v>7.9682112165039135E-2</v>
      </c>
      <c r="AA45" s="776">
        <f t="shared" si="64"/>
        <v>7.9674230220594694E-2</v>
      </c>
      <c r="AB45" s="776">
        <f t="shared" si="64"/>
        <v>7.9659091331705803E-2</v>
      </c>
      <c r="AC45" s="776">
        <f t="shared" si="64"/>
        <v>7.965025799837247E-2</v>
      </c>
      <c r="AD45" s="776">
        <f t="shared" si="64"/>
        <v>7.9616591331705802E-2</v>
      </c>
      <c r="AE45" s="776">
        <f t="shared" si="64"/>
        <v>7.9601857998372466E-2</v>
      </c>
      <c r="AF45" s="777">
        <f t="shared" si="64"/>
        <v>7.958075799837247E-2</v>
      </c>
      <c r="AG45" s="778">
        <f t="shared" si="64"/>
        <v>7.944409133170581E-2</v>
      </c>
      <c r="AI45" s="773">
        <f t="shared" si="65"/>
        <v>9</v>
      </c>
      <c r="AJ45" s="747">
        <f t="shared" si="53"/>
        <v>2.1539705579983726</v>
      </c>
      <c r="AK45" s="751">
        <f t="shared" si="53"/>
        <v>2.151633520895198</v>
      </c>
      <c r="AL45" s="751">
        <f t="shared" si="53"/>
        <v>2.1475974023436106</v>
      </c>
      <c r="AM45" s="751">
        <f t="shared" si="53"/>
        <v>2.1435612837920233</v>
      </c>
      <c r="AN45" s="751">
        <f t="shared" si="53"/>
        <v>2.1358090913317058</v>
      </c>
      <c r="AO45" s="751">
        <f t="shared" si="53"/>
        <v>2.1312857937126584</v>
      </c>
      <c r="AP45" s="751">
        <f t="shared" si="53"/>
        <v>2.1140460556174201</v>
      </c>
      <c r="AQ45" s="751">
        <f t="shared" si="53"/>
        <v>2.1065015365698012</v>
      </c>
      <c r="AR45" s="752">
        <f t="shared" si="53"/>
        <v>2.0956968294269438</v>
      </c>
      <c r="AS45" s="751">
        <f t="shared" si="53"/>
        <v>2.0257137341888485</v>
      </c>
      <c r="AT45" s="674">
        <f t="shared" si="66"/>
        <v>1.75</v>
      </c>
      <c r="AU45" s="712">
        <f t="shared" si="67"/>
        <v>1.8</v>
      </c>
      <c r="AV45" s="712">
        <f t="shared" si="68"/>
        <v>1.81</v>
      </c>
      <c r="AW45" s="712">
        <f t="shared" si="69"/>
        <v>1.83</v>
      </c>
      <c r="AX45" s="712">
        <f t="shared" si="70"/>
        <v>1.84</v>
      </c>
      <c r="AY45" s="712">
        <f t="shared" si="71"/>
        <v>1.86</v>
      </c>
      <c r="AZ45" s="712">
        <f t="shared" si="72"/>
        <v>1.88</v>
      </c>
      <c r="BA45" s="712">
        <f t="shared" si="73"/>
        <v>1.9</v>
      </c>
      <c r="BB45" s="712">
        <f t="shared" si="74"/>
        <v>1.92</v>
      </c>
      <c r="BC45" s="779">
        <f t="shared" si="75"/>
        <v>1000000</v>
      </c>
      <c r="BD45" s="780">
        <f t="shared" si="76"/>
        <v>-1000000</v>
      </c>
      <c r="BF45" s="781">
        <f t="shared" si="77"/>
        <v>2.1542974732886706</v>
      </c>
      <c r="BG45" s="767">
        <f t="shared" si="77"/>
        <v>2.124353375871638</v>
      </c>
      <c r="BH45" s="767">
        <f t="shared" si="77"/>
        <v>2.0817440210657572</v>
      </c>
      <c r="BI45" s="767">
        <f t="shared" si="77"/>
        <v>2.0479950475807156</v>
      </c>
      <c r="BJ45" s="767">
        <f t="shared" si="77"/>
        <v>1.9995276398955835</v>
      </c>
      <c r="BK45" s="767">
        <f t="shared" si="77"/>
        <v>1.9773019512650636</v>
      </c>
      <c r="BL45" s="767">
        <f t="shared" si="77"/>
        <v>1.9012951587618547</v>
      </c>
      <c r="BM45" s="767">
        <f t="shared" si="77"/>
        <v>1.8581453017916931</v>
      </c>
      <c r="BN45" s="767">
        <f t="shared" si="77"/>
        <v>1.7538116662175649</v>
      </c>
      <c r="BO45" s="782">
        <f t="shared" si="77"/>
        <v>2.2075040714865692</v>
      </c>
      <c r="BP45" s="781">
        <f t="shared" si="55"/>
        <v>2.1542974732886706</v>
      </c>
      <c r="BQ45" s="767">
        <f t="shared" si="55"/>
        <v>2.124353375871638</v>
      </c>
      <c r="BR45" s="767">
        <f t="shared" si="55"/>
        <v>2.0817440210657572</v>
      </c>
      <c r="BS45" s="767">
        <f t="shared" si="55"/>
        <v>2.0479950475807156</v>
      </c>
      <c r="BT45" s="767">
        <f t="shared" si="55"/>
        <v>1.9995276398955835</v>
      </c>
      <c r="BU45" s="767">
        <f t="shared" si="55"/>
        <v>1.9773019512650636</v>
      </c>
      <c r="BV45" s="767">
        <f t="shared" si="55"/>
        <v>1.9012951587618547</v>
      </c>
      <c r="BW45" s="767">
        <f t="shared" si="55"/>
        <v>1.8581453017916931</v>
      </c>
      <c r="BX45" s="767">
        <f t="shared" si="55"/>
        <v>1.7538116662175649</v>
      </c>
      <c r="BY45" s="767">
        <f t="shared" si="55"/>
        <v>-1000000</v>
      </c>
      <c r="BZ45" s="648">
        <f t="shared" si="56"/>
        <v>8</v>
      </c>
      <c r="CA45" s="767">
        <f t="shared" si="57"/>
        <v>2.1542974732886706</v>
      </c>
      <c r="CB45" s="767">
        <f t="shared" si="57"/>
        <v>2.124353375871638</v>
      </c>
      <c r="CC45" s="767">
        <f t="shared" si="57"/>
        <v>2.0817440210657572</v>
      </c>
      <c r="CD45" s="767">
        <f t="shared" si="57"/>
        <v>2.0479950475807156</v>
      </c>
      <c r="CE45" s="767">
        <f t="shared" si="57"/>
        <v>1.9995276398955835</v>
      </c>
      <c r="CF45" s="767">
        <f t="shared" si="57"/>
        <v>1.9773019512650636</v>
      </c>
      <c r="CG45" s="767">
        <f t="shared" si="57"/>
        <v>1.9012951587618547</v>
      </c>
      <c r="CH45" s="767">
        <f t="shared" si="57"/>
        <v>1.8581453017916931</v>
      </c>
      <c r="CI45" s="767">
        <f t="shared" si="57"/>
        <v>1.7538116662175649</v>
      </c>
      <c r="CJ45" s="767"/>
      <c r="CK45" s="781">
        <f t="shared" si="58"/>
        <v>1.75</v>
      </c>
      <c r="CL45" s="783">
        <f t="shared" si="78"/>
        <v>0</v>
      </c>
      <c r="CM45" s="552"/>
      <c r="CN45" s="552"/>
      <c r="CO45" s="552"/>
      <c r="CP45" s="552"/>
      <c r="CQ45" s="552"/>
      <c r="CR45" s="552"/>
      <c r="CS45" s="552"/>
      <c r="CT45" s="552"/>
      <c r="CU45" s="552"/>
      <c r="CV45" s="552"/>
      <c r="CW45" s="552"/>
      <c r="CX45" s="552"/>
      <c r="CY45" s="552"/>
      <c r="CZ45" s="642">
        <f t="shared" si="39"/>
        <v>38</v>
      </c>
      <c r="DA45" s="609">
        <f t="shared" si="0"/>
        <v>42.75</v>
      </c>
      <c r="DB45" s="609">
        <f t="shared" si="22"/>
        <v>15.2</v>
      </c>
      <c r="DC45" s="610">
        <f t="shared" si="45"/>
        <v>131.05663497873206</v>
      </c>
      <c r="DD45" s="611">
        <f t="shared" si="45"/>
        <v>132.53809433322962</v>
      </c>
      <c r="DE45" s="612">
        <f t="shared" si="45"/>
        <v>134.24180227247635</v>
      </c>
      <c r="DF45" s="610">
        <f t="shared" si="46"/>
        <v>19.411764705882348</v>
      </c>
      <c r="DG45" s="611">
        <f t="shared" si="46"/>
        <v>22</v>
      </c>
      <c r="DH45" s="612">
        <f t="shared" si="46"/>
        <v>28.470588235294098</v>
      </c>
      <c r="DI45" s="610">
        <f t="shared" si="3"/>
        <v>150.46839968461441</v>
      </c>
      <c r="DJ45" s="611">
        <f t="shared" si="3"/>
        <v>154.53809433322962</v>
      </c>
      <c r="DK45" s="612">
        <f t="shared" si="3"/>
        <v>162.71239050777044</v>
      </c>
      <c r="DL45" s="613">
        <f t="shared" si="83"/>
        <v>147.29411764705875</v>
      </c>
      <c r="DM45" s="613">
        <f t="shared" si="83"/>
        <v>147.29411764705875</v>
      </c>
      <c r="DN45" s="613">
        <f t="shared" si="83"/>
        <v>147.29411764705875</v>
      </c>
      <c r="DO45" s="609">
        <f t="shared" si="5"/>
        <v>135</v>
      </c>
      <c r="DP45" s="609"/>
      <c r="DQ45" s="609">
        <f t="shared" si="24"/>
        <v>15.2</v>
      </c>
      <c r="DR45" s="610">
        <f t="shared" si="79"/>
        <v>0.91663529085726025</v>
      </c>
      <c r="DS45" s="611">
        <f t="shared" si="79"/>
        <v>0.64857270006348233</v>
      </c>
      <c r="DT45" s="612">
        <f t="shared" si="79"/>
        <v>0.25848984976786438</v>
      </c>
      <c r="DU45" s="611">
        <f t="shared" si="84"/>
        <v>12.499999999999973</v>
      </c>
      <c r="DV45" s="611">
        <f t="shared" si="84"/>
        <v>12.499999999999973</v>
      </c>
      <c r="DW45" s="611">
        <f t="shared" si="84"/>
        <v>12.499999999999973</v>
      </c>
      <c r="DX45" s="614">
        <f t="shared" si="7"/>
        <v>12.5</v>
      </c>
      <c r="DY45" s="615"/>
      <c r="DZ45" s="609">
        <f t="shared" si="25"/>
        <v>15.2</v>
      </c>
      <c r="EA45" s="611">
        <f t="shared" si="47"/>
        <v>2.1016090604026845</v>
      </c>
      <c r="EB45" s="611">
        <f t="shared" si="47"/>
        <v>2.1682123287671233</v>
      </c>
      <c r="EC45" s="611">
        <f t="shared" si="47"/>
        <v>1000000</v>
      </c>
      <c r="ED45" s="610">
        <f t="shared" si="48"/>
        <v>0.22002999999999975</v>
      </c>
      <c r="EE45" s="611">
        <f t="shared" si="48"/>
        <v>0.22005999999999976</v>
      </c>
      <c r="EF45" s="612">
        <f t="shared" si="48"/>
        <v>0.22012499999999974</v>
      </c>
      <c r="EG45" s="611">
        <f t="shared" si="10"/>
        <v>2.3216390604026844</v>
      </c>
      <c r="EH45" s="611">
        <f t="shared" si="10"/>
        <v>2.388272328767123</v>
      </c>
      <c r="EI45" s="611">
        <f t="shared" si="10"/>
        <v>1000000.220125</v>
      </c>
      <c r="EJ45" s="610">
        <f t="shared" si="26"/>
        <v>2.2999999999999998</v>
      </c>
      <c r="EK45" s="643">
        <f t="shared" si="27"/>
        <v>2.25</v>
      </c>
      <c r="EL45" s="644">
        <f t="shared" si="28"/>
        <v>2.83</v>
      </c>
      <c r="EN45" s="620">
        <f t="shared" si="29"/>
        <v>8.2861111111111114</v>
      </c>
      <c r="EO45" s="621">
        <f t="shared" si="40"/>
        <v>105.30796008565812</v>
      </c>
      <c r="EP45" s="621">
        <f t="shared" si="40"/>
        <v>112.72840812020571</v>
      </c>
      <c r="EQ45" s="621">
        <f t="shared" si="40"/>
        <v>118.80095385140247</v>
      </c>
      <c r="ER45" s="610">
        <f t="shared" si="80"/>
        <v>67.743703286613197</v>
      </c>
      <c r="ES45" s="611">
        <f t="shared" si="80"/>
        <v>92.082053639849221</v>
      </c>
      <c r="ET45" s="612">
        <f t="shared" si="80"/>
        <v>115.83291603677759</v>
      </c>
      <c r="EU45" s="610">
        <f t="shared" si="30"/>
        <v>100</v>
      </c>
      <c r="EV45" s="611">
        <f t="shared" si="31"/>
        <v>135</v>
      </c>
      <c r="EW45" s="645">
        <f t="shared" si="32"/>
        <v>1000000</v>
      </c>
      <c r="EX45" s="610">
        <f t="shared" si="13"/>
        <v>-37.564256799044927</v>
      </c>
      <c r="EY45" s="621">
        <f t="shared" si="14"/>
        <v>-20.646354480356486</v>
      </c>
      <c r="EZ45" s="612">
        <f t="shared" si="15"/>
        <v>-2.9680378146248749</v>
      </c>
      <c r="FA45" s="646">
        <f t="shared" si="16"/>
        <v>8.2861111111111114</v>
      </c>
      <c r="FB45" s="317"/>
      <c r="FC45" s="552"/>
      <c r="FD45" s="648">
        <v>18</v>
      </c>
      <c r="FE45" s="649">
        <f t="shared" si="81"/>
        <v>46.844401768241838</v>
      </c>
      <c r="FF45" s="650">
        <f t="shared" si="81"/>
        <v>69.460384867374643</v>
      </c>
      <c r="FG45" s="651">
        <f t="shared" si="81"/>
        <v>82.508463702023761</v>
      </c>
      <c r="FI45" s="653"/>
      <c r="FJ45" s="652">
        <v>90</v>
      </c>
      <c r="FK45" s="633">
        <f t="shared" si="33"/>
        <v>100</v>
      </c>
      <c r="FL45" s="564">
        <f t="shared" si="34"/>
        <v>135</v>
      </c>
      <c r="FM45" s="634">
        <f t="shared" si="35"/>
        <v>1000000000</v>
      </c>
      <c r="FN45" s="621">
        <f t="shared" si="41"/>
        <v>70.53446553446561</v>
      </c>
      <c r="FO45" s="621">
        <f t="shared" si="41"/>
        <v>86.638770921808629</v>
      </c>
      <c r="FP45" s="654">
        <f t="shared" si="41"/>
        <v>99.821006723605308</v>
      </c>
      <c r="FQ45" s="610">
        <f t="shared" si="42"/>
        <v>-23.690063766223773</v>
      </c>
      <c r="FR45" s="611">
        <f t="shared" si="42"/>
        <v>-17.178386054433993</v>
      </c>
      <c r="FS45" s="612">
        <f t="shared" si="42"/>
        <v>-17.31254302158154</v>
      </c>
      <c r="FT45" s="633">
        <f t="shared" si="36"/>
        <v>0</v>
      </c>
      <c r="FU45" s="564">
        <f t="shared" si="36"/>
        <v>0</v>
      </c>
      <c r="FV45" s="655">
        <f t="shared" si="36"/>
        <v>56.123116103895534</v>
      </c>
      <c r="FW45" s="633">
        <f t="shared" si="37"/>
        <v>0</v>
      </c>
      <c r="FX45" s="564">
        <f t="shared" si="37"/>
        <v>0</v>
      </c>
      <c r="FY45" s="655">
        <f t="shared" si="37"/>
        <v>1</v>
      </c>
    </row>
    <row r="46" spans="1:181" s="564" customFormat="1" ht="15" customHeight="1" x14ac:dyDescent="0.2">
      <c r="B46" s="647">
        <f t="shared" si="59"/>
        <v>100</v>
      </c>
      <c r="C46" s="652">
        <f>$C$16</f>
        <v>104.5</v>
      </c>
      <c r="D46" s="771">
        <f>$B$16</f>
        <v>1.94</v>
      </c>
      <c r="E46" s="790">
        <f t="shared" si="49"/>
        <v>1.0449999999999999</v>
      </c>
      <c r="F46" s="652"/>
      <c r="G46" s="747">
        <f t="shared" si="50"/>
        <v>1.9613170575628478</v>
      </c>
      <c r="H46" s="748">
        <f t="shared" si="60"/>
        <v>4.544169431377688E-4</v>
      </c>
      <c r="I46" s="652"/>
      <c r="J46" s="773">
        <f t="shared" si="82"/>
        <v>9</v>
      </c>
      <c r="K46" s="774">
        <f t="shared" si="61"/>
        <v>10.125</v>
      </c>
      <c r="L46" s="747">
        <f t="shared" si="62"/>
        <v>2.0742244324324326</v>
      </c>
      <c r="M46" s="751">
        <f t="shared" si="62"/>
        <v>2.0718709459459461</v>
      </c>
      <c r="N46" s="751">
        <f t="shared" si="62"/>
        <v>2.0678064189189191</v>
      </c>
      <c r="O46" s="751">
        <f t="shared" si="62"/>
        <v>2.0637418918918922</v>
      </c>
      <c r="P46" s="751">
        <f t="shared" si="62"/>
        <v>2.0559351351351354</v>
      </c>
      <c r="Q46" s="751">
        <f t="shared" si="62"/>
        <v>2.05138</v>
      </c>
      <c r="R46" s="751">
        <f t="shared" si="62"/>
        <v>2.0340189189189188</v>
      </c>
      <c r="S46" s="751">
        <f t="shared" si="62"/>
        <v>2.0264212972972975</v>
      </c>
      <c r="T46" s="752">
        <f t="shared" si="62"/>
        <v>2.0155405405405404</v>
      </c>
      <c r="U46" s="753">
        <f t="shared" si="62"/>
        <v>1.945064864864865</v>
      </c>
      <c r="W46" s="773">
        <f t="shared" si="63"/>
        <v>10.125</v>
      </c>
      <c r="X46" s="775">
        <f t="shared" si="64"/>
        <v>7.0789102851917127E-2</v>
      </c>
      <c r="Y46" s="776">
        <f t="shared" si="64"/>
        <v>7.0784538963028235E-2</v>
      </c>
      <c r="Z46" s="776">
        <f t="shared" si="64"/>
        <v>7.0776657018583794E-2</v>
      </c>
      <c r="AA46" s="776">
        <f t="shared" si="64"/>
        <v>7.0768775074139353E-2</v>
      </c>
      <c r="AB46" s="776">
        <f t="shared" si="64"/>
        <v>7.0753636185250462E-2</v>
      </c>
      <c r="AC46" s="776">
        <f t="shared" si="64"/>
        <v>7.074480285191713E-2</v>
      </c>
      <c r="AD46" s="776">
        <f t="shared" si="64"/>
        <v>7.0711136185250462E-2</v>
      </c>
      <c r="AE46" s="776">
        <f t="shared" si="64"/>
        <v>7.0696402851917126E-2</v>
      </c>
      <c r="AF46" s="777">
        <f t="shared" si="64"/>
        <v>7.0675302851917129E-2</v>
      </c>
      <c r="AG46" s="778">
        <f t="shared" si="64"/>
        <v>7.053863618525047E-2</v>
      </c>
      <c r="AI46" s="773">
        <f t="shared" si="65"/>
        <v>10.125</v>
      </c>
      <c r="AJ46" s="747">
        <f t="shared" si="53"/>
        <v>2.1450135352843498</v>
      </c>
      <c r="AK46" s="751">
        <f t="shared" si="53"/>
        <v>2.1426554849089743</v>
      </c>
      <c r="AL46" s="751">
        <f t="shared" si="53"/>
        <v>2.1385830759375031</v>
      </c>
      <c r="AM46" s="751">
        <f t="shared" si="53"/>
        <v>2.1345106669660314</v>
      </c>
      <c r="AN46" s="751">
        <f t="shared" si="53"/>
        <v>2.1266887713203859</v>
      </c>
      <c r="AO46" s="751">
        <f t="shared" si="53"/>
        <v>2.1221248028519173</v>
      </c>
      <c r="AP46" s="751">
        <f t="shared" si="53"/>
        <v>2.1047300551041692</v>
      </c>
      <c r="AQ46" s="751">
        <f t="shared" si="53"/>
        <v>2.0971177001492145</v>
      </c>
      <c r="AR46" s="752">
        <f t="shared" si="53"/>
        <v>2.0862158433924574</v>
      </c>
      <c r="AS46" s="751">
        <f t="shared" si="53"/>
        <v>2.0156035010501157</v>
      </c>
      <c r="AT46" s="674">
        <f t="shared" si="66"/>
        <v>1.75</v>
      </c>
      <c r="AU46" s="712">
        <f t="shared" si="67"/>
        <v>1.8</v>
      </c>
      <c r="AV46" s="712">
        <f t="shared" si="68"/>
        <v>1.81</v>
      </c>
      <c r="AW46" s="712">
        <f t="shared" si="69"/>
        <v>1.83</v>
      </c>
      <c r="AX46" s="712">
        <f t="shared" si="70"/>
        <v>1.84</v>
      </c>
      <c r="AY46" s="712">
        <f t="shared" si="71"/>
        <v>1.86</v>
      </c>
      <c r="AZ46" s="712">
        <f t="shared" si="72"/>
        <v>1.88</v>
      </c>
      <c r="BA46" s="712">
        <f t="shared" si="73"/>
        <v>1.9</v>
      </c>
      <c r="BB46" s="712">
        <f t="shared" si="74"/>
        <v>1.92</v>
      </c>
      <c r="BC46" s="779">
        <f t="shared" si="75"/>
        <v>1000000</v>
      </c>
      <c r="BD46" s="780">
        <f t="shared" si="76"/>
        <v>-1000000</v>
      </c>
      <c r="BF46" s="781">
        <f t="shared" si="77"/>
        <v>2.1453631591154085</v>
      </c>
      <c r="BG46" s="767">
        <f t="shared" si="77"/>
        <v>2.1137624919323805</v>
      </c>
      <c r="BH46" s="767">
        <f t="shared" si="77"/>
        <v>2.0698722007835682</v>
      </c>
      <c r="BI46" s="767">
        <f t="shared" si="77"/>
        <v>2.0360386375947828</v>
      </c>
      <c r="BJ46" s="767">
        <f t="shared" si="77"/>
        <v>1.9885647629737597</v>
      </c>
      <c r="BK46" s="767">
        <f t="shared" si="77"/>
        <v>1.9667587734848273</v>
      </c>
      <c r="BL46" s="767">
        <f t="shared" si="77"/>
        <v>1.8831059912036432</v>
      </c>
      <c r="BM46" s="767">
        <f t="shared" si="77"/>
        <v>1.8235353724708154</v>
      </c>
      <c r="BN46" s="767">
        <f t="shared" si="77"/>
        <v>1.6248063878088208</v>
      </c>
      <c r="BO46" s="782">
        <f t="shared" si="77"/>
        <v>2.1484702691131687</v>
      </c>
      <c r="BP46" s="781">
        <f t="shared" si="55"/>
        <v>2.1453631591154085</v>
      </c>
      <c r="BQ46" s="767">
        <f t="shared" si="55"/>
        <v>2.1137624919323805</v>
      </c>
      <c r="BR46" s="767">
        <f t="shared" si="55"/>
        <v>2.0698722007835682</v>
      </c>
      <c r="BS46" s="767">
        <f t="shared" si="55"/>
        <v>2.0360386375947828</v>
      </c>
      <c r="BT46" s="767">
        <f t="shared" si="55"/>
        <v>1.9885647629737597</v>
      </c>
      <c r="BU46" s="767">
        <f t="shared" si="55"/>
        <v>1.9667587734848273</v>
      </c>
      <c r="BV46" s="767">
        <f t="shared" si="55"/>
        <v>1.8831059912036432</v>
      </c>
      <c r="BW46" s="767">
        <f t="shared" si="55"/>
        <v>1.8235353724708154</v>
      </c>
      <c r="BX46" s="767">
        <f t="shared" si="55"/>
        <v>1.6248063878088208</v>
      </c>
      <c r="BY46" s="767">
        <f t="shared" si="55"/>
        <v>-1000000</v>
      </c>
      <c r="BZ46" s="648">
        <f t="shared" si="56"/>
        <v>9</v>
      </c>
      <c r="CA46" s="767">
        <f t="shared" si="57"/>
        <v>2.1453631591154085</v>
      </c>
      <c r="CB46" s="767">
        <f t="shared" si="57"/>
        <v>2.1137624919323805</v>
      </c>
      <c r="CC46" s="767">
        <f t="shared" si="57"/>
        <v>2.0698722007835682</v>
      </c>
      <c r="CD46" s="767">
        <f t="shared" si="57"/>
        <v>2.0360386375947828</v>
      </c>
      <c r="CE46" s="767">
        <f t="shared" si="57"/>
        <v>1.9885647629737597</v>
      </c>
      <c r="CF46" s="767">
        <f t="shared" si="57"/>
        <v>1.9667587734848273</v>
      </c>
      <c r="CG46" s="767">
        <f t="shared" si="57"/>
        <v>1.8831059912036432</v>
      </c>
      <c r="CH46" s="767">
        <f t="shared" si="57"/>
        <v>1.8235353724708154</v>
      </c>
      <c r="CI46" s="767">
        <f t="shared" si="57"/>
        <v>1.6248063878088208</v>
      </c>
      <c r="CJ46" s="767"/>
      <c r="CK46" s="781">
        <f t="shared" si="58"/>
        <v>1.75</v>
      </c>
      <c r="CL46" s="783">
        <f t="shared" si="78"/>
        <v>1000000</v>
      </c>
      <c r="CM46" s="552"/>
      <c r="CN46" s="552"/>
      <c r="CO46" s="552"/>
      <c r="CP46" s="552"/>
      <c r="CQ46" s="552"/>
      <c r="CR46" s="552"/>
      <c r="CS46" s="552"/>
      <c r="CT46" s="552"/>
      <c r="CU46" s="552"/>
      <c r="CV46" s="552"/>
      <c r="CW46" s="552"/>
      <c r="CX46" s="552"/>
      <c r="CY46" s="552"/>
      <c r="CZ46" s="642">
        <f t="shared" si="39"/>
        <v>39</v>
      </c>
      <c r="DA46" s="609">
        <f t="shared" si="0"/>
        <v>43.875</v>
      </c>
      <c r="DB46" s="609">
        <f t="shared" si="22"/>
        <v>15.600000000000001</v>
      </c>
      <c r="DC46" s="610">
        <f t="shared" ref="DC46:DE65" si="85">$CS$28*(1-EXP(-$DB46/DC$4))</f>
        <v>131.40675959264527</v>
      </c>
      <c r="DD46" s="611">
        <f t="shared" si="85"/>
        <v>132.78432218611911</v>
      </c>
      <c r="DE46" s="612">
        <f t="shared" si="85"/>
        <v>134.33845796561837</v>
      </c>
      <c r="DF46" s="610">
        <f t="shared" ref="DF46:DH65" si="86">$CS$31*((DF$3-$CS$21)+($CS$23-DF$3)*EXP(-$DB46/DF$4))</f>
        <v>19.411764705882348</v>
      </c>
      <c r="DG46" s="611">
        <f t="shared" si="86"/>
        <v>22</v>
      </c>
      <c r="DH46" s="612">
        <f t="shared" si="86"/>
        <v>28.470588235294098</v>
      </c>
      <c r="DI46" s="610">
        <f t="shared" si="3"/>
        <v>150.81852429852762</v>
      </c>
      <c r="DJ46" s="611">
        <f t="shared" si="3"/>
        <v>154.78432218611911</v>
      </c>
      <c r="DK46" s="612">
        <f t="shared" si="3"/>
        <v>162.80904620091246</v>
      </c>
      <c r="DL46" s="613">
        <f t="shared" si="83"/>
        <v>150.81852429852762</v>
      </c>
      <c r="DM46" s="613">
        <f t="shared" si="83"/>
        <v>152.29411764705878</v>
      </c>
      <c r="DN46" s="613">
        <f t="shared" si="83"/>
        <v>152.29411764705878</v>
      </c>
      <c r="DO46" s="609">
        <f t="shared" si="5"/>
        <v>135</v>
      </c>
      <c r="DP46" s="609"/>
      <c r="DQ46" s="609">
        <f t="shared" si="24"/>
        <v>15.600000000000001</v>
      </c>
      <c r="DR46" s="610">
        <f t="shared" si="79"/>
        <v>0.83524881621448421</v>
      </c>
      <c r="DS46" s="611">
        <f t="shared" si="79"/>
        <v>0.58370560725205489</v>
      </c>
      <c r="DT46" s="612">
        <f t="shared" si="79"/>
        <v>0.22553734319534857</v>
      </c>
      <c r="DU46" s="611">
        <f t="shared" si="84"/>
        <v>8.8110166286721174</v>
      </c>
      <c r="DV46" s="611">
        <f t="shared" si="84"/>
        <v>12.500000000000004</v>
      </c>
      <c r="DW46" s="611">
        <f t="shared" si="84"/>
        <v>12.500000000000004</v>
      </c>
      <c r="DX46" s="614">
        <f t="shared" si="7"/>
        <v>12.5</v>
      </c>
      <c r="DY46" s="615"/>
      <c r="DZ46" s="609">
        <f t="shared" si="25"/>
        <v>15.600000000000001</v>
      </c>
      <c r="EA46" s="611">
        <f t="shared" ref="EA46:EC65" si="87">IF((EA$4*$DZ46)&gt;=$CS$28,1000000,($CS$21+($CS$36*EA$4)/(1-(EA$4*$DZ46)/($CS$28))))</f>
        <v>2.10190306122449</v>
      </c>
      <c r="EB46" s="611">
        <f t="shared" si="87"/>
        <v>2.1733260869565219</v>
      </c>
      <c r="EC46" s="611">
        <f t="shared" si="87"/>
        <v>1000000</v>
      </c>
      <c r="ED46" s="610">
        <f t="shared" ref="ED46:EF65" si="88">($CS$25-$CS$21)+($CS$23-$CS$25)*EXP(-$DZ46/$CX$14)+$CS$37*ED$4</f>
        <v>0.22002999999999975</v>
      </c>
      <c r="EE46" s="611">
        <f t="shared" si="88"/>
        <v>0.22005999999999976</v>
      </c>
      <c r="EF46" s="612">
        <f t="shared" si="88"/>
        <v>0.22012499999999974</v>
      </c>
      <c r="EG46" s="611">
        <f t="shared" si="10"/>
        <v>2.3219330612244899</v>
      </c>
      <c r="EH46" s="611">
        <f t="shared" si="10"/>
        <v>2.3933860869565216</v>
      </c>
      <c r="EI46" s="611">
        <f t="shared" si="10"/>
        <v>1000000.220125</v>
      </c>
      <c r="EJ46" s="610">
        <f t="shared" si="26"/>
        <v>2.2999999999999998</v>
      </c>
      <c r="EK46" s="643">
        <f t="shared" si="27"/>
        <v>2.25</v>
      </c>
      <c r="EL46" s="644">
        <f t="shared" si="28"/>
        <v>2.83</v>
      </c>
      <c r="EN46" s="620">
        <f t="shared" si="29"/>
        <v>8.5041666666666682</v>
      </c>
      <c r="EO46" s="621">
        <f t="shared" si="40"/>
        <v>104.52695960079974</v>
      </c>
      <c r="EP46" s="621">
        <f t="shared" si="40"/>
        <v>112.14252120038715</v>
      </c>
      <c r="EQ46" s="621">
        <f t="shared" si="40"/>
        <v>118.37477299095019</v>
      </c>
      <c r="ER46" s="610">
        <f t="shared" si="80"/>
        <v>66.922370888706936</v>
      </c>
      <c r="ES46" s="611">
        <f t="shared" si="80"/>
        <v>91.09915521552216</v>
      </c>
      <c r="ET46" s="612">
        <f t="shared" si="80"/>
        <v>114.94758882990597</v>
      </c>
      <c r="EU46" s="610">
        <f t="shared" si="30"/>
        <v>100</v>
      </c>
      <c r="EV46" s="611">
        <f t="shared" si="31"/>
        <v>135</v>
      </c>
      <c r="EW46" s="645">
        <f t="shared" si="32"/>
        <v>1000000</v>
      </c>
      <c r="EX46" s="610">
        <f t="shared" si="13"/>
        <v>-37.604588712092806</v>
      </c>
      <c r="EY46" s="621">
        <f t="shared" si="14"/>
        <v>-21.043365984864991</v>
      </c>
      <c r="EZ46" s="612">
        <f t="shared" si="15"/>
        <v>-3.4271841610442202</v>
      </c>
      <c r="FA46" s="646">
        <f t="shared" si="16"/>
        <v>8.5041666666666682</v>
      </c>
      <c r="FB46" s="317"/>
      <c r="FC46" s="552"/>
      <c r="FD46" s="648">
        <v>19.875</v>
      </c>
      <c r="FE46" s="649">
        <f t="shared" si="81"/>
        <v>38.160596707334541</v>
      </c>
      <c r="FF46" s="650">
        <f t="shared" si="81"/>
        <v>62.732497326793982</v>
      </c>
      <c r="FG46" s="651">
        <f t="shared" si="81"/>
        <v>77.145960916406892</v>
      </c>
      <c r="FI46" s="652">
        <v>79.5</v>
      </c>
      <c r="FJ46" s="653"/>
      <c r="FK46" s="633">
        <f t="shared" si="33"/>
        <v>100</v>
      </c>
      <c r="FL46" s="564">
        <f t="shared" si="34"/>
        <v>135</v>
      </c>
      <c r="FM46" s="634">
        <f t="shared" si="35"/>
        <v>1000000000</v>
      </c>
      <c r="FN46" s="621">
        <f t="shared" si="41"/>
        <v>63.826712171976837</v>
      </c>
      <c r="FO46" s="621">
        <f t="shared" si="41"/>
        <v>81.605311226640438</v>
      </c>
      <c r="FP46" s="654">
        <f t="shared" si="41"/>
        <v>96.158733944329001</v>
      </c>
      <c r="FQ46" s="610">
        <f t="shared" si="42"/>
        <v>-25.666115464642296</v>
      </c>
      <c r="FR46" s="611">
        <f t="shared" si="42"/>
        <v>-18.872813899846456</v>
      </c>
      <c r="FS46" s="612">
        <f t="shared" si="42"/>
        <v>-19.012773027922101</v>
      </c>
      <c r="FT46" s="633">
        <f t="shared" si="36"/>
        <v>0</v>
      </c>
      <c r="FU46" s="564">
        <f t="shared" si="36"/>
        <v>281.14914589597095</v>
      </c>
      <c r="FV46" s="655">
        <f t="shared" si="36"/>
        <v>0</v>
      </c>
      <c r="FW46" s="633">
        <f t="shared" si="37"/>
        <v>0</v>
      </c>
      <c r="FX46" s="564">
        <f t="shared" si="37"/>
        <v>1</v>
      </c>
      <c r="FY46" s="655">
        <f t="shared" si="37"/>
        <v>0</v>
      </c>
    </row>
    <row r="47" spans="1:181" s="564" customFormat="1" ht="15" customHeight="1" x14ac:dyDescent="0.2">
      <c r="B47" s="626">
        <f>$D$4</f>
        <v>72</v>
      </c>
      <c r="C47" s="631">
        <f>$D$6</f>
        <v>129</v>
      </c>
      <c r="D47" s="744">
        <f>$B$6</f>
        <v>1.75</v>
      </c>
      <c r="E47" s="745">
        <f t="shared" si="49"/>
        <v>1.7916666666666667</v>
      </c>
      <c r="F47" s="652"/>
      <c r="G47" s="747">
        <f t="shared" si="50"/>
        <v>1.7895194370431642</v>
      </c>
      <c r="H47" s="748">
        <f t="shared" si="60"/>
        <v>1.5617859042086175E-3</v>
      </c>
      <c r="I47" s="652"/>
      <c r="J47" s="773">
        <f t="shared" si="82"/>
        <v>10</v>
      </c>
      <c r="K47" s="774">
        <f t="shared" si="61"/>
        <v>11.25</v>
      </c>
      <c r="L47" s="747">
        <f t="shared" si="62"/>
        <v>2.0741719272727273</v>
      </c>
      <c r="M47" s="751">
        <f t="shared" si="62"/>
        <v>2.0717970454545456</v>
      </c>
      <c r="N47" s="751">
        <f t="shared" si="62"/>
        <v>2.0676955681818181</v>
      </c>
      <c r="O47" s="751">
        <f t="shared" si="62"/>
        <v>2.0635940909090911</v>
      </c>
      <c r="P47" s="751">
        <f t="shared" si="62"/>
        <v>2.0557163636363636</v>
      </c>
      <c r="Q47" s="751">
        <f t="shared" si="62"/>
        <v>2.0511198181818182</v>
      </c>
      <c r="R47" s="751">
        <f t="shared" si="62"/>
        <v>2.0336009090909091</v>
      </c>
      <c r="S47" s="751">
        <f t="shared" si="62"/>
        <v>2.0259342181818183</v>
      </c>
      <c r="T47" s="752">
        <f t="shared" si="62"/>
        <v>2.0149545454545454</v>
      </c>
      <c r="U47" s="753">
        <f t="shared" si="62"/>
        <v>1.9438381818181818</v>
      </c>
      <c r="W47" s="773">
        <f t="shared" si="63"/>
        <v>11.25</v>
      </c>
      <c r="X47" s="775">
        <f t="shared" si="64"/>
        <v>6.2327592695826044E-2</v>
      </c>
      <c r="Y47" s="776">
        <f t="shared" si="64"/>
        <v>6.2323028806937159E-2</v>
      </c>
      <c r="Z47" s="776">
        <f t="shared" si="64"/>
        <v>6.2315146862492711E-2</v>
      </c>
      <c r="AA47" s="776">
        <f t="shared" si="64"/>
        <v>6.230726491804827E-2</v>
      </c>
      <c r="AB47" s="776">
        <f t="shared" si="64"/>
        <v>6.229212602915938E-2</v>
      </c>
      <c r="AC47" s="776">
        <f t="shared" si="64"/>
        <v>6.2283292695826047E-2</v>
      </c>
      <c r="AD47" s="776">
        <f t="shared" si="64"/>
        <v>6.2249626029159379E-2</v>
      </c>
      <c r="AE47" s="776">
        <f t="shared" si="64"/>
        <v>6.223489269582605E-2</v>
      </c>
      <c r="AF47" s="777">
        <f t="shared" si="64"/>
        <v>6.2213792695826046E-2</v>
      </c>
      <c r="AG47" s="778">
        <f t="shared" si="64"/>
        <v>6.207712602915938E-2</v>
      </c>
      <c r="AI47" s="773">
        <f t="shared" si="65"/>
        <v>11.25</v>
      </c>
      <c r="AJ47" s="747">
        <f t="shared" si="53"/>
        <v>2.1364995199685533</v>
      </c>
      <c r="AK47" s="751">
        <f t="shared" si="53"/>
        <v>2.1341200742614825</v>
      </c>
      <c r="AL47" s="751">
        <f t="shared" si="53"/>
        <v>2.1300107150443108</v>
      </c>
      <c r="AM47" s="751">
        <f t="shared" si="53"/>
        <v>2.1259013558271391</v>
      </c>
      <c r="AN47" s="751">
        <f t="shared" si="53"/>
        <v>2.1180084896655229</v>
      </c>
      <c r="AO47" s="751">
        <f t="shared" si="53"/>
        <v>2.1134031108776443</v>
      </c>
      <c r="AP47" s="751">
        <f t="shared" si="53"/>
        <v>2.0958505351200682</v>
      </c>
      <c r="AQ47" s="751">
        <f t="shared" si="53"/>
        <v>2.0881691108776446</v>
      </c>
      <c r="AR47" s="752">
        <f t="shared" si="53"/>
        <v>2.0771683381503716</v>
      </c>
      <c r="AS47" s="751">
        <f t="shared" si="53"/>
        <v>2.0059153078473413</v>
      </c>
      <c r="AT47" s="674">
        <f t="shared" si="66"/>
        <v>1.75</v>
      </c>
      <c r="AU47" s="712">
        <f t="shared" si="67"/>
        <v>1.8</v>
      </c>
      <c r="AV47" s="712">
        <f t="shared" si="68"/>
        <v>1.81</v>
      </c>
      <c r="AW47" s="712">
        <f t="shared" si="69"/>
        <v>1.83</v>
      </c>
      <c r="AX47" s="712">
        <f t="shared" si="70"/>
        <v>1.84</v>
      </c>
      <c r="AY47" s="712">
        <f t="shared" si="71"/>
        <v>1.86</v>
      </c>
      <c r="AZ47" s="712">
        <f t="shared" si="72"/>
        <v>1.88</v>
      </c>
      <c r="BA47" s="712">
        <f t="shared" si="73"/>
        <v>1.9</v>
      </c>
      <c r="BB47" s="712">
        <f t="shared" si="74"/>
        <v>1.92</v>
      </c>
      <c r="BC47" s="779">
        <f t="shared" si="75"/>
        <v>1000000</v>
      </c>
      <c r="BD47" s="780">
        <f t="shared" si="76"/>
        <v>-1000000</v>
      </c>
      <c r="BF47" s="781">
        <f t="shared" si="77"/>
        <v>2.136868824336728</v>
      </c>
      <c r="BG47" s="767">
        <f t="shared" si="77"/>
        <v>2.1038935921275259</v>
      </c>
      <c r="BH47" s="767">
        <f t="shared" si="77"/>
        <v>2.0591708176889094</v>
      </c>
      <c r="BI47" s="767">
        <f t="shared" si="77"/>
        <v>2.0255722271548815</v>
      </c>
      <c r="BJ47" s="767">
        <f t="shared" si="77"/>
        <v>1.979239019457002</v>
      </c>
      <c r="BK47" s="767">
        <f t="shared" si="77"/>
        <v>1.9576330142072278</v>
      </c>
      <c r="BL47" s="767">
        <f t="shared" si="77"/>
        <v>1.8603685751497092</v>
      </c>
      <c r="BM47" s="767">
        <f t="shared" si="77"/>
        <v>1.7682180075647862</v>
      </c>
      <c r="BN47" s="767">
        <f t="shared" si="77"/>
        <v>1.176917821095909</v>
      </c>
      <c r="BO47" s="782">
        <f t="shared" si="77"/>
        <v>2.1138306436094148</v>
      </c>
      <c r="BP47" s="781">
        <f t="shared" si="55"/>
        <v>2.136868824336728</v>
      </c>
      <c r="BQ47" s="767">
        <f t="shared" si="55"/>
        <v>2.1038935921275259</v>
      </c>
      <c r="BR47" s="767">
        <f t="shared" si="55"/>
        <v>2.0591708176889094</v>
      </c>
      <c r="BS47" s="767">
        <f t="shared" si="55"/>
        <v>2.0255722271548815</v>
      </c>
      <c r="BT47" s="767">
        <f t="shared" si="55"/>
        <v>1.979239019457002</v>
      </c>
      <c r="BU47" s="767">
        <f t="shared" si="55"/>
        <v>1.9576330142072278</v>
      </c>
      <c r="BV47" s="767">
        <f t="shared" si="55"/>
        <v>1.8603685751497092</v>
      </c>
      <c r="BW47" s="767">
        <f t="shared" si="55"/>
        <v>1.7682180075647862</v>
      </c>
      <c r="BX47" s="767">
        <f t="shared" si="55"/>
        <v>1.176917821095909</v>
      </c>
      <c r="BY47" s="767">
        <f t="shared" si="55"/>
        <v>-1000000</v>
      </c>
      <c r="BZ47" s="648">
        <f t="shared" si="56"/>
        <v>10</v>
      </c>
      <c r="CA47" s="767">
        <f t="shared" si="57"/>
        <v>2.136868824336728</v>
      </c>
      <c r="CB47" s="767">
        <f t="shared" si="57"/>
        <v>2.1038935921275259</v>
      </c>
      <c r="CC47" s="767">
        <f t="shared" si="57"/>
        <v>2.0591708176889094</v>
      </c>
      <c r="CD47" s="767">
        <f t="shared" si="57"/>
        <v>2.0255722271548815</v>
      </c>
      <c r="CE47" s="767">
        <f t="shared" si="57"/>
        <v>1.979239019457002</v>
      </c>
      <c r="CF47" s="767">
        <f t="shared" si="57"/>
        <v>1.9576330142072278</v>
      </c>
      <c r="CG47" s="767">
        <f t="shared" si="57"/>
        <v>1.8603685751497092</v>
      </c>
      <c r="CH47" s="767">
        <f t="shared" si="57"/>
        <v>1.7682180075647862</v>
      </c>
      <c r="CI47" s="767"/>
      <c r="CJ47" s="767"/>
      <c r="CK47" s="781">
        <f t="shared" si="58"/>
        <v>1.75</v>
      </c>
      <c r="CL47" s="783">
        <f t="shared" si="78"/>
        <v>1000000</v>
      </c>
      <c r="CM47" s="552"/>
      <c r="CN47" s="552"/>
      <c r="CO47" s="552"/>
      <c r="CP47" s="552"/>
      <c r="CQ47" s="552"/>
      <c r="CR47" s="552"/>
      <c r="CS47" s="552"/>
      <c r="CT47" s="552"/>
      <c r="CU47" s="552"/>
      <c r="CV47" s="552"/>
      <c r="CW47" s="552"/>
      <c r="CX47" s="552"/>
      <c r="CY47" s="552"/>
      <c r="CZ47" s="642">
        <f t="shared" si="39"/>
        <v>40</v>
      </c>
      <c r="DA47" s="609">
        <f t="shared" si="0"/>
        <v>45</v>
      </c>
      <c r="DB47" s="609">
        <f t="shared" si="22"/>
        <v>16</v>
      </c>
      <c r="DC47" s="610">
        <f t="shared" si="85"/>
        <v>131.72579724285956</v>
      </c>
      <c r="DD47" s="611">
        <f t="shared" si="85"/>
        <v>133.0059235245337</v>
      </c>
      <c r="DE47" s="612">
        <f t="shared" si="85"/>
        <v>134.42279190853927</v>
      </c>
      <c r="DF47" s="610">
        <f t="shared" si="86"/>
        <v>19.411764705882348</v>
      </c>
      <c r="DG47" s="611">
        <f t="shared" si="86"/>
        <v>22</v>
      </c>
      <c r="DH47" s="612">
        <f t="shared" si="86"/>
        <v>28.470588235294098</v>
      </c>
      <c r="DI47" s="610">
        <f t="shared" si="3"/>
        <v>151.1375619487419</v>
      </c>
      <c r="DJ47" s="611">
        <f t="shared" si="3"/>
        <v>155.0059235245337</v>
      </c>
      <c r="DK47" s="612">
        <f t="shared" si="3"/>
        <v>162.89338014383335</v>
      </c>
      <c r="DL47" s="613">
        <f t="shared" si="83"/>
        <v>151.1375619487419</v>
      </c>
      <c r="DM47" s="613">
        <f t="shared" si="83"/>
        <v>155.0059235245337</v>
      </c>
      <c r="DN47" s="613">
        <f t="shared" si="83"/>
        <v>157.29411764705875</v>
      </c>
      <c r="DO47" s="609">
        <f t="shared" si="5"/>
        <v>135</v>
      </c>
      <c r="DP47" s="609"/>
      <c r="DQ47" s="609">
        <f t="shared" si="24"/>
        <v>16</v>
      </c>
      <c r="DR47" s="610">
        <f t="shared" si="79"/>
        <v>0.76108850700614716</v>
      </c>
      <c r="DS47" s="611">
        <f t="shared" si="79"/>
        <v>0.52532620615104786</v>
      </c>
      <c r="DT47" s="612">
        <f t="shared" si="79"/>
        <v>0.19678565027329856</v>
      </c>
      <c r="DU47" s="611">
        <f t="shared" si="84"/>
        <v>0.79759412553571285</v>
      </c>
      <c r="DV47" s="611">
        <f t="shared" si="84"/>
        <v>6.7795146936873136</v>
      </c>
      <c r="DW47" s="611">
        <f t="shared" si="84"/>
        <v>12.499999999999973</v>
      </c>
      <c r="DX47" s="614">
        <f t="shared" si="7"/>
        <v>12.5</v>
      </c>
      <c r="DY47" s="615"/>
      <c r="DZ47" s="609">
        <f t="shared" si="25"/>
        <v>16</v>
      </c>
      <c r="EA47" s="611">
        <f t="shared" si="87"/>
        <v>2.1022051724137931</v>
      </c>
      <c r="EB47" s="611">
        <f t="shared" si="87"/>
        <v>2.179069230769231</v>
      </c>
      <c r="EC47" s="611">
        <f t="shared" si="87"/>
        <v>1000000</v>
      </c>
      <c r="ED47" s="610">
        <f t="shared" si="88"/>
        <v>0.22002999999999975</v>
      </c>
      <c r="EE47" s="611">
        <f t="shared" si="88"/>
        <v>0.22005999999999976</v>
      </c>
      <c r="EF47" s="612">
        <f t="shared" si="88"/>
        <v>0.22012499999999974</v>
      </c>
      <c r="EG47" s="611">
        <f t="shared" si="10"/>
        <v>2.3222351724137931</v>
      </c>
      <c r="EH47" s="611">
        <f t="shared" si="10"/>
        <v>2.3991292307692307</v>
      </c>
      <c r="EI47" s="611">
        <f t="shared" si="10"/>
        <v>1000000.220125</v>
      </c>
      <c r="EJ47" s="610">
        <f t="shared" si="26"/>
        <v>2.2999999999999998</v>
      </c>
      <c r="EK47" s="643">
        <f t="shared" si="27"/>
        <v>2.25</v>
      </c>
      <c r="EL47" s="644">
        <f t="shared" si="28"/>
        <v>2.83</v>
      </c>
      <c r="EN47" s="620">
        <f t="shared" si="29"/>
        <v>8.7222222222222214</v>
      </c>
      <c r="EO47" s="621">
        <f t="shared" si="40"/>
        <v>103.7459780291649</v>
      </c>
      <c r="EP47" s="621">
        <f t="shared" si="40"/>
        <v>111.55664492302564</v>
      </c>
      <c r="EQ47" s="621">
        <f t="shared" si="40"/>
        <v>117.9485977611978</v>
      </c>
      <c r="ER47" s="610">
        <f t="shared" si="80"/>
        <v>66.106267691587348</v>
      </c>
      <c r="ES47" s="611">
        <f t="shared" si="80"/>
        <v>90.13439153623321</v>
      </c>
      <c r="ET47" s="612">
        <f t="shared" si="80"/>
        <v>114.07020735002956</v>
      </c>
      <c r="EU47" s="610">
        <f t="shared" si="30"/>
        <v>100</v>
      </c>
      <c r="EV47" s="611">
        <f t="shared" si="31"/>
        <v>135</v>
      </c>
      <c r="EW47" s="645">
        <f t="shared" si="32"/>
        <v>1000000</v>
      </c>
      <c r="EX47" s="610">
        <f t="shared" si="13"/>
        <v>-37.639710337577554</v>
      </c>
      <c r="EY47" s="621">
        <f t="shared" si="14"/>
        <v>-21.422253386792427</v>
      </c>
      <c r="EZ47" s="612">
        <f t="shared" si="15"/>
        <v>-3.8783904111682403</v>
      </c>
      <c r="FA47" s="646">
        <f t="shared" si="16"/>
        <v>8.7222222222222214</v>
      </c>
      <c r="FB47" s="317"/>
      <c r="FC47" s="552"/>
      <c r="FD47" s="648">
        <v>20.833333333333332</v>
      </c>
      <c r="FE47" s="649">
        <f t="shared" si="81"/>
        <v>33.831587225443897</v>
      </c>
      <c r="FF47" s="650">
        <f t="shared" si="81"/>
        <v>59.38743162729655</v>
      </c>
      <c r="FG47" s="651">
        <f t="shared" si="81"/>
        <v>74.498935276659878</v>
      </c>
      <c r="FH47" s="652">
        <v>62.5</v>
      </c>
      <c r="FK47" s="633">
        <f t="shared" si="33"/>
        <v>100</v>
      </c>
      <c r="FL47" s="564">
        <f t="shared" si="34"/>
        <v>135</v>
      </c>
      <c r="FM47" s="634">
        <f t="shared" si="35"/>
        <v>1000000000</v>
      </c>
      <c r="FN47" s="621">
        <f t="shared" si="41"/>
        <v>60.398843930635906</v>
      </c>
      <c r="FO47" s="621">
        <f t="shared" si="41"/>
        <v>79.032957502168259</v>
      </c>
      <c r="FP47" s="654">
        <f t="shared" si="41"/>
        <v>94.287066246056796</v>
      </c>
      <c r="FQ47" s="610">
        <f t="shared" si="42"/>
        <v>-26.567256705192008</v>
      </c>
      <c r="FR47" s="611">
        <f t="shared" si="42"/>
        <v>-19.645525874871709</v>
      </c>
      <c r="FS47" s="612">
        <f t="shared" si="42"/>
        <v>-19.788130969396917</v>
      </c>
      <c r="FT47" s="633">
        <f t="shared" si="36"/>
        <v>821.87789101233159</v>
      </c>
      <c r="FU47" s="564">
        <f t="shared" si="36"/>
        <v>0</v>
      </c>
      <c r="FV47" s="655">
        <f t="shared" si="36"/>
        <v>0</v>
      </c>
      <c r="FW47" s="633">
        <f t="shared" si="37"/>
        <v>1</v>
      </c>
      <c r="FX47" s="564">
        <f t="shared" si="37"/>
        <v>0</v>
      </c>
      <c r="FY47" s="655">
        <f t="shared" si="37"/>
        <v>0</v>
      </c>
    </row>
    <row r="48" spans="1:181" s="564" customFormat="1" ht="15" customHeight="1" x14ac:dyDescent="0.2">
      <c r="B48" s="647">
        <f t="shared" ref="B48:B57" si="89">$D$4</f>
        <v>72</v>
      </c>
      <c r="C48" s="652">
        <f>$D$7</f>
        <v>128</v>
      </c>
      <c r="D48" s="771">
        <f>$B$7</f>
        <v>1.78</v>
      </c>
      <c r="E48" s="772">
        <f t="shared" si="49"/>
        <v>1.7777777777777777</v>
      </c>
      <c r="F48" s="652"/>
      <c r="G48" s="747">
        <f t="shared" si="50"/>
        <v>1.8183028732915587</v>
      </c>
      <c r="H48" s="748">
        <f t="shared" si="60"/>
        <v>1.4671101023891993E-3</v>
      </c>
      <c r="I48" s="652"/>
      <c r="J48" s="773">
        <f t="shared" si="82"/>
        <v>11</v>
      </c>
      <c r="K48" s="774">
        <f t="shared" si="61"/>
        <v>12.375</v>
      </c>
      <c r="L48" s="747">
        <f t="shared" si="62"/>
        <v>2.0741184587155965</v>
      </c>
      <c r="M48" s="751">
        <f t="shared" si="62"/>
        <v>2.0717217889908257</v>
      </c>
      <c r="N48" s="751">
        <f t="shared" si="62"/>
        <v>2.0675826834862385</v>
      </c>
      <c r="O48" s="751">
        <f t="shared" si="62"/>
        <v>2.0634435779816513</v>
      </c>
      <c r="P48" s="751">
        <f t="shared" si="62"/>
        <v>2.0554935779816517</v>
      </c>
      <c r="Q48" s="751">
        <f t="shared" si="62"/>
        <v>2.0508548623853211</v>
      </c>
      <c r="R48" s="751">
        <f t="shared" si="62"/>
        <v>2.033175229357798</v>
      </c>
      <c r="S48" s="751">
        <f t="shared" si="62"/>
        <v>2.0254382018348625</v>
      </c>
      <c r="T48" s="752">
        <f t="shared" si="62"/>
        <v>2.0143577981651375</v>
      </c>
      <c r="U48" s="753">
        <f t="shared" si="62"/>
        <v>1.9425889908256881</v>
      </c>
      <c r="W48" s="773">
        <f t="shared" si="63"/>
        <v>12.375</v>
      </c>
      <c r="X48" s="775">
        <f t="shared" si="64"/>
        <v>5.428789647096427E-2</v>
      </c>
      <c r="Y48" s="776">
        <f t="shared" si="64"/>
        <v>5.4283332582075385E-2</v>
      </c>
      <c r="Z48" s="776">
        <f t="shared" si="64"/>
        <v>5.4275450637630937E-2</v>
      </c>
      <c r="AA48" s="776">
        <f t="shared" si="64"/>
        <v>5.4267568693186496E-2</v>
      </c>
      <c r="AB48" s="776">
        <f t="shared" si="64"/>
        <v>5.4252429804297606E-2</v>
      </c>
      <c r="AC48" s="776">
        <f t="shared" si="64"/>
        <v>5.4243596470964273E-2</v>
      </c>
      <c r="AD48" s="776">
        <f t="shared" si="64"/>
        <v>5.4209929804297605E-2</v>
      </c>
      <c r="AE48" s="776">
        <f t="shared" si="64"/>
        <v>5.4195196470964276E-2</v>
      </c>
      <c r="AF48" s="777">
        <f t="shared" si="64"/>
        <v>5.4174096470964272E-2</v>
      </c>
      <c r="AG48" s="778">
        <f t="shared" si="64"/>
        <v>5.4037429804297606E-2</v>
      </c>
      <c r="AI48" s="773">
        <f t="shared" si="65"/>
        <v>12.375</v>
      </c>
      <c r="AJ48" s="747">
        <f t="shared" si="53"/>
        <v>2.1284063551865606</v>
      </c>
      <c r="AK48" s="751">
        <f t="shared" si="53"/>
        <v>2.1260051215729012</v>
      </c>
      <c r="AL48" s="751">
        <f t="shared" si="53"/>
        <v>2.1218581341238694</v>
      </c>
      <c r="AM48" s="751">
        <f t="shared" si="53"/>
        <v>2.117711146674838</v>
      </c>
      <c r="AN48" s="751">
        <f t="shared" si="53"/>
        <v>2.1097460077859491</v>
      </c>
      <c r="AO48" s="751">
        <f t="shared" si="53"/>
        <v>2.1050984588562853</v>
      </c>
      <c r="AP48" s="751">
        <f t="shared" si="53"/>
        <v>2.0873851591620958</v>
      </c>
      <c r="AQ48" s="751">
        <f t="shared" si="53"/>
        <v>2.0796333983058268</v>
      </c>
      <c r="AR48" s="752">
        <f t="shared" si="53"/>
        <v>2.0685318946361018</v>
      </c>
      <c r="AS48" s="751">
        <f t="shared" si="53"/>
        <v>1.9966264206299857</v>
      </c>
      <c r="AT48" s="674">
        <f t="shared" si="66"/>
        <v>1.75</v>
      </c>
      <c r="AU48" s="712">
        <f t="shared" si="67"/>
        <v>1.8</v>
      </c>
      <c r="AV48" s="712">
        <f t="shared" si="68"/>
        <v>1.81</v>
      </c>
      <c r="AW48" s="712">
        <f t="shared" si="69"/>
        <v>1.83</v>
      </c>
      <c r="AX48" s="712">
        <f t="shared" si="70"/>
        <v>1.84</v>
      </c>
      <c r="AY48" s="712">
        <f t="shared" si="71"/>
        <v>1.86</v>
      </c>
      <c r="AZ48" s="712">
        <f t="shared" si="72"/>
        <v>1.88</v>
      </c>
      <c r="BA48" s="712">
        <f t="shared" si="73"/>
        <v>1.9</v>
      </c>
      <c r="BB48" s="712">
        <f t="shared" si="74"/>
        <v>1.92</v>
      </c>
      <c r="BC48" s="779">
        <f t="shared" si="75"/>
        <v>1000000</v>
      </c>
      <c r="BD48" s="780">
        <f t="shared" si="76"/>
        <v>-1000000</v>
      </c>
      <c r="BF48" s="781">
        <f t="shared" si="77"/>
        <v>2.128792559104757</v>
      </c>
      <c r="BG48" s="767">
        <f t="shared" si="77"/>
        <v>2.0946964404411901</v>
      </c>
      <c r="BH48" s="767">
        <f t="shared" si="77"/>
        <v>2.0495186623083939</v>
      </c>
      <c r="BI48" s="767">
        <f t="shared" si="77"/>
        <v>2.0163892908902512</v>
      </c>
      <c r="BJ48" s="767">
        <f t="shared" si="77"/>
        <v>1.9711790203298007</v>
      </c>
      <c r="BK48" s="767">
        <f t="shared" si="77"/>
        <v>1.9494475765343544</v>
      </c>
      <c r="BL48" s="767">
        <f t="shared" si="77"/>
        <v>1.8285530602626496</v>
      </c>
      <c r="BM48" s="767">
        <f t="shared" si="77"/>
        <v>1.6593878208044344</v>
      </c>
      <c r="BN48" s="767">
        <f t="shared" si="77"/>
        <v>5.2012081285233229</v>
      </c>
      <c r="BO48" s="782">
        <f t="shared" si="77"/>
        <v>2.0910538339071509</v>
      </c>
      <c r="BP48" s="781">
        <f t="shared" si="55"/>
        <v>2.128792559104757</v>
      </c>
      <c r="BQ48" s="767">
        <f t="shared" si="55"/>
        <v>2.0946964404411901</v>
      </c>
      <c r="BR48" s="767">
        <f t="shared" si="55"/>
        <v>2.0495186623083939</v>
      </c>
      <c r="BS48" s="767">
        <f t="shared" si="55"/>
        <v>2.0163892908902512</v>
      </c>
      <c r="BT48" s="767">
        <f t="shared" si="55"/>
        <v>1.9711790203298007</v>
      </c>
      <c r="BU48" s="767">
        <f t="shared" si="55"/>
        <v>1.9494475765343544</v>
      </c>
      <c r="BV48" s="767">
        <f t="shared" si="55"/>
        <v>1.8285530602626496</v>
      </c>
      <c r="BW48" s="767">
        <f t="shared" si="55"/>
        <v>1.6593878208044344</v>
      </c>
      <c r="BX48" s="767">
        <f t="shared" si="55"/>
        <v>-1000000</v>
      </c>
      <c r="BY48" s="767">
        <f t="shared" si="55"/>
        <v>-1000000</v>
      </c>
      <c r="BZ48" s="648">
        <f t="shared" si="56"/>
        <v>11</v>
      </c>
      <c r="CA48" s="767">
        <f t="shared" si="57"/>
        <v>2.128792559104757</v>
      </c>
      <c r="CB48" s="767">
        <f t="shared" si="57"/>
        <v>2.0946964404411901</v>
      </c>
      <c r="CC48" s="767">
        <f t="shared" si="57"/>
        <v>2.0495186623083939</v>
      </c>
      <c r="CD48" s="767">
        <f t="shared" si="57"/>
        <v>2.0163892908902512</v>
      </c>
      <c r="CE48" s="767">
        <f t="shared" si="57"/>
        <v>1.9711790203298007</v>
      </c>
      <c r="CF48" s="767">
        <f t="shared" si="57"/>
        <v>1.9494475765343544</v>
      </c>
      <c r="CG48" s="767">
        <f t="shared" si="57"/>
        <v>1.8285530602626496</v>
      </c>
      <c r="CH48" s="767">
        <f t="shared" si="57"/>
        <v>1.6593878208044344</v>
      </c>
      <c r="CI48" s="767"/>
      <c r="CJ48" s="767"/>
      <c r="CK48" s="781">
        <f t="shared" si="58"/>
        <v>1.75</v>
      </c>
      <c r="CL48" s="783">
        <f t="shared" si="78"/>
        <v>1000000</v>
      </c>
      <c r="CM48" s="552"/>
      <c r="CN48" s="552"/>
      <c r="CO48" s="552"/>
      <c r="CP48" s="552"/>
      <c r="CQ48" s="552"/>
      <c r="CR48" s="552"/>
      <c r="CS48" s="552"/>
      <c r="CT48" s="552"/>
      <c r="CU48" s="552"/>
      <c r="CV48" s="552"/>
      <c r="CW48" s="552"/>
      <c r="CX48" s="552"/>
      <c r="CY48" s="552"/>
      <c r="CZ48" s="642">
        <f t="shared" si="39"/>
        <v>41</v>
      </c>
      <c r="DA48" s="609">
        <f t="shared" si="0"/>
        <v>46.125</v>
      </c>
      <c r="DB48" s="609">
        <f t="shared" si="22"/>
        <v>16.399999999999999</v>
      </c>
      <c r="DC48" s="610">
        <f t="shared" si="85"/>
        <v>132.01650808754033</v>
      </c>
      <c r="DD48" s="611">
        <f t="shared" si="85"/>
        <v>133.20536137289594</v>
      </c>
      <c r="DE48" s="612">
        <f t="shared" si="85"/>
        <v>134.49637488846923</v>
      </c>
      <c r="DF48" s="610">
        <f t="shared" si="86"/>
        <v>19.411764705882348</v>
      </c>
      <c r="DG48" s="611">
        <f t="shared" si="86"/>
        <v>22</v>
      </c>
      <c r="DH48" s="612">
        <f t="shared" si="86"/>
        <v>28.470588235294098</v>
      </c>
      <c r="DI48" s="610">
        <f t="shared" si="3"/>
        <v>151.42827279342268</v>
      </c>
      <c r="DJ48" s="611">
        <f t="shared" si="3"/>
        <v>155.20536137289594</v>
      </c>
      <c r="DK48" s="612">
        <f t="shared" si="3"/>
        <v>162.96696312376332</v>
      </c>
      <c r="DL48" s="613">
        <f t="shared" si="83"/>
        <v>151.42827279342268</v>
      </c>
      <c r="DM48" s="613">
        <f t="shared" si="83"/>
        <v>155.20536137289594</v>
      </c>
      <c r="DN48" s="613">
        <f t="shared" si="83"/>
        <v>162.29411764705873</v>
      </c>
      <c r="DO48" s="609">
        <f t="shared" si="5"/>
        <v>135</v>
      </c>
      <c r="DP48" s="609"/>
      <c r="DQ48" s="609">
        <f t="shared" si="24"/>
        <v>16.399999999999999</v>
      </c>
      <c r="DR48" s="610">
        <f t="shared" si="79"/>
        <v>0.69351276440252807</v>
      </c>
      <c r="DS48" s="611">
        <f t="shared" si="79"/>
        <v>0.47278562933161117</v>
      </c>
      <c r="DT48" s="612">
        <f t="shared" si="79"/>
        <v>0.17169924769373471</v>
      </c>
      <c r="DU48" s="611">
        <f t="shared" si="84"/>
        <v>0.72677711170193759</v>
      </c>
      <c r="DV48" s="611">
        <f t="shared" si="84"/>
        <v>0.49859462090559425</v>
      </c>
      <c r="DW48" s="611">
        <f t="shared" si="84"/>
        <v>12.499999999999973</v>
      </c>
      <c r="DX48" s="614">
        <f t="shared" si="7"/>
        <v>12.5</v>
      </c>
      <c r="DY48" s="615"/>
      <c r="DZ48" s="609">
        <f t="shared" si="25"/>
        <v>16.399999999999999</v>
      </c>
      <c r="EA48" s="611">
        <f t="shared" si="87"/>
        <v>2.1025157342657343</v>
      </c>
      <c r="EB48" s="611">
        <f t="shared" si="87"/>
        <v>2.185565573770492</v>
      </c>
      <c r="EC48" s="611">
        <f t="shared" si="87"/>
        <v>1000000</v>
      </c>
      <c r="ED48" s="610">
        <f t="shared" si="88"/>
        <v>0.22002999999999975</v>
      </c>
      <c r="EE48" s="611">
        <f t="shared" si="88"/>
        <v>0.22005999999999976</v>
      </c>
      <c r="EF48" s="612">
        <f t="shared" si="88"/>
        <v>0.22012499999999974</v>
      </c>
      <c r="EG48" s="611">
        <f t="shared" si="10"/>
        <v>2.3225457342657343</v>
      </c>
      <c r="EH48" s="611">
        <f t="shared" si="10"/>
        <v>2.4056255737704917</v>
      </c>
      <c r="EI48" s="611">
        <f t="shared" si="10"/>
        <v>1000000.220125</v>
      </c>
      <c r="EJ48" s="610">
        <f t="shared" si="26"/>
        <v>2.2999999999999998</v>
      </c>
      <c r="EK48" s="643">
        <f t="shared" si="27"/>
        <v>2.25</v>
      </c>
      <c r="EL48" s="644">
        <f t="shared" si="28"/>
        <v>2.83</v>
      </c>
      <c r="EN48" s="620">
        <f t="shared" si="29"/>
        <v>8.9402777777777782</v>
      </c>
      <c r="EO48" s="621">
        <f t="shared" si="40"/>
        <v>102.96501537006661</v>
      </c>
      <c r="EP48" s="621">
        <f t="shared" si="40"/>
        <v>110.97077928783126</v>
      </c>
      <c r="EQ48" s="621">
        <f t="shared" si="40"/>
        <v>117.52242816203372</v>
      </c>
      <c r="ER48" s="610">
        <f t="shared" si="80"/>
        <v>65.294720602357344</v>
      </c>
      <c r="ES48" s="611">
        <f t="shared" si="80"/>
        <v>89.186935212333111</v>
      </c>
      <c r="ET48" s="612">
        <f t="shared" si="80"/>
        <v>113.20063428759356</v>
      </c>
      <c r="EU48" s="610">
        <f t="shared" si="30"/>
        <v>100</v>
      </c>
      <c r="EV48" s="611">
        <f t="shared" si="31"/>
        <v>135</v>
      </c>
      <c r="EW48" s="645">
        <f t="shared" si="32"/>
        <v>1000000</v>
      </c>
      <c r="EX48" s="610">
        <f t="shared" si="13"/>
        <v>-37.670294767709265</v>
      </c>
      <c r="EY48" s="621">
        <f t="shared" si="14"/>
        <v>-21.783844075498159</v>
      </c>
      <c r="EZ48" s="612">
        <f t="shared" si="15"/>
        <v>-4.3217938744401607</v>
      </c>
      <c r="FA48" s="646">
        <f t="shared" si="16"/>
        <v>8.9402777777777782</v>
      </c>
      <c r="FB48" s="317"/>
      <c r="FC48" s="552"/>
      <c r="FD48" s="648">
        <v>21.25</v>
      </c>
      <c r="FE48" s="649">
        <f t="shared" si="81"/>
        <v>31.970563691800727</v>
      </c>
      <c r="FF48" s="650">
        <f t="shared" si="81"/>
        <v>57.951161342515022</v>
      </c>
      <c r="FG48" s="651">
        <f t="shared" si="81"/>
        <v>73.366192316869103</v>
      </c>
      <c r="FI48" s="653"/>
      <c r="FJ48" s="652">
        <v>85</v>
      </c>
      <c r="FK48" s="633">
        <f t="shared" si="33"/>
        <v>100</v>
      </c>
      <c r="FL48" s="564">
        <f t="shared" si="34"/>
        <v>135</v>
      </c>
      <c r="FM48" s="634">
        <f t="shared" si="35"/>
        <v>1000000000</v>
      </c>
      <c r="FN48" s="621">
        <f t="shared" si="41"/>
        <v>58.908580148435952</v>
      </c>
      <c r="FO48" s="621">
        <f t="shared" si="41"/>
        <v>77.91460685851068</v>
      </c>
      <c r="FP48" s="654">
        <f t="shared" si="41"/>
        <v>93.473331566794116</v>
      </c>
      <c r="FQ48" s="610">
        <f t="shared" si="42"/>
        <v>-26.938016456635225</v>
      </c>
      <c r="FR48" s="611">
        <f t="shared" si="42"/>
        <v>-19.963445515995659</v>
      </c>
      <c r="FS48" s="612">
        <f t="shared" si="42"/>
        <v>-20.107139249925012</v>
      </c>
      <c r="FT48" s="633">
        <f t="shared" si="36"/>
        <v>0</v>
      </c>
      <c r="FU48" s="564">
        <f t="shared" si="36"/>
        <v>0</v>
      </c>
      <c r="FV48" s="655">
        <f t="shared" si="36"/>
        <v>135.34548120807548</v>
      </c>
      <c r="FW48" s="633">
        <f t="shared" si="37"/>
        <v>0</v>
      </c>
      <c r="FX48" s="564">
        <f t="shared" si="37"/>
        <v>0</v>
      </c>
      <c r="FY48" s="655">
        <f t="shared" si="37"/>
        <v>1</v>
      </c>
    </row>
    <row r="49" spans="2:181" s="564" customFormat="1" ht="15" customHeight="1" x14ac:dyDescent="0.2">
      <c r="B49" s="647">
        <f t="shared" si="89"/>
        <v>72</v>
      </c>
      <c r="C49" s="652">
        <f>$D$8</f>
        <v>127.5</v>
      </c>
      <c r="D49" s="771">
        <f>$B$8</f>
        <v>1.8</v>
      </c>
      <c r="E49" s="772">
        <f t="shared" si="49"/>
        <v>1.7708333333333333</v>
      </c>
      <c r="F49" s="652"/>
      <c r="G49" s="747">
        <f t="shared" si="50"/>
        <v>1.8298204295011682</v>
      </c>
      <c r="H49" s="748">
        <f t="shared" si="60"/>
        <v>8.8925801563413936E-4</v>
      </c>
      <c r="I49" s="652"/>
      <c r="J49" s="773">
        <f t="shared" si="82"/>
        <v>12</v>
      </c>
      <c r="K49" s="774">
        <f t="shared" si="61"/>
        <v>13.5</v>
      </c>
      <c r="L49" s="747">
        <f t="shared" si="62"/>
        <v>2.0740639999999999</v>
      </c>
      <c r="M49" s="751">
        <f t="shared" si="62"/>
        <v>2.071645138888889</v>
      </c>
      <c r="N49" s="751">
        <f t="shared" si="62"/>
        <v>2.0674677083333335</v>
      </c>
      <c r="O49" s="751">
        <f t="shared" si="62"/>
        <v>2.063290277777778</v>
      </c>
      <c r="P49" s="751">
        <f t="shared" si="62"/>
        <v>2.0552666666666668</v>
      </c>
      <c r="Q49" s="751">
        <f t="shared" si="62"/>
        <v>2.0505849999999999</v>
      </c>
      <c r="R49" s="751">
        <f t="shared" si="62"/>
        <v>2.0327416666666669</v>
      </c>
      <c r="S49" s="751">
        <f t="shared" si="62"/>
        <v>2.0249329999999999</v>
      </c>
      <c r="T49" s="752">
        <f t="shared" si="62"/>
        <v>2.0137499999999999</v>
      </c>
      <c r="U49" s="753">
        <f t="shared" si="62"/>
        <v>1.9413166666666668</v>
      </c>
      <c r="W49" s="773">
        <f t="shared" si="63"/>
        <v>13.5</v>
      </c>
      <c r="X49" s="775">
        <f t="shared" si="64"/>
        <v>4.6648986371503248E-2</v>
      </c>
      <c r="Y49" s="776">
        <f t="shared" si="64"/>
        <v>4.6644422482614363E-2</v>
      </c>
      <c r="Z49" s="776">
        <f t="shared" si="64"/>
        <v>4.6636540538169916E-2</v>
      </c>
      <c r="AA49" s="776">
        <f t="shared" si="64"/>
        <v>4.6628658593725475E-2</v>
      </c>
      <c r="AB49" s="776">
        <f t="shared" si="64"/>
        <v>4.6613519704836584E-2</v>
      </c>
      <c r="AC49" s="776">
        <f t="shared" si="64"/>
        <v>4.6604686371503251E-2</v>
      </c>
      <c r="AD49" s="776">
        <f t="shared" si="64"/>
        <v>4.6571019704836583E-2</v>
      </c>
      <c r="AE49" s="776">
        <f t="shared" si="64"/>
        <v>4.6556286371503254E-2</v>
      </c>
      <c r="AF49" s="777">
        <f t="shared" si="64"/>
        <v>4.6535186371503251E-2</v>
      </c>
      <c r="AG49" s="778">
        <f t="shared" si="64"/>
        <v>4.6398519704836584E-2</v>
      </c>
      <c r="AI49" s="773">
        <f t="shared" si="65"/>
        <v>13.5</v>
      </c>
      <c r="AJ49" s="747">
        <f t="shared" si="53"/>
        <v>2.1207129863715033</v>
      </c>
      <c r="AK49" s="751">
        <f t="shared" si="53"/>
        <v>2.1182895613715034</v>
      </c>
      <c r="AL49" s="751">
        <f t="shared" si="53"/>
        <v>2.1141042488715036</v>
      </c>
      <c r="AM49" s="751">
        <f t="shared" si="53"/>
        <v>2.1099189363715034</v>
      </c>
      <c r="AN49" s="751">
        <f t="shared" si="53"/>
        <v>2.1018801863715035</v>
      </c>
      <c r="AO49" s="751">
        <f t="shared" si="53"/>
        <v>2.0971896863715029</v>
      </c>
      <c r="AP49" s="751">
        <f t="shared" si="53"/>
        <v>2.0793126863715035</v>
      </c>
      <c r="AQ49" s="751">
        <f t="shared" si="53"/>
        <v>2.0714892863715031</v>
      </c>
      <c r="AR49" s="752">
        <f t="shared" si="53"/>
        <v>2.060285186371503</v>
      </c>
      <c r="AS49" s="751">
        <f t="shared" si="53"/>
        <v>1.9877151863715035</v>
      </c>
      <c r="AT49" s="674">
        <f t="shared" si="66"/>
        <v>1.75</v>
      </c>
      <c r="AU49" s="712">
        <f t="shared" si="67"/>
        <v>1.8</v>
      </c>
      <c r="AV49" s="712">
        <f t="shared" si="68"/>
        <v>1.81</v>
      </c>
      <c r="AW49" s="712">
        <f t="shared" si="69"/>
        <v>1.83</v>
      </c>
      <c r="AX49" s="712">
        <f t="shared" si="70"/>
        <v>1.84</v>
      </c>
      <c r="AY49" s="712">
        <f t="shared" si="71"/>
        <v>1.86</v>
      </c>
      <c r="AZ49" s="712">
        <f t="shared" si="72"/>
        <v>1.88</v>
      </c>
      <c r="BA49" s="712">
        <f t="shared" si="73"/>
        <v>1.9</v>
      </c>
      <c r="BB49" s="712">
        <f t="shared" si="74"/>
        <v>1.92</v>
      </c>
      <c r="BC49" s="779">
        <f t="shared" si="75"/>
        <v>1000000</v>
      </c>
      <c r="BD49" s="780">
        <f t="shared" si="76"/>
        <v>-1000000</v>
      </c>
      <c r="BF49" s="781">
        <f t="shared" si="77"/>
        <v>2.1211135388666471</v>
      </c>
      <c r="BG49" s="767">
        <f t="shared" si="77"/>
        <v>2.0861242603325278</v>
      </c>
      <c r="BH49" s="767">
        <f t="shared" si="77"/>
        <v>2.0408067334899891</v>
      </c>
      <c r="BI49" s="767">
        <f t="shared" si="77"/>
        <v>2.0083100499648987</v>
      </c>
      <c r="BJ49" s="767">
        <f t="shared" si="77"/>
        <v>1.96407269386599</v>
      </c>
      <c r="BK49" s="767">
        <f t="shared" si="77"/>
        <v>1.9417874333298015</v>
      </c>
      <c r="BL49" s="767">
        <f t="shared" si="77"/>
        <v>1.7779842010828861</v>
      </c>
      <c r="BM49" s="767">
        <f t="shared" si="77"/>
        <v>1.3335719694891437</v>
      </c>
      <c r="BN49" s="767">
        <f t="shared" si="77"/>
        <v>2.5178580972434306</v>
      </c>
      <c r="BO49" s="782">
        <f t="shared" si="77"/>
        <v>2.0749366812907568</v>
      </c>
      <c r="BP49" s="781">
        <f t="shared" si="55"/>
        <v>2.1211135388666471</v>
      </c>
      <c r="BQ49" s="767">
        <f t="shared" si="55"/>
        <v>2.0861242603325278</v>
      </c>
      <c r="BR49" s="767">
        <f t="shared" si="55"/>
        <v>2.0408067334899891</v>
      </c>
      <c r="BS49" s="767">
        <f t="shared" si="55"/>
        <v>2.0083100499648987</v>
      </c>
      <c r="BT49" s="767">
        <f t="shared" si="55"/>
        <v>1.96407269386599</v>
      </c>
      <c r="BU49" s="767">
        <f t="shared" si="55"/>
        <v>1.9417874333298015</v>
      </c>
      <c r="BV49" s="767">
        <f t="shared" si="55"/>
        <v>1.7779842010828861</v>
      </c>
      <c r="BW49" s="767">
        <f t="shared" si="55"/>
        <v>1.3335719694891437</v>
      </c>
      <c r="BX49" s="767">
        <f t="shared" si="55"/>
        <v>-1000000</v>
      </c>
      <c r="BY49" s="767">
        <f t="shared" si="55"/>
        <v>-1000000</v>
      </c>
      <c r="BZ49" s="648">
        <f t="shared" si="56"/>
        <v>12</v>
      </c>
      <c r="CA49" s="767">
        <f t="shared" si="57"/>
        <v>2.1211135388666471</v>
      </c>
      <c r="CB49" s="767">
        <f t="shared" si="57"/>
        <v>2.0861242603325278</v>
      </c>
      <c r="CC49" s="767">
        <f t="shared" si="57"/>
        <v>2.0408067334899891</v>
      </c>
      <c r="CD49" s="767">
        <f t="shared" si="57"/>
        <v>2.0083100499648987</v>
      </c>
      <c r="CE49" s="767">
        <f t="shared" si="57"/>
        <v>1.96407269386599</v>
      </c>
      <c r="CF49" s="767">
        <f t="shared" si="57"/>
        <v>1.9417874333298015</v>
      </c>
      <c r="CG49" s="767">
        <f t="shared" si="57"/>
        <v>1.7779842010828861</v>
      </c>
      <c r="CH49" s="767"/>
      <c r="CI49" s="767"/>
      <c r="CJ49" s="767"/>
      <c r="CK49" s="781">
        <f t="shared" si="58"/>
        <v>1.75</v>
      </c>
      <c r="CL49" s="783">
        <f t="shared" si="78"/>
        <v>1000000</v>
      </c>
      <c r="CM49" s="552"/>
      <c r="CN49" s="552"/>
      <c r="CO49" s="552"/>
      <c r="CP49" s="552"/>
      <c r="CQ49" s="552"/>
      <c r="CR49" s="552"/>
      <c r="CS49" s="552"/>
      <c r="CT49" s="552"/>
      <c r="CU49" s="552"/>
      <c r="CV49" s="552"/>
      <c r="CW49" s="552"/>
      <c r="CX49" s="552"/>
      <c r="CY49" s="552"/>
      <c r="CZ49" s="642">
        <f t="shared" si="39"/>
        <v>42</v>
      </c>
      <c r="DA49" s="609">
        <f t="shared" si="0"/>
        <v>47.25</v>
      </c>
      <c r="DB49" s="609">
        <f t="shared" si="22"/>
        <v>16.799999999999997</v>
      </c>
      <c r="DC49" s="610">
        <f t="shared" si="85"/>
        <v>132.28140721514563</v>
      </c>
      <c r="DD49" s="611">
        <f t="shared" si="85"/>
        <v>133.38485241588302</v>
      </c>
      <c r="DE49" s="612">
        <f t="shared" si="85"/>
        <v>134.56057744734227</v>
      </c>
      <c r="DF49" s="610">
        <f t="shared" si="86"/>
        <v>19.411764705882348</v>
      </c>
      <c r="DG49" s="611">
        <f t="shared" si="86"/>
        <v>22</v>
      </c>
      <c r="DH49" s="612">
        <f t="shared" si="86"/>
        <v>28.470588235294098</v>
      </c>
      <c r="DI49" s="610">
        <f t="shared" si="3"/>
        <v>151.69317192102798</v>
      </c>
      <c r="DJ49" s="611">
        <f t="shared" si="3"/>
        <v>155.38485241588302</v>
      </c>
      <c r="DK49" s="612">
        <f t="shared" si="3"/>
        <v>163.03116568263636</v>
      </c>
      <c r="DL49" s="613">
        <f t="shared" si="83"/>
        <v>151.69317192102798</v>
      </c>
      <c r="DM49" s="613">
        <f t="shared" si="83"/>
        <v>155.38485241588302</v>
      </c>
      <c r="DN49" s="613">
        <f t="shared" si="83"/>
        <v>163.03116568263636</v>
      </c>
      <c r="DO49" s="609">
        <f t="shared" si="5"/>
        <v>135</v>
      </c>
      <c r="DP49" s="609"/>
      <c r="DQ49" s="609">
        <f t="shared" si="24"/>
        <v>16.799999999999997</v>
      </c>
      <c r="DR49" s="610">
        <f t="shared" si="79"/>
        <v>0.63193695603309363</v>
      </c>
      <c r="DS49" s="611">
        <f t="shared" si="79"/>
        <v>0.42549990593505016</v>
      </c>
      <c r="DT49" s="612">
        <f t="shared" si="79"/>
        <v>0.14981088111684637</v>
      </c>
      <c r="DU49" s="611">
        <f t="shared" si="84"/>
        <v>0.66224781901326202</v>
      </c>
      <c r="DV49" s="611">
        <f t="shared" si="84"/>
        <v>0.44872760746770429</v>
      </c>
      <c r="DW49" s="611">
        <f t="shared" si="84"/>
        <v>1.84262008894408</v>
      </c>
      <c r="DX49" s="614">
        <f t="shared" si="7"/>
        <v>12.5</v>
      </c>
      <c r="DY49" s="615"/>
      <c r="DZ49" s="609">
        <f t="shared" si="25"/>
        <v>16.799999999999997</v>
      </c>
      <c r="EA49" s="611">
        <f t="shared" si="87"/>
        <v>2.1028351063829787</v>
      </c>
      <c r="EB49" s="611">
        <f t="shared" si="87"/>
        <v>2.1929736842105263</v>
      </c>
      <c r="EC49" s="611">
        <f t="shared" si="87"/>
        <v>1000000</v>
      </c>
      <c r="ED49" s="610">
        <f t="shared" si="88"/>
        <v>0.22002999999999975</v>
      </c>
      <c r="EE49" s="611">
        <f t="shared" si="88"/>
        <v>0.22005999999999976</v>
      </c>
      <c r="EF49" s="612">
        <f t="shared" si="88"/>
        <v>0.22012499999999974</v>
      </c>
      <c r="EG49" s="611">
        <f t="shared" si="10"/>
        <v>2.3228651063829786</v>
      </c>
      <c r="EH49" s="611">
        <f t="shared" si="10"/>
        <v>2.413033684210526</v>
      </c>
      <c r="EI49" s="611">
        <f t="shared" si="10"/>
        <v>1000000.220125</v>
      </c>
      <c r="EJ49" s="610">
        <f t="shared" si="26"/>
        <v>2.2999999999999998</v>
      </c>
      <c r="EK49" s="643">
        <f t="shared" si="27"/>
        <v>2.25</v>
      </c>
      <c r="EL49" s="644">
        <f t="shared" si="28"/>
        <v>2.83</v>
      </c>
      <c r="EN49" s="620">
        <f t="shared" si="29"/>
        <v>9.1583333333333332</v>
      </c>
      <c r="EO49" s="621">
        <f t="shared" si="40"/>
        <v>102.18407162281788</v>
      </c>
      <c r="EP49" s="621">
        <f t="shared" si="40"/>
        <v>110.38492429451399</v>
      </c>
      <c r="EQ49" s="621">
        <f t="shared" si="40"/>
        <v>117.09626419334634</v>
      </c>
      <c r="ER49" s="610">
        <f t="shared" si="80"/>
        <v>64.487143481693494</v>
      </c>
      <c r="ES49" s="611">
        <f t="shared" si="80"/>
        <v>88.255996625595856</v>
      </c>
      <c r="ET49" s="612">
        <f t="shared" si="80"/>
        <v>112.33873470755886</v>
      </c>
      <c r="EU49" s="610">
        <f t="shared" si="30"/>
        <v>100</v>
      </c>
      <c r="EV49" s="611">
        <f t="shared" si="31"/>
        <v>135</v>
      </c>
      <c r="EW49" s="645">
        <f t="shared" si="32"/>
        <v>1000000</v>
      </c>
      <c r="EX49" s="610">
        <f t="shared" si="13"/>
        <v>-37.696928141124395</v>
      </c>
      <c r="EY49" s="621">
        <f t="shared" si="14"/>
        <v>-22.128927668918145</v>
      </c>
      <c r="EZ49" s="612">
        <f t="shared" si="15"/>
        <v>-4.757529485787483</v>
      </c>
      <c r="FA49" s="646">
        <f t="shared" si="16"/>
        <v>9.1583333333333332</v>
      </c>
      <c r="FB49" s="317"/>
      <c r="FC49" s="552"/>
      <c r="FD49" s="648">
        <v>24.333333333333332</v>
      </c>
      <c r="FE49" s="649">
        <f t="shared" si="81"/>
        <v>18.553621814135902</v>
      </c>
      <c r="FF49" s="650">
        <f t="shared" si="81"/>
        <v>47.626221288218026</v>
      </c>
      <c r="FG49" s="651">
        <f t="shared" si="81"/>
        <v>65.287821988536408</v>
      </c>
      <c r="FI49" s="652">
        <v>73</v>
      </c>
      <c r="FJ49" s="653"/>
      <c r="FK49" s="633">
        <f t="shared" si="33"/>
        <v>100</v>
      </c>
      <c r="FL49" s="564">
        <f t="shared" si="34"/>
        <v>135</v>
      </c>
      <c r="FM49" s="634">
        <f t="shared" si="35"/>
        <v>1000000000</v>
      </c>
      <c r="FN49" s="621">
        <f t="shared" si="41"/>
        <v>47.882769589259055</v>
      </c>
      <c r="FO49" s="621">
        <f t="shared" si="41"/>
        <v>69.640017759771354</v>
      </c>
      <c r="FP49" s="654">
        <f t="shared" si="41"/>
        <v>87.452333128097479</v>
      </c>
      <c r="FQ49" s="610">
        <f t="shared" si="42"/>
        <v>-29.329147775123154</v>
      </c>
      <c r="FR49" s="611">
        <f t="shared" si="42"/>
        <v>-22.013796471553327</v>
      </c>
      <c r="FS49" s="612">
        <f t="shared" si="42"/>
        <v>-22.164511139561071</v>
      </c>
      <c r="FT49" s="633">
        <f t="shared" si="36"/>
        <v>0</v>
      </c>
      <c r="FU49" s="564">
        <f t="shared" si="36"/>
        <v>643.82864611448008</v>
      </c>
      <c r="FV49" s="655">
        <f t="shared" si="36"/>
        <v>0</v>
      </c>
      <c r="FW49" s="633">
        <f t="shared" si="37"/>
        <v>0</v>
      </c>
      <c r="FX49" s="564">
        <f t="shared" si="37"/>
        <v>1</v>
      </c>
      <c r="FY49" s="655">
        <f t="shared" si="37"/>
        <v>0</v>
      </c>
    </row>
    <row r="50" spans="2:181" s="564" customFormat="1" ht="15" customHeight="1" x14ac:dyDescent="0.2">
      <c r="B50" s="647">
        <f t="shared" si="89"/>
        <v>72</v>
      </c>
      <c r="C50" s="652">
        <f>$D$9</f>
        <v>127</v>
      </c>
      <c r="D50" s="771">
        <f>$B$9</f>
        <v>1.81</v>
      </c>
      <c r="E50" s="772">
        <f t="shared" si="49"/>
        <v>1.7638888888888888</v>
      </c>
      <c r="F50" s="652"/>
      <c r="G50" s="747">
        <f t="shared" si="50"/>
        <v>1.8399010198195782</v>
      </c>
      <c r="H50" s="748">
        <f t="shared" si="60"/>
        <v>8.940709862508057E-4</v>
      </c>
      <c r="I50" s="652"/>
      <c r="J50" s="773">
        <f t="shared" si="82"/>
        <v>13</v>
      </c>
      <c r="K50" s="774">
        <f t="shared" si="61"/>
        <v>14.625</v>
      </c>
      <c r="L50" s="747">
        <f t="shared" si="62"/>
        <v>2.074008523364486</v>
      </c>
      <c r="M50" s="751">
        <f t="shared" si="62"/>
        <v>2.0715670560747665</v>
      </c>
      <c r="N50" s="751">
        <f t="shared" si="62"/>
        <v>2.0673505841121496</v>
      </c>
      <c r="O50" s="751">
        <f t="shared" si="62"/>
        <v>2.0631341121495326</v>
      </c>
      <c r="P50" s="751">
        <f t="shared" si="62"/>
        <v>2.0550355140186918</v>
      </c>
      <c r="Q50" s="751">
        <f t="shared" si="62"/>
        <v>2.0503100934579441</v>
      </c>
      <c r="R50" s="751">
        <f t="shared" si="62"/>
        <v>2.0323000000000002</v>
      </c>
      <c r="S50" s="751">
        <f t="shared" si="62"/>
        <v>2.0244183551401869</v>
      </c>
      <c r="T50" s="752">
        <f t="shared" si="62"/>
        <v>2.0131308411214954</v>
      </c>
      <c r="U50" s="753">
        <f t="shared" si="62"/>
        <v>1.9400205607476635</v>
      </c>
      <c r="W50" s="773">
        <f t="shared" si="63"/>
        <v>14.625</v>
      </c>
      <c r="X50" s="775">
        <f t="shared" si="64"/>
        <v>3.9390882846745835E-2</v>
      </c>
      <c r="Y50" s="776">
        <f t="shared" si="64"/>
        <v>3.938631895785695E-2</v>
      </c>
      <c r="Z50" s="776">
        <f t="shared" si="64"/>
        <v>3.9378437013412503E-2</v>
      </c>
      <c r="AA50" s="776">
        <f t="shared" si="64"/>
        <v>3.9370555068968062E-2</v>
      </c>
      <c r="AB50" s="776">
        <f t="shared" si="64"/>
        <v>3.9355416180079171E-2</v>
      </c>
      <c r="AC50" s="776">
        <f t="shared" si="64"/>
        <v>3.9346582846745838E-2</v>
      </c>
      <c r="AD50" s="776">
        <f t="shared" si="64"/>
        <v>3.931291618007917E-2</v>
      </c>
      <c r="AE50" s="776">
        <f t="shared" si="64"/>
        <v>3.9298182846745841E-2</v>
      </c>
      <c r="AF50" s="777">
        <f t="shared" si="64"/>
        <v>3.9277082846745838E-2</v>
      </c>
      <c r="AG50" s="778">
        <f t="shared" si="64"/>
        <v>3.9140416180079171E-2</v>
      </c>
      <c r="AI50" s="773">
        <f t="shared" si="65"/>
        <v>14.625</v>
      </c>
      <c r="AJ50" s="747">
        <f t="shared" si="53"/>
        <v>2.113399406211232</v>
      </c>
      <c r="AK50" s="751">
        <f t="shared" si="53"/>
        <v>2.1109533750326235</v>
      </c>
      <c r="AL50" s="751">
        <f t="shared" si="53"/>
        <v>2.1067290211255623</v>
      </c>
      <c r="AM50" s="751">
        <f t="shared" si="53"/>
        <v>2.1025046672185006</v>
      </c>
      <c r="AN50" s="751">
        <f t="shared" si="53"/>
        <v>2.0943909301987711</v>
      </c>
      <c r="AO50" s="751">
        <f t="shared" si="53"/>
        <v>2.0896566763046898</v>
      </c>
      <c r="AP50" s="751">
        <f t="shared" si="53"/>
        <v>2.0716129161800794</v>
      </c>
      <c r="AQ50" s="751">
        <f t="shared" si="53"/>
        <v>2.0637165379869327</v>
      </c>
      <c r="AR50" s="752">
        <f t="shared" si="53"/>
        <v>2.0524079239682411</v>
      </c>
      <c r="AS50" s="751">
        <f t="shared" si="53"/>
        <v>1.9791609769277427</v>
      </c>
      <c r="AT50" s="674">
        <f t="shared" si="66"/>
        <v>1.75</v>
      </c>
      <c r="AU50" s="712">
        <f t="shared" si="67"/>
        <v>1.8</v>
      </c>
      <c r="AV50" s="712">
        <f t="shared" si="68"/>
        <v>1.81</v>
      </c>
      <c r="AW50" s="712">
        <f t="shared" si="69"/>
        <v>1.83</v>
      </c>
      <c r="AX50" s="712">
        <f t="shared" si="70"/>
        <v>1.84</v>
      </c>
      <c r="AY50" s="712">
        <f t="shared" si="71"/>
        <v>1.86</v>
      </c>
      <c r="AZ50" s="712">
        <f t="shared" si="72"/>
        <v>1.88</v>
      </c>
      <c r="BA50" s="712">
        <f t="shared" si="73"/>
        <v>1.9</v>
      </c>
      <c r="BB50" s="712">
        <f t="shared" si="74"/>
        <v>1.92</v>
      </c>
      <c r="BC50" s="779">
        <f t="shared" si="75"/>
        <v>1000000</v>
      </c>
      <c r="BD50" s="780">
        <f t="shared" si="76"/>
        <v>-1000000</v>
      </c>
      <c r="BF50" s="781">
        <f t="shared" si="77"/>
        <v>2.1138119704059535</v>
      </c>
      <c r="BG50" s="767">
        <f t="shared" si="77"/>
        <v>2.0781334946609213</v>
      </c>
      <c r="BH50" s="767">
        <f t="shared" si="77"/>
        <v>2.0329369798969434</v>
      </c>
      <c r="BI50" s="767">
        <f t="shared" si="77"/>
        <v>2.0011777782494442</v>
      </c>
      <c r="BJ50" s="767">
        <f t="shared" si="77"/>
        <v>1.9576526906118885</v>
      </c>
      <c r="BK50" s="767">
        <f t="shared" si="77"/>
        <v>1.934268335268484</v>
      </c>
      <c r="BL50" s="767">
        <f t="shared" si="77"/>
        <v>1.6814746288444711</v>
      </c>
      <c r="BM50" s="767">
        <f t="shared" si="77"/>
        <v>97.562118431399909</v>
      </c>
      <c r="BN50" s="767">
        <f t="shared" si="77"/>
        <v>2.2738101501907315</v>
      </c>
      <c r="BO50" s="782">
        <f t="shared" si="77"/>
        <v>2.0629308177763961</v>
      </c>
      <c r="BP50" s="781">
        <f t="shared" si="55"/>
        <v>2.1138119704059535</v>
      </c>
      <c r="BQ50" s="767">
        <f t="shared" si="55"/>
        <v>2.0781334946609213</v>
      </c>
      <c r="BR50" s="767">
        <f t="shared" si="55"/>
        <v>2.0329369798969434</v>
      </c>
      <c r="BS50" s="767">
        <f t="shared" si="55"/>
        <v>2.0011777782494442</v>
      </c>
      <c r="BT50" s="767">
        <f t="shared" si="55"/>
        <v>1.9576526906118885</v>
      </c>
      <c r="BU50" s="767">
        <f t="shared" si="55"/>
        <v>1.934268335268484</v>
      </c>
      <c r="BV50" s="767">
        <f t="shared" si="55"/>
        <v>1.6814746288444711</v>
      </c>
      <c r="BW50" s="767">
        <f t="shared" si="55"/>
        <v>-1000000</v>
      </c>
      <c r="BX50" s="767">
        <f t="shared" si="55"/>
        <v>-1000000</v>
      </c>
      <c r="BY50" s="767">
        <f t="shared" si="55"/>
        <v>-1000000</v>
      </c>
      <c r="BZ50" s="648">
        <f t="shared" si="56"/>
        <v>13</v>
      </c>
      <c r="CA50" s="767">
        <f t="shared" si="57"/>
        <v>2.1138119704059535</v>
      </c>
      <c r="CB50" s="767">
        <f t="shared" si="57"/>
        <v>2.0781334946609213</v>
      </c>
      <c r="CC50" s="767">
        <f t="shared" si="57"/>
        <v>2.0329369798969434</v>
      </c>
      <c r="CD50" s="767">
        <f t="shared" si="57"/>
        <v>2.0011777782494442</v>
      </c>
      <c r="CE50" s="767">
        <f t="shared" si="57"/>
        <v>1.9576526906118885</v>
      </c>
      <c r="CF50" s="767">
        <f t="shared" si="57"/>
        <v>1.934268335268484</v>
      </c>
      <c r="CG50" s="767">
        <f t="shared" si="57"/>
        <v>1.6814746288444711</v>
      </c>
      <c r="CH50" s="767"/>
      <c r="CI50" s="767"/>
      <c r="CJ50" s="767"/>
      <c r="CK50" s="781">
        <f t="shared" si="58"/>
        <v>1.75</v>
      </c>
      <c r="CL50" s="783">
        <f t="shared" si="78"/>
        <v>1000000</v>
      </c>
      <c r="CM50" s="552"/>
      <c r="CN50" s="552"/>
      <c r="CO50" s="552"/>
      <c r="CP50" s="552"/>
      <c r="CQ50" s="552"/>
      <c r="CR50" s="552"/>
      <c r="CS50" s="552"/>
      <c r="CT50" s="552"/>
      <c r="CU50" s="552"/>
      <c r="CV50" s="552"/>
      <c r="CW50" s="552"/>
      <c r="CX50" s="552"/>
      <c r="CY50" s="552"/>
      <c r="CZ50" s="642">
        <f t="shared" si="39"/>
        <v>43</v>
      </c>
      <c r="DA50" s="609">
        <f t="shared" si="0"/>
        <v>48.375</v>
      </c>
      <c r="DB50" s="609">
        <f t="shared" si="22"/>
        <v>17.2</v>
      </c>
      <c r="DC50" s="610">
        <f t="shared" si="85"/>
        <v>132.5227864037449</v>
      </c>
      <c r="DD50" s="611">
        <f t="shared" si="85"/>
        <v>133.54639163613206</v>
      </c>
      <c r="DE50" s="612">
        <f t="shared" si="85"/>
        <v>134.61659540923736</v>
      </c>
      <c r="DF50" s="610">
        <f t="shared" si="86"/>
        <v>19.411764705882348</v>
      </c>
      <c r="DG50" s="611">
        <f t="shared" si="86"/>
        <v>22</v>
      </c>
      <c r="DH50" s="612">
        <f t="shared" si="86"/>
        <v>28.470588235294098</v>
      </c>
      <c r="DI50" s="610">
        <f t="shared" si="3"/>
        <v>151.93455110962725</v>
      </c>
      <c r="DJ50" s="611">
        <f t="shared" si="3"/>
        <v>155.54639163613206</v>
      </c>
      <c r="DK50" s="612">
        <f t="shared" si="3"/>
        <v>163.08718364453145</v>
      </c>
      <c r="DL50" s="613">
        <f t="shared" si="83"/>
        <v>151.93455110962725</v>
      </c>
      <c r="DM50" s="613">
        <f t="shared" si="83"/>
        <v>155.54639163613206</v>
      </c>
      <c r="DN50" s="613">
        <f t="shared" si="83"/>
        <v>163.08718364453145</v>
      </c>
      <c r="DO50" s="609">
        <f t="shared" si="5"/>
        <v>135</v>
      </c>
      <c r="DP50" s="609"/>
      <c r="DQ50" s="609">
        <f t="shared" si="24"/>
        <v>17.2</v>
      </c>
      <c r="DR50" s="610">
        <f t="shared" si="79"/>
        <v>0.5758283580323329</v>
      </c>
      <c r="DS50" s="611">
        <f t="shared" si="79"/>
        <v>0.38294347103293197</v>
      </c>
      <c r="DT50" s="612">
        <f t="shared" si="79"/>
        <v>0.13071286218468861</v>
      </c>
      <c r="DU50" s="611">
        <f t="shared" si="84"/>
        <v>0.60344797149816676</v>
      </c>
      <c r="DV50" s="611">
        <f t="shared" si="84"/>
        <v>0.40384805062259727</v>
      </c>
      <c r="DW50" s="611">
        <f t="shared" si="84"/>
        <v>0.14004490473773426</v>
      </c>
      <c r="DX50" s="614">
        <f t="shared" si="7"/>
        <v>12.5</v>
      </c>
      <c r="DY50" s="615"/>
      <c r="DZ50" s="609">
        <f t="shared" si="25"/>
        <v>17.2</v>
      </c>
      <c r="EA50" s="611">
        <f t="shared" si="87"/>
        <v>2.1031636690647484</v>
      </c>
      <c r="EB50" s="611">
        <f t="shared" si="87"/>
        <v>2.2015000000000002</v>
      </c>
      <c r="EC50" s="611">
        <f t="shared" si="87"/>
        <v>1000000</v>
      </c>
      <c r="ED50" s="610">
        <f t="shared" si="88"/>
        <v>0.22002999999999975</v>
      </c>
      <c r="EE50" s="611">
        <f t="shared" si="88"/>
        <v>0.22005999999999976</v>
      </c>
      <c r="EF50" s="612">
        <f t="shared" si="88"/>
        <v>0.22012499999999974</v>
      </c>
      <c r="EG50" s="611">
        <f t="shared" si="10"/>
        <v>2.3231936690647483</v>
      </c>
      <c r="EH50" s="611">
        <f t="shared" si="10"/>
        <v>2.4215599999999999</v>
      </c>
      <c r="EI50" s="611">
        <f t="shared" si="10"/>
        <v>1000000.220125</v>
      </c>
      <c r="EJ50" s="610">
        <f t="shared" si="26"/>
        <v>2.2999999999999998</v>
      </c>
      <c r="EK50" s="643">
        <f t="shared" si="27"/>
        <v>2.25</v>
      </c>
      <c r="EL50" s="644">
        <f t="shared" si="28"/>
        <v>2.83</v>
      </c>
      <c r="EN50" s="620">
        <f t="shared" si="29"/>
        <v>9.37638888888889</v>
      </c>
      <c r="EO50" s="621">
        <f t="shared" si="40"/>
        <v>101.40314678673174</v>
      </c>
      <c r="EP50" s="621">
        <f t="shared" si="40"/>
        <v>109.79907994278393</v>
      </c>
      <c r="EQ50" s="621">
        <f t="shared" si="40"/>
        <v>116.6701058550241</v>
      </c>
      <c r="ER50" s="610">
        <f t="shared" si="80"/>
        <v>63.683025910728361</v>
      </c>
      <c r="ES50" s="611">
        <f t="shared" si="80"/>
        <v>87.340822204903304</v>
      </c>
      <c r="ET50" s="612">
        <f t="shared" si="80"/>
        <v>111.48437600833914</v>
      </c>
      <c r="EU50" s="610">
        <f t="shared" si="30"/>
        <v>100</v>
      </c>
      <c r="EV50" s="611">
        <f t="shared" si="31"/>
        <v>135</v>
      </c>
      <c r="EW50" s="645">
        <f t="shared" si="32"/>
        <v>1000000</v>
      </c>
      <c r="EX50" s="610">
        <f t="shared" si="13"/>
        <v>-37.720120876003378</v>
      </c>
      <c r="EY50" s="621">
        <f t="shared" si="14"/>
        <v>-22.458257737880622</v>
      </c>
      <c r="EZ50" s="612">
        <f t="shared" si="15"/>
        <v>-5.1857298466849677</v>
      </c>
      <c r="FA50" s="646">
        <f t="shared" si="16"/>
        <v>9.37638888888889</v>
      </c>
      <c r="FB50" s="317"/>
      <c r="FC50" s="552"/>
      <c r="FD50" s="648">
        <v>26.166666666666668</v>
      </c>
      <c r="FE50" s="649">
        <f t="shared" si="81"/>
        <v>10.833513687360735</v>
      </c>
      <c r="FF50" s="650">
        <f t="shared" si="81"/>
        <v>41.707371062548361</v>
      </c>
      <c r="FG50" s="651">
        <f t="shared" si="81"/>
        <v>60.705047051332606</v>
      </c>
      <c r="FI50" s="653"/>
      <c r="FJ50" s="652">
        <v>78.5</v>
      </c>
      <c r="FK50" s="633">
        <f t="shared" si="33"/>
        <v>100</v>
      </c>
      <c r="FL50" s="564">
        <f t="shared" si="34"/>
        <v>135</v>
      </c>
      <c r="FM50" s="634">
        <f t="shared" si="35"/>
        <v>1000000000</v>
      </c>
      <c r="FN50" s="621">
        <f t="shared" si="41"/>
        <v>41.328670358830294</v>
      </c>
      <c r="FO50" s="621">
        <f t="shared" si="41"/>
        <v>64.720998633434377</v>
      </c>
      <c r="FP50" s="654">
        <f t="shared" si="41"/>
        <v>83.872812971532682</v>
      </c>
      <c r="FQ50" s="610">
        <f t="shared" si="42"/>
        <v>-30.495156671469559</v>
      </c>
      <c r="FR50" s="611">
        <f t="shared" si="42"/>
        <v>-23.013627570886015</v>
      </c>
      <c r="FS50" s="612">
        <f t="shared" si="42"/>
        <v>-23.167765920200075</v>
      </c>
      <c r="FT50" s="633">
        <f t="shared" si="36"/>
        <v>0</v>
      </c>
      <c r="FU50" s="564">
        <f t="shared" si="36"/>
        <v>0</v>
      </c>
      <c r="FV50" s="655">
        <f t="shared" si="36"/>
        <v>316.66035044528638</v>
      </c>
      <c r="FW50" s="633">
        <f t="shared" si="37"/>
        <v>0</v>
      </c>
      <c r="FX50" s="564">
        <f t="shared" si="37"/>
        <v>0</v>
      </c>
      <c r="FY50" s="655">
        <f t="shared" si="37"/>
        <v>1</v>
      </c>
    </row>
    <row r="51" spans="2:181" s="564" customFormat="1" ht="15" customHeight="1" x14ac:dyDescent="0.2">
      <c r="B51" s="647">
        <f t="shared" si="89"/>
        <v>72</v>
      </c>
      <c r="C51" s="652">
        <f>$D$10</f>
        <v>125</v>
      </c>
      <c r="D51" s="771">
        <f>$B$10</f>
        <v>1.83</v>
      </c>
      <c r="E51" s="772">
        <f t="shared" si="49"/>
        <v>1.7361111111111112</v>
      </c>
      <c r="F51" s="652"/>
      <c r="G51" s="747">
        <f t="shared" si="50"/>
        <v>1.8701660849847979</v>
      </c>
      <c r="H51" s="748">
        <f t="shared" si="60"/>
        <v>1.6133143830059985E-3</v>
      </c>
      <c r="I51" s="652"/>
      <c r="J51" s="773">
        <f t="shared" si="82"/>
        <v>14</v>
      </c>
      <c r="K51" s="774">
        <f t="shared" si="61"/>
        <v>15.75</v>
      </c>
      <c r="L51" s="747">
        <f t="shared" si="62"/>
        <v>2.0739520000000002</v>
      </c>
      <c r="M51" s="751">
        <f t="shared" si="62"/>
        <v>2.0714874999999999</v>
      </c>
      <c r="N51" s="751">
        <f t="shared" si="62"/>
        <v>2.0672312499999999</v>
      </c>
      <c r="O51" s="751">
        <f t="shared" si="62"/>
        <v>2.0629750000000002</v>
      </c>
      <c r="P51" s="751">
        <f t="shared" si="62"/>
        <v>2.0548000000000002</v>
      </c>
      <c r="Q51" s="751">
        <f t="shared" si="62"/>
        <v>2.05003</v>
      </c>
      <c r="R51" s="751">
        <f t="shared" si="62"/>
        <v>2.0318499999999999</v>
      </c>
      <c r="S51" s="751">
        <f t="shared" si="62"/>
        <v>2.0238939999999999</v>
      </c>
      <c r="T51" s="752">
        <f t="shared" si="62"/>
        <v>2.0125000000000002</v>
      </c>
      <c r="U51" s="753">
        <f t="shared" si="62"/>
        <v>1.9387000000000001</v>
      </c>
      <c r="W51" s="773">
        <f t="shared" si="63"/>
        <v>15.75</v>
      </c>
      <c r="X51" s="775">
        <f t="shared" si="64"/>
        <v>3.2494602344660554E-2</v>
      </c>
      <c r="Y51" s="776">
        <f t="shared" si="64"/>
        <v>3.2490038455771669E-2</v>
      </c>
      <c r="Z51" s="776">
        <f t="shared" si="64"/>
        <v>3.2482156511327222E-2</v>
      </c>
      <c r="AA51" s="776">
        <f t="shared" si="64"/>
        <v>3.2474274566882781E-2</v>
      </c>
      <c r="AB51" s="776">
        <f t="shared" si="64"/>
        <v>3.245913567799389E-2</v>
      </c>
      <c r="AC51" s="776">
        <f t="shared" si="64"/>
        <v>3.2450302344660557E-2</v>
      </c>
      <c r="AD51" s="776">
        <f t="shared" si="64"/>
        <v>3.2416635677993889E-2</v>
      </c>
      <c r="AE51" s="776">
        <f t="shared" si="64"/>
        <v>3.240190234466056E-2</v>
      </c>
      <c r="AF51" s="777">
        <f t="shared" si="64"/>
        <v>3.2380802344660557E-2</v>
      </c>
      <c r="AG51" s="778">
        <f t="shared" si="64"/>
        <v>3.224413567799389E-2</v>
      </c>
      <c r="AI51" s="773">
        <f t="shared" si="65"/>
        <v>15.75</v>
      </c>
      <c r="AJ51" s="747">
        <f t="shared" si="53"/>
        <v>2.1064466023446609</v>
      </c>
      <c r="AK51" s="751">
        <f t="shared" si="53"/>
        <v>2.1039775384557715</v>
      </c>
      <c r="AL51" s="751">
        <f t="shared" si="53"/>
        <v>2.0997134065113272</v>
      </c>
      <c r="AM51" s="751">
        <f t="shared" si="53"/>
        <v>2.0954492745668829</v>
      </c>
      <c r="AN51" s="751">
        <f t="shared" si="53"/>
        <v>2.0872591356779941</v>
      </c>
      <c r="AO51" s="751">
        <f t="shared" si="53"/>
        <v>2.0824803023446607</v>
      </c>
      <c r="AP51" s="751">
        <f t="shared" si="53"/>
        <v>2.0642666356779937</v>
      </c>
      <c r="AQ51" s="751">
        <f t="shared" si="53"/>
        <v>2.0562959023446603</v>
      </c>
      <c r="AR51" s="752">
        <f t="shared" si="53"/>
        <v>2.0448808023446605</v>
      </c>
      <c r="AS51" s="751">
        <f t="shared" si="53"/>
        <v>1.970944135677994</v>
      </c>
      <c r="AT51" s="674">
        <f t="shared" si="66"/>
        <v>1.75</v>
      </c>
      <c r="AU51" s="712">
        <f t="shared" si="67"/>
        <v>1.8</v>
      </c>
      <c r="AV51" s="712">
        <f t="shared" si="68"/>
        <v>1.81</v>
      </c>
      <c r="AW51" s="712">
        <f t="shared" si="69"/>
        <v>1.83</v>
      </c>
      <c r="AX51" s="712">
        <f t="shared" si="70"/>
        <v>1.84</v>
      </c>
      <c r="AY51" s="712">
        <f t="shared" si="71"/>
        <v>1.86</v>
      </c>
      <c r="AZ51" s="712">
        <f t="shared" si="72"/>
        <v>1.88</v>
      </c>
      <c r="BA51" s="712">
        <f t="shared" si="73"/>
        <v>1.9</v>
      </c>
      <c r="BB51" s="712">
        <f t="shared" si="74"/>
        <v>1.92</v>
      </c>
      <c r="BC51" s="779">
        <f t="shared" si="75"/>
        <v>1000000</v>
      </c>
      <c r="BD51" s="780">
        <f t="shared" si="76"/>
        <v>-1000000</v>
      </c>
      <c r="BF51" s="781">
        <f t="shared" si="77"/>
        <v>2.1068690405576294</v>
      </c>
      <c r="BG51" s="767">
        <f t="shared" si="77"/>
        <v>2.0706835821459015</v>
      </c>
      <c r="BH51" s="767">
        <f t="shared" si="77"/>
        <v>2.0258211679228508</v>
      </c>
      <c r="BI51" s="767">
        <f t="shared" si="77"/>
        <v>1.9948555783023594</v>
      </c>
      <c r="BJ51" s="767">
        <f t="shared" si="77"/>
        <v>1.9516833772314643</v>
      </c>
      <c r="BK51" s="767">
        <f t="shared" si="77"/>
        <v>1.926503171102842</v>
      </c>
      <c r="BL51" s="767">
        <f t="shared" si="77"/>
        <v>1.4171223032503772</v>
      </c>
      <c r="BM51" s="767">
        <f t="shared" si="77"/>
        <v>2.620962196742842</v>
      </c>
      <c r="BN51" s="767">
        <f t="shared" si="77"/>
        <v>2.1822677482694743</v>
      </c>
      <c r="BO51" s="782">
        <f t="shared" si="77"/>
        <v>2.0536410337250812</v>
      </c>
      <c r="BP51" s="781">
        <f t="shared" si="55"/>
        <v>2.1068690405576294</v>
      </c>
      <c r="BQ51" s="767">
        <f t="shared" si="55"/>
        <v>2.0706835821459015</v>
      </c>
      <c r="BR51" s="767">
        <f t="shared" si="55"/>
        <v>2.0258211679228508</v>
      </c>
      <c r="BS51" s="767">
        <f t="shared" si="55"/>
        <v>1.9948555783023594</v>
      </c>
      <c r="BT51" s="767">
        <f t="shared" si="55"/>
        <v>1.9516833772314643</v>
      </c>
      <c r="BU51" s="767">
        <f t="shared" si="55"/>
        <v>1.926503171102842</v>
      </c>
      <c r="BV51" s="767">
        <f t="shared" si="55"/>
        <v>1.4171223032503772</v>
      </c>
      <c r="BW51" s="767">
        <f t="shared" si="55"/>
        <v>-1000000</v>
      </c>
      <c r="BX51" s="767">
        <f t="shared" si="55"/>
        <v>-1000000</v>
      </c>
      <c r="BY51" s="767">
        <f t="shared" si="55"/>
        <v>-1000000</v>
      </c>
      <c r="BZ51" s="648">
        <f t="shared" si="56"/>
        <v>14</v>
      </c>
      <c r="CA51" s="767">
        <f t="shared" si="57"/>
        <v>2.1068690405576294</v>
      </c>
      <c r="CB51" s="767">
        <f t="shared" si="57"/>
        <v>2.0706835821459015</v>
      </c>
      <c r="CC51" s="767">
        <f t="shared" si="57"/>
        <v>2.0258211679228508</v>
      </c>
      <c r="CD51" s="767">
        <f t="shared" si="57"/>
        <v>1.9948555783023594</v>
      </c>
      <c r="CE51" s="767">
        <f t="shared" si="57"/>
        <v>1.9516833772314643</v>
      </c>
      <c r="CF51" s="767">
        <f t="shared" si="57"/>
        <v>1.926503171102842</v>
      </c>
      <c r="CG51" s="767"/>
      <c r="CH51" s="767"/>
      <c r="CI51" s="767"/>
      <c r="CJ51" s="767"/>
      <c r="CK51" s="781">
        <f t="shared" si="58"/>
        <v>1.75</v>
      </c>
      <c r="CL51" s="783">
        <f t="shared" si="78"/>
        <v>1000000</v>
      </c>
      <c r="CM51" s="552"/>
      <c r="CN51" s="552"/>
      <c r="CO51" s="552"/>
      <c r="CP51" s="552"/>
      <c r="CQ51" s="552"/>
      <c r="CR51" s="552"/>
      <c r="CS51" s="552"/>
      <c r="CT51" s="552"/>
      <c r="CU51" s="552"/>
      <c r="CV51" s="552"/>
      <c r="CW51" s="552"/>
      <c r="CX51" s="552"/>
      <c r="CY51" s="552"/>
      <c r="CZ51" s="642">
        <f t="shared" si="39"/>
        <v>44</v>
      </c>
      <c r="DA51" s="609">
        <f t="shared" si="0"/>
        <v>49.5</v>
      </c>
      <c r="DB51" s="609">
        <f t="shared" si="22"/>
        <v>17.599999999999998</v>
      </c>
      <c r="DC51" s="610">
        <f t="shared" si="85"/>
        <v>132.74273394836518</v>
      </c>
      <c r="DD51" s="611">
        <f t="shared" si="85"/>
        <v>133.69177448780198</v>
      </c>
      <c r="DE51" s="612">
        <f t="shared" si="85"/>
        <v>134.66547215355976</v>
      </c>
      <c r="DF51" s="610">
        <f t="shared" si="86"/>
        <v>19.411764705882348</v>
      </c>
      <c r="DG51" s="611">
        <f t="shared" si="86"/>
        <v>22</v>
      </c>
      <c r="DH51" s="612">
        <f t="shared" si="86"/>
        <v>28.470588235294098</v>
      </c>
      <c r="DI51" s="610">
        <f t="shared" si="3"/>
        <v>152.15449865424753</v>
      </c>
      <c r="DJ51" s="611">
        <f t="shared" si="3"/>
        <v>155.69177448780198</v>
      </c>
      <c r="DK51" s="612">
        <f t="shared" si="3"/>
        <v>163.13606038885385</v>
      </c>
      <c r="DL51" s="613">
        <f t="shared" si="83"/>
        <v>152.15449865424753</v>
      </c>
      <c r="DM51" s="613">
        <f t="shared" si="83"/>
        <v>155.69177448780198</v>
      </c>
      <c r="DN51" s="613">
        <f t="shared" si="83"/>
        <v>163.13606038885385</v>
      </c>
      <c r="DO51" s="609">
        <f t="shared" si="5"/>
        <v>135</v>
      </c>
      <c r="DP51" s="609"/>
      <c r="DQ51" s="609">
        <f t="shared" si="24"/>
        <v>17.599999999999998</v>
      </c>
      <c r="DR51" s="610">
        <f t="shared" si="79"/>
        <v>0.52470154617266662</v>
      </c>
      <c r="DS51" s="611">
        <f t="shared" si="79"/>
        <v>0.34464332414948801</v>
      </c>
      <c r="DT51" s="612">
        <f t="shared" si="79"/>
        <v>0.11404947499899663</v>
      </c>
      <c r="DU51" s="611">
        <f t="shared" si="84"/>
        <v>0.54986886155070835</v>
      </c>
      <c r="DV51" s="611">
        <f t="shared" si="84"/>
        <v>0.36345712917480583</v>
      </c>
      <c r="DW51" s="611">
        <f t="shared" si="84"/>
        <v>0.12219186080599841</v>
      </c>
      <c r="DX51" s="614">
        <f t="shared" si="7"/>
        <v>12.5</v>
      </c>
      <c r="DY51" s="615"/>
      <c r="DZ51" s="609">
        <f t="shared" si="25"/>
        <v>17.599999999999998</v>
      </c>
      <c r="EA51" s="611">
        <f t="shared" si="87"/>
        <v>2.1035018248175184</v>
      </c>
      <c r="EB51" s="611">
        <f t="shared" si="87"/>
        <v>2.2114183673469388</v>
      </c>
      <c r="EC51" s="611">
        <f t="shared" si="87"/>
        <v>1000000</v>
      </c>
      <c r="ED51" s="610">
        <f t="shared" si="88"/>
        <v>0.22002999999999975</v>
      </c>
      <c r="EE51" s="611">
        <f t="shared" si="88"/>
        <v>0.22005999999999976</v>
      </c>
      <c r="EF51" s="612">
        <f t="shared" si="88"/>
        <v>0.22012499999999974</v>
      </c>
      <c r="EG51" s="611">
        <f t="shared" si="10"/>
        <v>2.3235318248175183</v>
      </c>
      <c r="EH51" s="611">
        <f t="shared" si="10"/>
        <v>2.4314783673469385</v>
      </c>
      <c r="EI51" s="611">
        <f t="shared" si="10"/>
        <v>1000000.220125</v>
      </c>
      <c r="EJ51" s="610">
        <f t="shared" si="26"/>
        <v>2.2999999999999998</v>
      </c>
      <c r="EK51" s="643">
        <f t="shared" si="27"/>
        <v>2.25</v>
      </c>
      <c r="EL51" s="644">
        <f t="shared" si="28"/>
        <v>2.83</v>
      </c>
      <c r="EN51" s="620">
        <f t="shared" si="29"/>
        <v>9.594444444444445</v>
      </c>
      <c r="EO51" s="621">
        <f t="shared" si="40"/>
        <v>100.62224086112128</v>
      </c>
      <c r="EP51" s="621">
        <f t="shared" si="40"/>
        <v>109.21324623235111</v>
      </c>
      <c r="EQ51" s="621">
        <f t="shared" si="40"/>
        <v>116.24395314695545</v>
      </c>
      <c r="ER51" s="610">
        <f t="shared" si="80"/>
        <v>62.881923409085935</v>
      </c>
      <c r="ES51" s="611">
        <f t="shared" si="80"/>
        <v>86.440692780646657</v>
      </c>
      <c r="ET51" s="612">
        <f t="shared" si="80"/>
        <v>110.63742788144808</v>
      </c>
      <c r="EU51" s="610">
        <f t="shared" si="30"/>
        <v>100</v>
      </c>
      <c r="EV51" s="611">
        <f t="shared" si="31"/>
        <v>135</v>
      </c>
      <c r="EW51" s="645">
        <f t="shared" si="32"/>
        <v>1000000</v>
      </c>
      <c r="EX51" s="610">
        <f t="shared" si="13"/>
        <v>-37.740317452035349</v>
      </c>
      <c r="EY51" s="621">
        <f t="shared" si="14"/>
        <v>-22.772553451704461</v>
      </c>
      <c r="EZ51" s="612">
        <f t="shared" si="15"/>
        <v>-5.6065252655073756</v>
      </c>
      <c r="FA51" s="646">
        <f t="shared" si="16"/>
        <v>9.594444444444445</v>
      </c>
      <c r="FB51" s="317"/>
      <c r="FC51" s="552"/>
      <c r="FD51" s="648">
        <v>27</v>
      </c>
      <c r="FE51" s="649">
        <f t="shared" si="81"/>
        <v>7.3787759248440139</v>
      </c>
      <c r="FF51" s="650">
        <f t="shared" si="81"/>
        <v>39.063503830401089</v>
      </c>
      <c r="FG51" s="651">
        <f t="shared" si="81"/>
        <v>58.66852842821514</v>
      </c>
      <c r="FH51" s="652">
        <v>54</v>
      </c>
      <c r="FK51" s="633">
        <f t="shared" si="33"/>
        <v>100</v>
      </c>
      <c r="FL51" s="564">
        <f t="shared" si="34"/>
        <v>135</v>
      </c>
      <c r="FM51" s="634">
        <f t="shared" si="35"/>
        <v>1000000000</v>
      </c>
      <c r="FN51" s="621">
        <f t="shared" si="41"/>
        <v>38.349975037443933</v>
      </c>
      <c r="FO51" s="621">
        <f t="shared" si="41"/>
        <v>62.48532900486952</v>
      </c>
      <c r="FP51" s="654">
        <f t="shared" si="41"/>
        <v>82.245889726587365</v>
      </c>
      <c r="FQ51" s="610">
        <f t="shared" si="42"/>
        <v>-30.971199112599919</v>
      </c>
      <c r="FR51" s="611">
        <f t="shared" si="42"/>
        <v>-23.421825174468431</v>
      </c>
      <c r="FS51" s="612">
        <f t="shared" si="42"/>
        <v>-23.577361298372224</v>
      </c>
      <c r="FT51" s="633">
        <f t="shared" si="36"/>
        <v>2173.5385342659042</v>
      </c>
      <c r="FU51" s="564">
        <f t="shared" si="36"/>
        <v>0</v>
      </c>
      <c r="FV51" s="655">
        <f t="shared" si="36"/>
        <v>0</v>
      </c>
      <c r="FW51" s="633">
        <f t="shared" si="37"/>
        <v>1</v>
      </c>
      <c r="FX51" s="564">
        <f t="shared" si="37"/>
        <v>0</v>
      </c>
      <c r="FY51" s="655">
        <f t="shared" si="37"/>
        <v>0</v>
      </c>
    </row>
    <row r="52" spans="2:181" s="564" customFormat="1" ht="15" customHeight="1" x14ac:dyDescent="0.2">
      <c r="B52" s="647">
        <f t="shared" si="89"/>
        <v>72</v>
      </c>
      <c r="C52" s="652">
        <f>$D$11</f>
        <v>124</v>
      </c>
      <c r="D52" s="771">
        <f>$B$11</f>
        <v>1.84</v>
      </c>
      <c r="E52" s="772">
        <f t="shared" si="49"/>
        <v>1.7222222222222223</v>
      </c>
      <c r="F52" s="652"/>
      <c r="G52" s="747">
        <f t="shared" si="50"/>
        <v>1.8811852582748736</v>
      </c>
      <c r="H52" s="748">
        <f t="shared" si="60"/>
        <v>1.6962254991680374E-3</v>
      </c>
      <c r="I52" s="652"/>
      <c r="J52" s="773">
        <f t="shared" si="82"/>
        <v>15</v>
      </c>
      <c r="K52" s="774">
        <f t="shared" si="61"/>
        <v>16.875</v>
      </c>
      <c r="L52" s="747">
        <f t="shared" si="62"/>
        <v>2.0738943999999999</v>
      </c>
      <c r="M52" s="751">
        <f t="shared" si="62"/>
        <v>2.0714064285714286</v>
      </c>
      <c r="N52" s="751">
        <f t="shared" si="62"/>
        <v>2.0671096428571429</v>
      </c>
      <c r="O52" s="751">
        <f t="shared" si="62"/>
        <v>2.0628128571428572</v>
      </c>
      <c r="P52" s="751">
        <f t="shared" si="62"/>
        <v>2.0545599999999999</v>
      </c>
      <c r="Q52" s="751">
        <f t="shared" si="62"/>
        <v>2.0497445714285716</v>
      </c>
      <c r="R52" s="751">
        <f t="shared" si="62"/>
        <v>2.0313914285714287</v>
      </c>
      <c r="S52" s="751">
        <f t="shared" si="62"/>
        <v>2.0233596571428571</v>
      </c>
      <c r="T52" s="752">
        <f t="shared" si="62"/>
        <v>2.011857142857143</v>
      </c>
      <c r="U52" s="753">
        <f t="shared" si="62"/>
        <v>1.9373542857142858</v>
      </c>
      <c r="W52" s="773">
        <f t="shared" si="63"/>
        <v>16.875</v>
      </c>
      <c r="X52" s="775">
        <f t="shared" si="64"/>
        <v>2.5942107660447369E-2</v>
      </c>
      <c r="Y52" s="776">
        <f t="shared" si="64"/>
        <v>2.5937543771558481E-2</v>
      </c>
      <c r="Z52" s="776">
        <f t="shared" si="64"/>
        <v>2.5929661827114037E-2</v>
      </c>
      <c r="AA52" s="776">
        <f t="shared" si="64"/>
        <v>2.5921779882669593E-2</v>
      </c>
      <c r="AB52" s="776">
        <f t="shared" si="64"/>
        <v>2.5906640993780702E-2</v>
      </c>
      <c r="AC52" s="776">
        <f t="shared" si="64"/>
        <v>2.5897807660447369E-2</v>
      </c>
      <c r="AD52" s="776">
        <f t="shared" si="64"/>
        <v>2.5864140993780701E-2</v>
      </c>
      <c r="AE52" s="776">
        <f t="shared" si="64"/>
        <v>2.5849407660447368E-2</v>
      </c>
      <c r="AF52" s="777">
        <f t="shared" si="64"/>
        <v>2.5828307660447369E-2</v>
      </c>
      <c r="AG52" s="778">
        <f t="shared" si="64"/>
        <v>2.5691640993780702E-2</v>
      </c>
      <c r="AI52" s="773">
        <f t="shared" si="65"/>
        <v>16.875</v>
      </c>
      <c r="AJ52" s="747">
        <f t="shared" si="53"/>
        <v>2.0998365076604473</v>
      </c>
      <c r="AK52" s="751">
        <f t="shared" si="53"/>
        <v>2.097343972342987</v>
      </c>
      <c r="AL52" s="751">
        <f t="shared" si="53"/>
        <v>2.093039304684257</v>
      </c>
      <c r="AM52" s="751">
        <f t="shared" si="53"/>
        <v>2.0887346370255266</v>
      </c>
      <c r="AN52" s="751">
        <f t="shared" si="53"/>
        <v>2.0804666409937806</v>
      </c>
      <c r="AO52" s="751">
        <f t="shared" si="53"/>
        <v>2.0756423790890191</v>
      </c>
      <c r="AP52" s="751">
        <f t="shared" si="53"/>
        <v>2.0572555695652093</v>
      </c>
      <c r="AQ52" s="751">
        <f t="shared" si="53"/>
        <v>2.0492090648033043</v>
      </c>
      <c r="AR52" s="752">
        <f t="shared" si="53"/>
        <v>2.0376854505175905</v>
      </c>
      <c r="AS52" s="751">
        <f t="shared" si="53"/>
        <v>1.9630459267080664</v>
      </c>
      <c r="AT52" s="674">
        <f t="shared" si="66"/>
        <v>1.75</v>
      </c>
      <c r="AU52" s="712">
        <f t="shared" si="67"/>
        <v>1.8</v>
      </c>
      <c r="AV52" s="712">
        <f t="shared" si="68"/>
        <v>1.81</v>
      </c>
      <c r="AW52" s="712">
        <f t="shared" si="69"/>
        <v>1.83</v>
      </c>
      <c r="AX52" s="712">
        <f t="shared" si="70"/>
        <v>1.84</v>
      </c>
      <c r="AY52" s="712">
        <f t="shared" si="71"/>
        <v>1.86</v>
      </c>
      <c r="AZ52" s="712">
        <f t="shared" si="72"/>
        <v>1.88</v>
      </c>
      <c r="BA52" s="712">
        <f t="shared" si="73"/>
        <v>1.9</v>
      </c>
      <c r="BB52" s="712">
        <f t="shared" si="74"/>
        <v>1.92</v>
      </c>
      <c r="BC52" s="779">
        <f t="shared" si="75"/>
        <v>1000000</v>
      </c>
      <c r="BD52" s="780">
        <f t="shared" si="76"/>
        <v>-1000000</v>
      </c>
      <c r="BF52" s="781">
        <f t="shared" si="77"/>
        <v>2.1002668674636449</v>
      </c>
      <c r="BG52" s="767">
        <f t="shared" si="77"/>
        <v>2.0637367492123997</v>
      </c>
      <c r="BH52" s="767">
        <f t="shared" si="77"/>
        <v>2.0193798628614954</v>
      </c>
      <c r="BI52" s="767">
        <f t="shared" si="77"/>
        <v>1.9892235589524074</v>
      </c>
      <c r="BJ52" s="767">
        <f t="shared" si="77"/>
        <v>1.9459485510340202</v>
      </c>
      <c r="BK52" s="767">
        <f t="shared" si="77"/>
        <v>1.9180599416694466</v>
      </c>
      <c r="BL52" s="767">
        <f t="shared" si="77"/>
        <v>-2.6119195538875326</v>
      </c>
      <c r="BM52" s="767">
        <f t="shared" si="77"/>
        <v>2.3020795475253442</v>
      </c>
      <c r="BN52" s="767">
        <f t="shared" si="77"/>
        <v>2.1343138787710214</v>
      </c>
      <c r="BO52" s="782">
        <f t="shared" si="77"/>
        <v>2.0462392882590144</v>
      </c>
      <c r="BP52" s="781">
        <f t="shared" si="55"/>
        <v>2.1002668674636449</v>
      </c>
      <c r="BQ52" s="767">
        <f t="shared" si="55"/>
        <v>2.0637367492123997</v>
      </c>
      <c r="BR52" s="767">
        <f t="shared" si="55"/>
        <v>2.0193798628614954</v>
      </c>
      <c r="BS52" s="767">
        <f t="shared" si="55"/>
        <v>1.9892235589524074</v>
      </c>
      <c r="BT52" s="767">
        <f t="shared" si="55"/>
        <v>1.9459485510340202</v>
      </c>
      <c r="BU52" s="767">
        <f t="shared" si="55"/>
        <v>1.9180599416694466</v>
      </c>
      <c r="BV52" s="767">
        <f t="shared" si="55"/>
        <v>-2.6119195538875326</v>
      </c>
      <c r="BW52" s="767">
        <f t="shared" si="55"/>
        <v>-1000000</v>
      </c>
      <c r="BX52" s="767">
        <f t="shared" si="55"/>
        <v>-1000000</v>
      </c>
      <c r="BY52" s="767">
        <f t="shared" si="55"/>
        <v>-1000000</v>
      </c>
      <c r="BZ52" s="648">
        <f t="shared" si="56"/>
        <v>15</v>
      </c>
      <c r="CA52" s="767">
        <f t="shared" ref="CA52:CF67" si="90">IF(BP52&lt;0,-1000000,BP52)</f>
        <v>2.1002668674636449</v>
      </c>
      <c r="CB52" s="767">
        <f t="shared" si="90"/>
        <v>2.0637367492123997</v>
      </c>
      <c r="CC52" s="767">
        <f t="shared" si="90"/>
        <v>2.0193798628614954</v>
      </c>
      <c r="CD52" s="767">
        <f t="shared" si="90"/>
        <v>1.9892235589524074</v>
      </c>
      <c r="CE52" s="767">
        <f t="shared" si="90"/>
        <v>1.9459485510340202</v>
      </c>
      <c r="CF52" s="767">
        <f t="shared" si="90"/>
        <v>1.9180599416694466</v>
      </c>
      <c r="CG52" s="767"/>
      <c r="CH52" s="767"/>
      <c r="CI52" s="767"/>
      <c r="CJ52" s="767"/>
      <c r="CK52" s="781">
        <f t="shared" si="58"/>
        <v>1.75</v>
      </c>
      <c r="CL52" s="783">
        <f t="shared" si="78"/>
        <v>1000000</v>
      </c>
      <c r="CM52" s="552"/>
      <c r="CN52" s="552"/>
      <c r="CO52" s="552"/>
      <c r="CP52" s="552"/>
      <c r="CQ52" s="552"/>
      <c r="CR52" s="552"/>
      <c r="CS52" s="552"/>
      <c r="CT52" s="552"/>
      <c r="CU52" s="552"/>
      <c r="CV52" s="552"/>
      <c r="CW52" s="552"/>
      <c r="CX52" s="552"/>
      <c r="CY52" s="552"/>
      <c r="CZ52" s="642">
        <f t="shared" si="39"/>
        <v>45</v>
      </c>
      <c r="DA52" s="609">
        <f t="shared" si="0"/>
        <v>50.625</v>
      </c>
      <c r="DB52" s="609">
        <f t="shared" si="22"/>
        <v>18</v>
      </c>
      <c r="DC52" s="610">
        <f t="shared" si="85"/>
        <v>132.94315272790132</v>
      </c>
      <c r="DD52" s="611">
        <f t="shared" si="85"/>
        <v>133.82261685244316</v>
      </c>
      <c r="DE52" s="612">
        <f t="shared" si="85"/>
        <v>134.70811804881797</v>
      </c>
      <c r="DF52" s="610">
        <f t="shared" si="86"/>
        <v>19.411764705882348</v>
      </c>
      <c r="DG52" s="611">
        <f t="shared" si="86"/>
        <v>22</v>
      </c>
      <c r="DH52" s="612">
        <f t="shared" si="86"/>
        <v>28.470588235294098</v>
      </c>
      <c r="DI52" s="610">
        <f t="shared" si="3"/>
        <v>152.35491743378367</v>
      </c>
      <c r="DJ52" s="611">
        <f t="shared" si="3"/>
        <v>155.82261685244316</v>
      </c>
      <c r="DK52" s="612">
        <f t="shared" si="3"/>
        <v>163.17870628411205</v>
      </c>
      <c r="DL52" s="613">
        <f t="shared" si="83"/>
        <v>152.35491743378367</v>
      </c>
      <c r="DM52" s="613">
        <f t="shared" si="83"/>
        <v>155.82261685244316</v>
      </c>
      <c r="DN52" s="613">
        <f t="shared" si="83"/>
        <v>163.17870628411205</v>
      </c>
      <c r="DO52" s="609">
        <f t="shared" si="5"/>
        <v>135</v>
      </c>
      <c r="DP52" s="609"/>
      <c r="DQ52" s="609">
        <f t="shared" si="24"/>
        <v>18</v>
      </c>
      <c r="DR52" s="610">
        <f t="shared" si="79"/>
        <v>0.47811419621075363</v>
      </c>
      <c r="DS52" s="611">
        <f t="shared" si="79"/>
        <v>0.31017377202024249</v>
      </c>
      <c r="DT52" s="612">
        <f t="shared" si="79"/>
        <v>9.951035062768579E-2</v>
      </c>
      <c r="DU52" s="611">
        <f t="shared" si="84"/>
        <v>0.50104694884033751</v>
      </c>
      <c r="DV52" s="611">
        <f t="shared" si="84"/>
        <v>0.32710591160295449</v>
      </c>
      <c r="DW52" s="611">
        <f t="shared" si="84"/>
        <v>0.10661473814550902</v>
      </c>
      <c r="DX52" s="614">
        <f t="shared" si="7"/>
        <v>12.5</v>
      </c>
      <c r="DY52" s="615"/>
      <c r="DZ52" s="609">
        <f t="shared" si="25"/>
        <v>18</v>
      </c>
      <c r="EA52" s="611">
        <f t="shared" si="87"/>
        <v>2.10385</v>
      </c>
      <c r="EB52" s="611">
        <f t="shared" si="87"/>
        <v>2.2231000000000001</v>
      </c>
      <c r="EC52" s="611">
        <f t="shared" si="87"/>
        <v>1000000</v>
      </c>
      <c r="ED52" s="610">
        <f t="shared" si="88"/>
        <v>0.22002999999999975</v>
      </c>
      <c r="EE52" s="611">
        <f t="shared" si="88"/>
        <v>0.22005999999999976</v>
      </c>
      <c r="EF52" s="612">
        <f t="shared" si="88"/>
        <v>0.22012499999999974</v>
      </c>
      <c r="EG52" s="611">
        <f t="shared" si="10"/>
        <v>2.3238799999999999</v>
      </c>
      <c r="EH52" s="611">
        <f t="shared" si="10"/>
        <v>2.4431599999999998</v>
      </c>
      <c r="EI52" s="611">
        <f t="shared" si="10"/>
        <v>1000000.220125</v>
      </c>
      <c r="EJ52" s="610">
        <f t="shared" si="26"/>
        <v>2.2999999999999998</v>
      </c>
      <c r="EK52" s="643">
        <f t="shared" si="27"/>
        <v>2.25</v>
      </c>
      <c r="EL52" s="644">
        <f t="shared" si="28"/>
        <v>2.83</v>
      </c>
      <c r="EN52" s="620">
        <f t="shared" si="29"/>
        <v>9.8125</v>
      </c>
      <c r="EO52" s="621">
        <f t="shared" si="40"/>
        <v>99.841353845299651</v>
      </c>
      <c r="EP52" s="621">
        <f t="shared" si="40"/>
        <v>108.62742316292558</v>
      </c>
      <c r="EQ52" s="621">
        <f t="shared" si="40"/>
        <v>115.81780606902872</v>
      </c>
      <c r="ER52" s="610">
        <f t="shared" si="80"/>
        <v>62.083448916602137</v>
      </c>
      <c r="ES52" s="611">
        <f t="shared" si="80"/>
        <v>85.554922014251787</v>
      </c>
      <c r="ET52" s="612">
        <f t="shared" si="80"/>
        <v>109.79776227184426</v>
      </c>
      <c r="EU52" s="610">
        <f t="shared" si="30"/>
        <v>100</v>
      </c>
      <c r="EV52" s="611">
        <f t="shared" si="31"/>
        <v>135</v>
      </c>
      <c r="EW52" s="645">
        <f t="shared" si="32"/>
        <v>1000000</v>
      </c>
      <c r="EX52" s="610">
        <f t="shared" si="13"/>
        <v>-37.757904928697513</v>
      </c>
      <c r="EY52" s="621">
        <f t="shared" si="14"/>
        <v>-23.072501148673787</v>
      </c>
      <c r="EZ52" s="612">
        <f t="shared" si="15"/>
        <v>-6.02004379718446</v>
      </c>
      <c r="FA52" s="646">
        <f t="shared" si="16"/>
        <v>9.8125</v>
      </c>
      <c r="FB52" s="317"/>
      <c r="FC52" s="552"/>
      <c r="FD52" s="648">
        <v>32</v>
      </c>
      <c r="FE52" s="649">
        <f t="shared" si="81"/>
        <v>-12.764140133950072</v>
      </c>
      <c r="FF52" s="650">
        <f t="shared" si="81"/>
        <v>23.700663264314585</v>
      </c>
      <c r="FG52" s="651">
        <f t="shared" si="81"/>
        <v>46.949949581973122</v>
      </c>
      <c r="FI52" s="652">
        <v>64</v>
      </c>
      <c r="FJ52" s="653"/>
      <c r="FK52" s="633">
        <f t="shared" si="33"/>
        <v>100</v>
      </c>
      <c r="FL52" s="564">
        <f t="shared" si="34"/>
        <v>135</v>
      </c>
      <c r="FM52" s="634">
        <f t="shared" si="35"/>
        <v>1000000000</v>
      </c>
      <c r="FN52" s="621">
        <f t="shared" si="41"/>
        <v>20.483584738243231</v>
      </c>
      <c r="FO52" s="621">
        <f t="shared" si="41"/>
        <v>49.074567243675098</v>
      </c>
      <c r="FP52" s="654">
        <f t="shared" si="41"/>
        <v>72.486074109953989</v>
      </c>
      <c r="FQ52" s="610">
        <f t="shared" si="42"/>
        <v>-33.247724872193302</v>
      </c>
      <c r="FR52" s="611">
        <f t="shared" si="42"/>
        <v>-25.373903979360513</v>
      </c>
      <c r="FS52" s="612">
        <f t="shared" si="42"/>
        <v>-25.536124527980867</v>
      </c>
      <c r="FT52" s="633">
        <f t="shared" si="36"/>
        <v>0</v>
      </c>
      <c r="FU52" s="564">
        <f t="shared" si="36"/>
        <v>1624.036541336164</v>
      </c>
      <c r="FV52" s="655">
        <f t="shared" si="36"/>
        <v>0</v>
      </c>
      <c r="FW52" s="633">
        <f t="shared" si="37"/>
        <v>0</v>
      </c>
      <c r="FX52" s="564">
        <f t="shared" si="37"/>
        <v>1</v>
      </c>
      <c r="FY52" s="655">
        <f t="shared" si="37"/>
        <v>0</v>
      </c>
    </row>
    <row r="53" spans="2:181" s="564" customFormat="1" ht="15" customHeight="1" x14ac:dyDescent="0.2">
      <c r="B53" s="647">
        <f t="shared" si="89"/>
        <v>72</v>
      </c>
      <c r="C53" s="652">
        <f>$D$12</f>
        <v>121</v>
      </c>
      <c r="D53" s="771">
        <f>$B$12</f>
        <v>1.86</v>
      </c>
      <c r="E53" s="772">
        <f t="shared" si="49"/>
        <v>1.6805555555555556</v>
      </c>
      <c r="F53" s="652"/>
      <c r="G53" s="747">
        <f t="shared" si="50"/>
        <v>1.9048466808329618</v>
      </c>
      <c r="H53" s="748">
        <f t="shared" si="60"/>
        <v>2.0112247817335367E-3</v>
      </c>
      <c r="I53" s="652"/>
      <c r="J53" s="773">
        <f t="shared" si="82"/>
        <v>16</v>
      </c>
      <c r="K53" s="774">
        <f t="shared" si="61"/>
        <v>18</v>
      </c>
      <c r="L53" s="747">
        <f t="shared" ref="L53:U68" si="91">$AB$21-($AD$24*L$34)/(1-($K53)/($AB$22))</f>
        <v>2.0738356923076924</v>
      </c>
      <c r="M53" s="751">
        <f t="shared" si="91"/>
        <v>2.0713237980769232</v>
      </c>
      <c r="N53" s="751">
        <f t="shared" si="91"/>
        <v>2.0669856971153848</v>
      </c>
      <c r="O53" s="751">
        <f t="shared" si="91"/>
        <v>2.0626475961538464</v>
      </c>
      <c r="P53" s="751">
        <f t="shared" si="91"/>
        <v>2.0543153846153848</v>
      </c>
      <c r="Q53" s="751">
        <f t="shared" si="91"/>
        <v>2.0494536538461539</v>
      </c>
      <c r="R53" s="751">
        <f t="shared" si="91"/>
        <v>2.0309240384615386</v>
      </c>
      <c r="S53" s="751">
        <f t="shared" si="91"/>
        <v>2.0228150384615384</v>
      </c>
      <c r="T53" s="752">
        <f t="shared" si="91"/>
        <v>2.0112019230769231</v>
      </c>
      <c r="U53" s="753">
        <f t="shared" si="91"/>
        <v>1.9359826923076924</v>
      </c>
      <c r="W53" s="773">
        <f t="shared" si="63"/>
        <v>18</v>
      </c>
      <c r="X53" s="775">
        <f t="shared" ref="X53:AG68" si="92">$AB$28*(1-(1-EXP(-(($W53)/($AB$23))))/(1-EXP(-1)))-$AD$25*X$34</f>
        <v>1.9716260760272754E-2</v>
      </c>
      <c r="Y53" s="776">
        <f t="shared" si="92"/>
        <v>1.9711696871383865E-2</v>
      </c>
      <c r="Z53" s="776">
        <f t="shared" si="92"/>
        <v>1.9703814926939421E-2</v>
      </c>
      <c r="AA53" s="776">
        <f t="shared" si="92"/>
        <v>1.9695932982494977E-2</v>
      </c>
      <c r="AB53" s="776">
        <f t="shared" si="92"/>
        <v>1.9680794093606086E-2</v>
      </c>
      <c r="AC53" s="776">
        <f t="shared" si="92"/>
        <v>1.9671960760272753E-2</v>
      </c>
      <c r="AD53" s="776">
        <f t="shared" si="92"/>
        <v>1.9638294093606085E-2</v>
      </c>
      <c r="AE53" s="776">
        <f t="shared" si="92"/>
        <v>1.9623560760272753E-2</v>
      </c>
      <c r="AF53" s="777">
        <f t="shared" si="92"/>
        <v>1.9602460760272753E-2</v>
      </c>
      <c r="AG53" s="778">
        <f t="shared" si="92"/>
        <v>1.9465794093606086E-2</v>
      </c>
      <c r="AI53" s="773">
        <f t="shared" si="65"/>
        <v>18</v>
      </c>
      <c r="AJ53" s="747">
        <f t="shared" si="53"/>
        <v>2.0935519530679652</v>
      </c>
      <c r="AK53" s="751">
        <f t="shared" si="53"/>
        <v>2.091035494948307</v>
      </c>
      <c r="AL53" s="751">
        <f t="shared" si="53"/>
        <v>2.0866895120423243</v>
      </c>
      <c r="AM53" s="751">
        <f t="shared" si="53"/>
        <v>2.0823435291363412</v>
      </c>
      <c r="AN53" s="751">
        <f t="shared" si="53"/>
        <v>2.0739961787089909</v>
      </c>
      <c r="AO53" s="751">
        <f t="shared" si="53"/>
        <v>2.0691256146064267</v>
      </c>
      <c r="AP53" s="751">
        <f t="shared" si="53"/>
        <v>2.0505623325551445</v>
      </c>
      <c r="AQ53" s="751">
        <f t="shared" si="53"/>
        <v>2.042438599221811</v>
      </c>
      <c r="AR53" s="752">
        <f t="shared" si="53"/>
        <v>2.0308043838371961</v>
      </c>
      <c r="AS53" s="751">
        <f t="shared" si="53"/>
        <v>1.9554484864012984</v>
      </c>
      <c r="AT53" s="674">
        <f t="shared" si="66"/>
        <v>1.75</v>
      </c>
      <c r="AU53" s="712">
        <f t="shared" si="67"/>
        <v>1.8</v>
      </c>
      <c r="AV53" s="712">
        <f t="shared" si="68"/>
        <v>1.81</v>
      </c>
      <c r="AW53" s="712">
        <f t="shared" si="69"/>
        <v>1.83</v>
      </c>
      <c r="AX53" s="712">
        <f t="shared" si="70"/>
        <v>1.84</v>
      </c>
      <c r="AY53" s="712">
        <f t="shared" si="71"/>
        <v>1.86</v>
      </c>
      <c r="AZ53" s="712">
        <f t="shared" si="72"/>
        <v>1.88</v>
      </c>
      <c r="BA53" s="712">
        <f t="shared" si="73"/>
        <v>1.9</v>
      </c>
      <c r="BB53" s="712">
        <f t="shared" si="74"/>
        <v>1.92</v>
      </c>
      <c r="BC53" s="779">
        <f t="shared" si="75"/>
        <v>1000000</v>
      </c>
      <c r="BD53" s="780">
        <f t="shared" si="76"/>
        <v>-1000000</v>
      </c>
      <c r="BF53" s="781">
        <f t="shared" ref="BF53:BO68" si="93">$AB$21-(($AD$24/(1-(BF$34*$BZ53)/($AB$22)))+$AD$25)*BF$34+$AB$28*(1-(1-EXP(-(BF$34*$BZ53)/($AB$23)))/(1-EXP(-1)))</f>
        <v>2.0939884542428344</v>
      </c>
      <c r="BG53" s="767">
        <f t="shared" si="93"/>
        <v>2.0572578161507789</v>
      </c>
      <c r="BH53" s="767">
        <f t="shared" si="93"/>
        <v>2.0135415114547977</v>
      </c>
      <c r="BI53" s="767">
        <f t="shared" si="93"/>
        <v>1.9841763538340966</v>
      </c>
      <c r="BJ53" s="767">
        <f t="shared" si="93"/>
        <v>1.9402388417184762</v>
      </c>
      <c r="BK53" s="767">
        <f t="shared" si="93"/>
        <v>1.908400665273069</v>
      </c>
      <c r="BL53" s="767">
        <f t="shared" si="93"/>
        <v>2.7303271428174121</v>
      </c>
      <c r="BM53" s="767">
        <f t="shared" si="93"/>
        <v>2.1952696823641888</v>
      </c>
      <c r="BN53" s="767">
        <f t="shared" si="93"/>
        <v>2.104805803507559</v>
      </c>
      <c r="BO53" s="782">
        <f t="shared" si="93"/>
        <v>2.0402030878118551</v>
      </c>
      <c r="BP53" s="781">
        <f t="shared" si="55"/>
        <v>2.0939884542428344</v>
      </c>
      <c r="BQ53" s="767">
        <f t="shared" si="55"/>
        <v>2.0572578161507789</v>
      </c>
      <c r="BR53" s="767">
        <f t="shared" si="55"/>
        <v>2.0135415114547977</v>
      </c>
      <c r="BS53" s="767">
        <f t="shared" si="55"/>
        <v>1.9841763538340966</v>
      </c>
      <c r="BT53" s="767">
        <f t="shared" si="55"/>
        <v>1.9402388417184762</v>
      </c>
      <c r="BU53" s="767">
        <f t="shared" si="55"/>
        <v>1.908400665273069</v>
      </c>
      <c r="BV53" s="767">
        <f t="shared" si="55"/>
        <v>-1000000</v>
      </c>
      <c r="BW53" s="767">
        <f t="shared" si="55"/>
        <v>-1000000</v>
      </c>
      <c r="BX53" s="767">
        <f t="shared" si="55"/>
        <v>-1000000</v>
      </c>
      <c r="BY53" s="767">
        <f t="shared" si="55"/>
        <v>-1000000</v>
      </c>
      <c r="BZ53" s="648">
        <f t="shared" si="56"/>
        <v>16</v>
      </c>
      <c r="CA53" s="767">
        <f t="shared" si="90"/>
        <v>2.0939884542428344</v>
      </c>
      <c r="CB53" s="767">
        <f t="shared" si="90"/>
        <v>2.0572578161507789</v>
      </c>
      <c r="CC53" s="767">
        <f t="shared" si="90"/>
        <v>2.0135415114547977</v>
      </c>
      <c r="CD53" s="767">
        <f t="shared" si="90"/>
        <v>1.9841763538340966</v>
      </c>
      <c r="CE53" s="767">
        <f t="shared" si="90"/>
        <v>1.9402388417184762</v>
      </c>
      <c r="CF53" s="767">
        <f t="shared" si="90"/>
        <v>1.908400665273069</v>
      </c>
      <c r="CG53" s="767"/>
      <c r="CH53" s="767"/>
      <c r="CI53" s="767"/>
      <c r="CJ53" s="767"/>
      <c r="CK53" s="781">
        <f t="shared" si="58"/>
        <v>1.75</v>
      </c>
      <c r="CL53" s="783">
        <f t="shared" si="78"/>
        <v>1000000</v>
      </c>
      <c r="CM53" s="552"/>
      <c r="CN53" s="552"/>
      <c r="CO53" s="552"/>
      <c r="CP53" s="552"/>
      <c r="CQ53" s="552"/>
      <c r="CR53" s="552"/>
      <c r="CS53" s="552"/>
      <c r="CT53" s="552"/>
      <c r="CU53" s="552"/>
      <c r="CV53" s="552"/>
      <c r="CW53" s="552"/>
      <c r="CX53" s="552"/>
      <c r="CY53" s="552"/>
      <c r="CZ53" s="642">
        <f t="shared" si="39"/>
        <v>46</v>
      </c>
      <c r="DA53" s="609">
        <f t="shared" si="0"/>
        <v>51.75</v>
      </c>
      <c r="DB53" s="609">
        <f t="shared" si="22"/>
        <v>18.400000000000002</v>
      </c>
      <c r="DC53" s="610">
        <f t="shared" si="85"/>
        <v>133.12577666789625</v>
      </c>
      <c r="DD53" s="611">
        <f t="shared" si="85"/>
        <v>133.94037299897801</v>
      </c>
      <c r="DE53" s="612">
        <f t="shared" si="85"/>
        <v>134.7453274089664</v>
      </c>
      <c r="DF53" s="610">
        <f t="shared" si="86"/>
        <v>19.411764705882348</v>
      </c>
      <c r="DG53" s="611">
        <f t="shared" si="86"/>
        <v>22</v>
      </c>
      <c r="DH53" s="612">
        <f t="shared" si="86"/>
        <v>28.470588235294098</v>
      </c>
      <c r="DI53" s="610">
        <f t="shared" si="3"/>
        <v>152.53754137377859</v>
      </c>
      <c r="DJ53" s="611">
        <f t="shared" si="3"/>
        <v>155.94037299897801</v>
      </c>
      <c r="DK53" s="612">
        <f t="shared" si="3"/>
        <v>163.21591564426049</v>
      </c>
      <c r="DL53" s="613">
        <f t="shared" si="83"/>
        <v>152.53754137377859</v>
      </c>
      <c r="DM53" s="613">
        <f t="shared" si="83"/>
        <v>155.94037299897801</v>
      </c>
      <c r="DN53" s="613">
        <f t="shared" si="83"/>
        <v>163.21591564426049</v>
      </c>
      <c r="DO53" s="609">
        <f t="shared" si="5"/>
        <v>135</v>
      </c>
      <c r="DP53" s="609"/>
      <c r="DQ53" s="609">
        <f t="shared" si="24"/>
        <v>18.400000000000002</v>
      </c>
      <c r="DR53" s="610">
        <f t="shared" si="79"/>
        <v>0.43566325711384601</v>
      </c>
      <c r="DS53" s="611">
        <f t="shared" si="79"/>
        <v>0.27915169715440513</v>
      </c>
      <c r="DT53" s="612">
        <f t="shared" si="79"/>
        <v>8.6824686234917625E-2</v>
      </c>
      <c r="DU53" s="611">
        <f t="shared" si="84"/>
        <v>0.45655984998731225</v>
      </c>
      <c r="DV53" s="611">
        <f t="shared" si="84"/>
        <v>0.29439036633711013</v>
      </c>
      <c r="DW53" s="611">
        <f t="shared" si="84"/>
        <v>9.3023400371094522E-2</v>
      </c>
      <c r="DX53" s="614">
        <f t="shared" si="7"/>
        <v>12.5</v>
      </c>
      <c r="DY53" s="615"/>
      <c r="DZ53" s="609">
        <f t="shared" si="25"/>
        <v>18.400000000000002</v>
      </c>
      <c r="EA53" s="611">
        <f t="shared" si="87"/>
        <v>2.1042086466165415</v>
      </c>
      <c r="EB53" s="611">
        <f t="shared" si="87"/>
        <v>2.2370609756097561</v>
      </c>
      <c r="EC53" s="611">
        <f t="shared" si="87"/>
        <v>1000000</v>
      </c>
      <c r="ED53" s="610">
        <f t="shared" si="88"/>
        <v>0.22002999999999975</v>
      </c>
      <c r="EE53" s="611">
        <f t="shared" si="88"/>
        <v>0.22005999999999976</v>
      </c>
      <c r="EF53" s="612">
        <f t="shared" si="88"/>
        <v>0.22012499999999974</v>
      </c>
      <c r="EG53" s="611">
        <f t="shared" si="10"/>
        <v>2.3242386466165414</v>
      </c>
      <c r="EH53" s="611">
        <f t="shared" si="10"/>
        <v>2.4571209756097558</v>
      </c>
      <c r="EI53" s="611">
        <f t="shared" si="10"/>
        <v>1000000.220125</v>
      </c>
      <c r="EJ53" s="610">
        <f t="shared" si="26"/>
        <v>2.2999999999999998</v>
      </c>
      <c r="EK53" s="643">
        <f t="shared" si="27"/>
        <v>2.25</v>
      </c>
      <c r="EL53" s="644">
        <f t="shared" si="28"/>
        <v>2.83</v>
      </c>
      <c r="EN53" s="620">
        <f t="shared" si="29"/>
        <v>10.030555555555557</v>
      </c>
      <c r="EO53" s="621">
        <f t="shared" si="40"/>
        <v>99.06048573857997</v>
      </c>
      <c r="EP53" s="621">
        <f t="shared" si="40"/>
        <v>108.04161073421744</v>
      </c>
      <c r="EQ53" s="621">
        <f t="shared" si="40"/>
        <v>115.39166462113242</v>
      </c>
      <c r="ER53" s="610">
        <f t="shared" si="80"/>
        <v>61.287265375481503</v>
      </c>
      <c r="ES53" s="611">
        <f t="shared" si="80"/>
        <v>84.682854899399189</v>
      </c>
      <c r="ET53" s="612">
        <f t="shared" si="80"/>
        <v>108.96525333896224</v>
      </c>
      <c r="EU53" s="610">
        <f t="shared" si="30"/>
        <v>100</v>
      </c>
      <c r="EV53" s="611">
        <f t="shared" si="31"/>
        <v>135</v>
      </c>
      <c r="EW53" s="645">
        <f t="shared" si="32"/>
        <v>1000000</v>
      </c>
      <c r="EX53" s="610">
        <f t="shared" si="13"/>
        <v>-37.773220363098467</v>
      </c>
      <c r="EY53" s="621">
        <f t="shared" si="14"/>
        <v>-23.358755834818261</v>
      </c>
      <c r="EZ53" s="612">
        <f t="shared" si="15"/>
        <v>-6.4264112821701822</v>
      </c>
      <c r="FA53" s="646">
        <f t="shared" si="16"/>
        <v>10.030555555555557</v>
      </c>
      <c r="FB53" s="317"/>
      <c r="FC53" s="552"/>
      <c r="FD53" s="648">
        <v>35.5</v>
      </c>
      <c r="FE53" s="649">
        <f t="shared" si="81"/>
        <v>-26.395131262373091</v>
      </c>
      <c r="FF53" s="650">
        <f t="shared" si="81"/>
        <v>13.347142343757582</v>
      </c>
      <c r="FG53" s="651">
        <f t="shared" si="81"/>
        <v>39.147209794507951</v>
      </c>
      <c r="FI53" s="653"/>
      <c r="FJ53" s="652">
        <v>71</v>
      </c>
      <c r="FK53" s="633">
        <f t="shared" si="33"/>
        <v>100</v>
      </c>
      <c r="FL53" s="564">
        <f t="shared" si="34"/>
        <v>135</v>
      </c>
      <c r="FM53" s="634">
        <f t="shared" si="35"/>
        <v>1000000000</v>
      </c>
      <c r="FN53" s="621">
        <f t="shared" si="41"/>
        <v>7.9830057386821665</v>
      </c>
      <c r="FO53" s="621">
        <f t="shared" si="41"/>
        <v>39.690353851594516</v>
      </c>
      <c r="FP53" s="654">
        <f t="shared" si="41"/>
        <v>65.655961011639008</v>
      </c>
      <c r="FQ53" s="610">
        <f t="shared" si="42"/>
        <v>-34.378137001055258</v>
      </c>
      <c r="FR53" s="611">
        <f t="shared" si="42"/>
        <v>-26.343211507836934</v>
      </c>
      <c r="FS53" s="612">
        <f t="shared" si="42"/>
        <v>-26.508751217131056</v>
      </c>
      <c r="FT53" s="633">
        <f t="shared" si="36"/>
        <v>0</v>
      </c>
      <c r="FU53" s="564">
        <f t="shared" si="36"/>
        <v>0</v>
      </c>
      <c r="FV53" s="655">
        <f t="shared" si="36"/>
        <v>1014.6002438750902</v>
      </c>
      <c r="FW53" s="633">
        <f t="shared" si="37"/>
        <v>0</v>
      </c>
      <c r="FX53" s="564">
        <f t="shared" si="37"/>
        <v>0</v>
      </c>
      <c r="FY53" s="655">
        <f t="shared" si="37"/>
        <v>1</v>
      </c>
    </row>
    <row r="54" spans="2:181" s="564" customFormat="1" ht="15" customHeight="1" x14ac:dyDescent="0.2">
      <c r="B54" s="647">
        <f t="shared" si="89"/>
        <v>72</v>
      </c>
      <c r="C54" s="652">
        <f>$D$13</f>
        <v>118</v>
      </c>
      <c r="D54" s="771">
        <f>$B$13</f>
        <v>1.88</v>
      </c>
      <c r="E54" s="772">
        <f t="shared" si="49"/>
        <v>1.6388888888888888</v>
      </c>
      <c r="F54" s="689"/>
      <c r="G54" s="747">
        <f t="shared" si="50"/>
        <v>1.9202270780592448</v>
      </c>
      <c r="H54" s="748">
        <f t="shared" si="60"/>
        <v>1.6182178091845791E-3</v>
      </c>
      <c r="I54" s="689"/>
      <c r="J54" s="773">
        <f t="shared" si="82"/>
        <v>17</v>
      </c>
      <c r="K54" s="774">
        <f t="shared" si="61"/>
        <v>19.125</v>
      </c>
      <c r="L54" s="747">
        <f t="shared" si="91"/>
        <v>2.0737758446601942</v>
      </c>
      <c r="M54" s="751">
        <f t="shared" si="91"/>
        <v>2.0712395631067961</v>
      </c>
      <c r="N54" s="751">
        <f t="shared" si="91"/>
        <v>2.0668593446601942</v>
      </c>
      <c r="O54" s="751">
        <f t="shared" si="91"/>
        <v>2.0624791262135922</v>
      </c>
      <c r="P54" s="751">
        <f t="shared" si="91"/>
        <v>2.0540660194174758</v>
      </c>
      <c r="Q54" s="751">
        <f t="shared" si="91"/>
        <v>2.0491570873786409</v>
      </c>
      <c r="R54" s="751">
        <f t="shared" si="91"/>
        <v>2.0304475728155342</v>
      </c>
      <c r="S54" s="751">
        <f t="shared" si="91"/>
        <v>2.0222598446601943</v>
      </c>
      <c r="T54" s="752">
        <f t="shared" si="91"/>
        <v>2.0105339805825242</v>
      </c>
      <c r="U54" s="753">
        <f t="shared" si="91"/>
        <v>1.9345844660194176</v>
      </c>
      <c r="W54" s="773">
        <f t="shared" si="63"/>
        <v>19.125</v>
      </c>
      <c r="X54" s="775">
        <f t="shared" si="92"/>
        <v>1.3800777956784183E-2</v>
      </c>
      <c r="Y54" s="776">
        <f t="shared" si="92"/>
        <v>1.3796214067895295E-2</v>
      </c>
      <c r="Z54" s="776">
        <f t="shared" si="92"/>
        <v>1.3788332123450849E-2</v>
      </c>
      <c r="AA54" s="776">
        <f t="shared" si="92"/>
        <v>1.3780450179006405E-2</v>
      </c>
      <c r="AB54" s="776">
        <f t="shared" si="92"/>
        <v>1.3765311290117516E-2</v>
      </c>
      <c r="AC54" s="776">
        <f t="shared" si="92"/>
        <v>1.3756477956784183E-2</v>
      </c>
      <c r="AD54" s="776">
        <f t="shared" si="92"/>
        <v>1.3722811290117517E-2</v>
      </c>
      <c r="AE54" s="776">
        <f t="shared" si="92"/>
        <v>1.3708077956784182E-2</v>
      </c>
      <c r="AF54" s="777">
        <f t="shared" si="92"/>
        <v>1.3686977956784183E-2</v>
      </c>
      <c r="AG54" s="778">
        <f t="shared" si="92"/>
        <v>1.3550311290117516E-2</v>
      </c>
      <c r="AI54" s="773">
        <f t="shared" si="65"/>
        <v>19.125</v>
      </c>
      <c r="AJ54" s="747">
        <f t="shared" si="53"/>
        <v>2.0875766226169783</v>
      </c>
      <c r="AK54" s="751">
        <f t="shared" si="53"/>
        <v>2.0850357771746912</v>
      </c>
      <c r="AL54" s="751">
        <f t="shared" si="53"/>
        <v>2.080647676783645</v>
      </c>
      <c r="AM54" s="751">
        <f t="shared" si="53"/>
        <v>2.0762595763925984</v>
      </c>
      <c r="AN54" s="751">
        <f t="shared" si="53"/>
        <v>2.0678313307075933</v>
      </c>
      <c r="AO54" s="751">
        <f t="shared" si="53"/>
        <v>2.0629135653354251</v>
      </c>
      <c r="AP54" s="751">
        <f t="shared" si="53"/>
        <v>2.0441703841056516</v>
      </c>
      <c r="AQ54" s="751">
        <f t="shared" si="53"/>
        <v>2.0359679226169782</v>
      </c>
      <c r="AR54" s="752">
        <f t="shared" si="53"/>
        <v>2.0242209585393085</v>
      </c>
      <c r="AS54" s="751">
        <f t="shared" si="53"/>
        <v>1.948134777309535</v>
      </c>
      <c r="AT54" s="674">
        <f t="shared" si="66"/>
        <v>1.75</v>
      </c>
      <c r="AU54" s="712">
        <f t="shared" si="67"/>
        <v>1.8</v>
      </c>
      <c r="AV54" s="712">
        <f t="shared" si="68"/>
        <v>1.81</v>
      </c>
      <c r="AW54" s="712">
        <f t="shared" si="69"/>
        <v>1.83</v>
      </c>
      <c r="AX54" s="712">
        <f t="shared" si="70"/>
        <v>1.84</v>
      </c>
      <c r="AY54" s="712">
        <f t="shared" si="71"/>
        <v>1.86</v>
      </c>
      <c r="AZ54" s="712">
        <f t="shared" si="72"/>
        <v>1.88</v>
      </c>
      <c r="BA54" s="712">
        <f t="shared" si="73"/>
        <v>1.9</v>
      </c>
      <c r="BB54" s="712">
        <f t="shared" si="74"/>
        <v>1.92</v>
      </c>
      <c r="BC54" s="779">
        <f t="shared" si="75"/>
        <v>1000000</v>
      </c>
      <c r="BD54" s="780">
        <f t="shared" si="76"/>
        <v>-1000000</v>
      </c>
      <c r="BF54" s="781">
        <f t="shared" si="93"/>
        <v>2.0880176449547916</v>
      </c>
      <c r="BG54" s="767">
        <f t="shared" si="93"/>
        <v>2.051214016594344</v>
      </c>
      <c r="BH54" s="767">
        <f t="shared" si="93"/>
        <v>2.0082416150892488</v>
      </c>
      <c r="BI54" s="767">
        <f t="shared" si="93"/>
        <v>1.9796209262634674</v>
      </c>
      <c r="BJ54" s="767">
        <f t="shared" si="93"/>
        <v>1.9343373938753714</v>
      </c>
      <c r="BK54" s="767">
        <f t="shared" si="93"/>
        <v>1.8967798649276104</v>
      </c>
      <c r="BL54" s="767">
        <f t="shared" si="93"/>
        <v>2.3274929777702931</v>
      </c>
      <c r="BM54" s="767">
        <f t="shared" si="93"/>
        <v>2.1417645337349045</v>
      </c>
      <c r="BN54" s="767">
        <f t="shared" si="93"/>
        <v>2.08481903261637</v>
      </c>
      <c r="BO54" s="782">
        <f t="shared" si="93"/>
        <v>2.0351864517600768</v>
      </c>
      <c r="BP54" s="781">
        <f t="shared" si="55"/>
        <v>2.0880176449547916</v>
      </c>
      <c r="BQ54" s="767">
        <f t="shared" si="55"/>
        <v>2.051214016594344</v>
      </c>
      <c r="BR54" s="767">
        <f t="shared" si="55"/>
        <v>2.0082416150892488</v>
      </c>
      <c r="BS54" s="767">
        <f t="shared" si="55"/>
        <v>1.9796209262634674</v>
      </c>
      <c r="BT54" s="767">
        <f t="shared" si="55"/>
        <v>1.9343373938753714</v>
      </c>
      <c r="BU54" s="767">
        <f t="shared" si="55"/>
        <v>1.8967798649276104</v>
      </c>
      <c r="BV54" s="767">
        <f t="shared" si="55"/>
        <v>-1000000</v>
      </c>
      <c r="BW54" s="767">
        <f t="shared" si="55"/>
        <v>-1000000</v>
      </c>
      <c r="BX54" s="767">
        <f t="shared" si="55"/>
        <v>-1000000</v>
      </c>
      <c r="BY54" s="767">
        <f t="shared" si="55"/>
        <v>-1000000</v>
      </c>
      <c r="BZ54" s="648">
        <f t="shared" si="56"/>
        <v>17</v>
      </c>
      <c r="CA54" s="767">
        <f t="shared" si="90"/>
        <v>2.0880176449547916</v>
      </c>
      <c r="CB54" s="767">
        <f t="shared" si="90"/>
        <v>2.051214016594344</v>
      </c>
      <c r="CC54" s="767">
        <f t="shared" si="90"/>
        <v>2.0082416150892488</v>
      </c>
      <c r="CD54" s="767">
        <f t="shared" si="90"/>
        <v>1.9796209262634674</v>
      </c>
      <c r="CE54" s="767">
        <f t="shared" si="90"/>
        <v>1.9343373938753714</v>
      </c>
      <c r="CF54" s="767">
        <f t="shared" si="90"/>
        <v>1.8967798649276104</v>
      </c>
      <c r="CG54" s="767"/>
      <c r="CH54" s="767"/>
      <c r="CI54" s="767"/>
      <c r="CJ54" s="767"/>
      <c r="CK54" s="781">
        <f t="shared" si="58"/>
        <v>1.75</v>
      </c>
      <c r="CL54" s="783">
        <f t="shared" si="78"/>
        <v>1000000</v>
      </c>
      <c r="CM54" s="552"/>
      <c r="CN54" s="552"/>
      <c r="CO54" s="552"/>
      <c r="CP54" s="552"/>
      <c r="CQ54" s="552"/>
      <c r="CR54" s="552"/>
      <c r="CS54" s="552"/>
      <c r="CT54" s="552"/>
      <c r="CU54" s="552"/>
      <c r="CV54" s="552"/>
      <c r="CW54" s="552"/>
      <c r="CX54" s="552"/>
      <c r="CY54" s="552"/>
      <c r="CZ54" s="642">
        <f t="shared" si="39"/>
        <v>47</v>
      </c>
      <c r="DA54" s="609">
        <f t="shared" si="0"/>
        <v>52.875</v>
      </c>
      <c r="DB54" s="609">
        <f t="shared" si="22"/>
        <v>18.8</v>
      </c>
      <c r="DC54" s="610">
        <f t="shared" si="85"/>
        <v>133.29218574161899</v>
      </c>
      <c r="DD54" s="611">
        <f t="shared" si="85"/>
        <v>134.04635174741139</v>
      </c>
      <c r="DE54" s="612">
        <f t="shared" si="85"/>
        <v>134.77779328813887</v>
      </c>
      <c r="DF54" s="610">
        <f t="shared" si="86"/>
        <v>19.411764705882348</v>
      </c>
      <c r="DG54" s="611">
        <f t="shared" si="86"/>
        <v>22</v>
      </c>
      <c r="DH54" s="612">
        <f t="shared" si="86"/>
        <v>28.470588235294098</v>
      </c>
      <c r="DI54" s="610">
        <f t="shared" si="3"/>
        <v>152.70395044750134</v>
      </c>
      <c r="DJ54" s="611">
        <f t="shared" si="3"/>
        <v>156.04635174741139</v>
      </c>
      <c r="DK54" s="612">
        <f t="shared" si="3"/>
        <v>163.24838152343295</v>
      </c>
      <c r="DL54" s="613">
        <f t="shared" si="83"/>
        <v>152.70395044750134</v>
      </c>
      <c r="DM54" s="613">
        <f t="shared" si="83"/>
        <v>156.04635174741139</v>
      </c>
      <c r="DN54" s="613">
        <f t="shared" si="83"/>
        <v>163.24838152343295</v>
      </c>
      <c r="DO54" s="609">
        <f t="shared" si="5"/>
        <v>135</v>
      </c>
      <c r="DP54" s="609"/>
      <c r="DQ54" s="609">
        <f t="shared" si="24"/>
        <v>18.8</v>
      </c>
      <c r="DR54" s="610">
        <f t="shared" si="79"/>
        <v>0.39698146405880819</v>
      </c>
      <c r="DS54" s="611">
        <f t="shared" si="79"/>
        <v>0.25123229961268057</v>
      </c>
      <c r="DT54" s="612">
        <f t="shared" si="79"/>
        <v>7.5756201161394934E-2</v>
      </c>
      <c r="DU54" s="611">
        <f t="shared" si="84"/>
        <v>0.41602268430686856</v>
      </c>
      <c r="DV54" s="611">
        <f t="shared" si="84"/>
        <v>0.26494687108346776</v>
      </c>
      <c r="DW54" s="611">
        <f t="shared" si="84"/>
        <v>8.1164697931157839E-2</v>
      </c>
      <c r="DX54" s="614">
        <f t="shared" si="7"/>
        <v>12.5</v>
      </c>
      <c r="DY54" s="615"/>
      <c r="DZ54" s="609">
        <f t="shared" si="25"/>
        <v>18.8</v>
      </c>
      <c r="EA54" s="611">
        <f t="shared" si="87"/>
        <v>2.1045782442748093</v>
      </c>
      <c r="EB54" s="611">
        <f t="shared" si="87"/>
        <v>2.2540405405405406</v>
      </c>
      <c r="EC54" s="611">
        <f t="shared" si="87"/>
        <v>1000000</v>
      </c>
      <c r="ED54" s="610">
        <f t="shared" si="88"/>
        <v>0.22002999999999975</v>
      </c>
      <c r="EE54" s="611">
        <f t="shared" si="88"/>
        <v>0.22005999999999976</v>
      </c>
      <c r="EF54" s="612">
        <f t="shared" si="88"/>
        <v>0.22012499999999974</v>
      </c>
      <c r="EG54" s="611">
        <f t="shared" si="10"/>
        <v>2.3246082442748093</v>
      </c>
      <c r="EH54" s="611">
        <f t="shared" si="10"/>
        <v>2.4741005405405403</v>
      </c>
      <c r="EI54" s="611">
        <f t="shared" si="10"/>
        <v>1000000.220125</v>
      </c>
      <c r="EJ54" s="610">
        <f t="shared" si="26"/>
        <v>2.2999999999999998</v>
      </c>
      <c r="EK54" s="643">
        <f t="shared" si="27"/>
        <v>2.25</v>
      </c>
      <c r="EL54" s="644">
        <f t="shared" si="28"/>
        <v>2.83</v>
      </c>
      <c r="EN54" s="620">
        <f t="shared" si="29"/>
        <v>10.248611111111112</v>
      </c>
      <c r="EO54" s="621">
        <f t="shared" si="40"/>
        <v>98.279636540275433</v>
      </c>
      <c r="EP54" s="621">
        <f t="shared" si="40"/>
        <v>107.45580894593679</v>
      </c>
      <c r="EQ54" s="621">
        <f t="shared" si="40"/>
        <v>114.96552880315492</v>
      </c>
      <c r="ER54" s="610">
        <f t="shared" si="80"/>
        <v>60.49307927072951</v>
      </c>
      <c r="ES54" s="611">
        <f t="shared" si="80"/>
        <v>83.823866331664618</v>
      </c>
      <c r="ET54" s="612">
        <f t="shared" si="80"/>
        <v>108.13977741841694</v>
      </c>
      <c r="EU54" s="610">
        <f t="shared" si="30"/>
        <v>100</v>
      </c>
      <c r="EV54" s="611">
        <f t="shared" si="31"/>
        <v>135</v>
      </c>
      <c r="EW54" s="645">
        <f t="shared" si="32"/>
        <v>1000000</v>
      </c>
      <c r="EX54" s="610">
        <f t="shared" si="13"/>
        <v>-37.786557269545924</v>
      </c>
      <c r="EY54" s="621">
        <f t="shared" si="14"/>
        <v>-23.631942614272177</v>
      </c>
      <c r="EZ54" s="612">
        <f t="shared" si="15"/>
        <v>-6.825751384737984</v>
      </c>
      <c r="FA54" s="646">
        <f t="shared" si="16"/>
        <v>10.248611111111112</v>
      </c>
      <c r="FB54" s="317"/>
      <c r="FC54" s="552"/>
      <c r="FD54" s="648">
        <v>38</v>
      </c>
      <c r="FE54" s="649">
        <f t="shared" si="81"/>
        <v>-35.95528439688092</v>
      </c>
      <c r="FF54" s="650">
        <f t="shared" si="81"/>
        <v>6.1020440895521304</v>
      </c>
      <c r="FG54" s="651">
        <f t="shared" si="81"/>
        <v>33.723819815533744</v>
      </c>
      <c r="FH54" s="652">
        <v>38</v>
      </c>
      <c r="FK54" s="633">
        <f t="shared" si="33"/>
        <v>100</v>
      </c>
      <c r="FL54" s="564">
        <f t="shared" si="34"/>
        <v>135</v>
      </c>
      <c r="FM54" s="634">
        <f t="shared" si="35"/>
        <v>1000000000</v>
      </c>
      <c r="FN54" s="621">
        <f t="shared" si="41"/>
        <v>-0.94300920279399747</v>
      </c>
      <c r="FO54" s="621">
        <f t="shared" si="41"/>
        <v>32.989017389133863</v>
      </c>
      <c r="FP54" s="654">
        <f t="shared" si="41"/>
        <v>60.778194805981016</v>
      </c>
      <c r="FQ54" s="610">
        <f t="shared" si="42"/>
        <v>-35.012275194086925</v>
      </c>
      <c r="FR54" s="611">
        <f t="shared" si="42"/>
        <v>-26.886973299581733</v>
      </c>
      <c r="FS54" s="612">
        <f t="shared" si="42"/>
        <v>-27.054374990447272</v>
      </c>
      <c r="FT54" s="633">
        <f t="shared" si="36"/>
        <v>5469.3840902235397</v>
      </c>
      <c r="FU54" s="564">
        <f t="shared" si="36"/>
        <v>0</v>
      </c>
      <c r="FV54" s="655">
        <f t="shared" si="36"/>
        <v>0</v>
      </c>
      <c r="FW54" s="633">
        <f t="shared" si="37"/>
        <v>1</v>
      </c>
      <c r="FX54" s="564">
        <f t="shared" si="37"/>
        <v>0</v>
      </c>
      <c r="FY54" s="655">
        <f t="shared" si="37"/>
        <v>0</v>
      </c>
    </row>
    <row r="55" spans="2:181" s="564" customFormat="1" ht="15" customHeight="1" x14ac:dyDescent="0.2">
      <c r="B55" s="785">
        <f t="shared" si="89"/>
        <v>72</v>
      </c>
      <c r="C55" s="786">
        <f>$D$14</f>
        <v>113.5</v>
      </c>
      <c r="D55" s="787">
        <f>$B$14</f>
        <v>1.9</v>
      </c>
      <c r="E55" s="788">
        <f t="shared" si="49"/>
        <v>1.5763888888888888</v>
      </c>
      <c r="F55" s="791"/>
      <c r="G55" s="747">
        <f t="shared" si="50"/>
        <v>1.9353790700990385</v>
      </c>
      <c r="H55" s="789">
        <f t="shared" si="60"/>
        <v>1.2516786010726888E-3</v>
      </c>
      <c r="I55" s="689"/>
      <c r="J55" s="773">
        <f t="shared" si="82"/>
        <v>18</v>
      </c>
      <c r="K55" s="774">
        <f t="shared" si="61"/>
        <v>20.25</v>
      </c>
      <c r="L55" s="747">
        <f t="shared" si="91"/>
        <v>2.0737148235294121</v>
      </c>
      <c r="M55" s="751">
        <f t="shared" si="91"/>
        <v>2.0711536764705882</v>
      </c>
      <c r="N55" s="751">
        <f t="shared" si="91"/>
        <v>2.0667305147058825</v>
      </c>
      <c r="O55" s="751">
        <f t="shared" si="91"/>
        <v>2.0623073529411764</v>
      </c>
      <c r="P55" s="751">
        <f t="shared" si="91"/>
        <v>2.0538117647058822</v>
      </c>
      <c r="Q55" s="751">
        <f t="shared" si="91"/>
        <v>2.048854705882353</v>
      </c>
      <c r="R55" s="751">
        <f t="shared" si="91"/>
        <v>2.0299617647058823</v>
      </c>
      <c r="S55" s="751">
        <f t="shared" si="91"/>
        <v>2.0216937647058826</v>
      </c>
      <c r="T55" s="752">
        <f t="shared" si="91"/>
        <v>2.0098529411764705</v>
      </c>
      <c r="U55" s="753">
        <f t="shared" si="91"/>
        <v>1.9331588235294119</v>
      </c>
      <c r="W55" s="773">
        <f t="shared" si="63"/>
        <v>20.25</v>
      </c>
      <c r="X55" s="775">
        <f t="shared" si="92"/>
        <v>8.1801873191654183E-3</v>
      </c>
      <c r="Y55" s="776">
        <f t="shared" si="92"/>
        <v>8.1756234302765296E-3</v>
      </c>
      <c r="Z55" s="776">
        <f t="shared" si="92"/>
        <v>8.1677414858320838E-3</v>
      </c>
      <c r="AA55" s="776">
        <f t="shared" si="92"/>
        <v>8.1598595413876398E-3</v>
      </c>
      <c r="AB55" s="776">
        <f t="shared" si="92"/>
        <v>8.1447206524987506E-3</v>
      </c>
      <c r="AC55" s="776">
        <f t="shared" si="92"/>
        <v>8.1358873191654177E-3</v>
      </c>
      <c r="AD55" s="776">
        <f t="shared" si="92"/>
        <v>8.1022206524987515E-3</v>
      </c>
      <c r="AE55" s="776">
        <f t="shared" si="92"/>
        <v>8.0874873191654172E-3</v>
      </c>
      <c r="AF55" s="777">
        <f t="shared" si="92"/>
        <v>8.0663873191654176E-3</v>
      </c>
      <c r="AG55" s="778">
        <f t="shared" si="92"/>
        <v>7.9297206524987507E-3</v>
      </c>
      <c r="AI55" s="773">
        <f t="shared" si="65"/>
        <v>20.25</v>
      </c>
      <c r="AJ55" s="747">
        <f t="shared" si="53"/>
        <v>2.0818950108485774</v>
      </c>
      <c r="AK55" s="751">
        <f t="shared" si="53"/>
        <v>2.0793292999008646</v>
      </c>
      <c r="AL55" s="751">
        <f t="shared" si="53"/>
        <v>2.0748982561917146</v>
      </c>
      <c r="AM55" s="751">
        <f t="shared" si="53"/>
        <v>2.0704672124825638</v>
      </c>
      <c r="AN55" s="751">
        <f t="shared" si="53"/>
        <v>2.0619564853583809</v>
      </c>
      <c r="AO55" s="751">
        <f t="shared" si="53"/>
        <v>2.0569905932015184</v>
      </c>
      <c r="AP55" s="751">
        <f t="shared" si="53"/>
        <v>2.0380639853583808</v>
      </c>
      <c r="AQ55" s="751">
        <f t="shared" si="53"/>
        <v>2.0297812520250478</v>
      </c>
      <c r="AR55" s="752">
        <f t="shared" si="53"/>
        <v>2.017919328495636</v>
      </c>
      <c r="AS55" s="751">
        <f t="shared" si="53"/>
        <v>1.9410885441819108</v>
      </c>
      <c r="AT55" s="674">
        <f t="shared" si="66"/>
        <v>1.75</v>
      </c>
      <c r="AU55" s="712">
        <f t="shared" si="67"/>
        <v>1.8</v>
      </c>
      <c r="AV55" s="712">
        <f t="shared" si="68"/>
        <v>1.81</v>
      </c>
      <c r="AW55" s="712">
        <f t="shared" si="69"/>
        <v>1.83</v>
      </c>
      <c r="AX55" s="712">
        <f t="shared" si="70"/>
        <v>1.84</v>
      </c>
      <c r="AY55" s="712">
        <f t="shared" si="71"/>
        <v>1.86</v>
      </c>
      <c r="AZ55" s="712">
        <f t="shared" si="72"/>
        <v>1.88</v>
      </c>
      <c r="BA55" s="712">
        <f t="shared" si="73"/>
        <v>1.9</v>
      </c>
      <c r="BB55" s="712">
        <f t="shared" si="74"/>
        <v>1.92</v>
      </c>
      <c r="BC55" s="779">
        <f t="shared" si="75"/>
        <v>1000000</v>
      </c>
      <c r="BD55" s="780">
        <f t="shared" si="76"/>
        <v>-1000000</v>
      </c>
      <c r="BF55" s="781">
        <f t="shared" si="93"/>
        <v>2.082339082743621</v>
      </c>
      <c r="BG55" s="767">
        <f t="shared" si="93"/>
        <v>2.0455748293851954</v>
      </c>
      <c r="BH55" s="767">
        <f t="shared" si="93"/>
        <v>2.0034219839274789</v>
      </c>
      <c r="BI55" s="767">
        <f t="shared" si="93"/>
        <v>1.9754746103563525</v>
      </c>
      <c r="BJ55" s="767">
        <f t="shared" si="93"/>
        <v>1.9280016715872588</v>
      </c>
      <c r="BK55" s="767">
        <f t="shared" si="93"/>
        <v>1.8820551613530001</v>
      </c>
      <c r="BL55" s="767">
        <f t="shared" si="93"/>
        <v>2.2063293563952175</v>
      </c>
      <c r="BM55" s="767">
        <f t="shared" si="93"/>
        <v>2.1096314255885762</v>
      </c>
      <c r="BN55" s="767">
        <f t="shared" si="93"/>
        <v>2.0703861873245133</v>
      </c>
      <c r="BO55" s="782">
        <f t="shared" si="93"/>
        <v>2.0309511772295759</v>
      </c>
      <c r="BP55" s="781">
        <f t="shared" si="55"/>
        <v>2.082339082743621</v>
      </c>
      <c r="BQ55" s="767">
        <f t="shared" si="55"/>
        <v>2.0455748293851954</v>
      </c>
      <c r="BR55" s="767">
        <f t="shared" si="55"/>
        <v>2.0034219839274789</v>
      </c>
      <c r="BS55" s="767">
        <f t="shared" si="55"/>
        <v>1.9754746103563525</v>
      </c>
      <c r="BT55" s="767">
        <f t="shared" si="55"/>
        <v>1.9280016715872588</v>
      </c>
      <c r="BU55" s="767">
        <f t="shared" si="55"/>
        <v>1.8820551613530001</v>
      </c>
      <c r="BV55" s="767">
        <f t="shared" si="55"/>
        <v>-1000000</v>
      </c>
      <c r="BW55" s="767">
        <f t="shared" si="55"/>
        <v>-1000000</v>
      </c>
      <c r="BX55" s="767">
        <f t="shared" si="55"/>
        <v>-1000000</v>
      </c>
      <c r="BY55" s="767">
        <f t="shared" si="55"/>
        <v>-1000000</v>
      </c>
      <c r="BZ55" s="648">
        <f t="shared" si="56"/>
        <v>18</v>
      </c>
      <c r="CA55" s="767">
        <f t="shared" si="90"/>
        <v>2.082339082743621</v>
      </c>
      <c r="CB55" s="767">
        <f t="shared" si="90"/>
        <v>2.0455748293851954</v>
      </c>
      <c r="CC55" s="767">
        <f t="shared" si="90"/>
        <v>2.0034219839274789</v>
      </c>
      <c r="CD55" s="767">
        <f t="shared" si="90"/>
        <v>1.9754746103563525</v>
      </c>
      <c r="CE55" s="767">
        <f t="shared" si="90"/>
        <v>1.9280016715872588</v>
      </c>
      <c r="CF55" s="767">
        <f t="shared" si="90"/>
        <v>1.8820551613530001</v>
      </c>
      <c r="CG55" s="767"/>
      <c r="CH55" s="767"/>
      <c r="CI55" s="767"/>
      <c r="CJ55" s="767"/>
      <c r="CK55" s="781">
        <f t="shared" si="58"/>
        <v>1.75</v>
      </c>
      <c r="CL55" s="783">
        <f t="shared" si="78"/>
        <v>1000000</v>
      </c>
      <c r="CM55" s="552"/>
      <c r="CN55" s="552"/>
      <c r="CO55" s="552"/>
      <c r="CP55" s="552"/>
      <c r="CQ55" s="552"/>
      <c r="CR55" s="552"/>
      <c r="CS55" s="552"/>
      <c r="CT55" s="552"/>
      <c r="CU55" s="552"/>
      <c r="CV55" s="552"/>
      <c r="CW55" s="552"/>
      <c r="CX55" s="552"/>
      <c r="CY55" s="552"/>
      <c r="CZ55" s="642">
        <f t="shared" si="39"/>
        <v>48</v>
      </c>
      <c r="DA55" s="609">
        <f t="shared" si="0"/>
        <v>54</v>
      </c>
      <c r="DB55" s="609">
        <f t="shared" si="22"/>
        <v>19.200000000000003</v>
      </c>
      <c r="DC55" s="610">
        <f t="shared" si="85"/>
        <v>133.44381963922328</v>
      </c>
      <c r="DD55" s="611">
        <f t="shared" si="85"/>
        <v>134.14173101592527</v>
      </c>
      <c r="DE55" s="612">
        <f t="shared" si="85"/>
        <v>134.806120389337</v>
      </c>
      <c r="DF55" s="610">
        <f t="shared" si="86"/>
        <v>19.411764705882348</v>
      </c>
      <c r="DG55" s="611">
        <f t="shared" si="86"/>
        <v>22</v>
      </c>
      <c r="DH55" s="612">
        <f t="shared" si="86"/>
        <v>28.470588235294098</v>
      </c>
      <c r="DI55" s="610">
        <f t="shared" si="3"/>
        <v>152.85558434510563</v>
      </c>
      <c r="DJ55" s="611">
        <f t="shared" si="3"/>
        <v>156.14173101592527</v>
      </c>
      <c r="DK55" s="612">
        <f t="shared" si="3"/>
        <v>163.27670862463108</v>
      </c>
      <c r="DL55" s="613">
        <f t="shared" ref="DL55:DN70" si="94">IF((DL54+$CS$33*($DB55-$DB54))&lt;DI55,(DL54+$CS$33*($DB55-$DB54)),DI55)</f>
        <v>152.85558434510563</v>
      </c>
      <c r="DM55" s="613">
        <f t="shared" si="94"/>
        <v>156.14173101592527</v>
      </c>
      <c r="DN55" s="613">
        <f t="shared" si="94"/>
        <v>163.27670862463108</v>
      </c>
      <c r="DO55" s="609">
        <f t="shared" si="5"/>
        <v>135</v>
      </c>
      <c r="DP55" s="609"/>
      <c r="DQ55" s="609">
        <f t="shared" si="24"/>
        <v>19.200000000000003</v>
      </c>
      <c r="DR55" s="610">
        <f t="shared" si="79"/>
        <v>0.36173416103596884</v>
      </c>
      <c r="DS55" s="611">
        <f t="shared" si="79"/>
        <v>0.22610526467178807</v>
      </c>
      <c r="DT55" s="612">
        <f t="shared" si="79"/>
        <v>6.6098736007844217E-2</v>
      </c>
      <c r="DU55" s="611">
        <f t="shared" si="84"/>
        <v>0.37908474401070946</v>
      </c>
      <c r="DV55" s="611">
        <f t="shared" si="84"/>
        <v>0.23844817128470069</v>
      </c>
      <c r="DW55" s="611">
        <f t="shared" si="84"/>
        <v>7.0817752995324293E-2</v>
      </c>
      <c r="DX55" s="614">
        <f t="shared" si="7"/>
        <v>12.5</v>
      </c>
      <c r="DY55" s="615"/>
      <c r="DZ55" s="609">
        <f t="shared" si="25"/>
        <v>19.200000000000003</v>
      </c>
      <c r="EA55" s="611">
        <f t="shared" si="87"/>
        <v>2.1049593023255815</v>
      </c>
      <c r="EB55" s="611">
        <f t="shared" si="87"/>
        <v>2.275136363636364</v>
      </c>
      <c r="EC55" s="611">
        <f t="shared" si="87"/>
        <v>1000000</v>
      </c>
      <c r="ED55" s="610">
        <f t="shared" si="88"/>
        <v>0.22002999999999975</v>
      </c>
      <c r="EE55" s="611">
        <f t="shared" si="88"/>
        <v>0.22005999999999976</v>
      </c>
      <c r="EF55" s="612">
        <f t="shared" si="88"/>
        <v>0.22012499999999974</v>
      </c>
      <c r="EG55" s="611">
        <f t="shared" si="10"/>
        <v>2.3249893023255814</v>
      </c>
      <c r="EH55" s="611">
        <f t="shared" si="10"/>
        <v>2.4951963636363637</v>
      </c>
      <c r="EI55" s="611">
        <f t="shared" si="10"/>
        <v>1000000.220125</v>
      </c>
      <c r="EJ55" s="610">
        <f t="shared" si="26"/>
        <v>2.2999999999999998</v>
      </c>
      <c r="EK55" s="643">
        <f t="shared" si="27"/>
        <v>2.25</v>
      </c>
      <c r="EL55" s="644">
        <f t="shared" si="28"/>
        <v>2.83</v>
      </c>
      <c r="EN55" s="620">
        <f t="shared" si="29"/>
        <v>10.466666666666669</v>
      </c>
      <c r="EO55" s="621">
        <f t="shared" si="40"/>
        <v>97.498806249699285</v>
      </c>
      <c r="EP55" s="621">
        <f t="shared" si="40"/>
        <v>106.87001779779375</v>
      </c>
      <c r="EQ55" s="621">
        <f t="shared" si="40"/>
        <v>114.53939861498473</v>
      </c>
      <c r="ER55" s="610">
        <f t="shared" si="80"/>
        <v>59.70063500506577</v>
      </c>
      <c r="ES55" s="611">
        <f t="shared" si="80"/>
        <v>82.977359743458038</v>
      </c>
      <c r="ET55" s="612">
        <f t="shared" si="80"/>
        <v>107.32121298437082</v>
      </c>
      <c r="EU55" s="610">
        <f t="shared" si="30"/>
        <v>100</v>
      </c>
      <c r="EV55" s="611">
        <f t="shared" si="31"/>
        <v>135</v>
      </c>
      <c r="EW55" s="645">
        <f t="shared" si="32"/>
        <v>1000000</v>
      </c>
      <c r="EX55" s="610">
        <f t="shared" si="13"/>
        <v>-37.798171244633515</v>
      </c>
      <c r="EY55" s="621">
        <f t="shared" si="14"/>
        <v>-23.892658054335719</v>
      </c>
      <c r="EZ55" s="612">
        <f t="shared" si="15"/>
        <v>-7.2181856306139096</v>
      </c>
      <c r="FA55" s="646">
        <f t="shared" si="16"/>
        <v>10.466666666666669</v>
      </c>
      <c r="FB55" s="317"/>
      <c r="FC55" s="552"/>
      <c r="FD55" s="648">
        <v>47</v>
      </c>
      <c r="FE55" s="649">
        <f t="shared" si="81"/>
        <v>-69.538497691383526</v>
      </c>
      <c r="FF55" s="650">
        <f t="shared" si="81"/>
        <v>-19.271758582261228</v>
      </c>
      <c r="FG55" s="651">
        <f t="shared" si="81"/>
        <v>14.905127155548797</v>
      </c>
      <c r="FI55" s="652">
        <v>47</v>
      </c>
      <c r="FJ55" s="653"/>
      <c r="FK55" s="633">
        <f t="shared" si="33"/>
        <v>100</v>
      </c>
      <c r="FL55" s="564">
        <f t="shared" si="34"/>
        <v>135</v>
      </c>
      <c r="FM55" s="634">
        <f t="shared" si="35"/>
        <v>1000000000</v>
      </c>
      <c r="FN55" s="621">
        <f t="shared" si="41"/>
        <v>-33.056186623815449</v>
      </c>
      <c r="FO55" s="621">
        <f t="shared" si="41"/>
        <v>8.8757433359670674</v>
      </c>
      <c r="FP55" s="654">
        <f t="shared" si="41"/>
        <v>43.22434714194938</v>
      </c>
      <c r="FQ55" s="610">
        <f t="shared" si="42"/>
        <v>-36.482311067568077</v>
      </c>
      <c r="FR55" s="611">
        <f t="shared" si="42"/>
        <v>-28.147501918228294</v>
      </c>
      <c r="FS55" s="612">
        <f t="shared" si="42"/>
        <v>-28.319219986400583</v>
      </c>
      <c r="FT55" s="633">
        <f t="shared" si="36"/>
        <v>0</v>
      </c>
      <c r="FU55" s="564">
        <f t="shared" si="36"/>
        <v>4391.9459855855148</v>
      </c>
      <c r="FV55" s="655">
        <f t="shared" si="36"/>
        <v>0</v>
      </c>
      <c r="FW55" s="633">
        <f t="shared" si="37"/>
        <v>0</v>
      </c>
      <c r="FX55" s="564">
        <f t="shared" si="37"/>
        <v>1</v>
      </c>
      <c r="FY55" s="655">
        <f t="shared" si="37"/>
        <v>0</v>
      </c>
    </row>
    <row r="56" spans="2:181" s="564" customFormat="1" ht="15" customHeight="1" x14ac:dyDescent="0.2">
      <c r="B56" s="647">
        <f t="shared" si="89"/>
        <v>72</v>
      </c>
      <c r="C56" s="652">
        <f>$D$15</f>
        <v>107.5</v>
      </c>
      <c r="D56" s="771">
        <f>$B$15</f>
        <v>1.92</v>
      </c>
      <c r="E56" s="772">
        <f t="shared" si="49"/>
        <v>1.4930555555555556</v>
      </c>
      <c r="F56" s="689"/>
      <c r="G56" s="747">
        <f t="shared" si="50"/>
        <v>1.9481172479946891</v>
      </c>
      <c r="H56" s="748">
        <f t="shared" si="60"/>
        <v>7.9057963479485256E-4</v>
      </c>
      <c r="I56" s="689"/>
      <c r="J56" s="773">
        <f t="shared" si="82"/>
        <v>19</v>
      </c>
      <c r="K56" s="774">
        <f t="shared" si="61"/>
        <v>21.375</v>
      </c>
      <c r="L56" s="747">
        <f t="shared" si="91"/>
        <v>2.0736525940594062</v>
      </c>
      <c r="M56" s="751">
        <f t="shared" si="91"/>
        <v>2.071066089108911</v>
      </c>
      <c r="N56" s="751">
        <f t="shared" si="91"/>
        <v>2.0665991336633662</v>
      </c>
      <c r="O56" s="751">
        <f t="shared" si="91"/>
        <v>2.0621321782178219</v>
      </c>
      <c r="P56" s="751">
        <f t="shared" si="91"/>
        <v>2.0535524752475247</v>
      </c>
      <c r="Q56" s="751">
        <f t="shared" si="91"/>
        <v>2.0485463366336636</v>
      </c>
      <c r="R56" s="751">
        <f t="shared" si="91"/>
        <v>2.0294663366336634</v>
      </c>
      <c r="S56" s="751">
        <f t="shared" si="91"/>
        <v>2.021116475247525</v>
      </c>
      <c r="T56" s="752">
        <f t="shared" si="91"/>
        <v>2.0091584158415841</v>
      </c>
      <c r="U56" s="753">
        <f t="shared" si="91"/>
        <v>1.9317049504950496</v>
      </c>
      <c r="W56" s="773">
        <f t="shared" si="63"/>
        <v>21.375</v>
      </c>
      <c r="X56" s="775">
        <f t="shared" si="92"/>
        <v>2.8397882063394431E-3</v>
      </c>
      <c r="Y56" s="776">
        <f t="shared" si="92"/>
        <v>2.835224317450554E-3</v>
      </c>
      <c r="Z56" s="776">
        <f t="shared" si="92"/>
        <v>2.8273423730061096E-3</v>
      </c>
      <c r="AA56" s="776">
        <f t="shared" si="92"/>
        <v>2.8194604285616651E-3</v>
      </c>
      <c r="AB56" s="776">
        <f t="shared" si="92"/>
        <v>2.8043215396727763E-3</v>
      </c>
      <c r="AC56" s="776">
        <f t="shared" si="92"/>
        <v>2.795488206339443E-3</v>
      </c>
      <c r="AD56" s="776">
        <f t="shared" si="92"/>
        <v>2.7618215396727763E-3</v>
      </c>
      <c r="AE56" s="776">
        <f t="shared" si="92"/>
        <v>2.7470882063394429E-3</v>
      </c>
      <c r="AF56" s="777">
        <f t="shared" si="92"/>
        <v>2.7259882063394429E-3</v>
      </c>
      <c r="AG56" s="778">
        <f t="shared" si="92"/>
        <v>2.5893215396727764E-3</v>
      </c>
      <c r="AI56" s="773">
        <f t="shared" si="65"/>
        <v>21.375</v>
      </c>
      <c r="AJ56" s="747">
        <f t="shared" si="53"/>
        <v>2.0764923822657457</v>
      </c>
      <c r="AK56" s="751">
        <f t="shared" si="53"/>
        <v>2.0739013134263615</v>
      </c>
      <c r="AL56" s="751">
        <f t="shared" si="53"/>
        <v>2.0694264760363725</v>
      </c>
      <c r="AM56" s="751">
        <f t="shared" si="53"/>
        <v>2.0649516386463835</v>
      </c>
      <c r="AN56" s="751">
        <f t="shared" si="53"/>
        <v>2.0563567967871976</v>
      </c>
      <c r="AO56" s="751">
        <f t="shared" si="53"/>
        <v>2.0513418248400028</v>
      </c>
      <c r="AP56" s="751">
        <f t="shared" si="53"/>
        <v>2.0322281581733361</v>
      </c>
      <c r="AQ56" s="751">
        <f t="shared" si="53"/>
        <v>2.0238635634538644</v>
      </c>
      <c r="AR56" s="752">
        <f t="shared" si="53"/>
        <v>2.0118844040479233</v>
      </c>
      <c r="AS56" s="751">
        <f t="shared" si="53"/>
        <v>1.9342942720347225</v>
      </c>
      <c r="AT56" s="674">
        <f t="shared" si="66"/>
        <v>1.75</v>
      </c>
      <c r="AU56" s="712">
        <f t="shared" si="67"/>
        <v>1.8</v>
      </c>
      <c r="AV56" s="712">
        <f t="shared" si="68"/>
        <v>1.81</v>
      </c>
      <c r="AW56" s="712">
        <f t="shared" si="69"/>
        <v>1.83</v>
      </c>
      <c r="AX56" s="712">
        <f t="shared" si="70"/>
        <v>1.84</v>
      </c>
      <c r="AY56" s="712">
        <f t="shared" si="71"/>
        <v>1.86</v>
      </c>
      <c r="AZ56" s="712">
        <f t="shared" si="72"/>
        <v>1.88</v>
      </c>
      <c r="BA56" s="712">
        <f t="shared" si="73"/>
        <v>1.9</v>
      </c>
      <c r="BB56" s="712">
        <f t="shared" si="74"/>
        <v>1.92</v>
      </c>
      <c r="BC56" s="779">
        <f t="shared" si="75"/>
        <v>1000000</v>
      </c>
      <c r="BD56" s="780">
        <f t="shared" si="76"/>
        <v>-1000000</v>
      </c>
      <c r="BF56" s="781">
        <f t="shared" si="93"/>
        <v>2.0769381700529541</v>
      </c>
      <c r="BG56" s="767">
        <f t="shared" si="93"/>
        <v>2.040311821962562</v>
      </c>
      <c r="BH56" s="767">
        <f t="shared" si="93"/>
        <v>1.9990300631569238</v>
      </c>
      <c r="BI56" s="767">
        <f t="shared" si="93"/>
        <v>1.9716633411992988</v>
      </c>
      <c r="BJ56" s="767">
        <f t="shared" si="93"/>
        <v>1.9209377293853771</v>
      </c>
      <c r="BK56" s="767">
        <f t="shared" si="93"/>
        <v>1.8622919536346896</v>
      </c>
      <c r="BL56" s="767">
        <f t="shared" si="93"/>
        <v>2.1479309861231433</v>
      </c>
      <c r="BM56" s="767">
        <f t="shared" si="93"/>
        <v>2.088198773953279</v>
      </c>
      <c r="BN56" s="767">
        <f t="shared" si="93"/>
        <v>2.0594749587926211</v>
      </c>
      <c r="BO56" s="782">
        <f t="shared" si="93"/>
        <v>2.0273279029628788</v>
      </c>
      <c r="BP56" s="781">
        <f t="shared" si="55"/>
        <v>2.0769381700529541</v>
      </c>
      <c r="BQ56" s="767">
        <f t="shared" si="55"/>
        <v>2.040311821962562</v>
      </c>
      <c r="BR56" s="767">
        <f t="shared" si="55"/>
        <v>1.9990300631569238</v>
      </c>
      <c r="BS56" s="767">
        <f t="shared" si="55"/>
        <v>1.9716633411992988</v>
      </c>
      <c r="BT56" s="767">
        <f t="shared" si="55"/>
        <v>1.9209377293853771</v>
      </c>
      <c r="BU56" s="767">
        <f t="shared" si="55"/>
        <v>1.8622919536346896</v>
      </c>
      <c r="BV56" s="767">
        <f t="shared" si="55"/>
        <v>-1000000</v>
      </c>
      <c r="BW56" s="767">
        <f t="shared" si="55"/>
        <v>-1000000</v>
      </c>
      <c r="BX56" s="767">
        <f t="shared" si="55"/>
        <v>-1000000</v>
      </c>
      <c r="BY56" s="767">
        <f t="shared" si="55"/>
        <v>-1000000</v>
      </c>
      <c r="BZ56" s="648">
        <f t="shared" si="56"/>
        <v>19</v>
      </c>
      <c r="CA56" s="767">
        <f t="shared" si="90"/>
        <v>2.0769381700529541</v>
      </c>
      <c r="CB56" s="767">
        <f t="shared" si="90"/>
        <v>2.040311821962562</v>
      </c>
      <c r="CC56" s="767">
        <f t="shared" si="90"/>
        <v>1.9990300631569238</v>
      </c>
      <c r="CD56" s="767">
        <f t="shared" si="90"/>
        <v>1.9716633411992988</v>
      </c>
      <c r="CE56" s="767">
        <f t="shared" si="90"/>
        <v>1.9209377293853771</v>
      </c>
      <c r="CF56" s="767">
        <f t="shared" si="90"/>
        <v>1.8622919536346896</v>
      </c>
      <c r="CG56" s="767"/>
      <c r="CH56" s="767"/>
      <c r="CI56" s="767"/>
      <c r="CJ56" s="767"/>
      <c r="CK56" s="781">
        <f t="shared" si="58"/>
        <v>1.75</v>
      </c>
      <c r="CL56" s="783">
        <f t="shared" si="78"/>
        <v>1000000</v>
      </c>
      <c r="CM56" s="552"/>
      <c r="CN56" s="552"/>
      <c r="CO56" s="552"/>
      <c r="CP56" s="552"/>
      <c r="CQ56" s="552"/>
      <c r="CR56" s="552"/>
      <c r="CS56" s="552"/>
      <c r="CT56" s="552"/>
      <c r="CU56" s="552"/>
      <c r="CV56" s="552"/>
      <c r="CW56" s="552"/>
      <c r="CX56" s="552"/>
      <c r="CY56" s="552"/>
      <c r="CZ56" s="642">
        <f t="shared" si="39"/>
        <v>49</v>
      </c>
      <c r="DA56" s="609">
        <f t="shared" si="0"/>
        <v>55.125</v>
      </c>
      <c r="DB56" s="609">
        <f t="shared" si="22"/>
        <v>19.600000000000001</v>
      </c>
      <c r="DC56" s="610">
        <f t="shared" si="85"/>
        <v>133.58199022324419</v>
      </c>
      <c r="DD56" s="611">
        <f t="shared" si="85"/>
        <v>134.22757091304351</v>
      </c>
      <c r="DE56" s="612">
        <f t="shared" si="85"/>
        <v>134.83083632750782</v>
      </c>
      <c r="DF56" s="610">
        <f t="shared" si="86"/>
        <v>19.411764705882348</v>
      </c>
      <c r="DG56" s="611">
        <f t="shared" si="86"/>
        <v>22</v>
      </c>
      <c r="DH56" s="612">
        <f t="shared" si="86"/>
        <v>28.470588235294098</v>
      </c>
      <c r="DI56" s="610">
        <f t="shared" si="3"/>
        <v>152.99375492912654</v>
      </c>
      <c r="DJ56" s="611">
        <f t="shared" si="3"/>
        <v>156.22757091304351</v>
      </c>
      <c r="DK56" s="612">
        <f t="shared" si="3"/>
        <v>163.30142456280191</v>
      </c>
      <c r="DL56" s="613">
        <f t="shared" si="94"/>
        <v>152.99375492912654</v>
      </c>
      <c r="DM56" s="613">
        <f t="shared" si="94"/>
        <v>156.22757091304351</v>
      </c>
      <c r="DN56" s="613">
        <f t="shared" si="94"/>
        <v>163.30142456280191</v>
      </c>
      <c r="DO56" s="609">
        <f t="shared" si="5"/>
        <v>135</v>
      </c>
      <c r="DP56" s="609"/>
      <c r="DQ56" s="609">
        <f t="shared" si="24"/>
        <v>19.600000000000001</v>
      </c>
      <c r="DR56" s="610">
        <f t="shared" si="79"/>
        <v>0.32961640556852856</v>
      </c>
      <c r="DS56" s="611">
        <f t="shared" si="79"/>
        <v>0.20349131378057486</v>
      </c>
      <c r="DT56" s="612">
        <f t="shared" si="79"/>
        <v>5.7672412751091549E-2</v>
      </c>
      <c r="DU56" s="611">
        <f t="shared" ref="DU56:DW71" si="95">(DL56-DL55)/($DQ56-$DQ55)</f>
        <v>0.34542646005228173</v>
      </c>
      <c r="DV56" s="611">
        <f t="shared" si="95"/>
        <v>0.21459974279558555</v>
      </c>
      <c r="DW56" s="611">
        <f t="shared" si="95"/>
        <v>6.1789845427071777E-2</v>
      </c>
      <c r="DX56" s="614">
        <f t="shared" si="7"/>
        <v>12.5</v>
      </c>
      <c r="DY56" s="615"/>
      <c r="DZ56" s="609">
        <f t="shared" si="25"/>
        <v>19.600000000000001</v>
      </c>
      <c r="EA56" s="611">
        <f t="shared" si="87"/>
        <v>2.1053523622047243</v>
      </c>
      <c r="EB56" s="611">
        <f t="shared" si="87"/>
        <v>2.302051724137931</v>
      </c>
      <c r="EC56" s="611">
        <f t="shared" si="87"/>
        <v>1000000</v>
      </c>
      <c r="ED56" s="610">
        <f t="shared" si="88"/>
        <v>0.22002999999999975</v>
      </c>
      <c r="EE56" s="611">
        <f t="shared" si="88"/>
        <v>0.22005999999999976</v>
      </c>
      <c r="EF56" s="612">
        <f t="shared" si="88"/>
        <v>0.22012499999999974</v>
      </c>
      <c r="EG56" s="611">
        <f t="shared" si="10"/>
        <v>2.3253823622047243</v>
      </c>
      <c r="EH56" s="611">
        <f t="shared" si="10"/>
        <v>2.5221117241379307</v>
      </c>
      <c r="EI56" s="611">
        <f t="shared" si="10"/>
        <v>1000000.220125</v>
      </c>
      <c r="EJ56" s="610">
        <f t="shared" si="26"/>
        <v>2.2999999999999998</v>
      </c>
      <c r="EK56" s="643">
        <f t="shared" si="27"/>
        <v>2.25</v>
      </c>
      <c r="EL56" s="644">
        <f t="shared" si="28"/>
        <v>2.83</v>
      </c>
      <c r="EN56" s="620">
        <f t="shared" si="29"/>
        <v>10.684722222222222</v>
      </c>
      <c r="EO56" s="621">
        <f t="shared" si="40"/>
        <v>96.717994866164744</v>
      </c>
      <c r="EP56" s="621">
        <f t="shared" si="40"/>
        <v>106.28423728949835</v>
      </c>
      <c r="EQ56" s="621">
        <f t="shared" si="40"/>
        <v>114.11327405651025</v>
      </c>
      <c r="ER56" s="610">
        <f t="shared" si="80"/>
        <v>58.909710000515254</v>
      </c>
      <c r="ES56" s="611">
        <f t="shared" si="80"/>
        <v>82.142765801279069</v>
      </c>
      <c r="ET56" s="612">
        <f t="shared" si="80"/>
        <v>106.50944061255143</v>
      </c>
      <c r="EU56" s="610">
        <f t="shared" si="30"/>
        <v>100</v>
      </c>
      <c r="EV56" s="611">
        <f t="shared" si="31"/>
        <v>135</v>
      </c>
      <c r="EW56" s="645">
        <f t="shared" si="32"/>
        <v>1000000</v>
      </c>
      <c r="EX56" s="610">
        <f t="shared" si="13"/>
        <v>-37.80828486564949</v>
      </c>
      <c r="EY56" s="621">
        <f t="shared" si="14"/>
        <v>-24.141471488219281</v>
      </c>
      <c r="EZ56" s="612">
        <f t="shared" si="15"/>
        <v>-7.6038334439588198</v>
      </c>
      <c r="FA56" s="646">
        <f t="shared" si="16"/>
        <v>10.684722222222222</v>
      </c>
      <c r="FB56" s="317"/>
      <c r="FC56" s="552"/>
      <c r="FD56" s="792">
        <v>52</v>
      </c>
      <c r="FE56" s="793">
        <f t="shared" si="81"/>
        <v>-87.824938344778971</v>
      </c>
      <c r="FF56" s="794">
        <f t="shared" si="81"/>
        <v>-33.054342266511924</v>
      </c>
      <c r="FG56" s="795">
        <f t="shared" si="81"/>
        <v>4.761652850200754</v>
      </c>
      <c r="FH56" s="796"/>
      <c r="FI56" s="797"/>
      <c r="FJ56" s="704">
        <v>52</v>
      </c>
      <c r="FK56" s="798">
        <f t="shared" si="33"/>
        <v>100</v>
      </c>
      <c r="FL56" s="796">
        <f t="shared" si="34"/>
        <v>135</v>
      </c>
      <c r="FM56" s="799">
        <f t="shared" si="35"/>
        <v>1000000000</v>
      </c>
      <c r="FN56" s="800">
        <f t="shared" si="41"/>
        <v>-50.88300465322385</v>
      </c>
      <c r="FO56" s="800">
        <f t="shared" si="41"/>
        <v>-4.5127224347247443</v>
      </c>
      <c r="FP56" s="801">
        <f t="shared" si="41"/>
        <v>33.476340312235294</v>
      </c>
      <c r="FQ56" s="802">
        <f t="shared" si="42"/>
        <v>-36.941933691555121</v>
      </c>
      <c r="FR56" s="803">
        <f t="shared" si="42"/>
        <v>-28.54161983178718</v>
      </c>
      <c r="FS56" s="804">
        <f t="shared" si="42"/>
        <v>-28.71468746203454</v>
      </c>
      <c r="FT56" s="798">
        <f t="shared" si="36"/>
        <v>0</v>
      </c>
      <c r="FU56" s="796">
        <f t="shared" si="36"/>
        <v>0</v>
      </c>
      <c r="FV56" s="805">
        <f t="shared" si="36"/>
        <v>2231.4614414449466</v>
      </c>
      <c r="FW56" s="798">
        <f t="shared" si="37"/>
        <v>0</v>
      </c>
      <c r="FX56" s="796">
        <f t="shared" si="37"/>
        <v>0</v>
      </c>
      <c r="FY56" s="805">
        <f t="shared" si="37"/>
        <v>1</v>
      </c>
    </row>
    <row r="57" spans="2:181" s="564" customFormat="1" ht="15" customHeight="1" x14ac:dyDescent="0.2">
      <c r="B57" s="647">
        <f t="shared" si="89"/>
        <v>72</v>
      </c>
      <c r="C57" s="652">
        <f>$D$16</f>
        <v>101</v>
      </c>
      <c r="D57" s="771">
        <f>$B$16</f>
        <v>1.94</v>
      </c>
      <c r="E57" s="790">
        <f t="shared" si="49"/>
        <v>1.4027777777777777</v>
      </c>
      <c r="F57" s="689"/>
      <c r="G57" s="747">
        <f t="shared" si="50"/>
        <v>1.95720972193527</v>
      </c>
      <c r="H57" s="748">
        <f t="shared" si="60"/>
        <v>2.9617452908931475E-4</v>
      </c>
      <c r="I57" s="689"/>
      <c r="J57" s="773">
        <f t="shared" si="82"/>
        <v>20</v>
      </c>
      <c r="K57" s="774">
        <f t="shared" si="61"/>
        <v>22.5</v>
      </c>
      <c r="L57" s="747">
        <f t="shared" si="91"/>
        <v>2.0735891200000003</v>
      </c>
      <c r="M57" s="751">
        <f t="shared" si="91"/>
        <v>2.0709767500000003</v>
      </c>
      <c r="N57" s="751">
        <f t="shared" si="91"/>
        <v>2.0664651250000001</v>
      </c>
      <c r="O57" s="751">
        <f t="shared" si="91"/>
        <v>2.0619535</v>
      </c>
      <c r="P57" s="751">
        <f t="shared" si="91"/>
        <v>2.0532880000000002</v>
      </c>
      <c r="Q57" s="751">
        <f t="shared" si="91"/>
        <v>2.0482317999999999</v>
      </c>
      <c r="R57" s="751">
        <f t="shared" si="91"/>
        <v>2.0289610000000002</v>
      </c>
      <c r="S57" s="751">
        <f t="shared" si="91"/>
        <v>2.0205276400000001</v>
      </c>
      <c r="T57" s="752">
        <f t="shared" si="91"/>
        <v>2.0084500000000003</v>
      </c>
      <c r="U57" s="753">
        <f t="shared" si="91"/>
        <v>1.9302220000000001</v>
      </c>
      <c r="W57" s="773">
        <f t="shared" si="63"/>
        <v>22.5</v>
      </c>
      <c r="X57" s="775">
        <f t="shared" si="92"/>
        <v>-2.2343871825224026E-3</v>
      </c>
      <c r="Y57" s="776">
        <f t="shared" si="92"/>
        <v>-2.2389510714112917E-3</v>
      </c>
      <c r="Z57" s="776">
        <f t="shared" si="92"/>
        <v>-2.2468330158557362E-3</v>
      </c>
      <c r="AA57" s="776">
        <f t="shared" si="92"/>
        <v>-2.2547149603001806E-3</v>
      </c>
      <c r="AB57" s="776">
        <f t="shared" si="92"/>
        <v>-2.2698538491890694E-3</v>
      </c>
      <c r="AC57" s="776">
        <f t="shared" si="92"/>
        <v>-2.2786871825224027E-3</v>
      </c>
      <c r="AD57" s="776">
        <f t="shared" si="92"/>
        <v>-2.3123538491890694E-3</v>
      </c>
      <c r="AE57" s="776">
        <f t="shared" si="92"/>
        <v>-2.3270871825224028E-3</v>
      </c>
      <c r="AF57" s="777">
        <f t="shared" si="92"/>
        <v>-2.3481871825224029E-3</v>
      </c>
      <c r="AG57" s="778">
        <f t="shared" si="92"/>
        <v>-2.4848538491890693E-3</v>
      </c>
      <c r="AI57" s="773">
        <f t="shared" si="65"/>
        <v>22.5</v>
      </c>
      <c r="AJ57" s="747">
        <f t="shared" si="53"/>
        <v>2.0713547328174777</v>
      </c>
      <c r="AK57" s="751">
        <f t="shared" si="53"/>
        <v>2.0687377989285891</v>
      </c>
      <c r="AL57" s="751">
        <f t="shared" si="53"/>
        <v>2.0642182919841443</v>
      </c>
      <c r="AM57" s="751">
        <f t="shared" si="53"/>
        <v>2.0596987850396999</v>
      </c>
      <c r="AN57" s="751">
        <f t="shared" si="53"/>
        <v>2.051018146150811</v>
      </c>
      <c r="AO57" s="751">
        <f t="shared" si="53"/>
        <v>2.0459531128174775</v>
      </c>
      <c r="AP57" s="751">
        <f t="shared" si="53"/>
        <v>2.0266486461508113</v>
      </c>
      <c r="AQ57" s="751">
        <f t="shared" si="53"/>
        <v>2.0182005528174778</v>
      </c>
      <c r="AR57" s="752">
        <f t="shared" si="53"/>
        <v>2.0061018128174779</v>
      </c>
      <c r="AS57" s="751">
        <f t="shared" si="53"/>
        <v>1.927737146150811</v>
      </c>
      <c r="AT57" s="674">
        <f t="shared" si="66"/>
        <v>1.75</v>
      </c>
      <c r="AU57" s="712">
        <f t="shared" si="67"/>
        <v>1.8</v>
      </c>
      <c r="AV57" s="712">
        <f t="shared" si="68"/>
        <v>1.81</v>
      </c>
      <c r="AW57" s="712">
        <f t="shared" si="69"/>
        <v>1.83</v>
      </c>
      <c r="AX57" s="712">
        <f t="shared" si="70"/>
        <v>1.84</v>
      </c>
      <c r="AY57" s="712">
        <f t="shared" si="71"/>
        <v>1.86</v>
      </c>
      <c r="AZ57" s="712">
        <f t="shared" si="72"/>
        <v>1.88</v>
      </c>
      <c r="BA57" s="712">
        <f t="shared" si="73"/>
        <v>1.9</v>
      </c>
      <c r="BB57" s="712">
        <f t="shared" si="74"/>
        <v>1.92</v>
      </c>
      <c r="BC57" s="779">
        <f t="shared" si="75"/>
        <v>1000000</v>
      </c>
      <c r="BD57" s="780">
        <f t="shared" si="76"/>
        <v>-1000000</v>
      </c>
      <c r="BF57" s="781">
        <f t="shared" si="93"/>
        <v>2.0718010308090258</v>
      </c>
      <c r="BG57" s="767">
        <f t="shared" si="93"/>
        <v>2.0353985044665892</v>
      </c>
      <c r="BH57" s="767">
        <f t="shared" si="93"/>
        <v>1.9950183233196546</v>
      </c>
      <c r="BI57" s="767">
        <f t="shared" si="93"/>
        <v>1.9681200279749544</v>
      </c>
      <c r="BJ57" s="767">
        <f t="shared" si="93"/>
        <v>1.912760231978466</v>
      </c>
      <c r="BK57" s="767">
        <f t="shared" si="93"/>
        <v>1.8338265759266441</v>
      </c>
      <c r="BL57" s="767">
        <f t="shared" si="93"/>
        <v>2.1135610286863082</v>
      </c>
      <c r="BM57" s="767">
        <f t="shared" si="93"/>
        <v>2.0728857211767813</v>
      </c>
      <c r="BN57" s="767">
        <f t="shared" si="93"/>
        <v>2.0509366474201336</v>
      </c>
      <c r="BO57" s="782">
        <f t="shared" si="93"/>
        <v>2.0241929154956964</v>
      </c>
      <c r="BP57" s="781">
        <f t="shared" si="55"/>
        <v>2.0718010308090258</v>
      </c>
      <c r="BQ57" s="767">
        <f t="shared" si="55"/>
        <v>2.0353985044665892</v>
      </c>
      <c r="BR57" s="767">
        <f t="shared" si="55"/>
        <v>1.9950183233196546</v>
      </c>
      <c r="BS57" s="767">
        <f t="shared" si="55"/>
        <v>1.9681200279749544</v>
      </c>
      <c r="BT57" s="767">
        <f t="shared" si="55"/>
        <v>1.912760231978466</v>
      </c>
      <c r="BU57" s="767">
        <f t="shared" si="55"/>
        <v>1.8338265759266441</v>
      </c>
      <c r="BV57" s="767">
        <f t="shared" si="55"/>
        <v>-1000000</v>
      </c>
      <c r="BW57" s="767">
        <f t="shared" si="55"/>
        <v>-1000000</v>
      </c>
      <c r="BX57" s="767">
        <f t="shared" si="55"/>
        <v>-1000000</v>
      </c>
      <c r="BY57" s="767">
        <f t="shared" si="55"/>
        <v>-1000000</v>
      </c>
      <c r="BZ57" s="648">
        <f t="shared" si="56"/>
        <v>20</v>
      </c>
      <c r="CA57" s="767">
        <f t="shared" si="90"/>
        <v>2.0718010308090258</v>
      </c>
      <c r="CB57" s="767">
        <f t="shared" si="90"/>
        <v>2.0353985044665892</v>
      </c>
      <c r="CC57" s="767">
        <f t="shared" si="90"/>
        <v>1.9950183233196546</v>
      </c>
      <c r="CD57" s="767">
        <f t="shared" si="90"/>
        <v>1.9681200279749544</v>
      </c>
      <c r="CE57" s="767">
        <f t="shared" si="90"/>
        <v>1.912760231978466</v>
      </c>
      <c r="CF57" s="767">
        <f t="shared" si="90"/>
        <v>1.8338265759266441</v>
      </c>
      <c r="CG57" s="767"/>
      <c r="CH57" s="767"/>
      <c r="CI57" s="767"/>
      <c r="CJ57" s="767"/>
      <c r="CK57" s="781">
        <f t="shared" si="58"/>
        <v>1.75</v>
      </c>
      <c r="CL57" s="783">
        <f t="shared" si="78"/>
        <v>1000000</v>
      </c>
      <c r="CM57" s="552"/>
      <c r="CN57" s="552"/>
      <c r="CO57" s="552"/>
      <c r="CP57" s="552"/>
      <c r="CQ57" s="552"/>
      <c r="CR57" s="552"/>
      <c r="CS57" s="552"/>
      <c r="CT57" s="552"/>
      <c r="CU57" s="552"/>
      <c r="CV57" s="552"/>
      <c r="CW57" s="552"/>
      <c r="CX57" s="552"/>
      <c r="CY57" s="552"/>
      <c r="CZ57" s="642">
        <f t="shared" si="39"/>
        <v>50</v>
      </c>
      <c r="DA57" s="609">
        <f t="shared" si="0"/>
        <v>56.25</v>
      </c>
      <c r="DB57" s="609">
        <f t="shared" si="22"/>
        <v>20</v>
      </c>
      <c r="DC57" s="610">
        <f t="shared" si="85"/>
        <v>133.70789287819349</v>
      </c>
      <c r="DD57" s="611">
        <f t="shared" si="85"/>
        <v>134.30482552038197</v>
      </c>
      <c r="DE57" s="612">
        <f t="shared" si="85"/>
        <v>134.85240145679487</v>
      </c>
      <c r="DF57" s="610">
        <f t="shared" si="86"/>
        <v>19.411764705882348</v>
      </c>
      <c r="DG57" s="611">
        <f t="shared" si="86"/>
        <v>22</v>
      </c>
      <c r="DH57" s="612">
        <f t="shared" si="86"/>
        <v>28.470588235294098</v>
      </c>
      <c r="DI57" s="610">
        <f t="shared" si="3"/>
        <v>153.11965758407584</v>
      </c>
      <c r="DJ57" s="611">
        <f t="shared" si="3"/>
        <v>156.30482552038197</v>
      </c>
      <c r="DK57" s="612">
        <f t="shared" si="3"/>
        <v>163.32298969208895</v>
      </c>
      <c r="DL57" s="613">
        <f t="shared" si="94"/>
        <v>153.11965758407584</v>
      </c>
      <c r="DM57" s="613">
        <f t="shared" si="94"/>
        <v>156.30482552038197</v>
      </c>
      <c r="DN57" s="613">
        <f t="shared" si="94"/>
        <v>163.32298969208895</v>
      </c>
      <c r="DO57" s="609">
        <f t="shared" si="5"/>
        <v>135</v>
      </c>
      <c r="DP57" s="609"/>
      <c r="DQ57" s="609">
        <f t="shared" si="24"/>
        <v>20</v>
      </c>
      <c r="DR57" s="610">
        <f t="shared" si="79"/>
        <v>0.30035033049895848</v>
      </c>
      <c r="DS57" s="611">
        <f t="shared" si="79"/>
        <v>0.1831391004727502</v>
      </c>
      <c r="DT57" s="612">
        <f t="shared" si="79"/>
        <v>5.0320284371815224E-2</v>
      </c>
      <c r="DU57" s="611">
        <f t="shared" si="95"/>
        <v>0.31475663737325132</v>
      </c>
      <c r="DV57" s="611">
        <f t="shared" si="95"/>
        <v>0.19313651834615156</v>
      </c>
      <c r="DW57" s="611">
        <f t="shared" si="95"/>
        <v>5.3912823217601352E-2</v>
      </c>
      <c r="DX57" s="614">
        <f t="shared" si="7"/>
        <v>12.5</v>
      </c>
      <c r="DY57" s="615"/>
      <c r="DZ57" s="609">
        <f t="shared" si="25"/>
        <v>20</v>
      </c>
      <c r="EA57" s="611">
        <f t="shared" si="87"/>
        <v>2.1057580000000002</v>
      </c>
      <c r="EB57" s="611">
        <f t="shared" si="87"/>
        <v>2.33758</v>
      </c>
      <c r="EC57" s="611">
        <f t="shared" si="87"/>
        <v>1000000</v>
      </c>
      <c r="ED57" s="610">
        <f t="shared" si="88"/>
        <v>0.22002999999999975</v>
      </c>
      <c r="EE57" s="611">
        <f t="shared" si="88"/>
        <v>0.22005999999999976</v>
      </c>
      <c r="EF57" s="612">
        <f t="shared" si="88"/>
        <v>0.22012499999999974</v>
      </c>
      <c r="EG57" s="611">
        <f t="shared" si="10"/>
        <v>2.3257880000000002</v>
      </c>
      <c r="EH57" s="611">
        <f t="shared" si="10"/>
        <v>2.5576399999999997</v>
      </c>
      <c r="EI57" s="611">
        <f t="shared" si="10"/>
        <v>1000000.220125</v>
      </c>
      <c r="EJ57" s="610">
        <f t="shared" si="26"/>
        <v>2.2999999999999998</v>
      </c>
      <c r="EK57" s="643">
        <f t="shared" si="27"/>
        <v>2.25</v>
      </c>
      <c r="EL57" s="644">
        <f t="shared" si="28"/>
        <v>2.83</v>
      </c>
      <c r="EN57" s="620">
        <f t="shared" si="29"/>
        <v>10.902777777777779</v>
      </c>
      <c r="EO57" s="621">
        <f t="shared" si="40"/>
        <v>95.937202388985085</v>
      </c>
      <c r="EP57" s="621">
        <f t="shared" si="40"/>
        <v>105.69846742076084</v>
      </c>
      <c r="EQ57" s="621">
        <f t="shared" si="40"/>
        <v>113.68715512761986</v>
      </c>
      <c r="ER57" s="610">
        <f t="shared" si="80"/>
        <v>58.120110432801695</v>
      </c>
      <c r="ES57" s="611">
        <f t="shared" si="80"/>
        <v>81.319541162444906</v>
      </c>
      <c r="ET57" s="612">
        <f t="shared" si="80"/>
        <v>105.70434294390871</v>
      </c>
      <c r="EU57" s="610">
        <f t="shared" si="30"/>
        <v>100</v>
      </c>
      <c r="EV57" s="611">
        <f t="shared" si="31"/>
        <v>135</v>
      </c>
      <c r="EW57" s="645">
        <f t="shared" si="32"/>
        <v>1000000</v>
      </c>
      <c r="EX57" s="610">
        <f t="shared" si="13"/>
        <v>-37.81709195618339</v>
      </c>
      <c r="EY57" s="621">
        <f t="shared" si="14"/>
        <v>-24.378926258315929</v>
      </c>
      <c r="EZ57" s="612">
        <f t="shared" si="15"/>
        <v>-7.9828121837111432</v>
      </c>
      <c r="FA57" s="646">
        <f t="shared" si="16"/>
        <v>10.902777777777779</v>
      </c>
      <c r="FB57" s="317"/>
      <c r="FC57" s="552"/>
      <c r="FD57" s="552"/>
      <c r="FE57" s="552"/>
      <c r="FF57" s="552"/>
      <c r="FG57" s="552"/>
      <c r="FH57" s="552"/>
      <c r="FI57" s="552"/>
      <c r="FJ57" s="552"/>
      <c r="FK57" s="552"/>
      <c r="FL57" s="552"/>
      <c r="FM57" s="552"/>
      <c r="FN57" s="552"/>
      <c r="FO57" s="552"/>
      <c r="FP57" s="552"/>
      <c r="FQ57" s="552"/>
      <c r="FR57" s="552"/>
      <c r="FS57" s="552"/>
    </row>
    <row r="58" spans="2:181" s="564" customFormat="1" ht="15" customHeight="1" x14ac:dyDescent="0.2">
      <c r="B58" s="626">
        <f>$E$4</f>
        <v>48</v>
      </c>
      <c r="C58" s="631">
        <f>$E$6</f>
        <v>124</v>
      </c>
      <c r="D58" s="744">
        <f>$B$6</f>
        <v>1.75</v>
      </c>
      <c r="E58" s="745">
        <f t="shared" si="49"/>
        <v>2.5833333333333335</v>
      </c>
      <c r="F58" s="689"/>
      <c r="G58" s="747">
        <f t="shared" si="50"/>
        <v>1.8307664198910354</v>
      </c>
      <c r="H58" s="748">
        <f t="shared" si="60"/>
        <v>6.5232145820150371E-3</v>
      </c>
      <c r="I58" s="689"/>
      <c r="J58" s="773">
        <f t="shared" si="82"/>
        <v>21</v>
      </c>
      <c r="K58" s="774">
        <f t="shared" si="61"/>
        <v>23.625</v>
      </c>
      <c r="L58" s="747">
        <f t="shared" si="91"/>
        <v>2.0735243636363636</v>
      </c>
      <c r="M58" s="751">
        <f t="shared" si="91"/>
        <v>2.0708856060606062</v>
      </c>
      <c r="N58" s="751">
        <f t="shared" si="91"/>
        <v>2.0663284090909091</v>
      </c>
      <c r="O58" s="751">
        <f t="shared" si="91"/>
        <v>2.0617712121212124</v>
      </c>
      <c r="P58" s="751">
        <f t="shared" si="91"/>
        <v>2.0530181818181821</v>
      </c>
      <c r="Q58" s="751">
        <f t="shared" si="91"/>
        <v>2.0479109090909091</v>
      </c>
      <c r="R58" s="751">
        <f t="shared" si="91"/>
        <v>2.0284454545454547</v>
      </c>
      <c r="S58" s="751">
        <f t="shared" si="91"/>
        <v>2.0199269090909091</v>
      </c>
      <c r="T58" s="752">
        <f t="shared" si="91"/>
        <v>2.0077272727272728</v>
      </c>
      <c r="U58" s="753">
        <f t="shared" si="91"/>
        <v>1.9287090909090909</v>
      </c>
      <c r="W58" s="773">
        <f t="shared" si="63"/>
        <v>23.625</v>
      </c>
      <c r="X58" s="775">
        <f t="shared" si="92"/>
        <v>-7.0556103407494316E-3</v>
      </c>
      <c r="Y58" s="776">
        <f t="shared" si="92"/>
        <v>-7.0601742296383203E-3</v>
      </c>
      <c r="Z58" s="776">
        <f t="shared" si="92"/>
        <v>-7.0680561740827643E-3</v>
      </c>
      <c r="AA58" s="776">
        <f t="shared" si="92"/>
        <v>-7.0759381185272092E-3</v>
      </c>
      <c r="AB58" s="776">
        <f t="shared" si="92"/>
        <v>-7.0910770074160984E-3</v>
      </c>
      <c r="AC58" s="776">
        <f t="shared" si="92"/>
        <v>-7.0999103407494314E-3</v>
      </c>
      <c r="AD58" s="776">
        <f t="shared" si="92"/>
        <v>-7.1335770074160984E-3</v>
      </c>
      <c r="AE58" s="776">
        <f t="shared" si="92"/>
        <v>-7.148310340749431E-3</v>
      </c>
      <c r="AF58" s="777">
        <f t="shared" si="92"/>
        <v>-7.1694103407494315E-3</v>
      </c>
      <c r="AG58" s="778">
        <f t="shared" si="92"/>
        <v>-7.3060770074160983E-3</v>
      </c>
      <c r="AI58" s="773">
        <f t="shared" si="65"/>
        <v>23.625</v>
      </c>
      <c r="AJ58" s="747">
        <f t="shared" si="53"/>
        <v>2.0664687532956143</v>
      </c>
      <c r="AK58" s="751">
        <f t="shared" si="53"/>
        <v>2.0638254318309679</v>
      </c>
      <c r="AL58" s="751">
        <f t="shared" si="53"/>
        <v>2.0592603529168265</v>
      </c>
      <c r="AM58" s="751">
        <f t="shared" si="53"/>
        <v>2.0546952740026851</v>
      </c>
      <c r="AN58" s="751">
        <f t="shared" si="53"/>
        <v>2.0459271048107661</v>
      </c>
      <c r="AO58" s="751">
        <f t="shared" si="53"/>
        <v>2.0408109987501595</v>
      </c>
      <c r="AP58" s="751">
        <f t="shared" si="53"/>
        <v>2.0213118775380385</v>
      </c>
      <c r="AQ58" s="751">
        <f t="shared" si="53"/>
        <v>2.0127785987501596</v>
      </c>
      <c r="AR58" s="752">
        <f t="shared" si="53"/>
        <v>2.0005578623865232</v>
      </c>
      <c r="AS58" s="751">
        <f t="shared" si="53"/>
        <v>1.9214030139016749</v>
      </c>
      <c r="AT58" s="674">
        <f t="shared" si="66"/>
        <v>1.75</v>
      </c>
      <c r="AU58" s="712">
        <f t="shared" si="67"/>
        <v>1.8</v>
      </c>
      <c r="AV58" s="712">
        <f t="shared" si="68"/>
        <v>1.81</v>
      </c>
      <c r="AW58" s="712">
        <f t="shared" si="69"/>
        <v>1.83</v>
      </c>
      <c r="AX58" s="712">
        <f t="shared" si="70"/>
        <v>1.84</v>
      </c>
      <c r="AY58" s="712">
        <f t="shared" si="71"/>
        <v>1.86</v>
      </c>
      <c r="AZ58" s="712">
        <f t="shared" si="72"/>
        <v>1.88</v>
      </c>
      <c r="BA58" s="712">
        <f t="shared" si="73"/>
        <v>1.9</v>
      </c>
      <c r="BB58" s="712">
        <f t="shared" si="74"/>
        <v>1.92</v>
      </c>
      <c r="BC58" s="779">
        <f t="shared" si="75"/>
        <v>1000000</v>
      </c>
      <c r="BD58" s="780">
        <f t="shared" si="76"/>
        <v>-1000000</v>
      </c>
      <c r="BF58" s="781">
        <f t="shared" si="93"/>
        <v>2.066914474473684</v>
      </c>
      <c r="BG58" s="767">
        <f t="shared" si="93"/>
        <v>2.0308101938051402</v>
      </c>
      <c r="BH58" s="767">
        <f t="shared" si="93"/>
        <v>1.9913437073620763</v>
      </c>
      <c r="BI58" s="767">
        <f t="shared" si="93"/>
        <v>1.9647830228300089</v>
      </c>
      <c r="BJ58" s="767">
        <f t="shared" si="93"/>
        <v>1.902924917892457</v>
      </c>
      <c r="BK58" s="767">
        <f t="shared" si="93"/>
        <v>1.7886453971693272</v>
      </c>
      <c r="BL58" s="767">
        <f t="shared" si="93"/>
        <v>2.0909214785768522</v>
      </c>
      <c r="BM58" s="767">
        <f t="shared" si="93"/>
        <v>2.0613993352646327</v>
      </c>
      <c r="BN58" s="767">
        <f t="shared" si="93"/>
        <v>2.0440730817667827</v>
      </c>
      <c r="BO58" s="782">
        <f t="shared" si="93"/>
        <v>2.0214537406965096</v>
      </c>
      <c r="BP58" s="781">
        <f t="shared" si="55"/>
        <v>2.066914474473684</v>
      </c>
      <c r="BQ58" s="767">
        <f t="shared" si="55"/>
        <v>2.0308101938051402</v>
      </c>
      <c r="BR58" s="767">
        <f t="shared" si="55"/>
        <v>1.9913437073620763</v>
      </c>
      <c r="BS58" s="767">
        <f t="shared" si="55"/>
        <v>1.9647830228300089</v>
      </c>
      <c r="BT58" s="767">
        <f t="shared" si="55"/>
        <v>1.902924917892457</v>
      </c>
      <c r="BU58" s="767">
        <f t="shared" si="55"/>
        <v>1.7886453971693272</v>
      </c>
      <c r="BV58" s="767">
        <f t="shared" si="55"/>
        <v>-1000000</v>
      </c>
      <c r="BW58" s="767">
        <f t="shared" si="55"/>
        <v>-1000000</v>
      </c>
      <c r="BX58" s="767">
        <f t="shared" si="55"/>
        <v>-1000000</v>
      </c>
      <c r="BY58" s="767">
        <f t="shared" si="55"/>
        <v>-1000000</v>
      </c>
      <c r="BZ58" s="648">
        <f t="shared" si="56"/>
        <v>21</v>
      </c>
      <c r="CA58" s="767">
        <f t="shared" si="90"/>
        <v>2.066914474473684</v>
      </c>
      <c r="CB58" s="767">
        <f t="shared" si="90"/>
        <v>2.0308101938051402</v>
      </c>
      <c r="CC58" s="767">
        <f t="shared" si="90"/>
        <v>1.9913437073620763</v>
      </c>
      <c r="CD58" s="767">
        <f t="shared" si="90"/>
        <v>1.9647830228300089</v>
      </c>
      <c r="CE58" s="767">
        <f t="shared" si="90"/>
        <v>1.902924917892457</v>
      </c>
      <c r="CF58" s="767">
        <f t="shared" si="90"/>
        <v>1.7886453971693272</v>
      </c>
      <c r="CG58" s="767"/>
      <c r="CH58" s="767"/>
      <c r="CI58" s="767"/>
      <c r="CJ58" s="767"/>
      <c r="CK58" s="781">
        <f t="shared" si="58"/>
        <v>1.75</v>
      </c>
      <c r="CL58" s="783">
        <f t="shared" si="78"/>
        <v>1000000</v>
      </c>
      <c r="CM58" s="552"/>
      <c r="CN58" s="552"/>
      <c r="CO58" s="552"/>
      <c r="CP58" s="552"/>
      <c r="CQ58" s="552"/>
      <c r="CR58" s="552"/>
      <c r="CS58" s="552"/>
      <c r="CT58" s="552"/>
      <c r="CU58" s="552"/>
      <c r="CV58" s="552"/>
      <c r="CW58" s="552"/>
      <c r="CX58" s="552"/>
      <c r="CY58" s="552"/>
      <c r="CZ58" s="642">
        <f t="shared" si="39"/>
        <v>51</v>
      </c>
      <c r="DA58" s="609">
        <f t="shared" si="0"/>
        <v>57.375</v>
      </c>
      <c r="DB58" s="609">
        <f t="shared" si="22"/>
        <v>20.399999999999999</v>
      </c>
      <c r="DC58" s="610">
        <f t="shared" si="85"/>
        <v>133.82261685244316</v>
      </c>
      <c r="DD58" s="611">
        <f t="shared" si="85"/>
        <v>134.37435349694513</v>
      </c>
      <c r="DE58" s="612">
        <f t="shared" si="85"/>
        <v>134.87121744500263</v>
      </c>
      <c r="DF58" s="610">
        <f t="shared" si="86"/>
        <v>19.411764705882348</v>
      </c>
      <c r="DG58" s="611">
        <f t="shared" si="86"/>
        <v>22</v>
      </c>
      <c r="DH58" s="612">
        <f t="shared" si="86"/>
        <v>28.470588235294098</v>
      </c>
      <c r="DI58" s="610">
        <f t="shared" si="3"/>
        <v>153.23438155832551</v>
      </c>
      <c r="DJ58" s="611">
        <f t="shared" si="3"/>
        <v>156.37435349694513</v>
      </c>
      <c r="DK58" s="612">
        <f t="shared" si="3"/>
        <v>163.34180568029672</v>
      </c>
      <c r="DL58" s="613">
        <f t="shared" si="94"/>
        <v>153.23438155832551</v>
      </c>
      <c r="DM58" s="613">
        <f t="shared" si="94"/>
        <v>156.37435349694513</v>
      </c>
      <c r="DN58" s="613">
        <f t="shared" si="94"/>
        <v>163.34180568029672</v>
      </c>
      <c r="DO58" s="609">
        <f t="shared" si="5"/>
        <v>135</v>
      </c>
      <c r="DP58" s="609"/>
      <c r="DQ58" s="609">
        <f t="shared" si="24"/>
        <v>20.399999999999999</v>
      </c>
      <c r="DR58" s="610">
        <f t="shared" si="79"/>
        <v>0.27368274001786147</v>
      </c>
      <c r="DS58" s="611">
        <f t="shared" si="79"/>
        <v>0.16482241673536138</v>
      </c>
      <c r="DT58" s="612">
        <f t="shared" si="79"/>
        <v>4.3905411590612349E-2</v>
      </c>
      <c r="DU58" s="611">
        <f t="shared" si="95"/>
        <v>0.28680993562417811</v>
      </c>
      <c r="DV58" s="611">
        <f t="shared" si="95"/>
        <v>0.17381994140791396</v>
      </c>
      <c r="DW58" s="611">
        <f t="shared" si="95"/>
        <v>4.7039970519407059E-2</v>
      </c>
      <c r="DX58" s="614">
        <f t="shared" si="7"/>
        <v>12.5</v>
      </c>
      <c r="DY58" s="615"/>
      <c r="DZ58" s="609">
        <f t="shared" si="25"/>
        <v>20.399999999999999</v>
      </c>
      <c r="EA58" s="611">
        <f t="shared" si="87"/>
        <v>2.1061768292682927</v>
      </c>
      <c r="EB58" s="611">
        <f t="shared" si="87"/>
        <v>2.3866428571428573</v>
      </c>
      <c r="EC58" s="611">
        <f t="shared" si="87"/>
        <v>1000000</v>
      </c>
      <c r="ED58" s="610">
        <f t="shared" si="88"/>
        <v>0.22002999999999975</v>
      </c>
      <c r="EE58" s="611">
        <f t="shared" si="88"/>
        <v>0.22005999999999976</v>
      </c>
      <c r="EF58" s="612">
        <f t="shared" si="88"/>
        <v>0.22012499999999974</v>
      </c>
      <c r="EG58" s="611">
        <f t="shared" si="10"/>
        <v>2.3262068292682927</v>
      </c>
      <c r="EH58" s="611">
        <f t="shared" si="10"/>
        <v>2.606702857142857</v>
      </c>
      <c r="EI58" s="611">
        <f t="shared" si="10"/>
        <v>1000000.220125</v>
      </c>
      <c r="EJ58" s="610">
        <f t="shared" si="26"/>
        <v>2.2999999999999998</v>
      </c>
      <c r="EK58" s="643">
        <f t="shared" si="27"/>
        <v>2.25</v>
      </c>
      <c r="EL58" s="644">
        <f t="shared" si="28"/>
        <v>2.83</v>
      </c>
      <c r="EN58" s="620">
        <f t="shared" si="29"/>
        <v>11.120833333333334</v>
      </c>
      <c r="EO58" s="621">
        <f t="shared" si="40"/>
        <v>95.156428817473653</v>
      </c>
      <c r="EP58" s="621">
        <f t="shared" si="40"/>
        <v>105.11270819129125</v>
      </c>
      <c r="EQ58" s="621">
        <f t="shared" si="40"/>
        <v>113.2610418282021</v>
      </c>
      <c r="ER58" s="610">
        <f t="shared" si="80"/>
        <v>57.33166751679439</v>
      </c>
      <c r="ES58" s="611">
        <f t="shared" si="80"/>
        <v>80.507167288574578</v>
      </c>
      <c r="ET58" s="612">
        <f t="shared" si="80"/>
        <v>104.90580464890098</v>
      </c>
      <c r="EU58" s="610">
        <f t="shared" si="30"/>
        <v>100</v>
      </c>
      <c r="EV58" s="611">
        <f t="shared" si="31"/>
        <v>135</v>
      </c>
      <c r="EW58" s="645">
        <f t="shared" si="32"/>
        <v>1000000</v>
      </c>
      <c r="EX58" s="610">
        <f t="shared" si="13"/>
        <v>-37.824761300679263</v>
      </c>
      <c r="EY58" s="621">
        <f t="shared" si="14"/>
        <v>-24.605540902716676</v>
      </c>
      <c r="EZ58" s="612">
        <f t="shared" si="15"/>
        <v>-8.3552371793011062</v>
      </c>
      <c r="FA58" s="646">
        <f t="shared" si="16"/>
        <v>11.120833333333334</v>
      </c>
      <c r="FB58" s="317"/>
      <c r="FC58" s="552"/>
      <c r="FD58" s="552"/>
      <c r="FE58" s="666">
        <f>(FT58/FH58)*100</f>
        <v>7.9258100943020517</v>
      </c>
      <c r="FF58" s="666">
        <f>(FU58/FI58)*100</f>
        <v>5.8974127637619738</v>
      </c>
      <c r="FG58" s="666">
        <f>(FV58/FJ58)*100</f>
        <v>4.2428879829107231</v>
      </c>
      <c r="FH58" s="564">
        <f>SUM(FH6:FH56)</f>
        <v>1464.5</v>
      </c>
      <c r="FI58" s="564">
        <f>SUM(FI6:FI56)</f>
        <v>1643.6</v>
      </c>
      <c r="FJ58" s="564">
        <f>SUM(FJ6:FJ56)</f>
        <v>1723</v>
      </c>
      <c r="FN58" s="552"/>
      <c r="FO58" s="552"/>
      <c r="FP58" s="552"/>
      <c r="FQ58" s="552"/>
      <c r="FR58" s="552"/>
      <c r="FS58" s="552"/>
      <c r="FT58" s="806">
        <f>(SUM(FT6:FT56))^0.5</f>
        <v>116.07348883105355</v>
      </c>
      <c r="FU58" s="806">
        <f>(SUM(FU6:FU56))^0.5</f>
        <v>96.929876185191787</v>
      </c>
      <c r="FV58" s="806">
        <f>(SUM(FV6:FV56))^0.5</f>
        <v>73.104959945551755</v>
      </c>
      <c r="FW58" s="564">
        <f>SUM(FW6:FW56)</f>
        <v>17</v>
      </c>
      <c r="FX58" s="564">
        <f>SUM(FX6:FX56)</f>
        <v>17</v>
      </c>
      <c r="FY58" s="564">
        <f>SUM(FY6:FY56)</f>
        <v>17</v>
      </c>
    </row>
    <row r="59" spans="2:181" s="564" customFormat="1" ht="15" customHeight="1" x14ac:dyDescent="0.2">
      <c r="B59" s="647">
        <f t="shared" ref="B59:B68" si="96">$E$4</f>
        <v>48</v>
      </c>
      <c r="C59" s="652">
        <f>$E$7</f>
        <v>123.5</v>
      </c>
      <c r="D59" s="771">
        <f>$B$7</f>
        <v>1.78</v>
      </c>
      <c r="E59" s="772">
        <f t="shared" si="49"/>
        <v>2.5729166666666665</v>
      </c>
      <c r="F59" s="689"/>
      <c r="G59" s="747">
        <f t="shared" si="50"/>
        <v>1.837947103584106</v>
      </c>
      <c r="H59" s="748">
        <f t="shared" si="60"/>
        <v>3.3578668137871025E-3</v>
      </c>
      <c r="I59" s="689"/>
      <c r="J59" s="773">
        <f t="shared" si="82"/>
        <v>22</v>
      </c>
      <c r="K59" s="774">
        <f t="shared" si="61"/>
        <v>24.75</v>
      </c>
      <c r="L59" s="747">
        <f t="shared" si="91"/>
        <v>2.0734582857142856</v>
      </c>
      <c r="M59" s="751">
        <f t="shared" si="91"/>
        <v>2.0707926020408163</v>
      </c>
      <c r="N59" s="751">
        <f t="shared" si="91"/>
        <v>2.0661889030612244</v>
      </c>
      <c r="O59" s="751">
        <f t="shared" si="91"/>
        <v>2.0615852040816329</v>
      </c>
      <c r="P59" s="751">
        <f t="shared" si="91"/>
        <v>2.0527428571428574</v>
      </c>
      <c r="Q59" s="751">
        <f t="shared" si="91"/>
        <v>2.0475834693877553</v>
      </c>
      <c r="R59" s="751">
        <f t="shared" si="91"/>
        <v>2.0279193877551021</v>
      </c>
      <c r="S59" s="751">
        <f t="shared" si="91"/>
        <v>2.019313918367347</v>
      </c>
      <c r="T59" s="752">
        <f t="shared" si="91"/>
        <v>2.0069897959183676</v>
      </c>
      <c r="U59" s="753">
        <f t="shared" si="91"/>
        <v>1.927165306122449</v>
      </c>
      <c r="W59" s="773">
        <f t="shared" si="63"/>
        <v>24.75</v>
      </c>
      <c r="X59" s="775">
        <f t="shared" si="92"/>
        <v>-1.1636491165729675E-2</v>
      </c>
      <c r="Y59" s="776">
        <f t="shared" si="92"/>
        <v>-1.1641055054618564E-2</v>
      </c>
      <c r="Z59" s="776">
        <f t="shared" si="92"/>
        <v>-1.164893699906301E-2</v>
      </c>
      <c r="AA59" s="776">
        <f t="shared" si="92"/>
        <v>-1.1656818943507454E-2</v>
      </c>
      <c r="AB59" s="776">
        <f t="shared" si="92"/>
        <v>-1.1671957832396343E-2</v>
      </c>
      <c r="AC59" s="776">
        <f t="shared" si="92"/>
        <v>-1.1680791165729676E-2</v>
      </c>
      <c r="AD59" s="776">
        <f t="shared" si="92"/>
        <v>-1.1714457832396342E-2</v>
      </c>
      <c r="AE59" s="776">
        <f t="shared" si="92"/>
        <v>-1.1729191165729676E-2</v>
      </c>
      <c r="AF59" s="777">
        <f t="shared" si="92"/>
        <v>-1.1750291165729676E-2</v>
      </c>
      <c r="AG59" s="778">
        <f t="shared" si="92"/>
        <v>-1.1886957832396343E-2</v>
      </c>
      <c r="AI59" s="773">
        <f t="shared" si="65"/>
        <v>24.75</v>
      </c>
      <c r="AJ59" s="747">
        <f t="shared" si="53"/>
        <v>2.061821794548556</v>
      </c>
      <c r="AK59" s="751">
        <f t="shared" si="53"/>
        <v>2.0591515469861976</v>
      </c>
      <c r="AL59" s="751">
        <f t="shared" si="53"/>
        <v>2.0545399660621615</v>
      </c>
      <c r="AM59" s="751">
        <f t="shared" si="53"/>
        <v>2.0499283851381254</v>
      </c>
      <c r="AN59" s="751">
        <f t="shared" si="53"/>
        <v>2.0410708993104612</v>
      </c>
      <c r="AO59" s="751">
        <f t="shared" si="53"/>
        <v>2.0359026782220258</v>
      </c>
      <c r="AP59" s="751">
        <f t="shared" si="53"/>
        <v>2.0162049299227056</v>
      </c>
      <c r="AQ59" s="751">
        <f t="shared" si="53"/>
        <v>2.0075847272016172</v>
      </c>
      <c r="AR59" s="752">
        <f t="shared" si="53"/>
        <v>1.9952395047526379</v>
      </c>
      <c r="AS59" s="751">
        <f t="shared" si="53"/>
        <v>1.9152783482900526</v>
      </c>
      <c r="AT59" s="674">
        <f t="shared" si="66"/>
        <v>1.75</v>
      </c>
      <c r="AU59" s="712">
        <f t="shared" si="67"/>
        <v>1.8</v>
      </c>
      <c r="AV59" s="712">
        <f t="shared" si="68"/>
        <v>1.81</v>
      </c>
      <c r="AW59" s="712">
        <f t="shared" si="69"/>
        <v>1.83</v>
      </c>
      <c r="AX59" s="712">
        <f t="shared" si="70"/>
        <v>1.84</v>
      </c>
      <c r="AY59" s="712">
        <f t="shared" si="71"/>
        <v>1.86</v>
      </c>
      <c r="AZ59" s="712">
        <f t="shared" si="72"/>
        <v>1.88</v>
      </c>
      <c r="BA59" s="712">
        <f t="shared" si="73"/>
        <v>1.9</v>
      </c>
      <c r="BB59" s="712">
        <f t="shared" si="74"/>
        <v>1.92</v>
      </c>
      <c r="BC59" s="779">
        <f t="shared" si="75"/>
        <v>1000000</v>
      </c>
      <c r="BD59" s="780">
        <f t="shared" si="76"/>
        <v>-1000000</v>
      </c>
      <c r="BF59" s="781">
        <f t="shared" si="93"/>
        <v>2.0622659618740555</v>
      </c>
      <c r="BG59" s="767">
        <f t="shared" si="93"/>
        <v>2.0265238869818263</v>
      </c>
      <c r="BH59" s="767">
        <f t="shared" si="93"/>
        <v>1.987967127613651</v>
      </c>
      <c r="BI59" s="767">
        <f t="shared" si="93"/>
        <v>1.9615946342940487</v>
      </c>
      <c r="BJ59" s="767">
        <f t="shared" si="93"/>
        <v>1.890605012928215</v>
      </c>
      <c r="BK59" s="767">
        <f t="shared" si="93"/>
        <v>1.7050056813756433</v>
      </c>
      <c r="BL59" s="767">
        <f t="shared" si="93"/>
        <v>2.0748836869614617</v>
      </c>
      <c r="BM59" s="767">
        <f t="shared" si="93"/>
        <v>2.0524648054266823</v>
      </c>
      <c r="BN59" s="767">
        <f t="shared" si="93"/>
        <v>2.0384354977778472</v>
      </c>
      <c r="BO59" s="782">
        <f t="shared" si="93"/>
        <v>2.0190398688096765</v>
      </c>
      <c r="BP59" s="781">
        <f t="shared" si="55"/>
        <v>2.0622659618740555</v>
      </c>
      <c r="BQ59" s="767">
        <f t="shared" si="55"/>
        <v>2.0265238869818263</v>
      </c>
      <c r="BR59" s="767">
        <f t="shared" si="55"/>
        <v>1.987967127613651</v>
      </c>
      <c r="BS59" s="767">
        <f t="shared" si="55"/>
        <v>1.9615946342940487</v>
      </c>
      <c r="BT59" s="767">
        <f t="shared" si="55"/>
        <v>1.890605012928215</v>
      </c>
      <c r="BU59" s="767">
        <f t="shared" si="55"/>
        <v>1.7050056813756433</v>
      </c>
      <c r="BV59" s="767">
        <f t="shared" si="55"/>
        <v>-1000000</v>
      </c>
      <c r="BW59" s="767">
        <f t="shared" si="55"/>
        <v>-1000000</v>
      </c>
      <c r="BX59" s="767">
        <f t="shared" si="55"/>
        <v>-1000000</v>
      </c>
      <c r="BY59" s="767">
        <f t="shared" si="55"/>
        <v>-1000000</v>
      </c>
      <c r="BZ59" s="648">
        <f t="shared" si="56"/>
        <v>22</v>
      </c>
      <c r="CA59" s="767">
        <f t="shared" si="90"/>
        <v>2.0622659618740555</v>
      </c>
      <c r="CB59" s="767">
        <f t="shared" si="90"/>
        <v>2.0265238869818263</v>
      </c>
      <c r="CC59" s="767">
        <f t="shared" si="90"/>
        <v>1.987967127613651</v>
      </c>
      <c r="CD59" s="767">
        <f t="shared" si="90"/>
        <v>1.9615946342940487</v>
      </c>
      <c r="CE59" s="767">
        <f t="shared" si="90"/>
        <v>1.890605012928215</v>
      </c>
      <c r="CF59" s="767">
        <f t="shared" si="90"/>
        <v>1.7050056813756433</v>
      </c>
      <c r="CG59" s="767"/>
      <c r="CH59" s="767"/>
      <c r="CI59" s="767"/>
      <c r="CJ59" s="767"/>
      <c r="CK59" s="781">
        <f t="shared" si="58"/>
        <v>1.75</v>
      </c>
      <c r="CL59" s="783">
        <f t="shared" si="78"/>
        <v>1000000</v>
      </c>
      <c r="CM59" s="552"/>
      <c r="CN59" s="552"/>
      <c r="CO59" s="552"/>
      <c r="CP59" s="552"/>
      <c r="CQ59" s="552"/>
      <c r="CR59" s="552"/>
      <c r="CS59" s="552"/>
      <c r="CT59" s="552"/>
      <c r="CU59" s="552"/>
      <c r="CV59" s="552"/>
      <c r="CW59" s="552"/>
      <c r="CX59" s="552"/>
      <c r="CY59" s="558"/>
      <c r="CZ59" s="642">
        <f t="shared" si="39"/>
        <v>52</v>
      </c>
      <c r="DA59" s="609">
        <f t="shared" si="0"/>
        <v>58.5</v>
      </c>
      <c r="DB59" s="609">
        <f t="shared" si="22"/>
        <v>20.8</v>
      </c>
      <c r="DC59" s="610">
        <f t="shared" si="85"/>
        <v>133.92715468187131</v>
      </c>
      <c r="DD59" s="611">
        <f t="shared" si="85"/>
        <v>134.43692762283237</v>
      </c>
      <c r="DE59" s="612">
        <f t="shared" si="85"/>
        <v>134.88763475498129</v>
      </c>
      <c r="DF59" s="610">
        <f t="shared" si="86"/>
        <v>19.411764705882348</v>
      </c>
      <c r="DG59" s="611">
        <f t="shared" si="86"/>
        <v>22</v>
      </c>
      <c r="DH59" s="612">
        <f t="shared" si="86"/>
        <v>28.470588235294098</v>
      </c>
      <c r="DI59" s="610">
        <f t="shared" si="3"/>
        <v>153.33891938775366</v>
      </c>
      <c r="DJ59" s="611">
        <f t="shared" si="3"/>
        <v>156.43692762283237</v>
      </c>
      <c r="DK59" s="612">
        <f t="shared" si="3"/>
        <v>163.35822299027538</v>
      </c>
      <c r="DL59" s="613">
        <f t="shared" si="94"/>
        <v>153.33891938775366</v>
      </c>
      <c r="DM59" s="613">
        <f t="shared" si="94"/>
        <v>156.43692762283237</v>
      </c>
      <c r="DN59" s="613">
        <f t="shared" si="94"/>
        <v>163.35822299027538</v>
      </c>
      <c r="DO59" s="609">
        <f t="shared" si="5"/>
        <v>135</v>
      </c>
      <c r="DP59" s="609"/>
      <c r="DQ59" s="609">
        <f t="shared" si="24"/>
        <v>20.8</v>
      </c>
      <c r="DR59" s="610">
        <f t="shared" si="79"/>
        <v>0.24938291913730395</v>
      </c>
      <c r="DS59" s="611">
        <f t="shared" si="79"/>
        <v>0.14833767878273096</v>
      </c>
      <c r="DT59" s="612">
        <f t="shared" si="79"/>
        <v>3.8308312264244367E-2</v>
      </c>
      <c r="DU59" s="611">
        <f t="shared" si="95"/>
        <v>0.26134457357038204</v>
      </c>
      <c r="DV59" s="611">
        <f t="shared" si="95"/>
        <v>0.15643531471809441</v>
      </c>
      <c r="DW59" s="611">
        <f t="shared" si="95"/>
        <v>4.1043274946659158E-2</v>
      </c>
      <c r="DX59" s="614">
        <f t="shared" si="7"/>
        <v>12.5</v>
      </c>
      <c r="DY59" s="615"/>
      <c r="DZ59" s="609">
        <f t="shared" si="25"/>
        <v>20.8</v>
      </c>
      <c r="EA59" s="611">
        <f t="shared" si="87"/>
        <v>2.1066095041322317</v>
      </c>
      <c r="EB59" s="611">
        <f t="shared" si="87"/>
        <v>2.4587941176470594</v>
      </c>
      <c r="EC59" s="611">
        <f t="shared" si="87"/>
        <v>1000000</v>
      </c>
      <c r="ED59" s="610">
        <f t="shared" si="88"/>
        <v>0.22002999999999975</v>
      </c>
      <c r="EE59" s="611">
        <f t="shared" si="88"/>
        <v>0.22005999999999976</v>
      </c>
      <c r="EF59" s="612">
        <f t="shared" si="88"/>
        <v>0.22012499999999974</v>
      </c>
      <c r="EG59" s="611">
        <f t="shared" si="10"/>
        <v>2.3266395041322316</v>
      </c>
      <c r="EH59" s="611">
        <f t="shared" si="10"/>
        <v>2.6788541176470591</v>
      </c>
      <c r="EI59" s="611">
        <f t="shared" si="10"/>
        <v>1000000.220125</v>
      </c>
      <c r="EJ59" s="610">
        <f t="shared" si="26"/>
        <v>2.2999999999999998</v>
      </c>
      <c r="EK59" s="643">
        <f t="shared" si="27"/>
        <v>2.25</v>
      </c>
      <c r="EL59" s="644">
        <f t="shared" si="28"/>
        <v>2.83</v>
      </c>
      <c r="EN59" s="620">
        <f t="shared" si="29"/>
        <v>11.33888888888889</v>
      </c>
      <c r="EO59" s="621">
        <f t="shared" si="40"/>
        <v>94.375674150943837</v>
      </c>
      <c r="EP59" s="621">
        <f t="shared" si="40"/>
        <v>104.5269596007997</v>
      </c>
      <c r="EQ59" s="621">
        <f t="shared" si="40"/>
        <v>112.83493415814533</v>
      </c>
      <c r="ER59" s="610">
        <f t="shared" si="80"/>
        <v>56.544234271820315</v>
      </c>
      <c r="ES59" s="611">
        <f t="shared" si="80"/>
        <v>79.705149313239872</v>
      </c>
      <c r="ET59" s="612">
        <f t="shared" si="80"/>
        <v>104.11371239239796</v>
      </c>
      <c r="EU59" s="610">
        <f t="shared" si="30"/>
        <v>100</v>
      </c>
      <c r="EV59" s="611">
        <f t="shared" si="31"/>
        <v>135</v>
      </c>
      <c r="EW59" s="645">
        <f t="shared" si="32"/>
        <v>1000000</v>
      </c>
      <c r="EX59" s="610">
        <f t="shared" si="13"/>
        <v>-37.831439879123522</v>
      </c>
      <c r="EY59" s="621">
        <f t="shared" si="14"/>
        <v>-24.821810287559835</v>
      </c>
      <c r="EZ59" s="612">
        <f t="shared" si="15"/>
        <v>-8.7212217657473801</v>
      </c>
      <c r="FA59" s="646">
        <f t="shared" si="16"/>
        <v>11.33888888888889</v>
      </c>
      <c r="FB59" s="317"/>
      <c r="FC59" s="552"/>
      <c r="FD59" s="552"/>
      <c r="FE59" s="552"/>
      <c r="FF59" s="666">
        <f>(FU59/FI59)*100</f>
        <v>5.9222190590506738</v>
      </c>
      <c r="FG59" s="552"/>
      <c r="FH59" s="552"/>
      <c r="FI59" s="806">
        <f>(FH58+FI58+FJ58)</f>
        <v>4831.1000000000004</v>
      </c>
      <c r="FJ59" s="552"/>
      <c r="FK59" s="552"/>
      <c r="FL59" s="552"/>
      <c r="FM59" s="552"/>
      <c r="FN59" s="552"/>
      <c r="FO59" s="552"/>
      <c r="FP59" s="552"/>
      <c r="FQ59" s="552"/>
      <c r="FR59" s="552"/>
      <c r="FS59" s="552"/>
      <c r="FT59" s="552"/>
      <c r="FU59" s="806">
        <f>(FT58+FU58+FV58)</f>
        <v>286.10832496179711</v>
      </c>
    </row>
    <row r="60" spans="2:181" s="564" customFormat="1" ht="15" customHeight="1" x14ac:dyDescent="0.2">
      <c r="B60" s="647">
        <f t="shared" si="96"/>
        <v>48</v>
      </c>
      <c r="C60" s="652">
        <f>$E$8</f>
        <v>122.5</v>
      </c>
      <c r="D60" s="771">
        <f>$B$8</f>
        <v>1.8</v>
      </c>
      <c r="E60" s="772">
        <f t="shared" si="49"/>
        <v>2.5520833333333335</v>
      </c>
      <c r="F60" s="689"/>
      <c r="G60" s="747">
        <f t="shared" si="50"/>
        <v>1.8505919544406459</v>
      </c>
      <c r="H60" s="748">
        <f t="shared" si="60"/>
        <v>2.5595458541243909E-3</v>
      </c>
      <c r="I60" s="689"/>
      <c r="J60" s="773">
        <f t="shared" si="82"/>
        <v>23</v>
      </c>
      <c r="K60" s="774">
        <f t="shared" si="61"/>
        <v>25.875</v>
      </c>
      <c r="L60" s="747">
        <f t="shared" si="91"/>
        <v>2.0733908453608247</v>
      </c>
      <c r="M60" s="751">
        <f t="shared" si="91"/>
        <v>2.0706976804123713</v>
      </c>
      <c r="N60" s="751">
        <f t="shared" si="91"/>
        <v>2.0660465206185568</v>
      </c>
      <c r="O60" s="751">
        <f t="shared" si="91"/>
        <v>2.0613953608247422</v>
      </c>
      <c r="P60" s="751">
        <f t="shared" si="91"/>
        <v>2.0524618556701033</v>
      </c>
      <c r="Q60" s="751">
        <f t="shared" si="91"/>
        <v>2.0472492783505154</v>
      </c>
      <c r="R60" s="751">
        <f t="shared" si="91"/>
        <v>2.0273824742268043</v>
      </c>
      <c r="S60" s="751">
        <f t="shared" si="91"/>
        <v>2.0186882886597939</v>
      </c>
      <c r="T60" s="752">
        <f t="shared" si="91"/>
        <v>2.006237113402062</v>
      </c>
      <c r="U60" s="753">
        <f t="shared" si="91"/>
        <v>1.9255896907216496</v>
      </c>
      <c r="W60" s="773">
        <f t="shared" si="63"/>
        <v>25.875</v>
      </c>
      <c r="X60" s="775">
        <f t="shared" si="92"/>
        <v>-1.5989010940066169E-2</v>
      </c>
      <c r="Y60" s="776">
        <f t="shared" si="92"/>
        <v>-1.5993574828955057E-2</v>
      </c>
      <c r="Z60" s="776">
        <f t="shared" si="92"/>
        <v>-1.6001456773399501E-2</v>
      </c>
      <c r="AA60" s="776">
        <f t="shared" si="92"/>
        <v>-1.6009338717843945E-2</v>
      </c>
      <c r="AB60" s="776">
        <f t="shared" si="92"/>
        <v>-1.6024477606732836E-2</v>
      </c>
      <c r="AC60" s="776">
        <f t="shared" si="92"/>
        <v>-1.6033310940066169E-2</v>
      </c>
      <c r="AD60" s="776">
        <f t="shared" si="92"/>
        <v>-1.6066977606732837E-2</v>
      </c>
      <c r="AE60" s="776">
        <f t="shared" si="92"/>
        <v>-1.608171094006617E-2</v>
      </c>
      <c r="AF60" s="777">
        <f t="shared" si="92"/>
        <v>-1.6102810940066169E-2</v>
      </c>
      <c r="AG60" s="778">
        <f t="shared" si="92"/>
        <v>-1.6239477606732836E-2</v>
      </c>
      <c r="AI60" s="773">
        <f t="shared" si="65"/>
        <v>25.875</v>
      </c>
      <c r="AJ60" s="747">
        <f t="shared" si="53"/>
        <v>2.0574018344207587</v>
      </c>
      <c r="AK60" s="751">
        <f t="shared" si="53"/>
        <v>2.0547041055834163</v>
      </c>
      <c r="AL60" s="751">
        <f t="shared" si="53"/>
        <v>2.0500450638451571</v>
      </c>
      <c r="AM60" s="751">
        <f t="shared" si="53"/>
        <v>2.0453860221068982</v>
      </c>
      <c r="AN60" s="751">
        <f t="shared" si="53"/>
        <v>2.0364373780633707</v>
      </c>
      <c r="AO60" s="751">
        <f t="shared" si="53"/>
        <v>2.0312159674104491</v>
      </c>
      <c r="AP60" s="751">
        <f t="shared" si="53"/>
        <v>2.0113154966200715</v>
      </c>
      <c r="AQ60" s="751">
        <f t="shared" si="53"/>
        <v>2.0026065777197277</v>
      </c>
      <c r="AR60" s="752">
        <f t="shared" si="53"/>
        <v>1.9901343024619957</v>
      </c>
      <c r="AS60" s="751">
        <f t="shared" si="53"/>
        <v>1.9093502131149167</v>
      </c>
      <c r="AT60" s="674">
        <f t="shared" si="66"/>
        <v>1.75</v>
      </c>
      <c r="AU60" s="712">
        <f t="shared" si="67"/>
        <v>1.8</v>
      </c>
      <c r="AV60" s="712">
        <f t="shared" si="68"/>
        <v>1.81</v>
      </c>
      <c r="AW60" s="712">
        <f t="shared" si="69"/>
        <v>1.83</v>
      </c>
      <c r="AX60" s="712">
        <f t="shared" si="70"/>
        <v>1.84</v>
      </c>
      <c r="AY60" s="712">
        <f t="shared" si="71"/>
        <v>1.86</v>
      </c>
      <c r="AZ60" s="712">
        <f t="shared" si="72"/>
        <v>1.88</v>
      </c>
      <c r="BA60" s="712">
        <f t="shared" si="73"/>
        <v>1.9</v>
      </c>
      <c r="BB60" s="712">
        <f t="shared" si="74"/>
        <v>1.92</v>
      </c>
      <c r="BC60" s="779">
        <f t="shared" si="75"/>
        <v>1000000</v>
      </c>
      <c r="BD60" s="780">
        <f t="shared" si="76"/>
        <v>-1000000</v>
      </c>
      <c r="BF60" s="781">
        <f t="shared" si="93"/>
        <v>2.05784357272017</v>
      </c>
      <c r="BG60" s="767">
        <f t="shared" si="93"/>
        <v>2.02251814303047</v>
      </c>
      <c r="BH60" s="767">
        <f t="shared" si="93"/>
        <v>1.984853006370692</v>
      </c>
      <c r="BI60" s="767">
        <f t="shared" si="93"/>
        <v>1.9584996261249412</v>
      </c>
      <c r="BJ60" s="767">
        <f t="shared" si="93"/>
        <v>1.8744448097456055</v>
      </c>
      <c r="BK60" s="767">
        <f t="shared" si="93"/>
        <v>1.4955728708376164</v>
      </c>
      <c r="BL60" s="767">
        <f t="shared" si="93"/>
        <v>2.0629282754028631</v>
      </c>
      <c r="BM60" s="767">
        <f t="shared" si="93"/>
        <v>2.0453168594807991</v>
      </c>
      <c r="BN60" s="767">
        <f t="shared" si="93"/>
        <v>2.0337223145362424</v>
      </c>
      <c r="BO60" s="782">
        <f t="shared" si="93"/>
        <v>2.016896598771043</v>
      </c>
      <c r="BP60" s="781">
        <f t="shared" si="55"/>
        <v>2.05784357272017</v>
      </c>
      <c r="BQ60" s="767">
        <f t="shared" si="55"/>
        <v>2.02251814303047</v>
      </c>
      <c r="BR60" s="767">
        <f t="shared" si="55"/>
        <v>1.984853006370692</v>
      </c>
      <c r="BS60" s="767">
        <f t="shared" si="55"/>
        <v>1.9584996261249412</v>
      </c>
      <c r="BT60" s="767">
        <f t="shared" si="55"/>
        <v>1.8744448097456055</v>
      </c>
      <c r="BU60" s="767">
        <f t="shared" si="55"/>
        <v>1.4955728708376164</v>
      </c>
      <c r="BV60" s="767">
        <f t="shared" si="55"/>
        <v>-1000000</v>
      </c>
      <c r="BW60" s="767">
        <f t="shared" si="55"/>
        <v>-1000000</v>
      </c>
      <c r="BX60" s="767">
        <f t="shared" si="55"/>
        <v>-1000000</v>
      </c>
      <c r="BY60" s="767">
        <f t="shared" si="55"/>
        <v>-1000000</v>
      </c>
      <c r="BZ60" s="648">
        <f t="shared" si="56"/>
        <v>23</v>
      </c>
      <c r="CA60" s="767">
        <f t="shared" si="90"/>
        <v>2.05784357272017</v>
      </c>
      <c r="CB60" s="767">
        <f t="shared" si="90"/>
        <v>2.02251814303047</v>
      </c>
      <c r="CC60" s="767">
        <f t="shared" si="90"/>
        <v>1.984853006370692</v>
      </c>
      <c r="CD60" s="767">
        <f t="shared" si="90"/>
        <v>1.9584996261249412</v>
      </c>
      <c r="CE60" s="767">
        <f t="shared" si="90"/>
        <v>1.8744448097456055</v>
      </c>
      <c r="CF60" s="767"/>
      <c r="CG60" s="767"/>
      <c r="CH60" s="767"/>
      <c r="CI60" s="767"/>
      <c r="CJ60" s="767"/>
      <c r="CK60" s="781">
        <f t="shared" si="58"/>
        <v>1.75</v>
      </c>
      <c r="CL60" s="783">
        <f t="shared" si="78"/>
        <v>1000000</v>
      </c>
      <c r="CM60" s="552"/>
      <c r="CN60" s="552"/>
      <c r="CO60" s="552"/>
      <c r="CP60" s="552"/>
      <c r="CQ60" s="552"/>
      <c r="CR60" s="552"/>
      <c r="CS60" s="552"/>
      <c r="CT60" s="552"/>
      <c r="CU60" s="552"/>
      <c r="CV60" s="552"/>
      <c r="CW60" s="552"/>
      <c r="CX60" s="552"/>
      <c r="CY60" s="558"/>
      <c r="CZ60" s="642">
        <f t="shared" si="39"/>
        <v>53</v>
      </c>
      <c r="DA60" s="609">
        <f t="shared" si="0"/>
        <v>59.625</v>
      </c>
      <c r="DB60" s="609">
        <f t="shared" si="22"/>
        <v>21.2</v>
      </c>
      <c r="DC60" s="610">
        <f t="shared" si="85"/>
        <v>134.02241077679849</v>
      </c>
      <c r="DD60" s="611">
        <f t="shared" si="85"/>
        <v>134.49324338842922</v>
      </c>
      <c r="DE60" s="612">
        <f t="shared" si="85"/>
        <v>134.90195917227786</v>
      </c>
      <c r="DF60" s="610">
        <f t="shared" si="86"/>
        <v>19.411764705882348</v>
      </c>
      <c r="DG60" s="611">
        <f t="shared" si="86"/>
        <v>22</v>
      </c>
      <c r="DH60" s="612">
        <f t="shared" si="86"/>
        <v>28.470588235294098</v>
      </c>
      <c r="DI60" s="610">
        <f t="shared" si="3"/>
        <v>153.43417548268084</v>
      </c>
      <c r="DJ60" s="611">
        <f t="shared" si="3"/>
        <v>156.49324338842922</v>
      </c>
      <c r="DK60" s="612">
        <f t="shared" si="3"/>
        <v>163.37254740757194</v>
      </c>
      <c r="DL60" s="613">
        <f t="shared" si="94"/>
        <v>153.43417548268084</v>
      </c>
      <c r="DM60" s="613">
        <f t="shared" si="94"/>
        <v>156.49324338842922</v>
      </c>
      <c r="DN60" s="613">
        <f t="shared" si="94"/>
        <v>163.37254740757194</v>
      </c>
      <c r="DO60" s="609">
        <f t="shared" si="5"/>
        <v>135</v>
      </c>
      <c r="DP60" s="609"/>
      <c r="DQ60" s="609">
        <f t="shared" si="24"/>
        <v>21.2</v>
      </c>
      <c r="DR60" s="610">
        <f t="shared" si="79"/>
        <v>0.22724063765725316</v>
      </c>
      <c r="DS60" s="611">
        <f t="shared" si="79"/>
        <v>0.13350166429107993</v>
      </c>
      <c r="DT60" s="612">
        <f t="shared" si="79"/>
        <v>3.3424735935026213E-2</v>
      </c>
      <c r="DU60" s="611">
        <f t="shared" si="95"/>
        <v>0.23814023731795059</v>
      </c>
      <c r="DV60" s="611">
        <f t="shared" si="95"/>
        <v>0.14078941399212447</v>
      </c>
      <c r="DW60" s="611">
        <f t="shared" si="95"/>
        <v>3.5811043241409504E-2</v>
      </c>
      <c r="DX60" s="614">
        <f t="shared" si="7"/>
        <v>12.5</v>
      </c>
      <c r="DY60" s="615"/>
      <c r="DZ60" s="609">
        <f t="shared" si="25"/>
        <v>21.2</v>
      </c>
      <c r="EA60" s="611">
        <f t="shared" si="87"/>
        <v>2.1070567226890757</v>
      </c>
      <c r="EB60" s="611">
        <f t="shared" si="87"/>
        <v>2.5753461538461537</v>
      </c>
      <c r="EC60" s="611">
        <f t="shared" si="87"/>
        <v>1000000</v>
      </c>
      <c r="ED60" s="610">
        <f t="shared" si="88"/>
        <v>0.22002999999999975</v>
      </c>
      <c r="EE60" s="611">
        <f t="shared" si="88"/>
        <v>0.22005999999999976</v>
      </c>
      <c r="EF60" s="612">
        <f t="shared" si="88"/>
        <v>0.22012499999999974</v>
      </c>
      <c r="EG60" s="611">
        <f t="shared" si="10"/>
        <v>2.3270867226890757</v>
      </c>
      <c r="EH60" s="611">
        <f t="shared" si="10"/>
        <v>2.7954061538461534</v>
      </c>
      <c r="EI60" s="611">
        <f t="shared" si="10"/>
        <v>1000000.220125</v>
      </c>
      <c r="EJ60" s="610">
        <f t="shared" si="26"/>
        <v>2.2999999999999998</v>
      </c>
      <c r="EK60" s="643">
        <f t="shared" si="27"/>
        <v>2.25</v>
      </c>
      <c r="EL60" s="644">
        <f t="shared" si="28"/>
        <v>2.83</v>
      </c>
      <c r="EN60" s="620">
        <f t="shared" si="29"/>
        <v>11.556944444444445</v>
      </c>
      <c r="EO60" s="621">
        <f t="shared" si="40"/>
        <v>93.594938388708968</v>
      </c>
      <c r="EP60" s="621">
        <f t="shared" si="40"/>
        <v>103.94122164899645</v>
      </c>
      <c r="EQ60" s="621">
        <f t="shared" si="40"/>
        <v>112.40883211733804</v>
      </c>
      <c r="ER60" s="610">
        <f t="shared" si="80"/>
        <v>55.757682704850083</v>
      </c>
      <c r="ES60" s="611">
        <f t="shared" si="80"/>
        <v>78.913014961309344</v>
      </c>
      <c r="ET60" s="612">
        <f t="shared" si="80"/>
        <v>103.32795479919126</v>
      </c>
      <c r="EU60" s="610">
        <f t="shared" si="30"/>
        <v>100</v>
      </c>
      <c r="EV60" s="611">
        <f t="shared" si="31"/>
        <v>135</v>
      </c>
      <c r="EW60" s="645">
        <f t="shared" si="32"/>
        <v>1000000</v>
      </c>
      <c r="EX60" s="610">
        <f t="shared" si="13"/>
        <v>-37.837255683858885</v>
      </c>
      <c r="EY60" s="621">
        <f t="shared" si="14"/>
        <v>-25.028206687687103</v>
      </c>
      <c r="EZ60" s="612">
        <f t="shared" si="15"/>
        <v>-9.0808773181467792</v>
      </c>
      <c r="FA60" s="646">
        <f t="shared" si="16"/>
        <v>11.556944444444445</v>
      </c>
      <c r="FB60" s="317"/>
      <c r="FC60" s="552"/>
      <c r="FD60" s="552"/>
      <c r="FE60" s="552"/>
      <c r="FF60" s="552"/>
      <c r="FG60" s="552"/>
      <c r="FH60" s="552"/>
      <c r="FI60" s="552"/>
      <c r="FJ60" s="552"/>
      <c r="FK60" s="552"/>
      <c r="FL60" s="552"/>
      <c r="FM60" s="552"/>
      <c r="FN60" s="552"/>
      <c r="FO60" s="552"/>
      <c r="FP60" s="552"/>
      <c r="FQ60" s="552"/>
      <c r="FR60" s="552"/>
      <c r="FS60" s="552"/>
      <c r="FT60" s="552"/>
    </row>
    <row r="61" spans="2:181" s="564" customFormat="1" ht="15" customHeight="1" x14ac:dyDescent="0.2">
      <c r="B61" s="647">
        <f t="shared" si="96"/>
        <v>48</v>
      </c>
      <c r="C61" s="652">
        <f>$E$9</f>
        <v>121.5</v>
      </c>
      <c r="D61" s="771">
        <f>$B$9</f>
        <v>1.81</v>
      </c>
      <c r="E61" s="772">
        <f t="shared" si="49"/>
        <v>2.53125</v>
      </c>
      <c r="F61" s="689"/>
      <c r="G61" s="747">
        <f t="shared" si="50"/>
        <v>1.8613724050812313</v>
      </c>
      <c r="H61" s="748">
        <f t="shared" si="60"/>
        <v>2.639124003830109E-3</v>
      </c>
      <c r="I61" s="689"/>
      <c r="J61" s="773">
        <f t="shared" si="82"/>
        <v>24</v>
      </c>
      <c r="K61" s="774">
        <f t="shared" si="61"/>
        <v>27</v>
      </c>
      <c r="L61" s="747">
        <f t="shared" si="91"/>
        <v>2.0733220000000001</v>
      </c>
      <c r="M61" s="751">
        <f t="shared" si="91"/>
        <v>2.07060078125</v>
      </c>
      <c r="N61" s="751">
        <f t="shared" si="91"/>
        <v>2.0659011718750002</v>
      </c>
      <c r="O61" s="751">
        <f t="shared" si="91"/>
        <v>2.0612015625</v>
      </c>
      <c r="P61" s="751">
        <f t="shared" si="91"/>
        <v>2.0521750000000001</v>
      </c>
      <c r="Q61" s="751">
        <f t="shared" si="91"/>
        <v>2.0469081249999999</v>
      </c>
      <c r="R61" s="751">
        <f t="shared" si="91"/>
        <v>2.026834375</v>
      </c>
      <c r="S61" s="751">
        <f t="shared" si="91"/>
        <v>2.0180496250000002</v>
      </c>
      <c r="T61" s="752">
        <f t="shared" si="91"/>
        <v>2.0054687499999999</v>
      </c>
      <c r="U61" s="753">
        <f t="shared" si="91"/>
        <v>1.92398125</v>
      </c>
      <c r="W61" s="773">
        <f t="shared" si="63"/>
        <v>27</v>
      </c>
      <c r="X61" s="775">
        <f t="shared" si="92"/>
        <v>-2.0124553668591897E-2</v>
      </c>
      <c r="Y61" s="776">
        <f t="shared" si="92"/>
        <v>-2.0129117557480786E-2</v>
      </c>
      <c r="Z61" s="776">
        <f t="shared" si="92"/>
        <v>-2.013699950192523E-2</v>
      </c>
      <c r="AA61" s="776">
        <f t="shared" si="92"/>
        <v>-2.0144881446369674E-2</v>
      </c>
      <c r="AB61" s="776">
        <f t="shared" si="92"/>
        <v>-2.0160020335258565E-2</v>
      </c>
      <c r="AC61" s="776">
        <f t="shared" si="92"/>
        <v>-2.0168853668591898E-2</v>
      </c>
      <c r="AD61" s="776">
        <f t="shared" si="92"/>
        <v>-2.0202520335258566E-2</v>
      </c>
      <c r="AE61" s="776">
        <f t="shared" si="92"/>
        <v>-2.0217253668591898E-2</v>
      </c>
      <c r="AF61" s="777">
        <f t="shared" si="92"/>
        <v>-2.0238353668591898E-2</v>
      </c>
      <c r="AG61" s="778">
        <f t="shared" si="92"/>
        <v>-2.0375020335258565E-2</v>
      </c>
      <c r="AI61" s="773">
        <f t="shared" si="65"/>
        <v>27</v>
      </c>
      <c r="AJ61" s="747">
        <f t="shared" si="53"/>
        <v>2.0531974463314082</v>
      </c>
      <c r="AK61" s="751">
        <f t="shared" si="53"/>
        <v>2.0504716636925191</v>
      </c>
      <c r="AL61" s="751">
        <f t="shared" si="53"/>
        <v>2.0457641723730751</v>
      </c>
      <c r="AM61" s="751">
        <f t="shared" si="53"/>
        <v>2.0410566810536301</v>
      </c>
      <c r="AN61" s="751">
        <f t="shared" si="53"/>
        <v>2.0320149796647415</v>
      </c>
      <c r="AO61" s="751">
        <f t="shared" ref="AO61:AS92" si="97">Q61+AC61</f>
        <v>2.0267392713314081</v>
      </c>
      <c r="AP61" s="751">
        <f t="shared" si="97"/>
        <v>2.0066318546647413</v>
      </c>
      <c r="AQ61" s="751">
        <f t="shared" si="97"/>
        <v>1.9978323713314083</v>
      </c>
      <c r="AR61" s="752">
        <f t="shared" si="97"/>
        <v>1.985230396331408</v>
      </c>
      <c r="AS61" s="751">
        <f t="shared" si="97"/>
        <v>1.9036062296647414</v>
      </c>
      <c r="AT61" s="674">
        <f t="shared" si="66"/>
        <v>1.75</v>
      </c>
      <c r="AU61" s="712">
        <f t="shared" si="67"/>
        <v>1.8</v>
      </c>
      <c r="AV61" s="712">
        <f t="shared" si="68"/>
        <v>1.81</v>
      </c>
      <c r="AW61" s="712">
        <f t="shared" si="69"/>
        <v>1.83</v>
      </c>
      <c r="AX61" s="712">
        <f t="shared" si="70"/>
        <v>1.84</v>
      </c>
      <c r="AY61" s="712">
        <f t="shared" si="71"/>
        <v>1.86</v>
      </c>
      <c r="AZ61" s="712">
        <f t="shared" si="72"/>
        <v>1.88</v>
      </c>
      <c r="BA61" s="712">
        <f t="shared" si="73"/>
        <v>1.9</v>
      </c>
      <c r="BB61" s="712">
        <f t="shared" si="74"/>
        <v>1.92</v>
      </c>
      <c r="BC61" s="779">
        <f t="shared" si="75"/>
        <v>1000000</v>
      </c>
      <c r="BD61" s="780">
        <f t="shared" si="76"/>
        <v>-1000000</v>
      </c>
      <c r="BF61" s="781">
        <f t="shared" si="93"/>
        <v>2.053635974726217</v>
      </c>
      <c r="BG61" s="767">
        <f t="shared" si="93"/>
        <v>2.0187729729446966</v>
      </c>
      <c r="BH61" s="767">
        <f t="shared" si="93"/>
        <v>1.981968854121883</v>
      </c>
      <c r="BI61" s="767">
        <f t="shared" si="93"/>
        <v>1.9554436287942241</v>
      </c>
      <c r="BJ61" s="767">
        <f t="shared" si="93"/>
        <v>1.8520153800365717</v>
      </c>
      <c r="BK61" s="767">
        <f t="shared" si="93"/>
        <v>-3.872801892321559E-3</v>
      </c>
      <c r="BL61" s="767">
        <f t="shared" si="93"/>
        <v>2.0536729513421754</v>
      </c>
      <c r="BM61" s="767">
        <f t="shared" si="93"/>
        <v>2.0394683504449969</v>
      </c>
      <c r="BN61" s="767">
        <f t="shared" si="93"/>
        <v>2.0297233724416497</v>
      </c>
      <c r="BO61" s="782">
        <f t="shared" si="93"/>
        <v>2.0149808428613958</v>
      </c>
      <c r="BP61" s="781">
        <f t="shared" si="55"/>
        <v>2.053635974726217</v>
      </c>
      <c r="BQ61" s="767">
        <f t="shared" si="55"/>
        <v>2.0187729729446966</v>
      </c>
      <c r="BR61" s="767">
        <f t="shared" si="55"/>
        <v>1.981968854121883</v>
      </c>
      <c r="BS61" s="767">
        <f t="shared" si="55"/>
        <v>1.9554436287942241</v>
      </c>
      <c r="BT61" s="767">
        <f t="shared" si="55"/>
        <v>1.8520153800365717</v>
      </c>
      <c r="BU61" s="767">
        <f t="shared" ref="BU61:BY92" si="98">IF($BZ61*BK$34&lt;$AB$22,BK61,-1000000)</f>
        <v>-3.872801892321559E-3</v>
      </c>
      <c r="BV61" s="767">
        <f t="shared" si="98"/>
        <v>-1000000</v>
      </c>
      <c r="BW61" s="767">
        <f t="shared" si="98"/>
        <v>-1000000</v>
      </c>
      <c r="BX61" s="767">
        <f t="shared" si="98"/>
        <v>-1000000</v>
      </c>
      <c r="BY61" s="767">
        <f t="shared" si="98"/>
        <v>-1000000</v>
      </c>
      <c r="BZ61" s="648">
        <f t="shared" si="56"/>
        <v>24</v>
      </c>
      <c r="CA61" s="767">
        <f t="shared" si="90"/>
        <v>2.053635974726217</v>
      </c>
      <c r="CB61" s="767">
        <f t="shared" si="90"/>
        <v>2.0187729729446966</v>
      </c>
      <c r="CC61" s="767">
        <f t="shared" si="90"/>
        <v>1.981968854121883</v>
      </c>
      <c r="CD61" s="767">
        <f t="shared" si="90"/>
        <v>1.9554436287942241</v>
      </c>
      <c r="CE61" s="767">
        <f t="shared" si="90"/>
        <v>1.8520153800365717</v>
      </c>
      <c r="CF61" s="767"/>
      <c r="CG61" s="767"/>
      <c r="CH61" s="767"/>
      <c r="CI61" s="767"/>
      <c r="CJ61" s="767"/>
      <c r="CK61" s="781">
        <f t="shared" si="58"/>
        <v>1.75</v>
      </c>
      <c r="CL61" s="783">
        <f t="shared" si="78"/>
        <v>1000000</v>
      </c>
      <c r="CM61" s="552"/>
      <c r="CN61" s="552"/>
      <c r="CO61" s="552"/>
      <c r="CP61" s="552"/>
      <c r="CQ61" s="552"/>
      <c r="CR61" s="552"/>
      <c r="CS61" s="552"/>
      <c r="CT61" s="552"/>
      <c r="CU61" s="552"/>
      <c r="CV61" s="552"/>
      <c r="CW61" s="552"/>
      <c r="CX61" s="552"/>
      <c r="CY61" s="558"/>
      <c r="CZ61" s="642">
        <f t="shared" si="39"/>
        <v>54</v>
      </c>
      <c r="DA61" s="609">
        <f t="shared" si="0"/>
        <v>60.75</v>
      </c>
      <c r="DB61" s="609">
        <f t="shared" si="22"/>
        <v>21.6</v>
      </c>
      <c r="DC61" s="610">
        <f t="shared" si="85"/>
        <v>134.10920924650472</v>
      </c>
      <c r="DD61" s="611">
        <f t="shared" si="85"/>
        <v>134.54392672454921</v>
      </c>
      <c r="DE61" s="612">
        <f t="shared" si="85"/>
        <v>134.91445750063693</v>
      </c>
      <c r="DF61" s="610">
        <f t="shared" si="86"/>
        <v>19.411764705882348</v>
      </c>
      <c r="DG61" s="611">
        <f t="shared" si="86"/>
        <v>22</v>
      </c>
      <c r="DH61" s="612">
        <f t="shared" si="86"/>
        <v>28.470588235294098</v>
      </c>
      <c r="DI61" s="610">
        <f t="shared" si="3"/>
        <v>153.52097395238707</v>
      </c>
      <c r="DJ61" s="611">
        <f t="shared" si="3"/>
        <v>156.54392672454921</v>
      </c>
      <c r="DK61" s="612">
        <f t="shared" si="3"/>
        <v>163.38504573593102</v>
      </c>
      <c r="DL61" s="613">
        <f t="shared" si="94"/>
        <v>153.52097395238707</v>
      </c>
      <c r="DM61" s="613">
        <f t="shared" si="94"/>
        <v>156.54392672454921</v>
      </c>
      <c r="DN61" s="613">
        <f t="shared" si="94"/>
        <v>163.38504573593102</v>
      </c>
      <c r="DO61" s="609">
        <f t="shared" si="5"/>
        <v>135</v>
      </c>
      <c r="DP61" s="609"/>
      <c r="DQ61" s="609">
        <f t="shared" si="24"/>
        <v>21.6</v>
      </c>
      <c r="DR61" s="610">
        <f t="shared" si="79"/>
        <v>0.20706433135640809</v>
      </c>
      <c r="DS61" s="611">
        <f t="shared" si="79"/>
        <v>0.12014947594395735</v>
      </c>
      <c r="DT61" s="612">
        <f t="shared" si="79"/>
        <v>2.9163722082556999E-2</v>
      </c>
      <c r="DU61" s="611">
        <f t="shared" si="95"/>
        <v>0.21699617426555901</v>
      </c>
      <c r="DV61" s="611">
        <f t="shared" si="95"/>
        <v>0.12670834029996958</v>
      </c>
      <c r="DW61" s="611">
        <f t="shared" si="95"/>
        <v>3.1245820897680521E-2</v>
      </c>
      <c r="DX61" s="614">
        <f t="shared" si="7"/>
        <v>12.5</v>
      </c>
      <c r="DY61" s="615"/>
      <c r="DZ61" s="609">
        <f t="shared" si="25"/>
        <v>21.6</v>
      </c>
      <c r="EA61" s="611">
        <f t="shared" si="87"/>
        <v>2.1075192307692308</v>
      </c>
      <c r="EB61" s="611">
        <f t="shared" si="87"/>
        <v>2.7955000000000032</v>
      </c>
      <c r="EC61" s="611">
        <f t="shared" si="87"/>
        <v>1000000</v>
      </c>
      <c r="ED61" s="610">
        <f t="shared" si="88"/>
        <v>0.22002999999999975</v>
      </c>
      <c r="EE61" s="611">
        <f t="shared" si="88"/>
        <v>0.22005999999999976</v>
      </c>
      <c r="EF61" s="612">
        <f t="shared" si="88"/>
        <v>0.22012499999999974</v>
      </c>
      <c r="EG61" s="611">
        <f t="shared" si="10"/>
        <v>2.3275492307692307</v>
      </c>
      <c r="EH61" s="611">
        <f t="shared" si="10"/>
        <v>3.0155600000000029</v>
      </c>
      <c r="EI61" s="611">
        <f t="shared" si="10"/>
        <v>1000000.220125</v>
      </c>
      <c r="EJ61" s="610">
        <f t="shared" si="26"/>
        <v>2.2999999999999998</v>
      </c>
      <c r="EK61" s="643">
        <f t="shared" si="27"/>
        <v>2.25</v>
      </c>
      <c r="EL61" s="644">
        <f t="shared" si="28"/>
        <v>2.83</v>
      </c>
      <c r="EN61" s="620">
        <f t="shared" si="29"/>
        <v>11.775</v>
      </c>
      <c r="EO61" s="621">
        <f t="shared" si="40"/>
        <v>92.814221530082449</v>
      </c>
      <c r="EP61" s="621">
        <f t="shared" si="40"/>
        <v>103.35549433559159</v>
      </c>
      <c r="EQ61" s="621">
        <f t="shared" si="40"/>
        <v>111.98273570566866</v>
      </c>
      <c r="ER61" s="610">
        <f t="shared" si="80"/>
        <v>54.971901357574943</v>
      </c>
      <c r="ES61" s="611">
        <f t="shared" si="80"/>
        <v>78.130313517625297</v>
      </c>
      <c r="ET61" s="612">
        <f t="shared" si="80"/>
        <v>102.54842242010115</v>
      </c>
      <c r="EU61" s="610">
        <f t="shared" si="30"/>
        <v>100</v>
      </c>
      <c r="EV61" s="611">
        <f t="shared" si="31"/>
        <v>135</v>
      </c>
      <c r="EW61" s="645">
        <f t="shared" si="32"/>
        <v>1000000</v>
      </c>
      <c r="EX61" s="610">
        <f t="shared" si="13"/>
        <v>-37.842320172507506</v>
      </c>
      <c r="EY61" s="621">
        <f t="shared" si="14"/>
        <v>-25.225180817966297</v>
      </c>
      <c r="EZ61" s="612">
        <f t="shared" si="15"/>
        <v>-9.4343132855675087</v>
      </c>
      <c r="FA61" s="646">
        <f t="shared" si="16"/>
        <v>11.775</v>
      </c>
      <c r="FB61" s="317"/>
      <c r="FC61" s="552"/>
      <c r="FD61" s="552"/>
      <c r="FE61" s="552"/>
      <c r="FF61" s="552"/>
      <c r="FG61" s="552"/>
      <c r="FH61" s="552"/>
      <c r="FI61" s="552"/>
      <c r="FJ61" s="552"/>
      <c r="FK61" s="552"/>
      <c r="FL61" s="552"/>
      <c r="FM61" s="552"/>
      <c r="FN61" s="552"/>
      <c r="FO61" s="552"/>
      <c r="FP61" s="552"/>
      <c r="FQ61" s="552"/>
      <c r="FR61" s="552"/>
      <c r="FS61" s="552"/>
      <c r="FT61" s="552"/>
    </row>
    <row r="62" spans="2:181" s="564" customFormat="1" ht="15" customHeight="1" x14ac:dyDescent="0.2">
      <c r="B62" s="647">
        <f t="shared" si="96"/>
        <v>48</v>
      </c>
      <c r="C62" s="652">
        <f>$E$10</f>
        <v>120.5</v>
      </c>
      <c r="D62" s="771">
        <f>$B$10</f>
        <v>1.83</v>
      </c>
      <c r="E62" s="772">
        <f t="shared" si="49"/>
        <v>2.5104166666666665</v>
      </c>
      <c r="F62" s="689"/>
      <c r="G62" s="747">
        <f t="shared" si="50"/>
        <v>1.8706747310755218</v>
      </c>
      <c r="H62" s="748">
        <f t="shared" si="60"/>
        <v>1.6544337480660168E-3</v>
      </c>
      <c r="I62" s="689"/>
      <c r="J62" s="773">
        <f t="shared" si="82"/>
        <v>25</v>
      </c>
      <c r="K62" s="774">
        <f t="shared" si="61"/>
        <v>28.125</v>
      </c>
      <c r="L62" s="747">
        <f t="shared" si="91"/>
        <v>2.0732517052631581</v>
      </c>
      <c r="M62" s="751">
        <f t="shared" si="91"/>
        <v>2.0705018421052634</v>
      </c>
      <c r="N62" s="751">
        <f t="shared" si="91"/>
        <v>2.0657527631578949</v>
      </c>
      <c r="O62" s="751">
        <f t="shared" si="91"/>
        <v>2.0610036842105264</v>
      </c>
      <c r="P62" s="751">
        <f t="shared" si="91"/>
        <v>2.0518821052631582</v>
      </c>
      <c r="Q62" s="751">
        <f t="shared" si="91"/>
        <v>2.0465597894736844</v>
      </c>
      <c r="R62" s="751">
        <f t="shared" si="91"/>
        <v>2.0262747368421055</v>
      </c>
      <c r="S62" s="751">
        <f t="shared" si="91"/>
        <v>2.0173975157894737</v>
      </c>
      <c r="T62" s="752">
        <f t="shared" si="91"/>
        <v>2.0046842105263161</v>
      </c>
      <c r="U62" s="753">
        <f t="shared" si="91"/>
        <v>1.9223389473684211</v>
      </c>
      <c r="W62" s="773">
        <f t="shared" si="63"/>
        <v>28.125</v>
      </c>
      <c r="X62" s="775">
        <f t="shared" si="92"/>
        <v>-2.4053935853206844E-2</v>
      </c>
      <c r="Y62" s="776">
        <f t="shared" si="92"/>
        <v>-2.4058499742095733E-2</v>
      </c>
      <c r="Z62" s="776">
        <f t="shared" si="92"/>
        <v>-2.4066381686540177E-2</v>
      </c>
      <c r="AA62" s="776">
        <f t="shared" si="92"/>
        <v>-2.4074263630984621E-2</v>
      </c>
      <c r="AB62" s="776">
        <f t="shared" si="92"/>
        <v>-2.4089402519873512E-2</v>
      </c>
      <c r="AC62" s="776">
        <f t="shared" si="92"/>
        <v>-2.4098235853206845E-2</v>
      </c>
      <c r="AD62" s="776">
        <f t="shared" si="92"/>
        <v>-2.4131902519873513E-2</v>
      </c>
      <c r="AE62" s="776">
        <f t="shared" si="92"/>
        <v>-2.4146635853206845E-2</v>
      </c>
      <c r="AF62" s="777">
        <f t="shared" si="92"/>
        <v>-2.4167735853206845E-2</v>
      </c>
      <c r="AG62" s="778">
        <f t="shared" si="92"/>
        <v>-2.4304402519873512E-2</v>
      </c>
      <c r="AI62" s="773">
        <f t="shared" si="65"/>
        <v>28.125</v>
      </c>
      <c r="AJ62" s="747">
        <f t="shared" ref="AJ62:AS93" si="99">L62+X62</f>
        <v>2.0491977694099512</v>
      </c>
      <c r="AK62" s="751">
        <f t="shared" si="99"/>
        <v>2.0464433423631676</v>
      </c>
      <c r="AL62" s="751">
        <f t="shared" si="99"/>
        <v>2.0416863814713548</v>
      </c>
      <c r="AM62" s="751">
        <f t="shared" si="99"/>
        <v>2.0369294205795416</v>
      </c>
      <c r="AN62" s="751">
        <f t="shared" si="99"/>
        <v>2.0277927027432847</v>
      </c>
      <c r="AO62" s="751">
        <f t="shared" si="97"/>
        <v>2.0224615536204777</v>
      </c>
      <c r="AP62" s="751">
        <f t="shared" si="97"/>
        <v>2.0021428343222318</v>
      </c>
      <c r="AQ62" s="751">
        <f t="shared" si="97"/>
        <v>1.9932508799362669</v>
      </c>
      <c r="AR62" s="752">
        <f t="shared" si="97"/>
        <v>1.9805164746731092</v>
      </c>
      <c r="AS62" s="751">
        <f t="shared" si="97"/>
        <v>1.8980345448485476</v>
      </c>
      <c r="AT62" s="674">
        <f t="shared" si="66"/>
        <v>1.75</v>
      </c>
      <c r="AU62" s="712">
        <f t="shared" si="67"/>
        <v>1.8</v>
      </c>
      <c r="AV62" s="712">
        <f t="shared" si="68"/>
        <v>1.81</v>
      </c>
      <c r="AW62" s="712">
        <f t="shared" si="69"/>
        <v>1.83</v>
      </c>
      <c r="AX62" s="712">
        <f t="shared" si="70"/>
        <v>1.84</v>
      </c>
      <c r="AY62" s="712">
        <f t="shared" si="71"/>
        <v>1.86</v>
      </c>
      <c r="AZ62" s="712">
        <f t="shared" si="72"/>
        <v>1.88</v>
      </c>
      <c r="BA62" s="712">
        <f t="shared" si="73"/>
        <v>1.9</v>
      </c>
      <c r="BB62" s="712">
        <f t="shared" si="74"/>
        <v>1.92</v>
      </c>
      <c r="BC62" s="779">
        <f t="shared" si="75"/>
        <v>1000000</v>
      </c>
      <c r="BD62" s="780">
        <f t="shared" si="76"/>
        <v>-1000000</v>
      </c>
      <c r="BF62" s="781">
        <f t="shared" si="93"/>
        <v>2.0496323942552537</v>
      </c>
      <c r="BG62" s="767">
        <f t="shared" si="93"/>
        <v>2.0152697370316028</v>
      </c>
      <c r="BH62" s="767">
        <f t="shared" si="93"/>
        <v>1.9792848796997136</v>
      </c>
      <c r="BI62" s="767">
        <f t="shared" si="93"/>
        <v>1.9523713685127078</v>
      </c>
      <c r="BJ62" s="767">
        <f t="shared" si="93"/>
        <v>1.8184411054298966</v>
      </c>
      <c r="BK62" s="767">
        <f t="shared" si="93"/>
        <v>2.9345449526712621</v>
      </c>
      <c r="BL62" s="767">
        <f t="shared" si="93"/>
        <v>2.0462960555679706</v>
      </c>
      <c r="BM62" s="767">
        <f t="shared" si="93"/>
        <v>2.0345944531418954</v>
      </c>
      <c r="BN62" s="767">
        <f t="shared" si="93"/>
        <v>2.0262877336423211</v>
      </c>
      <c r="BO62" s="782">
        <f t="shared" si="93"/>
        <v>2.0132582000676673</v>
      </c>
      <c r="BP62" s="781">
        <f t="shared" ref="BP62:BY93" si="100">IF($BZ62*BF$34&lt;$AB$22,BF62,-1000000)</f>
        <v>2.0496323942552537</v>
      </c>
      <c r="BQ62" s="767">
        <f t="shared" si="100"/>
        <v>2.0152697370316028</v>
      </c>
      <c r="BR62" s="767">
        <f t="shared" si="100"/>
        <v>1.9792848796997136</v>
      </c>
      <c r="BS62" s="767">
        <f t="shared" si="100"/>
        <v>1.9523713685127078</v>
      </c>
      <c r="BT62" s="767">
        <f t="shared" si="100"/>
        <v>1.8184411054298966</v>
      </c>
      <c r="BU62" s="767">
        <f t="shared" si="98"/>
        <v>-1000000</v>
      </c>
      <c r="BV62" s="767">
        <f t="shared" si="98"/>
        <v>-1000000</v>
      </c>
      <c r="BW62" s="767">
        <f t="shared" si="98"/>
        <v>-1000000</v>
      </c>
      <c r="BX62" s="767">
        <f t="shared" si="98"/>
        <v>-1000000</v>
      </c>
      <c r="BY62" s="767">
        <f t="shared" si="98"/>
        <v>-1000000</v>
      </c>
      <c r="BZ62" s="648">
        <f t="shared" si="56"/>
        <v>25</v>
      </c>
      <c r="CA62" s="767">
        <f t="shared" si="90"/>
        <v>2.0496323942552537</v>
      </c>
      <c r="CB62" s="767">
        <f t="shared" si="90"/>
        <v>2.0152697370316028</v>
      </c>
      <c r="CC62" s="767">
        <f t="shared" si="90"/>
        <v>1.9792848796997136</v>
      </c>
      <c r="CD62" s="767">
        <f t="shared" si="90"/>
        <v>1.9523713685127078</v>
      </c>
      <c r="CE62" s="767">
        <f t="shared" si="90"/>
        <v>1.8184411054298966</v>
      </c>
      <c r="CF62" s="767"/>
      <c r="CG62" s="767"/>
      <c r="CH62" s="767"/>
      <c r="CI62" s="767"/>
      <c r="CJ62" s="767"/>
      <c r="CK62" s="781">
        <f t="shared" si="58"/>
        <v>1.75</v>
      </c>
      <c r="CL62" s="783">
        <f t="shared" si="78"/>
        <v>1000000</v>
      </c>
      <c r="CM62" s="552"/>
      <c r="CN62" s="552"/>
      <c r="CO62" s="552"/>
      <c r="CP62" s="552"/>
      <c r="CQ62" s="552"/>
      <c r="CR62" s="552"/>
      <c r="CS62" s="552"/>
      <c r="CT62" s="552"/>
      <c r="CU62" s="552"/>
      <c r="CV62" s="552"/>
      <c r="CW62" s="552"/>
      <c r="CX62" s="552"/>
      <c r="CY62" s="552"/>
      <c r="CZ62" s="642">
        <f t="shared" si="39"/>
        <v>55</v>
      </c>
      <c r="DA62" s="609">
        <f t="shared" si="0"/>
        <v>61.875</v>
      </c>
      <c r="DB62" s="609">
        <f t="shared" si="22"/>
        <v>22</v>
      </c>
      <c r="DC62" s="610">
        <f t="shared" si="85"/>
        <v>134.18830102902115</v>
      </c>
      <c r="DD62" s="611">
        <f t="shared" si="85"/>
        <v>134.58954095944466</v>
      </c>
      <c r="DE62" s="612">
        <f t="shared" si="85"/>
        <v>134.92536253143416</v>
      </c>
      <c r="DF62" s="610">
        <f t="shared" si="86"/>
        <v>19.411764705882348</v>
      </c>
      <c r="DG62" s="611">
        <f t="shared" si="86"/>
        <v>22</v>
      </c>
      <c r="DH62" s="612">
        <f t="shared" si="86"/>
        <v>28.470588235294098</v>
      </c>
      <c r="DI62" s="610">
        <f t="shared" si="3"/>
        <v>153.6000657349035</v>
      </c>
      <c r="DJ62" s="611">
        <f t="shared" si="3"/>
        <v>156.58954095944466</v>
      </c>
      <c r="DK62" s="612">
        <f t="shared" si="3"/>
        <v>163.39595076672825</v>
      </c>
      <c r="DL62" s="613">
        <f t="shared" si="94"/>
        <v>153.6000657349035</v>
      </c>
      <c r="DM62" s="613">
        <f t="shared" si="94"/>
        <v>156.58954095944466</v>
      </c>
      <c r="DN62" s="613">
        <f t="shared" si="94"/>
        <v>163.39595076672825</v>
      </c>
      <c r="DO62" s="609">
        <f t="shared" si="5"/>
        <v>135</v>
      </c>
      <c r="DP62" s="609"/>
      <c r="DQ62" s="609">
        <f t="shared" si="24"/>
        <v>22</v>
      </c>
      <c r="DR62" s="610">
        <f t="shared" si="79"/>
        <v>0.18867944467197673</v>
      </c>
      <c r="DS62" s="611">
        <f t="shared" si="79"/>
        <v>0.10813270865397098</v>
      </c>
      <c r="DT62" s="612">
        <f t="shared" si="79"/>
        <v>2.544590591117727E-2</v>
      </c>
      <c r="DU62" s="611">
        <f t="shared" si="95"/>
        <v>0.19772945629107211</v>
      </c>
      <c r="DV62" s="611">
        <f t="shared" si="95"/>
        <v>0.11403558723863268</v>
      </c>
      <c r="DW62" s="611">
        <f t="shared" si="95"/>
        <v>2.7262576993081308E-2</v>
      </c>
      <c r="DX62" s="614">
        <f t="shared" si="7"/>
        <v>12.5</v>
      </c>
      <c r="DY62" s="615"/>
      <c r="DZ62" s="609">
        <f t="shared" si="25"/>
        <v>22</v>
      </c>
      <c r="EA62" s="611">
        <f t="shared" si="87"/>
        <v>2.1079978260869567</v>
      </c>
      <c r="EB62" s="611">
        <f t="shared" si="87"/>
        <v>3.3678999999999979</v>
      </c>
      <c r="EC62" s="611">
        <f t="shared" si="87"/>
        <v>1000000</v>
      </c>
      <c r="ED62" s="610">
        <f t="shared" si="88"/>
        <v>0.22002999999999975</v>
      </c>
      <c r="EE62" s="611">
        <f t="shared" si="88"/>
        <v>0.22005999999999976</v>
      </c>
      <c r="EF62" s="612">
        <f t="shared" si="88"/>
        <v>0.22012499999999974</v>
      </c>
      <c r="EG62" s="611">
        <f t="shared" si="10"/>
        <v>2.3280278260869567</v>
      </c>
      <c r="EH62" s="611">
        <f t="shared" si="10"/>
        <v>3.5879599999999976</v>
      </c>
      <c r="EI62" s="611">
        <f t="shared" si="10"/>
        <v>1000000.220125</v>
      </c>
      <c r="EJ62" s="610">
        <f t="shared" si="26"/>
        <v>2.2999999999999998</v>
      </c>
      <c r="EK62" s="643">
        <f t="shared" si="27"/>
        <v>2.25</v>
      </c>
      <c r="EL62" s="644">
        <f t="shared" si="28"/>
        <v>2.83</v>
      </c>
      <c r="EN62" s="620">
        <f t="shared" si="29"/>
        <v>11.993055555555555</v>
      </c>
      <c r="EO62" s="621">
        <f t="shared" si="40"/>
        <v>92.033523574377767</v>
      </c>
      <c r="EP62" s="621">
        <f t="shared" si="40"/>
        <v>102.76977766029533</v>
      </c>
      <c r="EQ62" s="621">
        <f t="shared" si="40"/>
        <v>111.55664492302566</v>
      </c>
      <c r="ER62" s="610">
        <f t="shared" si="80"/>
        <v>54.186793170365071</v>
      </c>
      <c r="ES62" s="611">
        <f t="shared" si="80"/>
        <v>77.356614842762554</v>
      </c>
      <c r="ET62" s="612">
        <f t="shared" si="80"/>
        <v>101.77500769866931</v>
      </c>
      <c r="EU62" s="610">
        <f t="shared" si="30"/>
        <v>100</v>
      </c>
      <c r="EV62" s="611">
        <f t="shared" si="31"/>
        <v>135</v>
      </c>
      <c r="EW62" s="645">
        <f t="shared" si="32"/>
        <v>1000000</v>
      </c>
      <c r="EX62" s="610">
        <f t="shared" si="13"/>
        <v>-37.846730404012696</v>
      </c>
      <c r="EY62" s="621">
        <f t="shared" si="14"/>
        <v>-25.413162817532786</v>
      </c>
      <c r="EZ62" s="612">
        <f t="shared" si="15"/>
        <v>-9.781637224356345</v>
      </c>
      <c r="FA62" s="646">
        <f t="shared" si="16"/>
        <v>11.993055555555555</v>
      </c>
      <c r="FB62" s="317"/>
      <c r="FC62" s="552"/>
      <c r="FD62" s="552"/>
      <c r="FE62" s="552"/>
      <c r="FF62" s="552"/>
      <c r="FG62" s="552"/>
      <c r="FH62" s="552"/>
      <c r="FI62" s="552"/>
      <c r="FJ62" s="552"/>
      <c r="FK62" s="552"/>
      <c r="FL62" s="552"/>
      <c r="FM62" s="552"/>
      <c r="FN62" s="552"/>
      <c r="FO62" s="552"/>
      <c r="FP62" s="552"/>
      <c r="FQ62" s="552"/>
      <c r="FR62" s="552"/>
      <c r="FS62" s="552"/>
      <c r="FT62" s="552"/>
    </row>
    <row r="63" spans="2:181" s="564" customFormat="1" ht="15" customHeight="1" x14ac:dyDescent="0.2">
      <c r="B63" s="647">
        <f t="shared" si="96"/>
        <v>48</v>
      </c>
      <c r="C63" s="652">
        <f>$E$11</f>
        <v>119.5</v>
      </c>
      <c r="D63" s="771">
        <f>$B$11</f>
        <v>1.84</v>
      </c>
      <c r="E63" s="772">
        <f t="shared" si="49"/>
        <v>2.4895833333333335</v>
      </c>
      <c r="F63" s="689"/>
      <c r="G63" s="747">
        <f t="shared" si="50"/>
        <v>1.8787855540233007</v>
      </c>
      <c r="H63" s="748">
        <f t="shared" si="60"/>
        <v>1.5043192008943724E-3</v>
      </c>
      <c r="I63" s="689"/>
      <c r="J63" s="773">
        <f t="shared" si="82"/>
        <v>26</v>
      </c>
      <c r="K63" s="774">
        <f t="shared" si="61"/>
        <v>29.25</v>
      </c>
      <c r="L63" s="747">
        <f t="shared" si="91"/>
        <v>2.073179914893617</v>
      </c>
      <c r="M63" s="751">
        <f t="shared" si="91"/>
        <v>2.0704007978723404</v>
      </c>
      <c r="N63" s="751">
        <f t="shared" si="91"/>
        <v>2.0656011968085108</v>
      </c>
      <c r="O63" s="751">
        <f t="shared" si="91"/>
        <v>2.0608015957446808</v>
      </c>
      <c r="P63" s="751">
        <f t="shared" si="91"/>
        <v>2.0515829787234043</v>
      </c>
      <c r="Q63" s="751">
        <f t="shared" si="91"/>
        <v>2.0462040425531915</v>
      </c>
      <c r="R63" s="751">
        <f t="shared" si="91"/>
        <v>2.0257031914893617</v>
      </c>
      <c r="S63" s="751">
        <f t="shared" si="91"/>
        <v>2.0167315319148935</v>
      </c>
      <c r="T63" s="752">
        <f t="shared" si="91"/>
        <v>2.0038829787234045</v>
      </c>
      <c r="U63" s="753">
        <f t="shared" si="91"/>
        <v>1.9206617021276595</v>
      </c>
      <c r="W63" s="773">
        <f t="shared" si="63"/>
        <v>29.25</v>
      </c>
      <c r="X63" s="775">
        <f t="shared" si="92"/>
        <v>-2.778743478341221E-2</v>
      </c>
      <c r="Y63" s="776">
        <f t="shared" si="92"/>
        <v>-2.7791998672301099E-2</v>
      </c>
      <c r="Z63" s="776">
        <f t="shared" si="92"/>
        <v>-2.7799880616745543E-2</v>
      </c>
      <c r="AA63" s="776">
        <f t="shared" si="92"/>
        <v>-2.7807762561189987E-2</v>
      </c>
      <c r="AB63" s="776">
        <f t="shared" si="92"/>
        <v>-2.7822901450078878E-2</v>
      </c>
      <c r="AC63" s="776">
        <f t="shared" si="92"/>
        <v>-2.783173478341221E-2</v>
      </c>
      <c r="AD63" s="776">
        <f t="shared" si="92"/>
        <v>-2.7865401450078878E-2</v>
      </c>
      <c r="AE63" s="776">
        <f t="shared" si="92"/>
        <v>-2.7880134783412211E-2</v>
      </c>
      <c r="AF63" s="777">
        <f t="shared" si="92"/>
        <v>-2.7901234783412211E-2</v>
      </c>
      <c r="AG63" s="778">
        <f t="shared" si="92"/>
        <v>-2.8037901450078877E-2</v>
      </c>
      <c r="AI63" s="773">
        <f t="shared" si="65"/>
        <v>29.25</v>
      </c>
      <c r="AJ63" s="747">
        <f t="shared" si="99"/>
        <v>2.0453924801102046</v>
      </c>
      <c r="AK63" s="751">
        <f t="shared" si="99"/>
        <v>2.0426087992000395</v>
      </c>
      <c r="AL63" s="751">
        <f t="shared" si="99"/>
        <v>2.0378013161917652</v>
      </c>
      <c r="AM63" s="751">
        <f t="shared" si="99"/>
        <v>2.0329938331834909</v>
      </c>
      <c r="AN63" s="751">
        <f t="shared" si="99"/>
        <v>2.0237600772733253</v>
      </c>
      <c r="AO63" s="751">
        <f t="shared" si="97"/>
        <v>2.0183723077697793</v>
      </c>
      <c r="AP63" s="751">
        <f t="shared" si="97"/>
        <v>1.9978377900392827</v>
      </c>
      <c r="AQ63" s="751">
        <f t="shared" si="97"/>
        <v>1.9888513971314814</v>
      </c>
      <c r="AR63" s="752">
        <f t="shared" si="97"/>
        <v>1.9759817439399923</v>
      </c>
      <c r="AS63" s="751">
        <f t="shared" si="97"/>
        <v>1.8926238006775806</v>
      </c>
      <c r="AT63" s="674">
        <f t="shared" si="66"/>
        <v>1.75</v>
      </c>
      <c r="AU63" s="712">
        <f t="shared" si="67"/>
        <v>1.8</v>
      </c>
      <c r="AV63" s="712">
        <f t="shared" si="68"/>
        <v>1.81</v>
      </c>
      <c r="AW63" s="712">
        <f t="shared" si="69"/>
        <v>1.83</v>
      </c>
      <c r="AX63" s="712">
        <f t="shared" si="70"/>
        <v>1.84</v>
      </c>
      <c r="AY63" s="712">
        <f t="shared" si="71"/>
        <v>1.86</v>
      </c>
      <c r="AZ63" s="712">
        <f t="shared" si="72"/>
        <v>1.88</v>
      </c>
      <c r="BA63" s="712">
        <f t="shared" si="73"/>
        <v>1.9</v>
      </c>
      <c r="BB63" s="712">
        <f t="shared" si="74"/>
        <v>1.92</v>
      </c>
      <c r="BC63" s="779">
        <f t="shared" si="75"/>
        <v>1000000</v>
      </c>
      <c r="BD63" s="780">
        <f t="shared" si="76"/>
        <v>-1000000</v>
      </c>
      <c r="BF63" s="781">
        <f t="shared" si="93"/>
        <v>2.0458225884111041</v>
      </c>
      <c r="BG63" s="767">
        <f t="shared" si="93"/>
        <v>2.0119910491556179</v>
      </c>
      <c r="BH63" s="767">
        <f t="shared" si="93"/>
        <v>1.9767736267642513</v>
      </c>
      <c r="BI63" s="767">
        <f t="shared" si="93"/>
        <v>1.9492245828550556</v>
      </c>
      <c r="BJ63" s="767">
        <f t="shared" si="93"/>
        <v>1.7622144802327013</v>
      </c>
      <c r="BK63" s="767">
        <f t="shared" si="93"/>
        <v>2.3656823307874535</v>
      </c>
      <c r="BL63" s="767">
        <f t="shared" si="93"/>
        <v>2.0402785241309442</v>
      </c>
      <c r="BM63" s="767">
        <f t="shared" si="93"/>
        <v>2.0304702672027504</v>
      </c>
      <c r="BN63" s="767">
        <f t="shared" si="93"/>
        <v>2.0233041946718631</v>
      </c>
      <c r="BO63" s="782">
        <f t="shared" si="93"/>
        <v>2.0117008720164136</v>
      </c>
      <c r="BP63" s="781">
        <f t="shared" si="100"/>
        <v>2.0458225884111041</v>
      </c>
      <c r="BQ63" s="767">
        <f t="shared" si="100"/>
        <v>2.0119910491556179</v>
      </c>
      <c r="BR63" s="767">
        <f t="shared" si="100"/>
        <v>1.9767736267642513</v>
      </c>
      <c r="BS63" s="767">
        <f t="shared" si="100"/>
        <v>1.9492245828550556</v>
      </c>
      <c r="BT63" s="767">
        <f t="shared" si="100"/>
        <v>1.7622144802327013</v>
      </c>
      <c r="BU63" s="767">
        <f t="shared" si="98"/>
        <v>-1000000</v>
      </c>
      <c r="BV63" s="767">
        <f t="shared" si="98"/>
        <v>-1000000</v>
      </c>
      <c r="BW63" s="767">
        <f t="shared" si="98"/>
        <v>-1000000</v>
      </c>
      <c r="BX63" s="767">
        <f t="shared" si="98"/>
        <v>-1000000</v>
      </c>
      <c r="BY63" s="767">
        <f t="shared" si="98"/>
        <v>-1000000</v>
      </c>
      <c r="BZ63" s="648">
        <f t="shared" si="56"/>
        <v>26</v>
      </c>
      <c r="CA63" s="767">
        <f t="shared" si="90"/>
        <v>2.0458225884111041</v>
      </c>
      <c r="CB63" s="767">
        <f t="shared" si="90"/>
        <v>2.0119910491556179</v>
      </c>
      <c r="CC63" s="767">
        <f t="shared" si="90"/>
        <v>1.9767736267642513</v>
      </c>
      <c r="CD63" s="767">
        <f t="shared" si="90"/>
        <v>1.9492245828550556</v>
      </c>
      <c r="CE63" s="767">
        <f t="shared" si="90"/>
        <v>1.7622144802327013</v>
      </c>
      <c r="CF63" s="767"/>
      <c r="CG63" s="767"/>
      <c r="CH63" s="767"/>
      <c r="CI63" s="767"/>
      <c r="CJ63" s="767"/>
      <c r="CK63" s="781">
        <f t="shared" si="58"/>
        <v>1.75</v>
      </c>
      <c r="CL63" s="783">
        <f t="shared" si="78"/>
        <v>1000000</v>
      </c>
      <c r="CM63" s="552"/>
      <c r="CN63" s="552"/>
      <c r="CO63" s="552"/>
      <c r="CP63" s="552"/>
      <c r="CQ63" s="552"/>
      <c r="CR63" s="552"/>
      <c r="CS63" s="552"/>
      <c r="CT63" s="552"/>
      <c r="CU63" s="552"/>
      <c r="CV63" s="552"/>
      <c r="CW63" s="552"/>
      <c r="CX63" s="552"/>
      <c r="CY63" s="552"/>
      <c r="CZ63" s="642">
        <f t="shared" si="39"/>
        <v>56</v>
      </c>
      <c r="DA63" s="609">
        <f t="shared" si="0"/>
        <v>63</v>
      </c>
      <c r="DB63" s="609">
        <f t="shared" si="22"/>
        <v>22.4</v>
      </c>
      <c r="DC63" s="610">
        <f t="shared" si="85"/>
        <v>134.26037038787965</v>
      </c>
      <c r="DD63" s="611">
        <f t="shared" si="85"/>
        <v>134.63059308001093</v>
      </c>
      <c r="DE63" s="612">
        <f t="shared" si="85"/>
        <v>134.93487737960203</v>
      </c>
      <c r="DF63" s="610">
        <f t="shared" si="86"/>
        <v>19.411764705882348</v>
      </c>
      <c r="DG63" s="611">
        <f t="shared" si="86"/>
        <v>22</v>
      </c>
      <c r="DH63" s="612">
        <f t="shared" si="86"/>
        <v>28.470588235294098</v>
      </c>
      <c r="DI63" s="610">
        <f t="shared" si="3"/>
        <v>153.67213509376199</v>
      </c>
      <c r="DJ63" s="611">
        <f t="shared" si="3"/>
        <v>156.63059308001093</v>
      </c>
      <c r="DK63" s="612">
        <f t="shared" si="3"/>
        <v>163.40546561489612</v>
      </c>
      <c r="DL63" s="613">
        <f t="shared" si="94"/>
        <v>153.67213509376199</v>
      </c>
      <c r="DM63" s="613">
        <f t="shared" si="94"/>
        <v>156.63059308001093</v>
      </c>
      <c r="DN63" s="613">
        <f t="shared" si="94"/>
        <v>163.40546561489612</v>
      </c>
      <c r="DO63" s="609">
        <f t="shared" si="5"/>
        <v>135</v>
      </c>
      <c r="DP63" s="609"/>
      <c r="DQ63" s="609">
        <f t="shared" si="24"/>
        <v>22.4</v>
      </c>
      <c r="DR63" s="610">
        <f t="shared" si="79"/>
        <v>0.17192692053007128</v>
      </c>
      <c r="DS63" s="611">
        <f t="shared" si="79"/>
        <v>9.7317800090102075E-2</v>
      </c>
      <c r="DT63" s="612">
        <f t="shared" si="79"/>
        <v>2.2202040117086323E-2</v>
      </c>
      <c r="DU63" s="611">
        <f t="shared" si="95"/>
        <v>0.18017339714624889</v>
      </c>
      <c r="DV63" s="611">
        <f t="shared" si="95"/>
        <v>0.10263030141565857</v>
      </c>
      <c r="DW63" s="611">
        <f t="shared" si="95"/>
        <v>2.3787120419669433E-2</v>
      </c>
      <c r="DX63" s="614">
        <f t="shared" si="7"/>
        <v>12.5</v>
      </c>
      <c r="DY63" s="615"/>
      <c r="DZ63" s="609">
        <f t="shared" si="25"/>
        <v>22.4</v>
      </c>
      <c r="EA63" s="611">
        <f t="shared" si="87"/>
        <v>2.1084933628318585</v>
      </c>
      <c r="EB63" s="611">
        <f t="shared" si="87"/>
        <v>8.5194999999997982</v>
      </c>
      <c r="EC63" s="611">
        <f t="shared" si="87"/>
        <v>1000000</v>
      </c>
      <c r="ED63" s="610">
        <f t="shared" si="88"/>
        <v>0.22002999999999975</v>
      </c>
      <c r="EE63" s="611">
        <f t="shared" si="88"/>
        <v>0.22005999999999976</v>
      </c>
      <c r="EF63" s="612">
        <f t="shared" si="88"/>
        <v>0.22012499999999974</v>
      </c>
      <c r="EG63" s="611">
        <f t="shared" si="10"/>
        <v>2.3285233628318585</v>
      </c>
      <c r="EH63" s="611">
        <f t="shared" si="10"/>
        <v>8.7395599999997984</v>
      </c>
      <c r="EI63" s="611">
        <f t="shared" si="10"/>
        <v>1000000.220125</v>
      </c>
      <c r="EJ63" s="610">
        <f t="shared" si="26"/>
        <v>2.2999999999999998</v>
      </c>
      <c r="EK63" s="643">
        <f t="shared" si="27"/>
        <v>2.25</v>
      </c>
      <c r="EL63" s="644">
        <f t="shared" si="28"/>
        <v>2.83</v>
      </c>
      <c r="EN63" s="620">
        <f t="shared" si="29"/>
        <v>12.211111111111112</v>
      </c>
      <c r="EO63" s="621">
        <f t="shared" si="40"/>
        <v>91.252844520908383</v>
      </c>
      <c r="EP63" s="621">
        <f t="shared" si="40"/>
        <v>102.18407162281784</v>
      </c>
      <c r="EQ63" s="621">
        <f t="shared" si="40"/>
        <v>111.13055976929751</v>
      </c>
      <c r="ER63" s="610">
        <f t="shared" si="80"/>
        <v>53.40227362217275</v>
      </c>
      <c r="ES63" s="611">
        <f t="shared" si="80"/>
        <v>76.591508433718886</v>
      </c>
      <c r="ET63" s="612">
        <f t="shared" si="80"/>
        <v>101.00760493842779</v>
      </c>
      <c r="EU63" s="610">
        <f t="shared" si="30"/>
        <v>100</v>
      </c>
      <c r="EV63" s="611">
        <f t="shared" si="31"/>
        <v>135</v>
      </c>
      <c r="EW63" s="645">
        <f t="shared" si="32"/>
        <v>1000000</v>
      </c>
      <c r="EX63" s="610">
        <f t="shared" si="13"/>
        <v>-37.850570898735633</v>
      </c>
      <c r="EY63" s="621">
        <f t="shared" si="14"/>
        <v>-25.592563189098954</v>
      </c>
      <c r="EZ63" s="612">
        <f t="shared" si="15"/>
        <v>-10.122954830869716</v>
      </c>
      <c r="FA63" s="646">
        <f t="shared" si="16"/>
        <v>12.211111111111112</v>
      </c>
      <c r="FB63" s="317"/>
      <c r="FC63" s="552"/>
      <c r="FD63" s="552"/>
      <c r="FE63" s="552"/>
      <c r="FF63" s="552"/>
      <c r="FG63" s="552"/>
      <c r="FH63" s="552"/>
      <c r="FI63" s="552"/>
      <c r="FJ63" s="552"/>
      <c r="FK63" s="552"/>
      <c r="FL63" s="552"/>
      <c r="FM63" s="552"/>
      <c r="FN63" s="552"/>
      <c r="FO63" s="552"/>
      <c r="FP63" s="552"/>
      <c r="FQ63" s="552"/>
      <c r="FR63" s="552"/>
      <c r="FS63" s="552"/>
      <c r="FT63" s="552"/>
    </row>
    <row r="64" spans="2:181" s="564" customFormat="1" ht="15" customHeight="1" x14ac:dyDescent="0.2">
      <c r="B64" s="647">
        <f t="shared" si="96"/>
        <v>48</v>
      </c>
      <c r="C64" s="652">
        <f>$E$12</f>
        <v>116.5</v>
      </c>
      <c r="D64" s="771">
        <f>$B$12</f>
        <v>1.86</v>
      </c>
      <c r="E64" s="772">
        <f t="shared" si="49"/>
        <v>2.4270833333333335</v>
      </c>
      <c r="F64" s="689"/>
      <c r="G64" s="747">
        <f t="shared" si="50"/>
        <v>1.8979060452400991</v>
      </c>
      <c r="H64" s="748">
        <f t="shared" si="60"/>
        <v>1.4368682657444317E-3</v>
      </c>
      <c r="I64" s="689"/>
      <c r="J64" s="773">
        <f t="shared" si="82"/>
        <v>27</v>
      </c>
      <c r="K64" s="774">
        <f t="shared" si="61"/>
        <v>30.375</v>
      </c>
      <c r="L64" s="747">
        <f t="shared" si="91"/>
        <v>2.0731065806451614</v>
      </c>
      <c r="M64" s="751">
        <f t="shared" si="91"/>
        <v>2.0702975806451613</v>
      </c>
      <c r="N64" s="751">
        <f t="shared" si="91"/>
        <v>2.065446370967742</v>
      </c>
      <c r="O64" s="751">
        <f t="shared" si="91"/>
        <v>2.0605951612903226</v>
      </c>
      <c r="P64" s="751">
        <f t="shared" si="91"/>
        <v>2.0512774193548386</v>
      </c>
      <c r="Q64" s="751">
        <f t="shared" si="91"/>
        <v>2.0458406451612903</v>
      </c>
      <c r="R64" s="751">
        <f t="shared" si="91"/>
        <v>2.0251193548387096</v>
      </c>
      <c r="S64" s="751">
        <f t="shared" si="91"/>
        <v>2.0160512258064518</v>
      </c>
      <c r="T64" s="752">
        <f t="shared" si="91"/>
        <v>2.0030645161290321</v>
      </c>
      <c r="U64" s="753">
        <f t="shared" si="91"/>
        <v>1.9189483870967743</v>
      </c>
      <c r="W64" s="773">
        <f t="shared" si="63"/>
        <v>30.375</v>
      </c>
      <c r="X64" s="775">
        <f t="shared" si="92"/>
        <v>-3.1334815416535926E-2</v>
      </c>
      <c r="Y64" s="776">
        <f t="shared" si="92"/>
        <v>-3.1339379305424811E-2</v>
      </c>
      <c r="Z64" s="776">
        <f t="shared" si="92"/>
        <v>-3.1347261249869258E-2</v>
      </c>
      <c r="AA64" s="776">
        <f t="shared" si="92"/>
        <v>-3.1355143194313699E-2</v>
      </c>
      <c r="AB64" s="776">
        <f t="shared" si="92"/>
        <v>-3.137028208320259E-2</v>
      </c>
      <c r="AC64" s="776">
        <f t="shared" si="92"/>
        <v>-3.1379115416535923E-2</v>
      </c>
      <c r="AD64" s="776">
        <f t="shared" si="92"/>
        <v>-3.1412782083202591E-2</v>
      </c>
      <c r="AE64" s="776">
        <f t="shared" si="92"/>
        <v>-3.142751541653592E-2</v>
      </c>
      <c r="AF64" s="777">
        <f t="shared" si="92"/>
        <v>-3.1448615416535923E-2</v>
      </c>
      <c r="AG64" s="778">
        <f t="shared" si="92"/>
        <v>-3.158528208320259E-2</v>
      </c>
      <c r="AI64" s="773">
        <f t="shared" si="65"/>
        <v>30.375</v>
      </c>
      <c r="AJ64" s="747">
        <f t="shared" si="99"/>
        <v>2.0417717652286256</v>
      </c>
      <c r="AK64" s="751">
        <f t="shared" si="99"/>
        <v>2.0389582013397365</v>
      </c>
      <c r="AL64" s="751">
        <f t="shared" si="99"/>
        <v>2.0340991097178729</v>
      </c>
      <c r="AM64" s="751">
        <f t="shared" si="99"/>
        <v>2.0292400180960088</v>
      </c>
      <c r="AN64" s="751">
        <f t="shared" si="99"/>
        <v>2.0199071372716362</v>
      </c>
      <c r="AO64" s="751">
        <f t="shared" si="97"/>
        <v>2.0144615297447546</v>
      </c>
      <c r="AP64" s="751">
        <f t="shared" si="97"/>
        <v>1.993706572755507</v>
      </c>
      <c r="AQ64" s="751">
        <f t="shared" si="97"/>
        <v>1.9846237103899158</v>
      </c>
      <c r="AR64" s="752">
        <f t="shared" si="97"/>
        <v>1.9716159007124963</v>
      </c>
      <c r="AS64" s="751">
        <f t="shared" si="97"/>
        <v>1.8873631050135717</v>
      </c>
      <c r="AT64" s="674">
        <f t="shared" si="66"/>
        <v>1.75</v>
      </c>
      <c r="AU64" s="712">
        <f t="shared" si="67"/>
        <v>1.8</v>
      </c>
      <c r="AV64" s="712">
        <f t="shared" si="68"/>
        <v>1.81</v>
      </c>
      <c r="AW64" s="712">
        <f t="shared" si="69"/>
        <v>1.83</v>
      </c>
      <c r="AX64" s="712">
        <f t="shared" si="70"/>
        <v>1.84</v>
      </c>
      <c r="AY64" s="712">
        <f t="shared" si="71"/>
        <v>1.86</v>
      </c>
      <c r="AZ64" s="712">
        <f t="shared" si="72"/>
        <v>1.88</v>
      </c>
      <c r="BA64" s="712">
        <f t="shared" si="73"/>
        <v>1.9</v>
      </c>
      <c r="BB64" s="712">
        <f t="shared" si="74"/>
        <v>1.92</v>
      </c>
      <c r="BC64" s="779">
        <f t="shared" si="75"/>
        <v>1000000</v>
      </c>
      <c r="BD64" s="780">
        <f t="shared" si="76"/>
        <v>-1000000</v>
      </c>
      <c r="BF64" s="781">
        <f t="shared" si="93"/>
        <v>2.0421968185049346</v>
      </c>
      <c r="BG64" s="767">
        <f t="shared" si="93"/>
        <v>2.0089206873729379</v>
      </c>
      <c r="BH64" s="767">
        <f t="shared" si="93"/>
        <v>1.9744096310032846</v>
      </c>
      <c r="BI64" s="767">
        <f t="shared" si="93"/>
        <v>1.9459394343637024</v>
      </c>
      <c r="BJ64" s="767">
        <f t="shared" si="93"/>
        <v>1.6479929341170019</v>
      </c>
      <c r="BK64" s="767">
        <f t="shared" si="93"/>
        <v>2.2219727913963987</v>
      </c>
      <c r="BL64" s="767">
        <f t="shared" si="93"/>
        <v>2.0352763559646405</v>
      </c>
      <c r="BM64" s="767">
        <f t="shared" si="93"/>
        <v>2.0269351435742888</v>
      </c>
      <c r="BN64" s="767">
        <f t="shared" si="93"/>
        <v>2.0206890183350401</v>
      </c>
      <c r="BO64" s="782">
        <f t="shared" si="93"/>
        <v>2.0102861514332675</v>
      </c>
      <c r="BP64" s="781">
        <f t="shared" si="100"/>
        <v>2.0421968185049346</v>
      </c>
      <c r="BQ64" s="767">
        <f t="shared" si="100"/>
        <v>2.0089206873729379</v>
      </c>
      <c r="BR64" s="767">
        <f t="shared" si="100"/>
        <v>1.9744096310032846</v>
      </c>
      <c r="BS64" s="767">
        <f t="shared" si="100"/>
        <v>1.9459394343637024</v>
      </c>
      <c r="BT64" s="767">
        <f t="shared" si="100"/>
        <v>1.6479929341170019</v>
      </c>
      <c r="BU64" s="767">
        <f t="shared" si="98"/>
        <v>-1000000</v>
      </c>
      <c r="BV64" s="767">
        <f t="shared" si="98"/>
        <v>-1000000</v>
      </c>
      <c r="BW64" s="767">
        <f t="shared" si="98"/>
        <v>-1000000</v>
      </c>
      <c r="BX64" s="767">
        <f t="shared" si="98"/>
        <v>-1000000</v>
      </c>
      <c r="BY64" s="767">
        <f t="shared" si="98"/>
        <v>-1000000</v>
      </c>
      <c r="BZ64" s="648">
        <f t="shared" si="56"/>
        <v>27</v>
      </c>
      <c r="CA64" s="767">
        <f t="shared" si="90"/>
        <v>2.0421968185049346</v>
      </c>
      <c r="CB64" s="767">
        <f t="shared" si="90"/>
        <v>2.0089206873729379</v>
      </c>
      <c r="CC64" s="767">
        <f t="shared" si="90"/>
        <v>1.9744096310032846</v>
      </c>
      <c r="CD64" s="767">
        <f t="shared" si="90"/>
        <v>1.9459394343637024</v>
      </c>
      <c r="CE64" s="767">
        <f t="shared" si="90"/>
        <v>1.6479929341170019</v>
      </c>
      <c r="CF64" s="767"/>
      <c r="CG64" s="767"/>
      <c r="CH64" s="767"/>
      <c r="CI64" s="767"/>
      <c r="CJ64" s="767"/>
      <c r="CK64" s="781">
        <f t="shared" si="58"/>
        <v>1.75</v>
      </c>
      <c r="CL64" s="783">
        <f t="shared" si="78"/>
        <v>1000000</v>
      </c>
      <c r="CM64" s="552"/>
      <c r="CN64" s="552"/>
      <c r="CO64" s="552"/>
      <c r="CP64" s="552"/>
      <c r="CQ64" s="552"/>
      <c r="CR64" s="552"/>
      <c r="CS64" s="552"/>
      <c r="CT64" s="552"/>
      <c r="CU64" s="552"/>
      <c r="CV64" s="552"/>
      <c r="CW64" s="552"/>
      <c r="CX64" s="552"/>
      <c r="CY64" s="552"/>
      <c r="CZ64" s="642">
        <f t="shared" si="39"/>
        <v>57</v>
      </c>
      <c r="DA64" s="609">
        <f t="shared" si="0"/>
        <v>64.125</v>
      </c>
      <c r="DB64" s="609">
        <f t="shared" si="22"/>
        <v>22.799999999999997</v>
      </c>
      <c r="DC64" s="610">
        <f t="shared" si="85"/>
        <v>134.32604083202713</v>
      </c>
      <c r="DD64" s="611">
        <f t="shared" si="85"/>
        <v>134.66753936677532</v>
      </c>
      <c r="DE64" s="612">
        <f t="shared" si="85"/>
        <v>134.94317926680807</v>
      </c>
      <c r="DF64" s="610">
        <f t="shared" si="86"/>
        <v>19.411764705882348</v>
      </c>
      <c r="DG64" s="611">
        <f t="shared" si="86"/>
        <v>22</v>
      </c>
      <c r="DH64" s="612">
        <f t="shared" si="86"/>
        <v>28.470588235294098</v>
      </c>
      <c r="DI64" s="610">
        <f t="shared" si="3"/>
        <v>153.73780553790948</v>
      </c>
      <c r="DJ64" s="611">
        <f t="shared" si="3"/>
        <v>156.66753936677532</v>
      </c>
      <c r="DK64" s="612">
        <f t="shared" si="3"/>
        <v>163.41376750210216</v>
      </c>
      <c r="DL64" s="613">
        <f t="shared" si="94"/>
        <v>153.73780553790948</v>
      </c>
      <c r="DM64" s="613">
        <f t="shared" si="94"/>
        <v>156.66753936677532</v>
      </c>
      <c r="DN64" s="613">
        <f t="shared" si="94"/>
        <v>163.41376750210216</v>
      </c>
      <c r="DO64" s="609">
        <f t="shared" si="5"/>
        <v>135</v>
      </c>
      <c r="DP64" s="609"/>
      <c r="DQ64" s="609">
        <f t="shared" si="24"/>
        <v>22.799999999999997</v>
      </c>
      <c r="DR64" s="610">
        <f t="shared" si="79"/>
        <v>0.15666182426147254</v>
      </c>
      <c r="DS64" s="611">
        <f t="shared" si="79"/>
        <v>8.7584546177270614E-2</v>
      </c>
      <c r="DT64" s="612">
        <f t="shared" si="79"/>
        <v>1.9371705101848519E-2</v>
      </c>
      <c r="DU64" s="611">
        <f t="shared" si="95"/>
        <v>0.16417611036871507</v>
      </c>
      <c r="DV64" s="611">
        <f t="shared" si="95"/>
        <v>9.2365716910976281E-2</v>
      </c>
      <c r="DW64" s="611">
        <f t="shared" si="95"/>
        <v>2.075471801511249E-2</v>
      </c>
      <c r="DX64" s="614">
        <f t="shared" si="7"/>
        <v>12.5</v>
      </c>
      <c r="DY64" s="615"/>
      <c r="DZ64" s="609">
        <f t="shared" si="25"/>
        <v>22.799999999999997</v>
      </c>
      <c r="EA64" s="611">
        <f t="shared" si="87"/>
        <v>2.1090067567567568</v>
      </c>
      <c r="EB64" s="611">
        <f t="shared" si="87"/>
        <v>1000000</v>
      </c>
      <c r="EC64" s="611">
        <f t="shared" si="87"/>
        <v>1000000</v>
      </c>
      <c r="ED64" s="610">
        <f t="shared" si="88"/>
        <v>0.22002999999999975</v>
      </c>
      <c r="EE64" s="611">
        <f t="shared" si="88"/>
        <v>0.22005999999999976</v>
      </c>
      <c r="EF64" s="612">
        <f t="shared" si="88"/>
        <v>0.22012499999999974</v>
      </c>
      <c r="EG64" s="611">
        <f t="shared" si="10"/>
        <v>2.3290367567567567</v>
      </c>
      <c r="EH64" s="611">
        <f t="shared" si="10"/>
        <v>1000000.22006</v>
      </c>
      <c r="EI64" s="611">
        <f t="shared" si="10"/>
        <v>1000000.220125</v>
      </c>
      <c r="EJ64" s="610">
        <f t="shared" si="26"/>
        <v>2.2999999999999998</v>
      </c>
      <c r="EK64" s="643">
        <f t="shared" si="27"/>
        <v>2.25</v>
      </c>
      <c r="EL64" s="644">
        <f t="shared" si="28"/>
        <v>2.83</v>
      </c>
      <c r="EN64" s="620">
        <f t="shared" si="29"/>
        <v>12.429166666666667</v>
      </c>
      <c r="EO64" s="621">
        <f t="shared" si="40"/>
        <v>90.47218436898784</v>
      </c>
      <c r="EP64" s="621">
        <f t="shared" si="40"/>
        <v>101.59837622286931</v>
      </c>
      <c r="EQ64" s="621">
        <f t="shared" si="40"/>
        <v>110.70448024437259</v>
      </c>
      <c r="ER64" s="610">
        <f t="shared" si="80"/>
        <v>52.618269110732861</v>
      </c>
      <c r="ES64" s="611">
        <f t="shared" si="80"/>
        <v>75.834602527486226</v>
      </c>
      <c r="ET64" s="612">
        <f t="shared" si="80"/>
        <v>100.24611027073365</v>
      </c>
      <c r="EU64" s="610">
        <f t="shared" si="30"/>
        <v>100</v>
      </c>
      <c r="EV64" s="611">
        <f t="shared" si="31"/>
        <v>135</v>
      </c>
      <c r="EW64" s="645">
        <f t="shared" si="32"/>
        <v>1000000</v>
      </c>
      <c r="EX64" s="610">
        <f t="shared" si="13"/>
        <v>-37.853915258254979</v>
      </c>
      <c r="EY64" s="621">
        <f t="shared" si="14"/>
        <v>-25.76377369538308</v>
      </c>
      <c r="EZ64" s="612">
        <f t="shared" si="15"/>
        <v>-10.458369973638931</v>
      </c>
      <c r="FA64" s="646">
        <f t="shared" si="16"/>
        <v>12.429166666666667</v>
      </c>
      <c r="FB64" s="317"/>
      <c r="FC64" s="552"/>
      <c r="FD64" s="552"/>
      <c r="FE64" s="552"/>
      <c r="FF64" s="552"/>
      <c r="FG64" s="552"/>
      <c r="FH64" s="552"/>
      <c r="FI64" s="552"/>
      <c r="FJ64" s="552"/>
      <c r="FK64" s="552"/>
      <c r="FL64" s="552"/>
      <c r="FM64" s="552"/>
      <c r="FN64" s="552"/>
      <c r="FO64" s="552"/>
      <c r="FP64" s="552"/>
      <c r="FQ64" s="552"/>
      <c r="FR64" s="552"/>
      <c r="FS64" s="552"/>
      <c r="FT64" s="552"/>
    </row>
    <row r="65" spans="2:176" s="564" customFormat="1" ht="15" customHeight="1" x14ac:dyDescent="0.2">
      <c r="B65" s="785">
        <f t="shared" si="96"/>
        <v>48</v>
      </c>
      <c r="C65" s="786">
        <f>$E$13</f>
        <v>113.5</v>
      </c>
      <c r="D65" s="787">
        <f>$B$13</f>
        <v>1.88</v>
      </c>
      <c r="E65" s="788">
        <f t="shared" si="49"/>
        <v>2.3645833333333335</v>
      </c>
      <c r="F65" s="791"/>
      <c r="G65" s="747">
        <f t="shared" si="50"/>
        <v>1.911763848038315</v>
      </c>
      <c r="H65" s="789">
        <f t="shared" si="60"/>
        <v>1.0089420422011747E-3</v>
      </c>
      <c r="I65" s="689"/>
      <c r="J65" s="773">
        <f t="shared" si="82"/>
        <v>28</v>
      </c>
      <c r="K65" s="774">
        <f t="shared" si="61"/>
        <v>31.5</v>
      </c>
      <c r="L65" s="747">
        <f t="shared" si="91"/>
        <v>2.0730316521739129</v>
      </c>
      <c r="M65" s="751">
        <f t="shared" si="91"/>
        <v>2.0701921195652173</v>
      </c>
      <c r="N65" s="751">
        <f t="shared" si="91"/>
        <v>2.0652881793478262</v>
      </c>
      <c r="O65" s="751">
        <f t="shared" si="91"/>
        <v>2.060384239130435</v>
      </c>
      <c r="P65" s="751">
        <f t="shared" si="91"/>
        <v>2.0509652173913042</v>
      </c>
      <c r="Q65" s="751">
        <f t="shared" si="91"/>
        <v>2.0454693478260868</v>
      </c>
      <c r="R65" s="751">
        <f t="shared" si="91"/>
        <v>2.0245228260869568</v>
      </c>
      <c r="S65" s="751">
        <f t="shared" si="91"/>
        <v>2.0153561304347827</v>
      </c>
      <c r="T65" s="752">
        <f t="shared" si="91"/>
        <v>2.0022282608695652</v>
      </c>
      <c r="U65" s="753">
        <f t="shared" si="91"/>
        <v>1.9171978260869567</v>
      </c>
      <c r="W65" s="773">
        <f t="shared" si="63"/>
        <v>31.5</v>
      </c>
      <c r="X65" s="775">
        <f t="shared" si="92"/>
        <v>-3.4705355917954837E-2</v>
      </c>
      <c r="Y65" s="776">
        <f t="shared" si="92"/>
        <v>-3.4709919806843723E-2</v>
      </c>
      <c r="Z65" s="776">
        <f t="shared" si="92"/>
        <v>-3.471780175128817E-2</v>
      </c>
      <c r="AA65" s="776">
        <f t="shared" si="92"/>
        <v>-3.4725683695732611E-2</v>
      </c>
      <c r="AB65" s="776">
        <f t="shared" si="92"/>
        <v>-3.4740822584621502E-2</v>
      </c>
      <c r="AC65" s="776">
        <f t="shared" si="92"/>
        <v>-3.4749655917954834E-2</v>
      </c>
      <c r="AD65" s="776">
        <f t="shared" si="92"/>
        <v>-3.4783322584621502E-2</v>
      </c>
      <c r="AE65" s="776">
        <f t="shared" si="92"/>
        <v>-3.4798055917954832E-2</v>
      </c>
      <c r="AF65" s="777">
        <f t="shared" si="92"/>
        <v>-3.4819155917954835E-2</v>
      </c>
      <c r="AG65" s="778">
        <f t="shared" si="92"/>
        <v>-3.4955822584621501E-2</v>
      </c>
      <c r="AI65" s="773">
        <f t="shared" si="65"/>
        <v>31.5</v>
      </c>
      <c r="AJ65" s="747">
        <f t="shared" si="99"/>
        <v>2.0383262962559581</v>
      </c>
      <c r="AK65" s="751">
        <f t="shared" si="99"/>
        <v>2.0354821997583734</v>
      </c>
      <c r="AL65" s="751">
        <f t="shared" si="99"/>
        <v>2.030570377596538</v>
      </c>
      <c r="AM65" s="751">
        <f t="shared" si="99"/>
        <v>2.0256585554347022</v>
      </c>
      <c r="AN65" s="751">
        <f t="shared" si="99"/>
        <v>2.0162243948066827</v>
      </c>
      <c r="AO65" s="751">
        <f t="shared" si="97"/>
        <v>2.010719691908132</v>
      </c>
      <c r="AP65" s="751">
        <f t="shared" si="97"/>
        <v>1.9897395035023353</v>
      </c>
      <c r="AQ65" s="751">
        <f t="shared" si="97"/>
        <v>1.9805580745168279</v>
      </c>
      <c r="AR65" s="752">
        <f t="shared" si="97"/>
        <v>1.9674091049516103</v>
      </c>
      <c r="AS65" s="751">
        <f t="shared" si="97"/>
        <v>1.8822420035023351</v>
      </c>
      <c r="AT65" s="674">
        <f t="shared" si="66"/>
        <v>1.75</v>
      </c>
      <c r="AU65" s="712">
        <f t="shared" si="67"/>
        <v>1.8</v>
      </c>
      <c r="AV65" s="712">
        <f t="shared" si="68"/>
        <v>1.81</v>
      </c>
      <c r="AW65" s="712">
        <f t="shared" si="69"/>
        <v>1.83</v>
      </c>
      <c r="AX65" s="712">
        <f t="shared" si="70"/>
        <v>1.84</v>
      </c>
      <c r="AY65" s="712">
        <f t="shared" si="71"/>
        <v>1.86</v>
      </c>
      <c r="AZ65" s="712">
        <f t="shared" si="72"/>
        <v>1.88</v>
      </c>
      <c r="BA65" s="712">
        <f t="shared" si="73"/>
        <v>1.9</v>
      </c>
      <c r="BB65" s="712">
        <f t="shared" si="74"/>
        <v>1.92</v>
      </c>
      <c r="BC65" s="779">
        <f t="shared" si="75"/>
        <v>1000000</v>
      </c>
      <c r="BD65" s="780">
        <f t="shared" si="76"/>
        <v>-1000000</v>
      </c>
      <c r="BF65" s="781">
        <f t="shared" si="93"/>
        <v>2.0387458248275272</v>
      </c>
      <c r="BG65" s="767">
        <f t="shared" si="93"/>
        <v>2.0060435104884053</v>
      </c>
      <c r="BH65" s="767">
        <f t="shared" si="93"/>
        <v>1.9721690922365973</v>
      </c>
      <c r="BI65" s="767">
        <f t="shared" si="93"/>
        <v>1.942443139483826</v>
      </c>
      <c r="BJ65" s="767">
        <f t="shared" si="93"/>
        <v>1.2882409545414688</v>
      </c>
      <c r="BK65" s="767">
        <f t="shared" si="93"/>
        <v>2.1564308573077091</v>
      </c>
      <c r="BL65" s="767">
        <f t="shared" si="93"/>
        <v>2.0310525634956331</v>
      </c>
      <c r="BM65" s="767">
        <f t="shared" si="93"/>
        <v>2.0238712725545422</v>
      </c>
      <c r="BN65" s="767">
        <f t="shared" si="93"/>
        <v>2.0183779464656313</v>
      </c>
      <c r="BO65" s="782">
        <f t="shared" si="93"/>
        <v>2.0089953076663858</v>
      </c>
      <c r="BP65" s="781">
        <f t="shared" si="100"/>
        <v>2.0387458248275272</v>
      </c>
      <c r="BQ65" s="767">
        <f t="shared" si="100"/>
        <v>2.0060435104884053</v>
      </c>
      <c r="BR65" s="767">
        <f t="shared" si="100"/>
        <v>1.9721690922365973</v>
      </c>
      <c r="BS65" s="767">
        <f t="shared" si="100"/>
        <v>1.942443139483826</v>
      </c>
      <c r="BT65" s="767">
        <f t="shared" si="100"/>
        <v>1.2882409545414688</v>
      </c>
      <c r="BU65" s="767">
        <f t="shared" si="98"/>
        <v>-1000000</v>
      </c>
      <c r="BV65" s="767">
        <f t="shared" si="98"/>
        <v>-1000000</v>
      </c>
      <c r="BW65" s="767">
        <f t="shared" si="98"/>
        <v>-1000000</v>
      </c>
      <c r="BX65" s="767">
        <f t="shared" si="98"/>
        <v>-1000000</v>
      </c>
      <c r="BY65" s="767">
        <f t="shared" si="98"/>
        <v>-1000000</v>
      </c>
      <c r="BZ65" s="648">
        <f t="shared" si="56"/>
        <v>28</v>
      </c>
      <c r="CA65" s="767">
        <f t="shared" si="90"/>
        <v>2.0387458248275272</v>
      </c>
      <c r="CB65" s="767">
        <f t="shared" si="90"/>
        <v>2.0060435104884053</v>
      </c>
      <c r="CC65" s="767">
        <f t="shared" si="90"/>
        <v>1.9721690922365973</v>
      </c>
      <c r="CD65" s="767">
        <f t="shared" si="90"/>
        <v>1.942443139483826</v>
      </c>
      <c r="CE65" s="767"/>
      <c r="CF65" s="767"/>
      <c r="CG65" s="767"/>
      <c r="CH65" s="767"/>
      <c r="CI65" s="767"/>
      <c r="CJ65" s="767"/>
      <c r="CK65" s="781">
        <f t="shared" si="58"/>
        <v>1.75</v>
      </c>
      <c r="CL65" s="783">
        <f t="shared" si="78"/>
        <v>1000000</v>
      </c>
      <c r="CM65" s="552"/>
      <c r="CN65" s="552"/>
      <c r="CO65" s="552"/>
      <c r="CP65" s="552"/>
      <c r="CQ65" s="552"/>
      <c r="CR65" s="552"/>
      <c r="CS65" s="552"/>
      <c r="CT65" s="552"/>
      <c r="CU65" s="552"/>
      <c r="CV65" s="552"/>
      <c r="CW65" s="552"/>
      <c r="CX65" s="552"/>
      <c r="CY65" s="552"/>
      <c r="CZ65" s="642">
        <f t="shared" si="39"/>
        <v>58</v>
      </c>
      <c r="DA65" s="609">
        <f t="shared" si="0"/>
        <v>65.25</v>
      </c>
      <c r="DB65" s="609">
        <f t="shared" si="22"/>
        <v>23.2</v>
      </c>
      <c r="DC65" s="610">
        <f t="shared" si="85"/>
        <v>134.38588051012113</v>
      </c>
      <c r="DD65" s="611">
        <f t="shared" si="85"/>
        <v>134.70079046530202</v>
      </c>
      <c r="DE65" s="612">
        <f t="shared" si="85"/>
        <v>134.95042282235056</v>
      </c>
      <c r="DF65" s="610">
        <f t="shared" si="86"/>
        <v>19.411764705882348</v>
      </c>
      <c r="DG65" s="611">
        <f t="shared" si="86"/>
        <v>22</v>
      </c>
      <c r="DH65" s="612">
        <f t="shared" si="86"/>
        <v>28.470588235294098</v>
      </c>
      <c r="DI65" s="610">
        <f t="shared" si="3"/>
        <v>153.79764521600347</v>
      </c>
      <c r="DJ65" s="611">
        <f t="shared" si="3"/>
        <v>156.70079046530202</v>
      </c>
      <c r="DK65" s="612">
        <f t="shared" si="3"/>
        <v>163.42101105764465</v>
      </c>
      <c r="DL65" s="613">
        <f t="shared" si="94"/>
        <v>153.79764521600347</v>
      </c>
      <c r="DM65" s="613">
        <f t="shared" si="94"/>
        <v>156.70079046530202</v>
      </c>
      <c r="DN65" s="613">
        <f t="shared" si="94"/>
        <v>163.42101105764465</v>
      </c>
      <c r="DO65" s="609">
        <f t="shared" si="5"/>
        <v>135</v>
      </c>
      <c r="DP65" s="609"/>
      <c r="DQ65" s="609">
        <f t="shared" si="24"/>
        <v>23.2</v>
      </c>
      <c r="DR65" s="610">
        <f t="shared" si="79"/>
        <v>0.14275208969755113</v>
      </c>
      <c r="DS65" s="611">
        <f t="shared" si="79"/>
        <v>7.8824765068427033E-2</v>
      </c>
      <c r="DT65" s="612">
        <f t="shared" si="79"/>
        <v>1.69021836089823E-2</v>
      </c>
      <c r="DU65" s="611">
        <f t="shared" si="95"/>
        <v>0.14959919523498319</v>
      </c>
      <c r="DV65" s="611">
        <f t="shared" si="95"/>
        <v>8.3127746316761897E-2</v>
      </c>
      <c r="DW65" s="611">
        <f t="shared" si="95"/>
        <v>1.8108888856218544E-2</v>
      </c>
      <c r="DX65" s="614">
        <f t="shared" si="7"/>
        <v>12.5</v>
      </c>
      <c r="DY65" s="615"/>
      <c r="DZ65" s="609">
        <f t="shared" si="25"/>
        <v>23.2</v>
      </c>
      <c r="EA65" s="611">
        <f t="shared" si="87"/>
        <v>2.1095389908256883</v>
      </c>
      <c r="EB65" s="611">
        <f t="shared" si="87"/>
        <v>1000000</v>
      </c>
      <c r="EC65" s="611">
        <f t="shared" si="87"/>
        <v>1000000</v>
      </c>
      <c r="ED65" s="610">
        <f t="shared" si="88"/>
        <v>0.22002999999999975</v>
      </c>
      <c r="EE65" s="611">
        <f t="shared" si="88"/>
        <v>0.22005999999999976</v>
      </c>
      <c r="EF65" s="612">
        <f t="shared" si="88"/>
        <v>0.22012499999999974</v>
      </c>
      <c r="EG65" s="611">
        <f t="shared" si="10"/>
        <v>2.3295689908256882</v>
      </c>
      <c r="EH65" s="611">
        <f t="shared" si="10"/>
        <v>1000000.22006</v>
      </c>
      <c r="EI65" s="611">
        <f t="shared" si="10"/>
        <v>1000000.220125</v>
      </c>
      <c r="EJ65" s="610">
        <f t="shared" si="26"/>
        <v>2.2999999999999998</v>
      </c>
      <c r="EK65" s="643">
        <f t="shared" si="27"/>
        <v>2.25</v>
      </c>
      <c r="EL65" s="644">
        <f t="shared" si="28"/>
        <v>2.83</v>
      </c>
      <c r="EN65" s="620">
        <f t="shared" si="29"/>
        <v>12.647222222222222</v>
      </c>
      <c r="EO65" s="621">
        <f t="shared" si="40"/>
        <v>89.691543117929669</v>
      </c>
      <c r="EP65" s="621">
        <f t="shared" si="40"/>
        <v>101.01269146015996</v>
      </c>
      <c r="EQ65" s="621">
        <f t="shared" si="40"/>
        <v>110.27840634813948</v>
      </c>
      <c r="ER65" s="610">
        <f t="shared" si="80"/>
        <v>51.834715542017328</v>
      </c>
      <c r="ES65" s="611">
        <f t="shared" si="80"/>
        <v>75.085523245545033</v>
      </c>
      <c r="ET65" s="612">
        <f t="shared" si="80"/>
        <v>99.490421623160501</v>
      </c>
      <c r="EU65" s="610">
        <f t="shared" si="30"/>
        <v>100</v>
      </c>
      <c r="EV65" s="611">
        <f t="shared" si="31"/>
        <v>135</v>
      </c>
      <c r="EW65" s="645">
        <f t="shared" si="32"/>
        <v>-1000000</v>
      </c>
      <c r="EX65" s="610">
        <f t="shared" si="13"/>
        <v>-37.856827575912341</v>
      </c>
      <c r="EY65" s="621">
        <f t="shared" si="14"/>
        <v>-25.927168214614923</v>
      </c>
      <c r="EZ65" s="612">
        <f t="shared" si="15"/>
        <v>-10.787984724978983</v>
      </c>
      <c r="FA65" s="646">
        <f t="shared" si="16"/>
        <v>12.647222222222222</v>
      </c>
      <c r="FB65" s="317"/>
      <c r="FC65" s="552"/>
      <c r="FD65" s="552"/>
      <c r="FE65" s="552"/>
      <c r="FF65" s="552"/>
      <c r="FG65" s="552"/>
      <c r="FH65" s="552"/>
      <c r="FI65" s="552"/>
      <c r="FJ65" s="552"/>
      <c r="FK65" s="552"/>
      <c r="FL65" s="552"/>
      <c r="FM65" s="552"/>
      <c r="FN65" s="552"/>
      <c r="FO65" s="552"/>
      <c r="FP65" s="552"/>
      <c r="FQ65" s="552"/>
      <c r="FR65" s="552"/>
      <c r="FS65" s="552"/>
      <c r="FT65" s="552"/>
    </row>
    <row r="66" spans="2:176" s="564" customFormat="1" ht="15" customHeight="1" x14ac:dyDescent="0.2">
      <c r="B66" s="647">
        <f t="shared" si="96"/>
        <v>48</v>
      </c>
      <c r="C66" s="652">
        <f>$E$14</f>
        <v>109</v>
      </c>
      <c r="D66" s="771">
        <f>$B$14</f>
        <v>1.9</v>
      </c>
      <c r="E66" s="772">
        <f t="shared" si="49"/>
        <v>2.2708333333333335</v>
      </c>
      <c r="F66" s="689"/>
      <c r="G66" s="747">
        <f t="shared" si="50"/>
        <v>1.9266951681943902</v>
      </c>
      <c r="H66" s="748">
        <f t="shared" si="60"/>
        <v>7.1263200492678895E-4</v>
      </c>
      <c r="I66" s="689"/>
      <c r="J66" s="773">
        <f t="shared" si="82"/>
        <v>29</v>
      </c>
      <c r="K66" s="774">
        <f t="shared" si="61"/>
        <v>32.625</v>
      </c>
      <c r="L66" s="747">
        <f t="shared" si="91"/>
        <v>2.0729550769230771</v>
      </c>
      <c r="M66" s="751">
        <f t="shared" si="91"/>
        <v>2.0700843406593408</v>
      </c>
      <c r="N66" s="751">
        <f t="shared" si="91"/>
        <v>2.0651265109890109</v>
      </c>
      <c r="O66" s="751">
        <f t="shared" si="91"/>
        <v>2.0601686813186815</v>
      </c>
      <c r="P66" s="751">
        <f t="shared" si="91"/>
        <v>2.050646153846154</v>
      </c>
      <c r="Q66" s="751">
        <f t="shared" si="91"/>
        <v>2.0450898901098902</v>
      </c>
      <c r="R66" s="751">
        <f t="shared" si="91"/>
        <v>2.023913186813187</v>
      </c>
      <c r="S66" s="751">
        <f t="shared" si="91"/>
        <v>2.0146457582417585</v>
      </c>
      <c r="T66" s="752">
        <f t="shared" si="91"/>
        <v>2.0013736263736264</v>
      </c>
      <c r="U66" s="753">
        <f t="shared" si="91"/>
        <v>1.9154087912087912</v>
      </c>
      <c r="W66" s="773">
        <f t="shared" si="63"/>
        <v>32.625</v>
      </c>
      <c r="X66" s="775">
        <f t="shared" si="92"/>
        <v>-3.7907871928113464E-2</v>
      </c>
      <c r="Y66" s="776">
        <f t="shared" si="92"/>
        <v>-3.7912435817002349E-2</v>
      </c>
      <c r="Z66" s="776">
        <f t="shared" si="92"/>
        <v>-3.7920317761446797E-2</v>
      </c>
      <c r="AA66" s="776">
        <f t="shared" si="92"/>
        <v>-3.7928199705891237E-2</v>
      </c>
      <c r="AB66" s="776">
        <f t="shared" si="92"/>
        <v>-3.7943338594780128E-2</v>
      </c>
      <c r="AC66" s="776">
        <f t="shared" si="92"/>
        <v>-3.7952171928113461E-2</v>
      </c>
      <c r="AD66" s="776">
        <f t="shared" si="92"/>
        <v>-3.7985838594780129E-2</v>
      </c>
      <c r="AE66" s="776">
        <f t="shared" si="92"/>
        <v>-3.8000571928113458E-2</v>
      </c>
      <c r="AF66" s="777">
        <f t="shared" si="92"/>
        <v>-3.8021671928113461E-2</v>
      </c>
      <c r="AG66" s="778">
        <f t="shared" si="92"/>
        <v>-3.8158338594780128E-2</v>
      </c>
      <c r="AI66" s="773">
        <f t="shared" si="65"/>
        <v>32.625</v>
      </c>
      <c r="AJ66" s="747">
        <f t="shared" si="99"/>
        <v>2.0350472049949637</v>
      </c>
      <c r="AK66" s="751">
        <f t="shared" si="99"/>
        <v>2.0321719048423383</v>
      </c>
      <c r="AL66" s="751">
        <f t="shared" si="99"/>
        <v>2.0272061932275642</v>
      </c>
      <c r="AM66" s="751">
        <f t="shared" si="99"/>
        <v>2.0222404816127901</v>
      </c>
      <c r="AN66" s="751">
        <f t="shared" si="99"/>
        <v>2.012702815251374</v>
      </c>
      <c r="AO66" s="751">
        <f t="shared" si="97"/>
        <v>2.0071377181817769</v>
      </c>
      <c r="AP66" s="751">
        <f t="shared" si="97"/>
        <v>1.9859273482184068</v>
      </c>
      <c r="AQ66" s="751">
        <f t="shared" si="97"/>
        <v>1.9766451863136449</v>
      </c>
      <c r="AR66" s="752">
        <f t="shared" si="97"/>
        <v>1.9633519544455129</v>
      </c>
      <c r="AS66" s="751">
        <f t="shared" si="97"/>
        <v>1.877250452614011</v>
      </c>
      <c r="AT66" s="674">
        <f t="shared" si="66"/>
        <v>1.75</v>
      </c>
      <c r="AU66" s="712">
        <f t="shared" si="67"/>
        <v>1.8</v>
      </c>
      <c r="AV66" s="712">
        <f t="shared" si="68"/>
        <v>1.81</v>
      </c>
      <c r="AW66" s="712">
        <f t="shared" si="69"/>
        <v>1.83</v>
      </c>
      <c r="AX66" s="712">
        <f t="shared" si="70"/>
        <v>1.84</v>
      </c>
      <c r="AY66" s="712">
        <f t="shared" si="71"/>
        <v>1.86</v>
      </c>
      <c r="AZ66" s="712">
        <f t="shared" si="72"/>
        <v>1.88</v>
      </c>
      <c r="BA66" s="712">
        <f t="shared" si="73"/>
        <v>1.9</v>
      </c>
      <c r="BB66" s="712">
        <f t="shared" si="74"/>
        <v>1.92</v>
      </c>
      <c r="BC66" s="779">
        <f t="shared" si="75"/>
        <v>1000000</v>
      </c>
      <c r="BD66" s="780">
        <f t="shared" si="76"/>
        <v>-1000000</v>
      </c>
      <c r="BF66" s="781">
        <f t="shared" si="93"/>
        <v>2.0354608026616359</v>
      </c>
      <c r="BG66" s="767">
        <f t="shared" si="93"/>
        <v>2.0033453800955607</v>
      </c>
      <c r="BH66" s="767">
        <f t="shared" si="93"/>
        <v>1.9700295551991218</v>
      </c>
      <c r="BI66" s="767">
        <f t="shared" si="93"/>
        <v>1.9386493737025692</v>
      </c>
      <c r="BJ66" s="767">
        <f t="shared" si="93"/>
        <v>10.996890194614243</v>
      </c>
      <c r="BK66" s="767">
        <f t="shared" si="93"/>
        <v>2.1189106795181893</v>
      </c>
      <c r="BL66" s="767">
        <f t="shared" si="93"/>
        <v>2.0274385724105146</v>
      </c>
      <c r="BM66" s="767">
        <f t="shared" si="93"/>
        <v>2.0211902979969629</v>
      </c>
      <c r="BN66" s="767">
        <f t="shared" si="93"/>
        <v>2.0163208467425604</v>
      </c>
      <c r="BO66" s="782">
        <f t="shared" si="93"/>
        <v>2.0078127526899938</v>
      </c>
      <c r="BP66" s="781">
        <f t="shared" si="100"/>
        <v>2.0354608026616359</v>
      </c>
      <c r="BQ66" s="767">
        <f t="shared" si="100"/>
        <v>2.0033453800955607</v>
      </c>
      <c r="BR66" s="767">
        <f t="shared" si="100"/>
        <v>1.9700295551991218</v>
      </c>
      <c r="BS66" s="767">
        <f t="shared" si="100"/>
        <v>1.9386493737025692</v>
      </c>
      <c r="BT66" s="767">
        <f t="shared" si="100"/>
        <v>-1000000</v>
      </c>
      <c r="BU66" s="767">
        <f t="shared" si="98"/>
        <v>-1000000</v>
      </c>
      <c r="BV66" s="767">
        <f t="shared" si="98"/>
        <v>-1000000</v>
      </c>
      <c r="BW66" s="767">
        <f t="shared" si="98"/>
        <v>-1000000</v>
      </c>
      <c r="BX66" s="767">
        <f t="shared" si="98"/>
        <v>-1000000</v>
      </c>
      <c r="BY66" s="767">
        <f t="shared" si="98"/>
        <v>-1000000</v>
      </c>
      <c r="BZ66" s="648">
        <f t="shared" si="56"/>
        <v>29</v>
      </c>
      <c r="CA66" s="767">
        <f t="shared" si="90"/>
        <v>2.0354608026616359</v>
      </c>
      <c r="CB66" s="767">
        <f t="shared" si="90"/>
        <v>2.0033453800955607</v>
      </c>
      <c r="CC66" s="767">
        <f t="shared" si="90"/>
        <v>1.9700295551991218</v>
      </c>
      <c r="CD66" s="767">
        <f t="shared" si="90"/>
        <v>1.9386493737025692</v>
      </c>
      <c r="CE66" s="767"/>
      <c r="CF66" s="767"/>
      <c r="CG66" s="767"/>
      <c r="CH66" s="767"/>
      <c r="CI66" s="767"/>
      <c r="CJ66" s="767"/>
      <c r="CK66" s="781">
        <f t="shared" si="58"/>
        <v>1.75</v>
      </c>
      <c r="CL66" s="783">
        <f t="shared" si="78"/>
        <v>1000000</v>
      </c>
      <c r="CM66" s="552"/>
      <c r="CN66" s="552"/>
      <c r="CO66" s="552"/>
      <c r="CP66" s="552"/>
      <c r="CQ66" s="552"/>
      <c r="CR66" s="552"/>
      <c r="CS66" s="552"/>
      <c r="CT66" s="552"/>
      <c r="CU66" s="552"/>
      <c r="CV66" s="552"/>
      <c r="CW66" s="552"/>
      <c r="CX66" s="552"/>
      <c r="CY66" s="552"/>
      <c r="CZ66" s="642">
        <f t="shared" si="39"/>
        <v>59</v>
      </c>
      <c r="DA66" s="609">
        <f t="shared" si="0"/>
        <v>66.375</v>
      </c>
      <c r="DB66" s="609">
        <f t="shared" si="22"/>
        <v>23.599999999999998</v>
      </c>
      <c r="DC66" s="610">
        <f t="shared" ref="DC66:DE85" si="101">$CS$28*(1-EXP(-$DB66/DC$4))</f>
        <v>134.44040712587463</v>
      </c>
      <c r="DD66" s="611">
        <f t="shared" si="101"/>
        <v>134.73071595037936</v>
      </c>
      <c r="DE66" s="612">
        <f t="shared" si="101"/>
        <v>134.95674296325285</v>
      </c>
      <c r="DF66" s="610">
        <f t="shared" ref="DF66:DH85" si="102">$CS$31*((DF$3-$CS$21)+($CS$23-DF$3)*EXP(-$DB66/DF$4))</f>
        <v>19.411764705882348</v>
      </c>
      <c r="DG66" s="611">
        <f t="shared" si="102"/>
        <v>22</v>
      </c>
      <c r="DH66" s="612">
        <f t="shared" si="102"/>
        <v>28.470588235294098</v>
      </c>
      <c r="DI66" s="610">
        <f t="shared" si="3"/>
        <v>153.85217183175698</v>
      </c>
      <c r="DJ66" s="611">
        <f t="shared" si="3"/>
        <v>156.73071595037936</v>
      </c>
      <c r="DK66" s="612">
        <f t="shared" si="3"/>
        <v>163.42733119854694</v>
      </c>
      <c r="DL66" s="613">
        <f t="shared" si="94"/>
        <v>153.85217183175698</v>
      </c>
      <c r="DM66" s="613">
        <f t="shared" si="94"/>
        <v>156.73071595037936</v>
      </c>
      <c r="DN66" s="613">
        <f t="shared" si="94"/>
        <v>163.42733119854694</v>
      </c>
      <c r="DO66" s="609">
        <f t="shared" si="5"/>
        <v>135</v>
      </c>
      <c r="DP66" s="609"/>
      <c r="DQ66" s="609">
        <f t="shared" si="24"/>
        <v>23.599999999999998</v>
      </c>
      <c r="DR66" s="610">
        <f t="shared" si="79"/>
        <v>0.13007737659818158</v>
      </c>
      <c r="DS66" s="611">
        <f t="shared" si="79"/>
        <v>7.0941094739669572E-2</v>
      </c>
      <c r="DT66" s="612">
        <f t="shared" si="79"/>
        <v>1.4747478822836778E-2</v>
      </c>
      <c r="DU66" s="611">
        <f t="shared" si="95"/>
        <v>0.13631653938375668</v>
      </c>
      <c r="DV66" s="611">
        <f t="shared" si="95"/>
        <v>7.4813712693355947E-2</v>
      </c>
      <c r="DW66" s="611">
        <f t="shared" si="95"/>
        <v>1.5800352255723793E-2</v>
      </c>
      <c r="DX66" s="614">
        <f t="shared" si="7"/>
        <v>12.5</v>
      </c>
      <c r="DY66" s="615"/>
      <c r="DZ66" s="609">
        <f t="shared" si="25"/>
        <v>23.599999999999998</v>
      </c>
      <c r="EA66" s="611">
        <f t="shared" ref="EA66:EC85" si="103">IF((EA$4*$DZ66)&gt;=$CS$28,1000000,($CS$21+($CS$36*EA$4)/(1-(EA$4*$DZ66)/($CS$28))))</f>
        <v>2.1100911214953273</v>
      </c>
      <c r="EB66" s="611">
        <f t="shared" si="103"/>
        <v>1000000</v>
      </c>
      <c r="EC66" s="611">
        <f t="shared" si="103"/>
        <v>1000000</v>
      </c>
      <c r="ED66" s="610">
        <f t="shared" ref="ED66:EF85" si="104">($CS$25-$CS$21)+($CS$23-$CS$25)*EXP(-$DZ66/$CX$14)+$CS$37*ED$4</f>
        <v>0.22002999999999975</v>
      </c>
      <c r="EE66" s="611">
        <f t="shared" si="104"/>
        <v>0.22005999999999976</v>
      </c>
      <c r="EF66" s="612">
        <f t="shared" si="104"/>
        <v>0.22012499999999974</v>
      </c>
      <c r="EG66" s="611">
        <f t="shared" si="10"/>
        <v>2.3301211214953272</v>
      </c>
      <c r="EH66" s="611">
        <f t="shared" si="10"/>
        <v>1000000.22006</v>
      </c>
      <c r="EI66" s="611">
        <f t="shared" si="10"/>
        <v>1000000.220125</v>
      </c>
      <c r="EJ66" s="610">
        <f t="shared" si="26"/>
        <v>2.2999999999999998</v>
      </c>
      <c r="EK66" s="643">
        <f t="shared" si="27"/>
        <v>2.25</v>
      </c>
      <c r="EL66" s="644">
        <f t="shared" si="28"/>
        <v>2.83</v>
      </c>
      <c r="EN66" s="620">
        <f t="shared" si="29"/>
        <v>12.865277777777777</v>
      </c>
      <c r="EO66" s="621">
        <f t="shared" si="40"/>
        <v>88.910920767047472</v>
      </c>
      <c r="EP66" s="621">
        <f t="shared" si="40"/>
        <v>100.42701733439996</v>
      </c>
      <c r="EQ66" s="621">
        <f t="shared" si="40"/>
        <v>109.85233808048658</v>
      </c>
      <c r="ER66" s="610">
        <f t="shared" si="80"/>
        <v>51.051557101911357</v>
      </c>
      <c r="ES66" s="611">
        <f t="shared" si="80"/>
        <v>74.343913777413604</v>
      </c>
      <c r="ET66" s="612">
        <f t="shared" si="80"/>
        <v>98.74043868843566</v>
      </c>
      <c r="EU66" s="610">
        <f t="shared" si="30"/>
        <v>100</v>
      </c>
      <c r="EV66" s="611">
        <f t="shared" si="31"/>
        <v>135</v>
      </c>
      <c r="EW66" s="645">
        <f t="shared" si="32"/>
        <v>-1000000</v>
      </c>
      <c r="EX66" s="610">
        <f t="shared" si="13"/>
        <v>-37.859363665136115</v>
      </c>
      <c r="EY66" s="621">
        <f t="shared" si="14"/>
        <v>-26.083103556986359</v>
      </c>
      <c r="EZ66" s="612">
        <f t="shared" si="15"/>
        <v>-11.111899392050908</v>
      </c>
      <c r="FA66" s="646">
        <f t="shared" si="16"/>
        <v>12.865277777777777</v>
      </c>
      <c r="FB66" s="317"/>
      <c r="FC66" s="552"/>
      <c r="FD66" s="552"/>
      <c r="FE66" s="552"/>
      <c r="FF66" s="552"/>
      <c r="FG66" s="552"/>
      <c r="FH66" s="552"/>
      <c r="FI66" s="552"/>
      <c r="FJ66" s="552"/>
      <c r="FK66" s="552"/>
      <c r="FL66" s="552"/>
      <c r="FM66" s="552"/>
      <c r="FN66" s="552"/>
      <c r="FO66" s="552"/>
      <c r="FP66" s="552"/>
      <c r="FQ66" s="552"/>
      <c r="FR66" s="552"/>
      <c r="FS66" s="552"/>
      <c r="FT66" s="552"/>
    </row>
    <row r="67" spans="2:176" s="564" customFormat="1" ht="15" customHeight="1" x14ac:dyDescent="0.2">
      <c r="B67" s="647">
        <f t="shared" si="96"/>
        <v>48</v>
      </c>
      <c r="C67" s="652">
        <f>$E$15</f>
        <v>103.5</v>
      </c>
      <c r="D67" s="771">
        <f>$B$15</f>
        <v>1.92</v>
      </c>
      <c r="E67" s="772">
        <f t="shared" si="49"/>
        <v>2.15625</v>
      </c>
      <c r="F67" s="689"/>
      <c r="G67" s="747">
        <f t="shared" si="50"/>
        <v>1.9393974412576065</v>
      </c>
      <c r="H67" s="748">
        <f t="shared" si="60"/>
        <v>3.7626072734229724E-4</v>
      </c>
      <c r="I67" s="689"/>
      <c r="J67" s="773">
        <f t="shared" si="82"/>
        <v>30</v>
      </c>
      <c r="K67" s="774">
        <f t="shared" si="61"/>
        <v>33.75</v>
      </c>
      <c r="L67" s="747">
        <f t="shared" si="91"/>
        <v>2.0728768</v>
      </c>
      <c r="M67" s="751">
        <f t="shared" si="91"/>
        <v>2.0699741666666669</v>
      </c>
      <c r="N67" s="751">
        <f t="shared" si="91"/>
        <v>2.0649612500000001</v>
      </c>
      <c r="O67" s="751">
        <f t="shared" si="91"/>
        <v>2.0599483333333333</v>
      </c>
      <c r="P67" s="751">
        <f t="shared" si="91"/>
        <v>2.0503200000000001</v>
      </c>
      <c r="Q67" s="751">
        <f t="shared" si="91"/>
        <v>2.044702</v>
      </c>
      <c r="R67" s="751">
        <f t="shared" si="91"/>
        <v>2.0232900000000003</v>
      </c>
      <c r="S67" s="751">
        <f t="shared" si="91"/>
        <v>2.0139195999999999</v>
      </c>
      <c r="T67" s="752">
        <f t="shared" si="91"/>
        <v>2.0005000000000002</v>
      </c>
      <c r="U67" s="753">
        <f t="shared" si="91"/>
        <v>1.9135800000000001</v>
      </c>
      <c r="W67" s="773">
        <f t="shared" si="63"/>
        <v>33.75</v>
      </c>
      <c r="X67" s="775">
        <f t="shared" si="92"/>
        <v>-4.095073961980996E-2</v>
      </c>
      <c r="Y67" s="776">
        <f t="shared" si="92"/>
        <v>-4.0955303508698845E-2</v>
      </c>
      <c r="Z67" s="776">
        <f t="shared" si="92"/>
        <v>-4.0963185453143293E-2</v>
      </c>
      <c r="AA67" s="776">
        <f t="shared" si="92"/>
        <v>-4.0971067397587733E-2</v>
      </c>
      <c r="AB67" s="776">
        <f t="shared" si="92"/>
        <v>-4.0986206286476624E-2</v>
      </c>
      <c r="AC67" s="776">
        <f t="shared" si="92"/>
        <v>-4.0995039619809957E-2</v>
      </c>
      <c r="AD67" s="776">
        <f t="shared" si="92"/>
        <v>-4.1028706286476625E-2</v>
      </c>
      <c r="AE67" s="776">
        <f t="shared" si="92"/>
        <v>-4.1043439619809954E-2</v>
      </c>
      <c r="AF67" s="777">
        <f t="shared" si="92"/>
        <v>-4.1064539619809957E-2</v>
      </c>
      <c r="AG67" s="778">
        <f t="shared" si="92"/>
        <v>-4.1201206286476624E-2</v>
      </c>
      <c r="AI67" s="773">
        <f t="shared" si="65"/>
        <v>33.75</v>
      </c>
      <c r="AJ67" s="747">
        <f t="shared" si="99"/>
        <v>2.0319260603801901</v>
      </c>
      <c r="AK67" s="751">
        <f t="shared" si="99"/>
        <v>2.029018863157968</v>
      </c>
      <c r="AL67" s="751">
        <f t="shared" si="99"/>
        <v>2.0239980645468569</v>
      </c>
      <c r="AM67" s="751">
        <f t="shared" si="99"/>
        <v>2.0189772659357454</v>
      </c>
      <c r="AN67" s="751">
        <f t="shared" si="99"/>
        <v>2.0093337937135236</v>
      </c>
      <c r="AO67" s="751">
        <f t="shared" si="97"/>
        <v>2.0037069603801902</v>
      </c>
      <c r="AP67" s="751">
        <f t="shared" si="97"/>
        <v>1.9822612937135236</v>
      </c>
      <c r="AQ67" s="751">
        <f t="shared" si="97"/>
        <v>1.9728761603801899</v>
      </c>
      <c r="AR67" s="752">
        <f t="shared" si="97"/>
        <v>1.9594354603801902</v>
      </c>
      <c r="AS67" s="751">
        <f t="shared" si="97"/>
        <v>1.8723787937135234</v>
      </c>
      <c r="AT67" s="674">
        <f t="shared" si="66"/>
        <v>1.75</v>
      </c>
      <c r="AU67" s="712">
        <f t="shared" si="67"/>
        <v>1.8</v>
      </c>
      <c r="AV67" s="712">
        <f t="shared" si="68"/>
        <v>1.81</v>
      </c>
      <c r="AW67" s="712">
        <f t="shared" si="69"/>
        <v>1.83</v>
      </c>
      <c r="AX67" s="712">
        <f t="shared" si="70"/>
        <v>1.84</v>
      </c>
      <c r="AY67" s="712">
        <f t="shared" si="71"/>
        <v>1.86</v>
      </c>
      <c r="AZ67" s="712">
        <f t="shared" si="72"/>
        <v>1.88</v>
      </c>
      <c r="BA67" s="712">
        <f t="shared" si="73"/>
        <v>1.9</v>
      </c>
      <c r="BB67" s="712">
        <f t="shared" si="74"/>
        <v>1.92</v>
      </c>
      <c r="BC67" s="779">
        <f t="shared" si="75"/>
        <v>1000000</v>
      </c>
      <c r="BD67" s="780">
        <f t="shared" si="76"/>
        <v>-1000000</v>
      </c>
      <c r="BF67" s="781">
        <f t="shared" si="93"/>
        <v>2.0323333794720067</v>
      </c>
      <c r="BG67" s="767">
        <f t="shared" si="93"/>
        <v>2.0008130876869017</v>
      </c>
      <c r="BH67" s="767">
        <f t="shared" si="93"/>
        <v>1.9679695920853371</v>
      </c>
      <c r="BI67" s="767">
        <f t="shared" si="93"/>
        <v>1.9344517463105726</v>
      </c>
      <c r="BJ67" s="767">
        <f t="shared" si="93"/>
        <v>2.5825006940394228</v>
      </c>
      <c r="BK67" s="767">
        <f t="shared" si="93"/>
        <v>2.0946052576500405</v>
      </c>
      <c r="BL67" s="767">
        <f t="shared" si="93"/>
        <v>2.0243112025287213</v>
      </c>
      <c r="BM67" s="767">
        <f t="shared" si="93"/>
        <v>2.0188246546151638</v>
      </c>
      <c r="BN67" s="767">
        <f t="shared" si="93"/>
        <v>2.0144780329712475</v>
      </c>
      <c r="BO67" s="782">
        <f t="shared" si="93"/>
        <v>2.0067254085501633</v>
      </c>
      <c r="BP67" s="781">
        <f t="shared" si="100"/>
        <v>2.0323333794720067</v>
      </c>
      <c r="BQ67" s="767">
        <f t="shared" si="100"/>
        <v>2.0008130876869017</v>
      </c>
      <c r="BR67" s="767">
        <f t="shared" si="100"/>
        <v>1.9679695920853371</v>
      </c>
      <c r="BS67" s="767">
        <f t="shared" si="100"/>
        <v>1.9344517463105726</v>
      </c>
      <c r="BT67" s="767">
        <f t="shared" si="100"/>
        <v>-1000000</v>
      </c>
      <c r="BU67" s="767">
        <f t="shared" si="98"/>
        <v>-1000000</v>
      </c>
      <c r="BV67" s="767">
        <f t="shared" si="98"/>
        <v>-1000000</v>
      </c>
      <c r="BW67" s="767">
        <f t="shared" si="98"/>
        <v>-1000000</v>
      </c>
      <c r="BX67" s="767">
        <f t="shared" si="98"/>
        <v>-1000000</v>
      </c>
      <c r="BY67" s="767">
        <f t="shared" si="98"/>
        <v>-1000000</v>
      </c>
      <c r="BZ67" s="648">
        <f t="shared" si="56"/>
        <v>30</v>
      </c>
      <c r="CA67" s="767">
        <f t="shared" si="90"/>
        <v>2.0323333794720067</v>
      </c>
      <c r="CB67" s="767">
        <f t="shared" si="90"/>
        <v>2.0008130876869017</v>
      </c>
      <c r="CC67" s="767">
        <f t="shared" si="90"/>
        <v>1.9679695920853371</v>
      </c>
      <c r="CD67" s="767">
        <f t="shared" si="90"/>
        <v>1.9344517463105726</v>
      </c>
      <c r="CE67" s="767"/>
      <c r="CF67" s="767"/>
      <c r="CG67" s="767"/>
      <c r="CH67" s="767"/>
      <c r="CI67" s="767"/>
      <c r="CJ67" s="767"/>
      <c r="CK67" s="781">
        <f t="shared" si="58"/>
        <v>1.75</v>
      </c>
      <c r="CL67" s="783">
        <f t="shared" si="78"/>
        <v>1000000</v>
      </c>
      <c r="CM67" s="552"/>
      <c r="CN67" s="552"/>
      <c r="CO67" s="552"/>
      <c r="CP67" s="552"/>
      <c r="CQ67" s="552"/>
      <c r="CR67" s="552"/>
      <c r="CS67" s="552"/>
      <c r="CT67" s="552"/>
      <c r="CU67" s="552"/>
      <c r="CV67" s="552"/>
      <c r="CW67" s="552"/>
      <c r="CX67" s="552"/>
      <c r="CY67" s="552"/>
      <c r="CZ67" s="642">
        <f t="shared" si="39"/>
        <v>60</v>
      </c>
      <c r="DA67" s="609">
        <f t="shared" si="0"/>
        <v>67.5</v>
      </c>
      <c r="DB67" s="609">
        <f t="shared" si="22"/>
        <v>24</v>
      </c>
      <c r="DC67" s="610">
        <f t="shared" si="101"/>
        <v>134.49009241697627</v>
      </c>
      <c r="DD67" s="611">
        <f t="shared" si="101"/>
        <v>134.75764843371957</v>
      </c>
      <c r="DE67" s="612">
        <f t="shared" si="101"/>
        <v>134.96225740720101</v>
      </c>
      <c r="DF67" s="610">
        <f t="shared" si="102"/>
        <v>19.411764705882348</v>
      </c>
      <c r="DG67" s="611">
        <f t="shared" si="102"/>
        <v>22</v>
      </c>
      <c r="DH67" s="612">
        <f t="shared" si="102"/>
        <v>28.470588235294098</v>
      </c>
      <c r="DI67" s="610">
        <f t="shared" si="3"/>
        <v>153.90185712285862</v>
      </c>
      <c r="DJ67" s="611">
        <f t="shared" si="3"/>
        <v>156.75764843371957</v>
      </c>
      <c r="DK67" s="612">
        <f t="shared" si="3"/>
        <v>163.4328456424951</v>
      </c>
      <c r="DL67" s="613">
        <f t="shared" si="94"/>
        <v>153.90185712285862</v>
      </c>
      <c r="DM67" s="613">
        <f t="shared" si="94"/>
        <v>156.75764843371957</v>
      </c>
      <c r="DN67" s="613">
        <f t="shared" si="94"/>
        <v>163.4328456424951</v>
      </c>
      <c r="DO67" s="609">
        <f t="shared" si="5"/>
        <v>135</v>
      </c>
      <c r="DP67" s="609"/>
      <c r="DQ67" s="609">
        <f t="shared" si="24"/>
        <v>24</v>
      </c>
      <c r="DR67" s="610">
        <f t="shared" si="79"/>
        <v>0.11852802952666969</v>
      </c>
      <c r="DS67" s="611">
        <f t="shared" si="79"/>
        <v>6.3845910844060022E-2</v>
      </c>
      <c r="DT67" s="612">
        <f t="shared" si="79"/>
        <v>1.2867457641061196E-2</v>
      </c>
      <c r="DU67" s="611">
        <f t="shared" si="95"/>
        <v>0.12421322775409682</v>
      </c>
      <c r="DV67" s="611">
        <f t="shared" si="95"/>
        <v>6.7331208350509181E-2</v>
      </c>
      <c r="DW67" s="611">
        <f t="shared" si="95"/>
        <v>1.3786109870395007E-2</v>
      </c>
      <c r="DX67" s="614">
        <f t="shared" si="7"/>
        <v>12.5</v>
      </c>
      <c r="DY67" s="615"/>
      <c r="DZ67" s="609">
        <f t="shared" si="25"/>
        <v>24</v>
      </c>
      <c r="EA67" s="611">
        <f t="shared" si="103"/>
        <v>2.1106642857142859</v>
      </c>
      <c r="EB67" s="611">
        <f t="shared" si="103"/>
        <v>1000000</v>
      </c>
      <c r="EC67" s="611">
        <f t="shared" si="103"/>
        <v>1000000</v>
      </c>
      <c r="ED67" s="610">
        <f t="shared" si="104"/>
        <v>0.22002999999999975</v>
      </c>
      <c r="EE67" s="611">
        <f t="shared" si="104"/>
        <v>0.22005999999999976</v>
      </c>
      <c r="EF67" s="612">
        <f t="shared" si="104"/>
        <v>0.22012499999999974</v>
      </c>
      <c r="EG67" s="611">
        <f t="shared" si="10"/>
        <v>2.3306942857142858</v>
      </c>
      <c r="EH67" s="611">
        <f t="shared" si="10"/>
        <v>1000000.22006</v>
      </c>
      <c r="EI67" s="611">
        <f t="shared" si="10"/>
        <v>1000000.220125</v>
      </c>
      <c r="EJ67" s="610">
        <f t="shared" si="26"/>
        <v>2.2999999999999998</v>
      </c>
      <c r="EK67" s="643">
        <f t="shared" si="27"/>
        <v>2.25</v>
      </c>
      <c r="EL67" s="644">
        <f t="shared" si="28"/>
        <v>2.83</v>
      </c>
      <c r="EN67" s="620">
        <f t="shared" si="29"/>
        <v>13.083333333333334</v>
      </c>
      <c r="EO67" s="621">
        <f t="shared" si="40"/>
        <v>88.13031731565485</v>
      </c>
      <c r="EP67" s="621">
        <f t="shared" si="40"/>
        <v>99.841353845299608</v>
      </c>
      <c r="EQ67" s="621">
        <f t="shared" si="40"/>
        <v>109.42627544130231</v>
      </c>
      <c r="ER67" s="610">
        <f t="shared" si="80"/>
        <v>50.268745186570904</v>
      </c>
      <c r="ES67" s="611">
        <f t="shared" si="80"/>
        <v>73.609433601469561</v>
      </c>
      <c r="ET67" s="612">
        <f t="shared" si="80"/>
        <v>97.996062893915507</v>
      </c>
      <c r="EU67" s="610">
        <f t="shared" si="30"/>
        <v>100</v>
      </c>
      <c r="EV67" s="611">
        <f t="shared" si="31"/>
        <v>135</v>
      </c>
      <c r="EW67" s="645">
        <f t="shared" si="32"/>
        <v>-1000000</v>
      </c>
      <c r="EX67" s="610">
        <f t="shared" si="13"/>
        <v>-37.861572129083946</v>
      </c>
      <c r="EY67" s="621">
        <f t="shared" si="14"/>
        <v>-26.231920243830047</v>
      </c>
      <c r="EZ67" s="612">
        <f t="shared" si="15"/>
        <v>-11.430212547386809</v>
      </c>
      <c r="FA67" s="646">
        <f t="shared" si="16"/>
        <v>13.083333333333334</v>
      </c>
      <c r="FB67" s="317"/>
      <c r="FC67" s="552"/>
      <c r="FD67" s="552"/>
      <c r="FE67" s="552"/>
      <c r="FF67" s="552"/>
      <c r="FG67" s="552"/>
      <c r="FH67" s="552"/>
      <c r="FI67" s="552"/>
      <c r="FJ67" s="552"/>
      <c r="FK67" s="552"/>
      <c r="FL67" s="552"/>
      <c r="FM67" s="552"/>
      <c r="FN67" s="552"/>
      <c r="FO67" s="552"/>
      <c r="FP67" s="552"/>
      <c r="FQ67" s="552"/>
      <c r="FR67" s="552"/>
      <c r="FS67" s="552"/>
      <c r="FT67" s="552"/>
    </row>
    <row r="68" spans="2:176" s="564" customFormat="1" ht="15" customHeight="1" x14ac:dyDescent="0.2">
      <c r="B68" s="647">
        <f t="shared" si="96"/>
        <v>48</v>
      </c>
      <c r="C68" s="652">
        <f>$E$16</f>
        <v>97</v>
      </c>
      <c r="D68" s="771">
        <f>$B$16</f>
        <v>1.94</v>
      </c>
      <c r="E68" s="790">
        <f t="shared" si="49"/>
        <v>2.0208333333333335</v>
      </c>
      <c r="F68" s="689"/>
      <c r="G68" s="747">
        <f t="shared" si="50"/>
        <v>1.950070542138211</v>
      </c>
      <c r="H68" s="748">
        <f t="shared" si="60"/>
        <v>1.0141581895748366E-4</v>
      </c>
      <c r="I68" s="689"/>
      <c r="J68" s="773">
        <f t="shared" si="82"/>
        <v>31</v>
      </c>
      <c r="K68" s="774">
        <f t="shared" si="61"/>
        <v>34.875</v>
      </c>
      <c r="L68" s="747">
        <f t="shared" si="91"/>
        <v>2.0727967640449441</v>
      </c>
      <c r="M68" s="751">
        <f t="shared" si="91"/>
        <v>2.0698615168539325</v>
      </c>
      <c r="N68" s="751">
        <f t="shared" si="91"/>
        <v>2.0647922752808991</v>
      </c>
      <c r="O68" s="751">
        <f t="shared" si="91"/>
        <v>2.0597230337078654</v>
      </c>
      <c r="P68" s="751">
        <f t="shared" si="91"/>
        <v>2.0499865168539326</v>
      </c>
      <c r="Q68" s="751">
        <f t="shared" si="91"/>
        <v>2.0443053932584272</v>
      </c>
      <c r="R68" s="751">
        <f t="shared" si="91"/>
        <v>2.0226528089887643</v>
      </c>
      <c r="S68" s="751">
        <f t="shared" si="91"/>
        <v>2.0131771235955056</v>
      </c>
      <c r="T68" s="752">
        <f t="shared" si="91"/>
        <v>1.9996067415730339</v>
      </c>
      <c r="U68" s="753">
        <f t="shared" si="91"/>
        <v>1.9117101123595506</v>
      </c>
      <c r="W68" s="773">
        <f t="shared" si="63"/>
        <v>34.875</v>
      </c>
      <c r="X68" s="775">
        <f t="shared" si="92"/>
        <v>-4.3841917606055804E-2</v>
      </c>
      <c r="Y68" s="776">
        <f t="shared" si="92"/>
        <v>-4.3846481494944689E-2</v>
      </c>
      <c r="Z68" s="776">
        <f t="shared" si="92"/>
        <v>-4.3854363439389137E-2</v>
      </c>
      <c r="AA68" s="776">
        <f t="shared" si="92"/>
        <v>-4.3862245383833577E-2</v>
      </c>
      <c r="AB68" s="776">
        <f t="shared" si="92"/>
        <v>-4.3877384272722468E-2</v>
      </c>
      <c r="AC68" s="776">
        <f t="shared" si="92"/>
        <v>-4.3886217606055801E-2</v>
      </c>
      <c r="AD68" s="776">
        <f t="shared" si="92"/>
        <v>-4.3919884272722469E-2</v>
      </c>
      <c r="AE68" s="776">
        <f t="shared" si="92"/>
        <v>-4.3934617606055798E-2</v>
      </c>
      <c r="AF68" s="777">
        <f t="shared" si="92"/>
        <v>-4.3955717606055801E-2</v>
      </c>
      <c r="AG68" s="778">
        <f t="shared" si="92"/>
        <v>-4.4092384272722468E-2</v>
      </c>
      <c r="AI68" s="773">
        <f t="shared" si="65"/>
        <v>34.875</v>
      </c>
      <c r="AJ68" s="747">
        <f t="shared" si="99"/>
        <v>2.0289548464388885</v>
      </c>
      <c r="AK68" s="751">
        <f t="shared" si="99"/>
        <v>2.0260150353589879</v>
      </c>
      <c r="AL68" s="751">
        <f t="shared" si="99"/>
        <v>2.0209379118415098</v>
      </c>
      <c r="AM68" s="751">
        <f t="shared" si="99"/>
        <v>2.0158607883240318</v>
      </c>
      <c r="AN68" s="751">
        <f t="shared" si="99"/>
        <v>2.0061091325812104</v>
      </c>
      <c r="AO68" s="751">
        <f t="shared" si="97"/>
        <v>2.0004191756523713</v>
      </c>
      <c r="AP68" s="751">
        <f t="shared" si="97"/>
        <v>1.9787329247160419</v>
      </c>
      <c r="AQ68" s="751">
        <f t="shared" si="97"/>
        <v>1.9692425059894498</v>
      </c>
      <c r="AR68" s="752">
        <f t="shared" si="97"/>
        <v>1.955651023966978</v>
      </c>
      <c r="AS68" s="751">
        <f t="shared" si="97"/>
        <v>1.867617728086828</v>
      </c>
      <c r="AT68" s="674">
        <f t="shared" si="66"/>
        <v>1.75</v>
      </c>
      <c r="AU68" s="712">
        <f t="shared" si="67"/>
        <v>1.8</v>
      </c>
      <c r="AV68" s="712">
        <f t="shared" si="68"/>
        <v>1.81</v>
      </c>
      <c r="AW68" s="712">
        <f t="shared" si="69"/>
        <v>1.83</v>
      </c>
      <c r="AX68" s="712">
        <f t="shared" si="70"/>
        <v>1.84</v>
      </c>
      <c r="AY68" s="712">
        <f t="shared" si="71"/>
        <v>1.86</v>
      </c>
      <c r="AZ68" s="712">
        <f t="shared" si="72"/>
        <v>1.88</v>
      </c>
      <c r="BA68" s="712">
        <f t="shared" si="73"/>
        <v>1.9</v>
      </c>
      <c r="BB68" s="712">
        <f t="shared" si="74"/>
        <v>1.92</v>
      </c>
      <c r="BC68" s="779">
        <f t="shared" si="75"/>
        <v>1000000</v>
      </c>
      <c r="BD68" s="780">
        <f t="shared" si="76"/>
        <v>-1000000</v>
      </c>
      <c r="BF68" s="781">
        <f t="shared" si="93"/>
        <v>2.029355593213646</v>
      </c>
      <c r="BG68" s="767">
        <f t="shared" si="93"/>
        <v>1.9984342864452385</v>
      </c>
      <c r="BH68" s="767">
        <f t="shared" si="93"/>
        <v>1.9659684788747658</v>
      </c>
      <c r="BI68" s="767">
        <f t="shared" si="93"/>
        <v>1.9297141660535926</v>
      </c>
      <c r="BJ68" s="767">
        <f t="shared" si="93"/>
        <v>2.2922645364698022</v>
      </c>
      <c r="BK68" s="767">
        <f t="shared" si="93"/>
        <v>2.0775785670416753</v>
      </c>
      <c r="BL68" s="767">
        <f t="shared" si="93"/>
        <v>2.0215783551678959</v>
      </c>
      <c r="BM68" s="767">
        <f t="shared" si="93"/>
        <v>2.0167217924268779</v>
      </c>
      <c r="BN68" s="767">
        <f t="shared" si="93"/>
        <v>2.012817678731095</v>
      </c>
      <c r="BO68" s="782">
        <f t="shared" si="93"/>
        <v>2.0057222216841581</v>
      </c>
      <c r="BP68" s="781">
        <f t="shared" si="100"/>
        <v>2.029355593213646</v>
      </c>
      <c r="BQ68" s="767">
        <f t="shared" si="100"/>
        <v>1.9984342864452385</v>
      </c>
      <c r="BR68" s="767">
        <f t="shared" si="100"/>
        <v>1.9659684788747658</v>
      </c>
      <c r="BS68" s="767">
        <f t="shared" si="100"/>
        <v>1.9297141660535926</v>
      </c>
      <c r="BT68" s="767">
        <f t="shared" si="100"/>
        <v>-1000000</v>
      </c>
      <c r="BU68" s="767">
        <f t="shared" si="98"/>
        <v>-1000000</v>
      </c>
      <c r="BV68" s="767">
        <f t="shared" si="98"/>
        <v>-1000000</v>
      </c>
      <c r="BW68" s="767">
        <f t="shared" si="98"/>
        <v>-1000000</v>
      </c>
      <c r="BX68" s="767">
        <f t="shared" si="98"/>
        <v>-1000000</v>
      </c>
      <c r="BY68" s="767">
        <f t="shared" si="98"/>
        <v>-1000000</v>
      </c>
      <c r="BZ68" s="648">
        <f t="shared" si="56"/>
        <v>31.000000000000004</v>
      </c>
      <c r="CA68" s="767">
        <f t="shared" ref="CA68:CD83" si="105">IF(BP68&lt;0,-1000000,BP68)</f>
        <v>2.029355593213646</v>
      </c>
      <c r="CB68" s="767">
        <f t="shared" si="105"/>
        <v>1.9984342864452385</v>
      </c>
      <c r="CC68" s="767">
        <f t="shared" si="105"/>
        <v>1.9659684788747658</v>
      </c>
      <c r="CD68" s="767">
        <f t="shared" si="105"/>
        <v>1.9297141660535926</v>
      </c>
      <c r="CE68" s="767"/>
      <c r="CF68" s="767"/>
      <c r="CG68" s="767"/>
      <c r="CH68" s="767"/>
      <c r="CI68" s="767"/>
      <c r="CJ68" s="767"/>
      <c r="CK68" s="781">
        <f t="shared" si="58"/>
        <v>1.75</v>
      </c>
      <c r="CL68" s="783">
        <f t="shared" si="78"/>
        <v>1000000</v>
      </c>
      <c r="CM68" s="552"/>
      <c r="CN68" s="552"/>
      <c r="CO68" s="552"/>
      <c r="CP68" s="552"/>
      <c r="CQ68" s="552"/>
      <c r="CR68" s="552"/>
      <c r="CS68" s="552"/>
      <c r="CT68" s="552"/>
      <c r="CU68" s="552"/>
      <c r="CV68" s="552"/>
      <c r="CW68" s="552"/>
      <c r="CX68" s="552"/>
      <c r="CY68" s="552"/>
      <c r="CZ68" s="642">
        <f t="shared" si="39"/>
        <v>61</v>
      </c>
      <c r="DA68" s="609">
        <f t="shared" si="0"/>
        <v>68.625</v>
      </c>
      <c r="DB68" s="609">
        <f t="shared" si="22"/>
        <v>24.4</v>
      </c>
      <c r="DC68" s="610">
        <f t="shared" si="101"/>
        <v>134.5353662363348</v>
      </c>
      <c r="DD68" s="611">
        <f t="shared" si="101"/>
        <v>134.78188726082618</v>
      </c>
      <c r="DE68" s="612">
        <f t="shared" si="101"/>
        <v>134.96706886513016</v>
      </c>
      <c r="DF68" s="610">
        <f t="shared" si="102"/>
        <v>19.411764705882348</v>
      </c>
      <c r="DG68" s="611">
        <f t="shared" si="102"/>
        <v>22</v>
      </c>
      <c r="DH68" s="612">
        <f t="shared" si="102"/>
        <v>28.470588235294098</v>
      </c>
      <c r="DI68" s="610">
        <f t="shared" si="3"/>
        <v>153.94713094221714</v>
      </c>
      <c r="DJ68" s="611">
        <f t="shared" si="3"/>
        <v>156.78188726082618</v>
      </c>
      <c r="DK68" s="612">
        <f t="shared" si="3"/>
        <v>163.43765710042425</v>
      </c>
      <c r="DL68" s="613">
        <f t="shared" si="94"/>
        <v>153.94713094221714</v>
      </c>
      <c r="DM68" s="613">
        <f t="shared" si="94"/>
        <v>156.78188726082618</v>
      </c>
      <c r="DN68" s="613">
        <f t="shared" si="94"/>
        <v>163.43765710042425</v>
      </c>
      <c r="DO68" s="609">
        <f t="shared" si="5"/>
        <v>135</v>
      </c>
      <c r="DP68" s="609"/>
      <c r="DQ68" s="609">
        <f t="shared" si="24"/>
        <v>24.4</v>
      </c>
      <c r="DR68" s="610">
        <f t="shared" si="79"/>
        <v>0.1080041291643907</v>
      </c>
      <c r="DS68" s="611">
        <f t="shared" si="79"/>
        <v>5.7460352796448184E-2</v>
      </c>
      <c r="DT68" s="612">
        <f t="shared" si="79"/>
        <v>1.1227103163431137E-2</v>
      </c>
      <c r="DU68" s="611">
        <f t="shared" si="95"/>
        <v>0.11318454839631938</v>
      </c>
      <c r="DV68" s="611">
        <f t="shared" si="95"/>
        <v>6.0597067766537054E-2</v>
      </c>
      <c r="DW68" s="611">
        <f t="shared" si="95"/>
        <v>1.2028644822876843E-2</v>
      </c>
      <c r="DX68" s="614">
        <f t="shared" si="7"/>
        <v>12.5</v>
      </c>
      <c r="DY68" s="615"/>
      <c r="DZ68" s="609">
        <f t="shared" si="25"/>
        <v>24.4</v>
      </c>
      <c r="EA68" s="611">
        <f t="shared" si="103"/>
        <v>2.1112597087378639</v>
      </c>
      <c r="EB68" s="611">
        <f t="shared" si="103"/>
        <v>1000000</v>
      </c>
      <c r="EC68" s="611">
        <f t="shared" si="103"/>
        <v>1000000</v>
      </c>
      <c r="ED68" s="610">
        <f t="shared" si="104"/>
        <v>0.22002999999999975</v>
      </c>
      <c r="EE68" s="611">
        <f t="shared" si="104"/>
        <v>0.22005999999999976</v>
      </c>
      <c r="EF68" s="612">
        <f t="shared" si="104"/>
        <v>0.22012499999999974</v>
      </c>
      <c r="EG68" s="611">
        <f t="shared" si="10"/>
        <v>2.3312897087378639</v>
      </c>
      <c r="EH68" s="611">
        <f t="shared" si="10"/>
        <v>1000000.22006</v>
      </c>
      <c r="EI68" s="611">
        <f t="shared" si="10"/>
        <v>1000000.220125</v>
      </c>
      <c r="EJ68" s="610">
        <f t="shared" si="26"/>
        <v>2.2999999999999998</v>
      </c>
      <c r="EK68" s="643">
        <f t="shared" si="27"/>
        <v>2.25</v>
      </c>
      <c r="EL68" s="644">
        <f t="shared" si="28"/>
        <v>2.83</v>
      </c>
      <c r="EN68" s="620">
        <f t="shared" si="29"/>
        <v>13.301388888888889</v>
      </c>
      <c r="EO68" s="621">
        <f t="shared" si="40"/>
        <v>87.349732763065504</v>
      </c>
      <c r="EP68" s="621">
        <f t="shared" si="40"/>
        <v>99.255700992569103</v>
      </c>
      <c r="EQ68" s="621">
        <f t="shared" si="40"/>
        <v>109.00021843047523</v>
      </c>
      <c r="ER68" s="610">
        <f t="shared" si="80"/>
        <v>49.48623747096223</v>
      </c>
      <c r="ES68" s="611">
        <f t="shared" si="80"/>
        <v>72.881757741341687</v>
      </c>
      <c r="ET68" s="612">
        <f t="shared" si="80"/>
        <v>97.257197371588077</v>
      </c>
      <c r="EU68" s="610">
        <f t="shared" si="30"/>
        <v>100</v>
      </c>
      <c r="EV68" s="611">
        <f t="shared" si="31"/>
        <v>135</v>
      </c>
      <c r="EW68" s="645">
        <f t="shared" si="32"/>
        <v>-1000000</v>
      </c>
      <c r="EX68" s="610">
        <f t="shared" si="13"/>
        <v>-37.863495292103273</v>
      </c>
      <c r="EY68" s="621">
        <f t="shared" si="14"/>
        <v>-26.373943251227416</v>
      </c>
      <c r="EZ68" s="612">
        <f t="shared" si="15"/>
        <v>-11.743021058887152</v>
      </c>
      <c r="FA68" s="646">
        <f t="shared" si="16"/>
        <v>13.301388888888889</v>
      </c>
      <c r="FB68" s="317"/>
      <c r="FC68" s="552"/>
      <c r="FD68" s="552"/>
      <c r="FE68" s="552"/>
      <c r="FF68" s="552"/>
      <c r="FG68" s="552"/>
      <c r="FH68" s="552"/>
      <c r="FI68" s="552"/>
      <c r="FJ68" s="552"/>
      <c r="FK68" s="552"/>
      <c r="FL68" s="552"/>
      <c r="FM68" s="552"/>
      <c r="FN68" s="552"/>
      <c r="FO68" s="552"/>
      <c r="FP68" s="552"/>
      <c r="FQ68" s="552"/>
      <c r="FR68" s="552"/>
      <c r="FS68" s="552"/>
      <c r="FT68" s="552"/>
    </row>
    <row r="69" spans="2:176" s="564" customFormat="1" ht="15" customHeight="1" x14ac:dyDescent="0.2">
      <c r="B69" s="626">
        <f>$F$4</f>
        <v>36</v>
      </c>
      <c r="C69" s="631">
        <f>$F$6</f>
        <v>121.5</v>
      </c>
      <c r="D69" s="744">
        <f>$B$6</f>
        <v>1.75</v>
      </c>
      <c r="E69" s="745">
        <f t="shared" si="49"/>
        <v>3.375</v>
      </c>
      <c r="F69" s="689"/>
      <c r="G69" s="747">
        <f t="shared" si="50"/>
        <v>1.8211170925812312</v>
      </c>
      <c r="H69" s="748">
        <f t="shared" si="60"/>
        <v>5.0576408572074131E-3</v>
      </c>
      <c r="I69" s="689"/>
      <c r="J69" s="773">
        <f t="shared" si="82"/>
        <v>32</v>
      </c>
      <c r="K69" s="774">
        <f t="shared" si="61"/>
        <v>36</v>
      </c>
      <c r="L69" s="747">
        <f t="shared" ref="L69:U84" si="106">$AB$21-($AD$24*L$34)/(1-($K69)/($AB$22))</f>
        <v>2.0727149090909092</v>
      </c>
      <c r="M69" s="751">
        <f t="shared" si="106"/>
        <v>2.0697463068181818</v>
      </c>
      <c r="N69" s="751">
        <f t="shared" si="106"/>
        <v>2.0646194602272727</v>
      </c>
      <c r="O69" s="751">
        <f t="shared" si="106"/>
        <v>2.0594926136363636</v>
      </c>
      <c r="P69" s="751">
        <f t="shared" si="106"/>
        <v>2.0496454545454545</v>
      </c>
      <c r="Q69" s="751">
        <f t="shared" si="106"/>
        <v>2.043899772727273</v>
      </c>
      <c r="R69" s="751">
        <f t="shared" si="106"/>
        <v>2.0220011363636363</v>
      </c>
      <c r="S69" s="751">
        <f t="shared" si="106"/>
        <v>2.012417772727273</v>
      </c>
      <c r="T69" s="752">
        <f t="shared" si="106"/>
        <v>1.9986931818181819</v>
      </c>
      <c r="U69" s="753">
        <f t="shared" si="106"/>
        <v>1.9097977272727273</v>
      </c>
      <c r="W69" s="773">
        <f t="shared" si="63"/>
        <v>36</v>
      </c>
      <c r="X69" s="775">
        <f t="shared" ref="X69:AG84" si="107">$AB$28*(1-(1-EXP(-(($W69)/($AB$23))))/(1-EXP(-1)))-$AD$25*X$34</f>
        <v>-4.6588967755808536E-2</v>
      </c>
      <c r="Y69" s="776">
        <f t="shared" si="107"/>
        <v>-4.6593531644697421E-2</v>
      </c>
      <c r="Z69" s="776">
        <f t="shared" si="107"/>
        <v>-4.6601413589141868E-2</v>
      </c>
      <c r="AA69" s="776">
        <f t="shared" si="107"/>
        <v>-4.6609295533586309E-2</v>
      </c>
      <c r="AB69" s="776">
        <f t="shared" si="107"/>
        <v>-4.66244344224752E-2</v>
      </c>
      <c r="AC69" s="776">
        <f t="shared" si="107"/>
        <v>-4.6633267755808533E-2</v>
      </c>
      <c r="AD69" s="776">
        <f t="shared" si="107"/>
        <v>-4.6666934422475201E-2</v>
      </c>
      <c r="AE69" s="776">
        <f t="shared" si="107"/>
        <v>-4.668166775580853E-2</v>
      </c>
      <c r="AF69" s="777">
        <f t="shared" si="107"/>
        <v>-4.6702767755808533E-2</v>
      </c>
      <c r="AG69" s="778">
        <f t="shared" si="107"/>
        <v>-4.68394344224752E-2</v>
      </c>
      <c r="AI69" s="773">
        <f t="shared" si="65"/>
        <v>36</v>
      </c>
      <c r="AJ69" s="747">
        <f t="shared" si="99"/>
        <v>2.0261259413351005</v>
      </c>
      <c r="AK69" s="751">
        <f t="shared" si="99"/>
        <v>2.0231527751734846</v>
      </c>
      <c r="AL69" s="751">
        <f t="shared" si="99"/>
        <v>2.0180180466381308</v>
      </c>
      <c r="AM69" s="751">
        <f t="shared" si="99"/>
        <v>2.0128833181027774</v>
      </c>
      <c r="AN69" s="751">
        <f t="shared" si="99"/>
        <v>2.0030210201229792</v>
      </c>
      <c r="AO69" s="751">
        <f t="shared" si="97"/>
        <v>1.9972665049714644</v>
      </c>
      <c r="AP69" s="751">
        <f t="shared" si="97"/>
        <v>1.975334201941161</v>
      </c>
      <c r="AQ69" s="751">
        <f t="shared" si="97"/>
        <v>1.9657361049714643</v>
      </c>
      <c r="AR69" s="752">
        <f t="shared" si="97"/>
        <v>1.9519904140623734</v>
      </c>
      <c r="AS69" s="751">
        <f t="shared" si="97"/>
        <v>1.8629582928502522</v>
      </c>
      <c r="AT69" s="674">
        <f t="shared" si="66"/>
        <v>1.75</v>
      </c>
      <c r="AU69" s="712">
        <f t="shared" si="67"/>
        <v>1.8</v>
      </c>
      <c r="AV69" s="712">
        <f t="shared" si="68"/>
        <v>1.81</v>
      </c>
      <c r="AW69" s="712">
        <f t="shared" si="69"/>
        <v>1.83</v>
      </c>
      <c r="AX69" s="712">
        <f t="shared" si="70"/>
        <v>1.84</v>
      </c>
      <c r="AY69" s="712">
        <f t="shared" si="71"/>
        <v>1.86</v>
      </c>
      <c r="AZ69" s="712">
        <f t="shared" si="72"/>
        <v>1.88</v>
      </c>
      <c r="BA69" s="712">
        <f t="shared" si="73"/>
        <v>1.9</v>
      </c>
      <c r="BB69" s="712">
        <f t="shared" si="74"/>
        <v>1.92</v>
      </c>
      <c r="BC69" s="779">
        <f t="shared" si="75"/>
        <v>1000000</v>
      </c>
      <c r="BD69" s="780">
        <f t="shared" si="76"/>
        <v>-1000000</v>
      </c>
      <c r="BF69" s="781">
        <f t="shared" ref="BF69:BO84" si="108">$AB$21-(($AD$24/(1-(BF$34*$BZ69)/($AB$22)))+$AD$25)*BF$34+$AB$28*(1-(1-EXP(-(BF$34*$BZ69)/($AB$23)))/(1-EXP(-1)))</f>
        <v>2.0265198717018258</v>
      </c>
      <c r="BG69" s="767">
        <f t="shared" si="108"/>
        <v>1.9961974273484786</v>
      </c>
      <c r="BH69" s="767">
        <f t="shared" si="108"/>
        <v>1.9640058558931628</v>
      </c>
      <c r="BI69" s="767">
        <f t="shared" si="108"/>
        <v>1.924256053067366</v>
      </c>
      <c r="BJ69" s="767">
        <f t="shared" si="108"/>
        <v>2.1909786197903811</v>
      </c>
      <c r="BK69" s="767">
        <f t="shared" si="108"/>
        <v>2.0649872437933778</v>
      </c>
      <c r="BL69" s="767">
        <f t="shared" si="108"/>
        <v>2.0191697933664496</v>
      </c>
      <c r="BM69" s="767">
        <f t="shared" si="108"/>
        <v>2.0148402249849684</v>
      </c>
      <c r="BN69" s="767">
        <f t="shared" si="108"/>
        <v>2.0113139632471753</v>
      </c>
      <c r="BO69" s="782">
        <f t="shared" si="108"/>
        <v>2.0047937858091167</v>
      </c>
      <c r="BP69" s="781">
        <f t="shared" si="100"/>
        <v>2.0265198717018258</v>
      </c>
      <c r="BQ69" s="767">
        <f t="shared" si="100"/>
        <v>1.9961974273484786</v>
      </c>
      <c r="BR69" s="767">
        <f t="shared" si="100"/>
        <v>1.9640058558931628</v>
      </c>
      <c r="BS69" s="767">
        <f t="shared" si="100"/>
        <v>1.924256053067366</v>
      </c>
      <c r="BT69" s="767">
        <f t="shared" si="100"/>
        <v>-1000000</v>
      </c>
      <c r="BU69" s="767">
        <f t="shared" si="98"/>
        <v>-1000000</v>
      </c>
      <c r="BV69" s="767">
        <f t="shared" si="98"/>
        <v>-1000000</v>
      </c>
      <c r="BW69" s="767">
        <f t="shared" si="98"/>
        <v>-1000000</v>
      </c>
      <c r="BX69" s="767">
        <f t="shared" si="98"/>
        <v>-1000000</v>
      </c>
      <c r="BY69" s="767">
        <f t="shared" si="98"/>
        <v>-1000000</v>
      </c>
      <c r="BZ69" s="648">
        <f t="shared" si="56"/>
        <v>32</v>
      </c>
      <c r="CA69" s="767">
        <f t="shared" si="105"/>
        <v>2.0265198717018258</v>
      </c>
      <c r="CB69" s="767">
        <f t="shared" si="105"/>
        <v>1.9961974273484786</v>
      </c>
      <c r="CC69" s="767">
        <f t="shared" si="105"/>
        <v>1.9640058558931628</v>
      </c>
      <c r="CD69" s="767">
        <f t="shared" si="105"/>
        <v>1.924256053067366</v>
      </c>
      <c r="CE69" s="767"/>
      <c r="CF69" s="767"/>
      <c r="CG69" s="767"/>
      <c r="CH69" s="767"/>
      <c r="CI69" s="767"/>
      <c r="CJ69" s="767"/>
      <c r="CK69" s="781">
        <f t="shared" si="58"/>
        <v>1.75</v>
      </c>
      <c r="CL69" s="783">
        <f t="shared" si="78"/>
        <v>1000000</v>
      </c>
      <c r="CM69" s="552"/>
      <c r="CN69" s="552"/>
      <c r="CO69" s="552"/>
      <c r="CP69" s="552"/>
      <c r="CQ69" s="552"/>
      <c r="CR69" s="552"/>
      <c r="CS69" s="552"/>
      <c r="CT69" s="552"/>
      <c r="CU69" s="552"/>
      <c r="CV69" s="552"/>
      <c r="CW69" s="552"/>
      <c r="CX69" s="552"/>
      <c r="CY69" s="552"/>
      <c r="CZ69" s="642">
        <f t="shared" si="39"/>
        <v>62</v>
      </c>
      <c r="DA69" s="609">
        <f t="shared" si="0"/>
        <v>69.75</v>
      </c>
      <c r="DB69" s="609">
        <f t="shared" si="22"/>
        <v>24.800000000000004</v>
      </c>
      <c r="DC69" s="610">
        <f t="shared" si="101"/>
        <v>134.57662027095674</v>
      </c>
      <c r="DD69" s="611">
        <f t="shared" si="101"/>
        <v>134.80370183811868</v>
      </c>
      <c r="DE69" s="612">
        <f t="shared" si="101"/>
        <v>134.97126695429776</v>
      </c>
      <c r="DF69" s="610">
        <f t="shared" si="102"/>
        <v>19.411764705882348</v>
      </c>
      <c r="DG69" s="611">
        <f t="shared" si="102"/>
        <v>22</v>
      </c>
      <c r="DH69" s="612">
        <f t="shared" si="102"/>
        <v>28.470588235294098</v>
      </c>
      <c r="DI69" s="610">
        <f t="shared" si="3"/>
        <v>153.98838497683909</v>
      </c>
      <c r="DJ69" s="611">
        <f t="shared" si="3"/>
        <v>156.80370183811868</v>
      </c>
      <c r="DK69" s="612">
        <f t="shared" si="3"/>
        <v>163.44185518959185</v>
      </c>
      <c r="DL69" s="613">
        <f t="shared" si="94"/>
        <v>153.98838497683909</v>
      </c>
      <c r="DM69" s="613">
        <f t="shared" si="94"/>
        <v>156.80370183811868</v>
      </c>
      <c r="DN69" s="613">
        <f t="shared" si="94"/>
        <v>163.44185518959185</v>
      </c>
      <c r="DO69" s="609">
        <f t="shared" si="5"/>
        <v>135</v>
      </c>
      <c r="DP69" s="609"/>
      <c r="DQ69" s="609">
        <f t="shared" si="24"/>
        <v>24.800000000000004</v>
      </c>
      <c r="DR69" s="610">
        <f t="shared" si="79"/>
        <v>9.841462785757088E-2</v>
      </c>
      <c r="DS69" s="611">
        <f t="shared" si="79"/>
        <v>5.1713447264562902E-2</v>
      </c>
      <c r="DT69" s="612">
        <f t="shared" si="79"/>
        <v>9.7958624740364705E-3</v>
      </c>
      <c r="DU69" s="611">
        <f t="shared" si="95"/>
        <v>0.10313508655485601</v>
      </c>
      <c r="DV69" s="611">
        <f t="shared" si="95"/>
        <v>5.4536443231255949E-2</v>
      </c>
      <c r="DW69" s="611">
        <f t="shared" si="95"/>
        <v>1.0495222919004583E-2</v>
      </c>
      <c r="DX69" s="614">
        <f t="shared" si="7"/>
        <v>12.5</v>
      </c>
      <c r="DY69" s="615"/>
      <c r="DZ69" s="609">
        <f t="shared" si="25"/>
        <v>24.800000000000004</v>
      </c>
      <c r="EA69" s="611">
        <f t="shared" si="103"/>
        <v>2.1118787128712873</v>
      </c>
      <c r="EB69" s="611">
        <f t="shared" si="103"/>
        <v>1000000</v>
      </c>
      <c r="EC69" s="611">
        <f t="shared" si="103"/>
        <v>1000000</v>
      </c>
      <c r="ED69" s="610">
        <f t="shared" si="104"/>
        <v>0.22002999999999975</v>
      </c>
      <c r="EE69" s="611">
        <f t="shared" si="104"/>
        <v>0.22005999999999976</v>
      </c>
      <c r="EF69" s="612">
        <f t="shared" si="104"/>
        <v>0.22012499999999974</v>
      </c>
      <c r="EG69" s="611">
        <f t="shared" si="10"/>
        <v>2.3319087128712872</v>
      </c>
      <c r="EH69" s="611">
        <f t="shared" si="10"/>
        <v>1000000.22006</v>
      </c>
      <c r="EI69" s="611">
        <f t="shared" si="10"/>
        <v>1000000.220125</v>
      </c>
      <c r="EJ69" s="610">
        <f t="shared" si="26"/>
        <v>2.2999999999999998</v>
      </c>
      <c r="EK69" s="643">
        <f t="shared" si="27"/>
        <v>2.25</v>
      </c>
      <c r="EL69" s="644">
        <f t="shared" si="28"/>
        <v>2.83</v>
      </c>
      <c r="EN69" s="620">
        <f t="shared" si="29"/>
        <v>13.519444444444446</v>
      </c>
      <c r="EO69" s="621">
        <f t="shared" si="40"/>
        <v>86.569167108593021</v>
      </c>
      <c r="EP69" s="621">
        <f t="shared" si="40"/>
        <v>98.67005877591869</v>
      </c>
      <c r="EQ69" s="621">
        <f t="shared" si="40"/>
        <v>108.57416704789375</v>
      </c>
      <c r="ER69" s="610">
        <f t="shared" si="80"/>
        <v>48.703997097732156</v>
      </c>
      <c r="ES69" s="611">
        <f t="shared" si="80"/>
        <v>72.160576056248587</v>
      </c>
      <c r="ET69" s="612">
        <f t="shared" si="80"/>
        <v>96.523746928594505</v>
      </c>
      <c r="EU69" s="610">
        <f t="shared" si="30"/>
        <v>100</v>
      </c>
      <c r="EV69" s="611">
        <f t="shared" si="31"/>
        <v>135</v>
      </c>
      <c r="EW69" s="645">
        <f t="shared" si="32"/>
        <v>-1000000</v>
      </c>
      <c r="EX69" s="610">
        <f t="shared" si="13"/>
        <v>-37.865170010860865</v>
      </c>
      <c r="EY69" s="621">
        <f t="shared" si="14"/>
        <v>-26.509482719670103</v>
      </c>
      <c r="EZ69" s="612">
        <f t="shared" si="15"/>
        <v>-12.05042011929924</v>
      </c>
      <c r="FA69" s="646">
        <f t="shared" si="16"/>
        <v>13.519444444444446</v>
      </c>
      <c r="FB69" s="317"/>
      <c r="FC69" s="552"/>
      <c r="FD69" s="552"/>
      <c r="FE69" s="552"/>
      <c r="FF69" s="552"/>
      <c r="FG69" s="552"/>
      <c r="FH69" s="552"/>
      <c r="FI69" s="552"/>
      <c r="FJ69" s="552"/>
      <c r="FK69" s="552"/>
      <c r="FL69" s="552"/>
      <c r="FM69" s="552"/>
      <c r="FN69" s="552"/>
      <c r="FO69" s="552"/>
      <c r="FP69" s="552"/>
      <c r="FQ69" s="552"/>
      <c r="FR69" s="552"/>
      <c r="FS69" s="552"/>
      <c r="FT69" s="552"/>
    </row>
    <row r="70" spans="2:176" s="564" customFormat="1" ht="15" customHeight="1" x14ac:dyDescent="0.2">
      <c r="B70" s="647">
        <f t="shared" ref="B70:B79" si="109">$F$4</f>
        <v>36</v>
      </c>
      <c r="C70" s="652">
        <f>$F$7</f>
        <v>120</v>
      </c>
      <c r="D70" s="771">
        <f>$B$7</f>
        <v>1.78</v>
      </c>
      <c r="E70" s="772">
        <f t="shared" si="49"/>
        <v>3.3333333333333335</v>
      </c>
      <c r="F70" s="689"/>
      <c r="G70" s="747">
        <f t="shared" si="50"/>
        <v>1.8390808176281066</v>
      </c>
      <c r="H70" s="748">
        <f t="shared" si="60"/>
        <v>3.4905430116055885E-3</v>
      </c>
      <c r="I70" s="689"/>
      <c r="J70" s="773">
        <f t="shared" si="82"/>
        <v>33</v>
      </c>
      <c r="K70" s="774">
        <f t="shared" si="61"/>
        <v>37.125</v>
      </c>
      <c r="L70" s="747">
        <f t="shared" si="106"/>
        <v>2.0726311724137934</v>
      </c>
      <c r="M70" s="751">
        <f t="shared" si="106"/>
        <v>2.069628448275862</v>
      </c>
      <c r="N70" s="751">
        <f t="shared" si="106"/>
        <v>2.0644426724137932</v>
      </c>
      <c r="O70" s="751">
        <f t="shared" si="106"/>
        <v>2.0592568965517244</v>
      </c>
      <c r="P70" s="751">
        <f t="shared" si="106"/>
        <v>2.0492965517241379</v>
      </c>
      <c r="Q70" s="751">
        <f t="shared" si="106"/>
        <v>2.043484827586207</v>
      </c>
      <c r="R70" s="751">
        <f t="shared" si="106"/>
        <v>2.0213344827586206</v>
      </c>
      <c r="S70" s="751">
        <f t="shared" si="106"/>
        <v>2.0116409655172416</v>
      </c>
      <c r="T70" s="752">
        <f t="shared" si="106"/>
        <v>1.9977586206896552</v>
      </c>
      <c r="U70" s="753">
        <f t="shared" si="106"/>
        <v>1.9078413793103448</v>
      </c>
      <c r="W70" s="773">
        <f t="shared" si="63"/>
        <v>37.125</v>
      </c>
      <c r="X70" s="775">
        <f t="shared" si="107"/>
        <v>-4.9199074972021514E-2</v>
      </c>
      <c r="Y70" s="776">
        <f t="shared" si="107"/>
        <v>-4.9203638860910399E-2</v>
      </c>
      <c r="Z70" s="776">
        <f t="shared" si="107"/>
        <v>-4.9211520805354847E-2</v>
      </c>
      <c r="AA70" s="776">
        <f t="shared" si="107"/>
        <v>-4.9219402749799288E-2</v>
      </c>
      <c r="AB70" s="776">
        <f t="shared" si="107"/>
        <v>-4.9234541638688178E-2</v>
      </c>
      <c r="AC70" s="776">
        <f t="shared" si="107"/>
        <v>-4.9243374972021511E-2</v>
      </c>
      <c r="AD70" s="776">
        <f t="shared" si="107"/>
        <v>-4.9277041638688179E-2</v>
      </c>
      <c r="AE70" s="776">
        <f t="shared" si="107"/>
        <v>-4.9291774972021508E-2</v>
      </c>
      <c r="AF70" s="777">
        <f t="shared" si="107"/>
        <v>-4.9312874972021511E-2</v>
      </c>
      <c r="AG70" s="778">
        <f t="shared" si="107"/>
        <v>-4.9449541638688178E-2</v>
      </c>
      <c r="AI70" s="773">
        <f t="shared" si="65"/>
        <v>37.125</v>
      </c>
      <c r="AJ70" s="747">
        <f t="shared" si="99"/>
        <v>2.0234320974417717</v>
      </c>
      <c r="AK70" s="751">
        <f t="shared" si="99"/>
        <v>2.0204248094149517</v>
      </c>
      <c r="AL70" s="751">
        <f t="shared" si="99"/>
        <v>2.0152311516084382</v>
      </c>
      <c r="AM70" s="751">
        <f t="shared" si="99"/>
        <v>2.0100374938019252</v>
      </c>
      <c r="AN70" s="751">
        <f t="shared" si="99"/>
        <v>2.0000620100854496</v>
      </c>
      <c r="AO70" s="751">
        <f t="shared" si="97"/>
        <v>1.9942414526141854</v>
      </c>
      <c r="AP70" s="751">
        <f t="shared" si="97"/>
        <v>1.9720574411199325</v>
      </c>
      <c r="AQ70" s="751">
        <f t="shared" si="97"/>
        <v>1.9623491905452202</v>
      </c>
      <c r="AR70" s="752">
        <f t="shared" si="97"/>
        <v>1.9484457457176336</v>
      </c>
      <c r="AS70" s="751">
        <f t="shared" si="97"/>
        <v>1.8583918376716566</v>
      </c>
      <c r="AT70" s="674">
        <f t="shared" si="66"/>
        <v>1.75</v>
      </c>
      <c r="AU70" s="712">
        <f t="shared" si="67"/>
        <v>1.8</v>
      </c>
      <c r="AV70" s="712">
        <f t="shared" si="68"/>
        <v>1.81</v>
      </c>
      <c r="AW70" s="712">
        <f t="shared" si="69"/>
        <v>1.83</v>
      </c>
      <c r="AX70" s="712">
        <f t="shared" si="70"/>
        <v>1.84</v>
      </c>
      <c r="AY70" s="712">
        <f t="shared" si="71"/>
        <v>1.86</v>
      </c>
      <c r="AZ70" s="712">
        <f t="shared" si="72"/>
        <v>1.88</v>
      </c>
      <c r="BA70" s="712">
        <f t="shared" si="73"/>
        <v>1.9</v>
      </c>
      <c r="BB70" s="712">
        <f t="shared" si="74"/>
        <v>1.92</v>
      </c>
      <c r="BC70" s="779">
        <f t="shared" si="75"/>
        <v>1000000</v>
      </c>
      <c r="BD70" s="780">
        <f t="shared" si="76"/>
        <v>-1000000</v>
      </c>
      <c r="BF70" s="781">
        <f t="shared" si="108"/>
        <v>2.0238190129899869</v>
      </c>
      <c r="BG70" s="767">
        <f t="shared" si="108"/>
        <v>1.9940916992392403</v>
      </c>
      <c r="BH70" s="767">
        <f t="shared" si="108"/>
        <v>1.9620613608012996</v>
      </c>
      <c r="BI70" s="767">
        <f t="shared" si="108"/>
        <v>1.917828692078166</v>
      </c>
      <c r="BJ70" s="767">
        <f t="shared" si="108"/>
        <v>2.139425688985201</v>
      </c>
      <c r="BK70" s="767">
        <f t="shared" si="108"/>
        <v>2.0552984111534784</v>
      </c>
      <c r="BL70" s="767">
        <f t="shared" si="108"/>
        <v>2.0170310194349685</v>
      </c>
      <c r="BM70" s="767">
        <f t="shared" si="108"/>
        <v>2.0131467631906266</v>
      </c>
      <c r="BN70" s="767">
        <f t="shared" si="108"/>
        <v>2.009945718523733</v>
      </c>
      <c r="BO70" s="782">
        <f t="shared" si="108"/>
        <v>2.0039320460825003</v>
      </c>
      <c r="BP70" s="781">
        <f t="shared" si="100"/>
        <v>2.0238190129899869</v>
      </c>
      <c r="BQ70" s="767">
        <f t="shared" si="100"/>
        <v>1.9940916992392403</v>
      </c>
      <c r="BR70" s="767">
        <f t="shared" si="100"/>
        <v>1.9620613608012996</v>
      </c>
      <c r="BS70" s="767">
        <f t="shared" si="100"/>
        <v>1.917828692078166</v>
      </c>
      <c r="BT70" s="767">
        <f t="shared" si="100"/>
        <v>-1000000</v>
      </c>
      <c r="BU70" s="767">
        <f t="shared" si="98"/>
        <v>-1000000</v>
      </c>
      <c r="BV70" s="767">
        <f t="shared" si="98"/>
        <v>-1000000</v>
      </c>
      <c r="BW70" s="767">
        <f t="shared" si="98"/>
        <v>-1000000</v>
      </c>
      <c r="BX70" s="767">
        <f t="shared" si="98"/>
        <v>-1000000</v>
      </c>
      <c r="BY70" s="767">
        <f t="shared" si="98"/>
        <v>-1000000</v>
      </c>
      <c r="BZ70" s="648">
        <f t="shared" si="56"/>
        <v>33</v>
      </c>
      <c r="CA70" s="767">
        <f t="shared" si="105"/>
        <v>2.0238190129899869</v>
      </c>
      <c r="CB70" s="767">
        <f t="shared" si="105"/>
        <v>1.9940916992392403</v>
      </c>
      <c r="CC70" s="767">
        <f t="shared" si="105"/>
        <v>1.9620613608012996</v>
      </c>
      <c r="CD70" s="767">
        <f t="shared" si="105"/>
        <v>1.917828692078166</v>
      </c>
      <c r="CE70" s="767"/>
      <c r="CF70" s="767"/>
      <c r="CG70" s="767"/>
      <c r="CH70" s="767"/>
      <c r="CI70" s="767"/>
      <c r="CJ70" s="767"/>
      <c r="CK70" s="781">
        <f t="shared" si="58"/>
        <v>1.75</v>
      </c>
      <c r="CL70" s="783">
        <f t="shared" si="78"/>
        <v>1000000</v>
      </c>
      <c r="CM70" s="552"/>
      <c r="CN70" s="552"/>
      <c r="CO70" s="552"/>
      <c r="CP70" s="552"/>
      <c r="CQ70" s="552"/>
      <c r="CR70" s="552"/>
      <c r="CS70" s="552"/>
      <c r="CT70" s="552"/>
      <c r="CU70" s="552"/>
      <c r="CV70" s="552"/>
      <c r="CW70" s="552"/>
      <c r="CX70" s="552"/>
      <c r="CY70" s="552"/>
      <c r="CZ70" s="642">
        <f t="shared" si="39"/>
        <v>63</v>
      </c>
      <c r="DA70" s="609">
        <f t="shared" ref="DA70:DA127" si="110">($CZ70/$CZ$127)*$CS$28</f>
        <v>70.875</v>
      </c>
      <c r="DB70" s="609">
        <f t="shared" si="22"/>
        <v>25.200000000000003</v>
      </c>
      <c r="DC70" s="610">
        <f t="shared" si="101"/>
        <v>134.6142114306314</v>
      </c>
      <c r="DD70" s="611">
        <f t="shared" si="101"/>
        <v>134.8233346272944</v>
      </c>
      <c r="DE70" s="612">
        <f t="shared" si="101"/>
        <v>134.97492986747673</v>
      </c>
      <c r="DF70" s="610">
        <f t="shared" si="102"/>
        <v>19.411764705882348</v>
      </c>
      <c r="DG70" s="611">
        <f t="shared" si="102"/>
        <v>22</v>
      </c>
      <c r="DH70" s="612">
        <f t="shared" si="102"/>
        <v>28.470588235294098</v>
      </c>
      <c r="DI70" s="610">
        <f t="shared" ref="DI70:DK127" si="111">DC70+DF70</f>
        <v>154.02597613651375</v>
      </c>
      <c r="DJ70" s="611">
        <f t="shared" si="111"/>
        <v>156.8233346272944</v>
      </c>
      <c r="DK70" s="612">
        <f t="shared" si="111"/>
        <v>163.44551810277082</v>
      </c>
      <c r="DL70" s="613">
        <f t="shared" si="94"/>
        <v>154.02597613651375</v>
      </c>
      <c r="DM70" s="613">
        <f t="shared" si="94"/>
        <v>156.8233346272944</v>
      </c>
      <c r="DN70" s="613">
        <f t="shared" si="94"/>
        <v>163.44551810277082</v>
      </c>
      <c r="DO70" s="609">
        <f t="shared" ref="DO70:DO127" si="112">$CS$28</f>
        <v>135</v>
      </c>
      <c r="DP70" s="609"/>
      <c r="DQ70" s="609">
        <f t="shared" si="24"/>
        <v>25.200000000000003</v>
      </c>
      <c r="DR70" s="610">
        <f t="shared" ref="DR70:DT101" si="113">((DF$3-$CS$21)/$CS$38)*EXP(-$DB70/DC$4)-(($CS$23-DF$3)/$CS$36)*EXP(-$DB70/DF$4)</f>
        <v>8.9676561917389111E-2</v>
      </c>
      <c r="DS70" s="611">
        <f t="shared" si="113"/>
        <v>4.6541319324270476E-2</v>
      </c>
      <c r="DT70" s="612">
        <f t="shared" si="113"/>
        <v>8.5470775687528349E-3</v>
      </c>
      <c r="DU70" s="611">
        <f t="shared" si="95"/>
        <v>9.3977899186655001E-2</v>
      </c>
      <c r="DV70" s="611">
        <f t="shared" si="95"/>
        <v>4.9081972939291237E-2</v>
      </c>
      <c r="DW70" s="611">
        <f t="shared" si="95"/>
        <v>9.1572829474273806E-3</v>
      </c>
      <c r="DX70" s="614">
        <f t="shared" ref="DX70:DX127" si="114">$CS$33</f>
        <v>12.5</v>
      </c>
      <c r="DY70" s="615"/>
      <c r="DZ70" s="609">
        <f t="shared" si="25"/>
        <v>25.200000000000003</v>
      </c>
      <c r="EA70" s="611">
        <f t="shared" si="103"/>
        <v>2.1125227272727272</v>
      </c>
      <c r="EB70" s="611">
        <f t="shared" si="103"/>
        <v>1000000</v>
      </c>
      <c r="EC70" s="611">
        <f t="shared" si="103"/>
        <v>1000000</v>
      </c>
      <c r="ED70" s="610">
        <f t="shared" si="104"/>
        <v>0.22002999999999975</v>
      </c>
      <c r="EE70" s="611">
        <f t="shared" si="104"/>
        <v>0.22005999999999976</v>
      </c>
      <c r="EF70" s="612">
        <f t="shared" si="104"/>
        <v>0.22012499999999974</v>
      </c>
      <c r="EG70" s="611">
        <f t="shared" ref="EG70:EI127" si="115">(EA70+ED70)</f>
        <v>2.3325527272727271</v>
      </c>
      <c r="EH70" s="611">
        <f t="shared" si="115"/>
        <v>1000000.22006</v>
      </c>
      <c r="EI70" s="611">
        <f t="shared" si="115"/>
        <v>1000000.220125</v>
      </c>
      <c r="EJ70" s="610">
        <f t="shared" si="26"/>
        <v>2.2999999999999998</v>
      </c>
      <c r="EK70" s="643">
        <f t="shared" si="27"/>
        <v>2.25</v>
      </c>
      <c r="EL70" s="644">
        <f t="shared" si="28"/>
        <v>2.83</v>
      </c>
      <c r="EN70" s="620">
        <f t="shared" si="29"/>
        <v>13.737500000000001</v>
      </c>
      <c r="EO70" s="621">
        <f t="shared" si="40"/>
        <v>85.788620351551188</v>
      </c>
      <c r="EP70" s="621">
        <f t="shared" si="40"/>
        <v>98.084427195058666</v>
      </c>
      <c r="EQ70" s="621">
        <f t="shared" si="40"/>
        <v>108.14812129344641</v>
      </c>
      <c r="ER70" s="610">
        <f t="shared" ref="ER70:ET101" si="116">EO70+EX70</f>
        <v>47.921991970864767</v>
      </c>
      <c r="ES70" s="611">
        <f t="shared" si="116"/>
        <v>71.445592563734394</v>
      </c>
      <c r="ET70" s="612">
        <f t="shared" si="116"/>
        <v>95.795618018260512</v>
      </c>
      <c r="EU70" s="610">
        <f t="shared" si="30"/>
        <v>100</v>
      </c>
      <c r="EV70" s="611">
        <f t="shared" si="31"/>
        <v>135</v>
      </c>
      <c r="EW70" s="645">
        <f t="shared" si="32"/>
        <v>-1000000</v>
      </c>
      <c r="EX70" s="610">
        <f t="shared" ref="EX70:EX127" si="117">$CS$30-($CS$30-EX$2)*((1-EXP(-$EN70/$EO$136))/(1-EXP(-1)))</f>
        <v>-37.866628380686421</v>
      </c>
      <c r="EY70" s="621">
        <f t="shared" ref="EY70:EY127" si="118">$CS$30-($CS$30-EY$2)*((1-EXP(-$EN70/$EP$136))/(1-EXP(-1)))</f>
        <v>-26.638834631324272</v>
      </c>
      <c r="EZ70" s="612">
        <f t="shared" ref="EZ70:EZ127" si="119">$CS$30-($CS$30-EZ$2)*((1-EXP(-$EN70/$EQ$136))/(1-EXP(-1)))</f>
        <v>-12.352503275185896</v>
      </c>
      <c r="FA70" s="646">
        <f t="shared" ref="FA70:FA127" si="120">EN70</f>
        <v>13.737500000000001</v>
      </c>
      <c r="FB70" s="317"/>
      <c r="FC70" s="552"/>
      <c r="FD70" s="552"/>
      <c r="FE70" s="552"/>
      <c r="FF70" s="552"/>
      <c r="FG70" s="552"/>
      <c r="FH70" s="552"/>
      <c r="FI70" s="552"/>
      <c r="FJ70" s="552"/>
      <c r="FK70" s="552"/>
      <c r="FL70" s="552"/>
      <c r="FM70" s="552"/>
      <c r="FN70" s="552"/>
      <c r="FO70" s="552"/>
      <c r="FP70" s="552"/>
      <c r="FQ70" s="552"/>
      <c r="FR70" s="552"/>
      <c r="FS70" s="552"/>
      <c r="FT70" s="552"/>
    </row>
    <row r="71" spans="2:176" s="564" customFormat="1" ht="15" customHeight="1" x14ac:dyDescent="0.2">
      <c r="B71" s="647">
        <f t="shared" si="109"/>
        <v>36</v>
      </c>
      <c r="C71" s="652">
        <f>$F$8</f>
        <v>118.5</v>
      </c>
      <c r="D71" s="771">
        <f>$B$8</f>
        <v>1.8</v>
      </c>
      <c r="E71" s="772">
        <f t="shared" si="49"/>
        <v>3.2916666666666665</v>
      </c>
      <c r="F71" s="689"/>
      <c r="G71" s="747">
        <f t="shared" si="50"/>
        <v>1.8537976189823198</v>
      </c>
      <c r="H71" s="748">
        <f t="shared" si="60"/>
        <v>2.8941838081668466E-3</v>
      </c>
      <c r="I71" s="689"/>
      <c r="J71" s="773">
        <f t="shared" si="82"/>
        <v>34</v>
      </c>
      <c r="K71" s="774">
        <f t="shared" si="61"/>
        <v>38.25</v>
      </c>
      <c r="L71" s="747">
        <f t="shared" si="106"/>
        <v>2.0725454883720933</v>
      </c>
      <c r="M71" s="751">
        <f t="shared" si="106"/>
        <v>2.0695078488372092</v>
      </c>
      <c r="N71" s="751">
        <f t="shared" si="106"/>
        <v>2.0642617732558142</v>
      </c>
      <c r="O71" s="751">
        <f t="shared" si="106"/>
        <v>2.0590156976744187</v>
      </c>
      <c r="P71" s="751">
        <f t="shared" si="106"/>
        <v>2.0489395348837212</v>
      </c>
      <c r="Q71" s="751">
        <f t="shared" si="106"/>
        <v>2.0430602325581395</v>
      </c>
      <c r="R71" s="751">
        <f t="shared" si="106"/>
        <v>2.0206523255813953</v>
      </c>
      <c r="S71" s="751">
        <f t="shared" si="106"/>
        <v>2.0108460930232557</v>
      </c>
      <c r="T71" s="752">
        <f t="shared" si="106"/>
        <v>1.9968023255813954</v>
      </c>
      <c r="U71" s="753">
        <f t="shared" si="106"/>
        <v>1.9058395348837209</v>
      </c>
      <c r="W71" s="773">
        <f t="shared" si="63"/>
        <v>38.25</v>
      </c>
      <c r="X71" s="775">
        <f t="shared" si="107"/>
        <v>-5.1679065983740148E-2</v>
      </c>
      <c r="Y71" s="776">
        <f t="shared" si="107"/>
        <v>-5.1683629872629033E-2</v>
      </c>
      <c r="Z71" s="776">
        <f t="shared" si="107"/>
        <v>-5.1691511817073481E-2</v>
      </c>
      <c r="AA71" s="776">
        <f t="shared" si="107"/>
        <v>-5.1699393761517921E-2</v>
      </c>
      <c r="AB71" s="776">
        <f t="shared" si="107"/>
        <v>-5.1714532650406812E-2</v>
      </c>
      <c r="AC71" s="776">
        <f t="shared" si="107"/>
        <v>-5.1723365983740145E-2</v>
      </c>
      <c r="AD71" s="776">
        <f t="shared" si="107"/>
        <v>-5.1757032650406813E-2</v>
      </c>
      <c r="AE71" s="776">
        <f t="shared" si="107"/>
        <v>-5.1771765983740142E-2</v>
      </c>
      <c r="AF71" s="777">
        <f t="shared" si="107"/>
        <v>-5.1792865983740145E-2</v>
      </c>
      <c r="AG71" s="778">
        <f t="shared" si="107"/>
        <v>-5.1929532650406812E-2</v>
      </c>
      <c r="AI71" s="773">
        <f t="shared" si="65"/>
        <v>38.25</v>
      </c>
      <c r="AJ71" s="747">
        <f t="shared" si="99"/>
        <v>2.020866422388353</v>
      </c>
      <c r="AK71" s="751">
        <f t="shared" si="99"/>
        <v>2.0178242189645803</v>
      </c>
      <c r="AL71" s="751">
        <f t="shared" si="99"/>
        <v>2.0125702614387406</v>
      </c>
      <c r="AM71" s="751">
        <f t="shared" si="99"/>
        <v>2.0073163039129009</v>
      </c>
      <c r="AN71" s="751">
        <f t="shared" si="99"/>
        <v>1.9972250022333145</v>
      </c>
      <c r="AO71" s="751">
        <f t="shared" si="97"/>
        <v>1.9913368665743993</v>
      </c>
      <c r="AP71" s="751">
        <f t="shared" si="97"/>
        <v>1.9688952929309884</v>
      </c>
      <c r="AQ71" s="751">
        <f t="shared" si="97"/>
        <v>1.9590743270395155</v>
      </c>
      <c r="AR71" s="752">
        <f t="shared" si="97"/>
        <v>1.9450094595976553</v>
      </c>
      <c r="AS71" s="751">
        <f t="shared" si="97"/>
        <v>1.8539100022333141</v>
      </c>
      <c r="AT71" s="674">
        <f t="shared" si="66"/>
        <v>1.75</v>
      </c>
      <c r="AU71" s="712">
        <f t="shared" si="67"/>
        <v>1.8</v>
      </c>
      <c r="AV71" s="712">
        <f t="shared" si="68"/>
        <v>1.81</v>
      </c>
      <c r="AW71" s="712">
        <f t="shared" si="69"/>
        <v>1.83</v>
      </c>
      <c r="AX71" s="712">
        <f t="shared" si="70"/>
        <v>1.84</v>
      </c>
      <c r="AY71" s="712">
        <f t="shared" si="71"/>
        <v>1.86</v>
      </c>
      <c r="AZ71" s="712">
        <f t="shared" si="72"/>
        <v>1.88</v>
      </c>
      <c r="BA71" s="712">
        <f t="shared" si="73"/>
        <v>1.9</v>
      </c>
      <c r="BB71" s="712">
        <f t="shared" si="74"/>
        <v>1.92</v>
      </c>
      <c r="BC71" s="779">
        <f t="shared" si="75"/>
        <v>1000000</v>
      </c>
      <c r="BD71" s="780">
        <f t="shared" si="76"/>
        <v>-1000000</v>
      </c>
      <c r="BF71" s="781">
        <f t="shared" si="108"/>
        <v>2.0212461667043136</v>
      </c>
      <c r="BG71" s="767">
        <f t="shared" si="108"/>
        <v>1.9921069725273779</v>
      </c>
      <c r="BH71" s="767">
        <f t="shared" si="108"/>
        <v>1.9601142189539804</v>
      </c>
      <c r="BI71" s="767">
        <f t="shared" si="108"/>
        <v>1.9100756661545175</v>
      </c>
      <c r="BJ71" s="767">
        <f t="shared" si="108"/>
        <v>2.1081917142816655</v>
      </c>
      <c r="BK71" s="767">
        <f t="shared" si="108"/>
        <v>2.0476126023084937</v>
      </c>
      <c r="BL71" s="767">
        <f t="shared" si="108"/>
        <v>2.015119100480145</v>
      </c>
      <c r="BM71" s="767">
        <f t="shared" si="108"/>
        <v>2.011614539525687</v>
      </c>
      <c r="BN71" s="767">
        <f t="shared" si="108"/>
        <v>2.0086954264456041</v>
      </c>
      <c r="BO71" s="782">
        <f t="shared" si="108"/>
        <v>2.0031300648086576</v>
      </c>
      <c r="BP71" s="781">
        <f t="shared" si="100"/>
        <v>2.0212461667043136</v>
      </c>
      <c r="BQ71" s="767">
        <f t="shared" si="100"/>
        <v>1.9921069725273779</v>
      </c>
      <c r="BR71" s="767">
        <f t="shared" si="100"/>
        <v>1.9601142189539804</v>
      </c>
      <c r="BS71" s="767">
        <f t="shared" si="100"/>
        <v>1.9100756661545175</v>
      </c>
      <c r="BT71" s="767">
        <f t="shared" si="100"/>
        <v>-1000000</v>
      </c>
      <c r="BU71" s="767">
        <f t="shared" si="98"/>
        <v>-1000000</v>
      </c>
      <c r="BV71" s="767">
        <f t="shared" si="98"/>
        <v>-1000000</v>
      </c>
      <c r="BW71" s="767">
        <f t="shared" si="98"/>
        <v>-1000000</v>
      </c>
      <c r="BX71" s="767">
        <f t="shared" si="98"/>
        <v>-1000000</v>
      </c>
      <c r="BY71" s="767">
        <f t="shared" si="98"/>
        <v>-1000000</v>
      </c>
      <c r="BZ71" s="648">
        <f t="shared" si="56"/>
        <v>34</v>
      </c>
      <c r="CA71" s="767">
        <f t="shared" si="105"/>
        <v>2.0212461667043136</v>
      </c>
      <c r="CB71" s="767">
        <f t="shared" si="105"/>
        <v>1.9921069725273779</v>
      </c>
      <c r="CC71" s="767">
        <f t="shared" si="105"/>
        <v>1.9601142189539804</v>
      </c>
      <c r="CD71" s="767">
        <f t="shared" si="105"/>
        <v>1.9100756661545175</v>
      </c>
      <c r="CE71" s="767"/>
      <c r="CF71" s="767"/>
      <c r="CG71" s="767"/>
      <c r="CH71" s="767"/>
      <c r="CI71" s="767"/>
      <c r="CJ71" s="767"/>
      <c r="CK71" s="781">
        <f t="shared" si="58"/>
        <v>1.75</v>
      </c>
      <c r="CL71" s="783">
        <f t="shared" si="78"/>
        <v>1000000</v>
      </c>
      <c r="CM71" s="552"/>
      <c r="CN71" s="552"/>
      <c r="CO71" s="552"/>
      <c r="CP71" s="552"/>
      <c r="CQ71" s="552"/>
      <c r="CR71" s="552"/>
      <c r="CS71" s="552"/>
      <c r="CT71" s="552"/>
      <c r="CU71" s="552"/>
      <c r="CV71" s="552"/>
      <c r="CW71" s="552"/>
      <c r="CX71" s="552"/>
      <c r="CY71" s="552"/>
      <c r="CZ71" s="642">
        <f t="shared" si="39"/>
        <v>64</v>
      </c>
      <c r="DA71" s="609">
        <f t="shared" si="110"/>
        <v>72</v>
      </c>
      <c r="DB71" s="609">
        <f t="shared" ref="DB71:DB127" si="121">($CZ71/$CZ$127)*$DB$2</f>
        <v>25.6</v>
      </c>
      <c r="DC71" s="610">
        <f t="shared" si="101"/>
        <v>134.64846493574029</v>
      </c>
      <c r="DD71" s="611">
        <f t="shared" si="101"/>
        <v>134.84100384020874</v>
      </c>
      <c r="DE71" s="612">
        <f t="shared" si="101"/>
        <v>134.97812582935876</v>
      </c>
      <c r="DF71" s="610">
        <f t="shared" si="102"/>
        <v>19.411764705882348</v>
      </c>
      <c r="DG71" s="611">
        <f t="shared" si="102"/>
        <v>22</v>
      </c>
      <c r="DH71" s="612">
        <f t="shared" si="102"/>
        <v>28.470588235294098</v>
      </c>
      <c r="DI71" s="610">
        <f t="shared" si="111"/>
        <v>154.06022964162264</v>
      </c>
      <c r="DJ71" s="611">
        <f t="shared" si="111"/>
        <v>156.84100384020874</v>
      </c>
      <c r="DK71" s="612">
        <f t="shared" si="111"/>
        <v>163.44871406465285</v>
      </c>
      <c r="DL71" s="613">
        <f t="shared" ref="DL71:DN86" si="122">IF((DL70+$CS$33*($DB71-$DB70))&lt;DI71,(DL70+$CS$33*($DB71-$DB70)),DI71)</f>
        <v>154.06022964162264</v>
      </c>
      <c r="DM71" s="613">
        <f t="shared" si="122"/>
        <v>156.84100384020874</v>
      </c>
      <c r="DN71" s="613">
        <f t="shared" si="122"/>
        <v>163.44871406465285</v>
      </c>
      <c r="DO71" s="609">
        <f t="shared" si="112"/>
        <v>135</v>
      </c>
      <c r="DP71" s="609"/>
      <c r="DQ71" s="609">
        <f t="shared" ref="DQ71:DQ127" si="123">DB71</f>
        <v>25.6</v>
      </c>
      <c r="DR71" s="610">
        <f t="shared" si="113"/>
        <v>8.1714333858599053E-2</v>
      </c>
      <c r="DS71" s="611">
        <f t="shared" si="113"/>
        <v>4.1886482511252883E-2</v>
      </c>
      <c r="DT71" s="612">
        <f t="shared" si="113"/>
        <v>7.4574888285641495E-3</v>
      </c>
      <c r="DU71" s="611">
        <f t="shared" si="95"/>
        <v>8.5633762772232863E-2</v>
      </c>
      <c r="DV71" s="611">
        <f t="shared" si="95"/>
        <v>4.4173032285854834E-2</v>
      </c>
      <c r="DW71" s="611">
        <f t="shared" si="95"/>
        <v>7.9899047050702443E-3</v>
      </c>
      <c r="DX71" s="614">
        <f t="shared" si="114"/>
        <v>12.5</v>
      </c>
      <c r="DY71" s="615"/>
      <c r="DZ71" s="609">
        <f t="shared" ref="DZ71:DZ127" si="124">$DB71</f>
        <v>25.6</v>
      </c>
      <c r="EA71" s="611">
        <f t="shared" si="103"/>
        <v>2.113193298969072</v>
      </c>
      <c r="EB71" s="611">
        <f t="shared" si="103"/>
        <v>1000000</v>
      </c>
      <c r="EC71" s="611">
        <f t="shared" si="103"/>
        <v>1000000</v>
      </c>
      <c r="ED71" s="610">
        <f t="shared" si="104"/>
        <v>0.22002999999999975</v>
      </c>
      <c r="EE71" s="611">
        <f t="shared" si="104"/>
        <v>0.22005999999999976</v>
      </c>
      <c r="EF71" s="612">
        <f t="shared" si="104"/>
        <v>0.22012499999999974</v>
      </c>
      <c r="EG71" s="611">
        <f t="shared" si="115"/>
        <v>2.333223298969072</v>
      </c>
      <c r="EH71" s="611">
        <f t="shared" si="115"/>
        <v>1000000.22006</v>
      </c>
      <c r="EI71" s="611">
        <f t="shared" si="115"/>
        <v>1000000.220125</v>
      </c>
      <c r="EJ71" s="610">
        <f t="shared" ref="EJ71:EJ127" si="125">$CS$25</f>
        <v>2.2999999999999998</v>
      </c>
      <c r="EK71" s="643">
        <f t="shared" ref="EK71:EK127" si="126">$CS$20</f>
        <v>2.25</v>
      </c>
      <c r="EL71" s="644">
        <f t="shared" ref="EL71:EL127" si="127">$CS$26</f>
        <v>2.83</v>
      </c>
      <c r="EN71" s="620">
        <f t="shared" ref="EN71:EN127" si="128">($CZ71/$CZ$127)*$U$34</f>
        <v>13.955555555555556</v>
      </c>
      <c r="EO71" s="621">
        <f t="shared" si="40"/>
        <v>85.008092491253748</v>
      </c>
      <c r="EP71" s="621">
        <f t="shared" si="40"/>
        <v>97.498806249699228</v>
      </c>
      <c r="EQ71" s="621">
        <f t="shared" si="40"/>
        <v>107.72208116702164</v>
      </c>
      <c r="ER71" s="610">
        <f t="shared" si="116"/>
        <v>47.140194140586701</v>
      </c>
      <c r="ES71" s="611">
        <f t="shared" si="116"/>
        <v>70.736524793322189</v>
      </c>
      <c r="ET71" s="612">
        <f t="shared" si="116"/>
        <v>95.072718711628397</v>
      </c>
      <c r="EU71" s="610">
        <f t="shared" ref="EU71:EU127" si="129">$CS$29</f>
        <v>100</v>
      </c>
      <c r="EV71" s="611">
        <f t="shared" ref="EV71:EV127" si="130">$CS$28</f>
        <v>135</v>
      </c>
      <c r="EW71" s="645">
        <f t="shared" ref="EW71:EW127" si="131">IF(EN71&lt;$CS$33,1000000,-1000000)</f>
        <v>-1000000</v>
      </c>
      <c r="EX71" s="610">
        <f t="shared" si="117"/>
        <v>-37.867898350667048</v>
      </c>
      <c r="EY71" s="621">
        <f t="shared" si="118"/>
        <v>-26.762281456377046</v>
      </c>
      <c r="EZ71" s="612">
        <f t="shared" si="119"/>
        <v>-12.649362455393252</v>
      </c>
      <c r="FA71" s="646">
        <f t="shared" si="120"/>
        <v>13.955555555555556</v>
      </c>
      <c r="FB71" s="317"/>
      <c r="FC71" s="552"/>
      <c r="FD71" s="552"/>
      <c r="FE71" s="552"/>
      <c r="FF71" s="552"/>
      <c r="FG71" s="552"/>
      <c r="FH71" s="552"/>
      <c r="FI71" s="552"/>
      <c r="FJ71" s="552"/>
      <c r="FK71" s="552"/>
      <c r="FL71" s="552"/>
      <c r="FM71" s="552"/>
      <c r="FN71" s="552"/>
      <c r="FO71" s="552"/>
      <c r="FP71" s="552"/>
      <c r="FQ71" s="552"/>
      <c r="FR71" s="552"/>
      <c r="FS71" s="552"/>
      <c r="FT71" s="552"/>
    </row>
    <row r="72" spans="2:176" s="564" customFormat="1" ht="15" customHeight="1" x14ac:dyDescent="0.2">
      <c r="B72" s="647">
        <f t="shared" si="109"/>
        <v>36</v>
      </c>
      <c r="C72" s="652">
        <f>$F$9</f>
        <v>118</v>
      </c>
      <c r="D72" s="771">
        <f>$B$9</f>
        <v>1.81</v>
      </c>
      <c r="E72" s="772">
        <f t="shared" si="49"/>
        <v>3.2777777777777777</v>
      </c>
      <c r="F72" s="689"/>
      <c r="G72" s="747">
        <f t="shared" si="50"/>
        <v>1.8581305421115322</v>
      </c>
      <c r="H72" s="748">
        <f t="shared" si="60"/>
        <v>2.3165490839499661E-3</v>
      </c>
      <c r="I72" s="689"/>
      <c r="J72" s="773">
        <f t="shared" si="82"/>
        <v>35</v>
      </c>
      <c r="K72" s="774">
        <f t="shared" si="61"/>
        <v>39.375</v>
      </c>
      <c r="L72" s="747">
        <f t="shared" si="106"/>
        <v>2.0724577882352944</v>
      </c>
      <c r="M72" s="751">
        <f t="shared" si="106"/>
        <v>2.0693844117647058</v>
      </c>
      <c r="N72" s="751">
        <f t="shared" si="106"/>
        <v>2.0640766176470589</v>
      </c>
      <c r="O72" s="751">
        <f t="shared" si="106"/>
        <v>2.0587688235294119</v>
      </c>
      <c r="P72" s="751">
        <f t="shared" si="106"/>
        <v>2.0485741176470591</v>
      </c>
      <c r="Q72" s="751">
        <f t="shared" si="106"/>
        <v>2.0426256470588235</v>
      </c>
      <c r="R72" s="751">
        <f t="shared" si="106"/>
        <v>2.019954117647059</v>
      </c>
      <c r="S72" s="751">
        <f t="shared" si="106"/>
        <v>2.0100325176470588</v>
      </c>
      <c r="T72" s="752">
        <f t="shared" si="106"/>
        <v>1.9958235294117648</v>
      </c>
      <c r="U72" s="753">
        <f t="shared" si="106"/>
        <v>1.9037905882352941</v>
      </c>
      <c r="W72" s="773">
        <f t="shared" si="63"/>
        <v>39.375</v>
      </c>
      <c r="X72" s="775">
        <f t="shared" si="107"/>
        <v>-5.4035427201394981E-2</v>
      </c>
      <c r="Y72" s="776">
        <f t="shared" si="107"/>
        <v>-5.4039991090283866E-2</v>
      </c>
      <c r="Z72" s="776">
        <f t="shared" si="107"/>
        <v>-5.4047873034728314E-2</v>
      </c>
      <c r="AA72" s="776">
        <f t="shared" si="107"/>
        <v>-5.4055754979172754E-2</v>
      </c>
      <c r="AB72" s="776">
        <f t="shared" si="107"/>
        <v>-5.4070893868061645E-2</v>
      </c>
      <c r="AC72" s="776">
        <f t="shared" si="107"/>
        <v>-5.4079727201394978E-2</v>
      </c>
      <c r="AD72" s="776">
        <f t="shared" si="107"/>
        <v>-5.4113393868061646E-2</v>
      </c>
      <c r="AE72" s="776">
        <f t="shared" si="107"/>
        <v>-5.4128127201394975E-2</v>
      </c>
      <c r="AF72" s="777">
        <f t="shared" si="107"/>
        <v>-5.4149227201394978E-2</v>
      </c>
      <c r="AG72" s="778">
        <f t="shared" si="107"/>
        <v>-5.4285893868061645E-2</v>
      </c>
      <c r="AI72" s="773">
        <f t="shared" si="65"/>
        <v>39.375</v>
      </c>
      <c r="AJ72" s="747">
        <f t="shared" si="99"/>
        <v>2.0184223610338994</v>
      </c>
      <c r="AK72" s="751">
        <f t="shared" si="99"/>
        <v>2.0153444206744218</v>
      </c>
      <c r="AL72" s="751">
        <f t="shared" si="99"/>
        <v>2.0100287446123306</v>
      </c>
      <c r="AM72" s="751">
        <f t="shared" si="99"/>
        <v>2.004713068550239</v>
      </c>
      <c r="AN72" s="751">
        <f t="shared" si="99"/>
        <v>1.9945032237789975</v>
      </c>
      <c r="AO72" s="751">
        <f t="shared" si="97"/>
        <v>1.9885459198574287</v>
      </c>
      <c r="AP72" s="751">
        <f t="shared" si="97"/>
        <v>1.9658407237789974</v>
      </c>
      <c r="AQ72" s="751">
        <f t="shared" si="97"/>
        <v>1.9559043904456639</v>
      </c>
      <c r="AR72" s="752">
        <f t="shared" si="97"/>
        <v>1.9416743022103697</v>
      </c>
      <c r="AS72" s="751">
        <f t="shared" si="97"/>
        <v>1.8495046943672324</v>
      </c>
      <c r="AT72" s="674">
        <f t="shared" si="66"/>
        <v>1.75</v>
      </c>
      <c r="AU72" s="712">
        <f t="shared" si="67"/>
        <v>1.8</v>
      </c>
      <c r="AV72" s="712">
        <f t="shared" si="68"/>
        <v>1.81</v>
      </c>
      <c r="AW72" s="712">
        <f t="shared" si="69"/>
        <v>1.83</v>
      </c>
      <c r="AX72" s="712">
        <f t="shared" si="70"/>
        <v>1.84</v>
      </c>
      <c r="AY72" s="712">
        <f t="shared" si="71"/>
        <v>1.86</v>
      </c>
      <c r="AZ72" s="712">
        <f t="shared" si="72"/>
        <v>1.88</v>
      </c>
      <c r="BA72" s="712">
        <f t="shared" si="73"/>
        <v>1.9</v>
      </c>
      <c r="BB72" s="712">
        <f t="shared" si="74"/>
        <v>1.92</v>
      </c>
      <c r="BC72" s="779">
        <f t="shared" si="75"/>
        <v>1000000</v>
      </c>
      <c r="BD72" s="780">
        <f t="shared" si="76"/>
        <v>-1000000</v>
      </c>
      <c r="BF72" s="781">
        <f t="shared" si="108"/>
        <v>2.0187948162861624</v>
      </c>
      <c r="BG72" s="767">
        <f t="shared" si="108"/>
        <v>1.9902337462077591</v>
      </c>
      <c r="BH72" s="767">
        <f t="shared" si="108"/>
        <v>1.9581427714015875</v>
      </c>
      <c r="BI72" s="767">
        <f t="shared" si="108"/>
        <v>1.9004630913983489</v>
      </c>
      <c r="BJ72" s="767">
        <f t="shared" si="108"/>
        <v>2.0872400967596967</v>
      </c>
      <c r="BK72" s="767">
        <f t="shared" si="108"/>
        <v>2.0413671842969632</v>
      </c>
      <c r="BL72" s="767">
        <f t="shared" si="108"/>
        <v>2.0133997553817515</v>
      </c>
      <c r="BM72" s="767">
        <f t="shared" si="108"/>
        <v>2.0102215712033971</v>
      </c>
      <c r="BN72" s="767">
        <f t="shared" si="108"/>
        <v>2.007548464585474</v>
      </c>
      <c r="BO72" s="782">
        <f t="shared" si="108"/>
        <v>2.0023818342541286</v>
      </c>
      <c r="BP72" s="781">
        <f t="shared" si="100"/>
        <v>2.0187948162861624</v>
      </c>
      <c r="BQ72" s="767">
        <f t="shared" si="100"/>
        <v>1.9902337462077591</v>
      </c>
      <c r="BR72" s="767">
        <f t="shared" si="100"/>
        <v>1.9581427714015875</v>
      </c>
      <c r="BS72" s="767">
        <f t="shared" si="100"/>
        <v>1.9004630913983489</v>
      </c>
      <c r="BT72" s="767">
        <f t="shared" si="100"/>
        <v>-1000000</v>
      </c>
      <c r="BU72" s="767">
        <f t="shared" si="98"/>
        <v>-1000000</v>
      </c>
      <c r="BV72" s="767">
        <f t="shared" si="98"/>
        <v>-1000000</v>
      </c>
      <c r="BW72" s="767">
        <f t="shared" si="98"/>
        <v>-1000000</v>
      </c>
      <c r="BX72" s="767">
        <f t="shared" si="98"/>
        <v>-1000000</v>
      </c>
      <c r="BY72" s="767">
        <f t="shared" si="98"/>
        <v>-1000000</v>
      </c>
      <c r="BZ72" s="648">
        <f t="shared" si="56"/>
        <v>35</v>
      </c>
      <c r="CA72" s="767">
        <f t="shared" si="105"/>
        <v>2.0187948162861624</v>
      </c>
      <c r="CB72" s="767">
        <f t="shared" si="105"/>
        <v>1.9902337462077591</v>
      </c>
      <c r="CC72" s="767">
        <f t="shared" si="105"/>
        <v>1.9581427714015875</v>
      </c>
      <c r="CD72" s="767">
        <f t="shared" si="105"/>
        <v>1.9004630913983489</v>
      </c>
      <c r="CE72" s="767"/>
      <c r="CF72" s="767"/>
      <c r="CG72" s="767"/>
      <c r="CH72" s="767"/>
      <c r="CI72" s="767"/>
      <c r="CJ72" s="767"/>
      <c r="CK72" s="781">
        <f t="shared" si="58"/>
        <v>1.75</v>
      </c>
      <c r="CL72" s="783">
        <f t="shared" si="78"/>
        <v>1000000</v>
      </c>
      <c r="CM72" s="552"/>
      <c r="CN72" s="552"/>
      <c r="CO72" s="552"/>
      <c r="CP72" s="552"/>
      <c r="CQ72" s="552"/>
      <c r="CR72" s="552"/>
      <c r="CS72" s="552"/>
      <c r="CT72" s="552"/>
      <c r="CU72" s="552"/>
      <c r="CV72" s="552"/>
      <c r="CW72" s="552"/>
      <c r="CX72" s="552"/>
      <c r="CY72" s="552"/>
      <c r="CZ72" s="642">
        <f t="shared" si="39"/>
        <v>65</v>
      </c>
      <c r="DA72" s="609">
        <f t="shared" si="110"/>
        <v>73.125</v>
      </c>
      <c r="DB72" s="609">
        <f t="shared" si="121"/>
        <v>26</v>
      </c>
      <c r="DC72" s="610">
        <f t="shared" si="101"/>
        <v>134.67967713090536</v>
      </c>
      <c r="DD72" s="611">
        <f t="shared" si="101"/>
        <v>134.85690586422677</v>
      </c>
      <c r="DE72" s="612">
        <f t="shared" si="101"/>
        <v>134.98091436729351</v>
      </c>
      <c r="DF72" s="610">
        <f t="shared" si="102"/>
        <v>19.411764705882348</v>
      </c>
      <c r="DG72" s="611">
        <f t="shared" si="102"/>
        <v>22</v>
      </c>
      <c r="DH72" s="612">
        <f t="shared" si="102"/>
        <v>28.470588235294098</v>
      </c>
      <c r="DI72" s="610">
        <f t="shared" si="111"/>
        <v>154.09144183678771</v>
      </c>
      <c r="DJ72" s="611">
        <f t="shared" si="111"/>
        <v>156.85690586422677</v>
      </c>
      <c r="DK72" s="612">
        <f t="shared" si="111"/>
        <v>163.4515026025876</v>
      </c>
      <c r="DL72" s="613">
        <f t="shared" si="122"/>
        <v>154.09144183678771</v>
      </c>
      <c r="DM72" s="613">
        <f t="shared" si="122"/>
        <v>156.85690586422677</v>
      </c>
      <c r="DN72" s="613">
        <f t="shared" si="122"/>
        <v>163.4515026025876</v>
      </c>
      <c r="DO72" s="609">
        <f t="shared" si="112"/>
        <v>135</v>
      </c>
      <c r="DP72" s="609"/>
      <c r="DQ72" s="609">
        <f t="shared" si="123"/>
        <v>26</v>
      </c>
      <c r="DR72" s="610">
        <f t="shared" si="113"/>
        <v>7.4459058366953421E-2</v>
      </c>
      <c r="DS72" s="611">
        <f t="shared" si="113"/>
        <v>3.7697199878271706E-2</v>
      </c>
      <c r="DT72" s="612">
        <f t="shared" si="113"/>
        <v>6.5068017905299223E-3</v>
      </c>
      <c r="DU72" s="611">
        <f t="shared" ref="DU72:DW87" si="132">(DL72-DL71)/($DQ72-$DQ71)</f>
        <v>7.8030487912670587E-2</v>
      </c>
      <c r="DV72" s="611">
        <f t="shared" si="132"/>
        <v>3.9755060045081475E-2</v>
      </c>
      <c r="DW72" s="611">
        <f t="shared" si="132"/>
        <v>6.9713448368702554E-3</v>
      </c>
      <c r="DX72" s="614">
        <f t="shared" si="114"/>
        <v>12.5</v>
      </c>
      <c r="DY72" s="615"/>
      <c r="DZ72" s="609">
        <f t="shared" si="124"/>
        <v>26</v>
      </c>
      <c r="EA72" s="611">
        <f t="shared" si="103"/>
        <v>2.1138921052631581</v>
      </c>
      <c r="EB72" s="611">
        <f t="shared" si="103"/>
        <v>1000000</v>
      </c>
      <c r="EC72" s="611">
        <f t="shared" si="103"/>
        <v>1000000</v>
      </c>
      <c r="ED72" s="610">
        <f t="shared" si="104"/>
        <v>0.22002999999999975</v>
      </c>
      <c r="EE72" s="611">
        <f t="shared" si="104"/>
        <v>0.22005999999999976</v>
      </c>
      <c r="EF72" s="612">
        <f t="shared" si="104"/>
        <v>0.22012499999999974</v>
      </c>
      <c r="EG72" s="611">
        <f t="shared" si="115"/>
        <v>2.333922105263158</v>
      </c>
      <c r="EH72" s="611">
        <f t="shared" si="115"/>
        <v>1000000.22006</v>
      </c>
      <c r="EI72" s="611">
        <f t="shared" si="115"/>
        <v>1000000.220125</v>
      </c>
      <c r="EJ72" s="610">
        <f t="shared" si="125"/>
        <v>2.2999999999999998</v>
      </c>
      <c r="EK72" s="643">
        <f t="shared" si="126"/>
        <v>2.25</v>
      </c>
      <c r="EL72" s="644">
        <f t="shared" si="127"/>
        <v>2.83</v>
      </c>
      <c r="EN72" s="620">
        <f t="shared" si="128"/>
        <v>14.173611111111111</v>
      </c>
      <c r="EO72" s="621">
        <f t="shared" si="40"/>
        <v>84.22758352701446</v>
      </c>
      <c r="EP72" s="621">
        <f t="shared" si="40"/>
        <v>96.913195939550747</v>
      </c>
      <c r="EQ72" s="621">
        <f t="shared" si="40"/>
        <v>107.29604666850791</v>
      </c>
      <c r="ER72" s="610">
        <f t="shared" si="116"/>
        <v>46.35857926773398</v>
      </c>
      <c r="ES72" s="611">
        <f t="shared" si="116"/>
        <v>70.033103169674519</v>
      </c>
      <c r="ET72" s="612">
        <f t="shared" si="116"/>
        <v>94.354958669481732</v>
      </c>
      <c r="EU72" s="610">
        <f t="shared" si="129"/>
        <v>100</v>
      </c>
      <c r="EV72" s="611">
        <f t="shared" si="130"/>
        <v>135</v>
      </c>
      <c r="EW72" s="645">
        <f t="shared" si="131"/>
        <v>-1000000</v>
      </c>
      <c r="EX72" s="610">
        <f t="shared" si="117"/>
        <v>-37.86900425928048</v>
      </c>
      <c r="EY72" s="621">
        <f t="shared" si="118"/>
        <v>-26.880092769876235</v>
      </c>
      <c r="EZ72" s="612">
        <f t="shared" si="119"/>
        <v>-12.941087999026173</v>
      </c>
      <c r="FA72" s="646">
        <f t="shared" si="120"/>
        <v>14.173611111111111</v>
      </c>
      <c r="FB72" s="317"/>
      <c r="FC72" s="552"/>
      <c r="FD72" s="552"/>
      <c r="FE72" s="552"/>
      <c r="FF72" s="552"/>
      <c r="FG72" s="552"/>
      <c r="FH72" s="552"/>
      <c r="FI72" s="552"/>
      <c r="FJ72" s="552"/>
      <c r="FK72" s="552"/>
      <c r="FL72" s="552"/>
      <c r="FM72" s="552"/>
      <c r="FN72" s="552"/>
      <c r="FO72" s="552"/>
      <c r="FP72" s="552"/>
      <c r="FQ72" s="552"/>
      <c r="FR72" s="552"/>
      <c r="FS72" s="552"/>
      <c r="FT72" s="552"/>
    </row>
    <row r="73" spans="2:176" s="564" customFormat="1" ht="15" customHeight="1" x14ac:dyDescent="0.2">
      <c r="B73" s="647">
        <f t="shared" si="109"/>
        <v>36</v>
      </c>
      <c r="C73" s="652">
        <f>$F$10</f>
        <v>117.5</v>
      </c>
      <c r="D73" s="771">
        <f>$B$10</f>
        <v>1.83</v>
      </c>
      <c r="E73" s="772">
        <f t="shared" si="49"/>
        <v>3.2638888888888888</v>
      </c>
      <c r="F73" s="689"/>
      <c r="G73" s="747">
        <f t="shared" si="50"/>
        <v>1.8622181457103049</v>
      </c>
      <c r="H73" s="748">
        <f t="shared" si="60"/>
        <v>1.0380089130104309E-3</v>
      </c>
      <c r="I73" s="689"/>
      <c r="J73" s="773">
        <f t="shared" si="82"/>
        <v>36</v>
      </c>
      <c r="K73" s="774">
        <f t="shared" si="61"/>
        <v>40.5</v>
      </c>
      <c r="L73" s="747">
        <f t="shared" si="106"/>
        <v>2.072368</v>
      </c>
      <c r="M73" s="751">
        <f t="shared" si="106"/>
        <v>2.0692580357142858</v>
      </c>
      <c r="N73" s="751">
        <f t="shared" si="106"/>
        <v>2.0638870535714284</v>
      </c>
      <c r="O73" s="751">
        <f t="shared" si="106"/>
        <v>2.0585160714285715</v>
      </c>
      <c r="P73" s="751">
        <f t="shared" si="106"/>
        <v>2.0482</v>
      </c>
      <c r="Q73" s="751">
        <f t="shared" si="106"/>
        <v>2.0421807142857142</v>
      </c>
      <c r="R73" s="751">
        <f t="shared" si="106"/>
        <v>2.0192392857142858</v>
      </c>
      <c r="S73" s="751">
        <f t="shared" si="106"/>
        <v>2.0091995714285713</v>
      </c>
      <c r="T73" s="752">
        <f t="shared" si="106"/>
        <v>1.9948214285714285</v>
      </c>
      <c r="U73" s="753">
        <f t="shared" si="106"/>
        <v>1.9016928571428573</v>
      </c>
      <c r="W73" s="773">
        <f t="shared" si="63"/>
        <v>40.5</v>
      </c>
      <c r="X73" s="775">
        <f t="shared" si="107"/>
        <v>-5.6274321681992208E-2</v>
      </c>
      <c r="Y73" s="776">
        <f t="shared" si="107"/>
        <v>-5.6278885570881093E-2</v>
      </c>
      <c r="Z73" s="776">
        <f t="shared" si="107"/>
        <v>-5.6286767515325541E-2</v>
      </c>
      <c r="AA73" s="776">
        <f t="shared" si="107"/>
        <v>-5.6294649459769981E-2</v>
      </c>
      <c r="AB73" s="776">
        <f t="shared" si="107"/>
        <v>-5.6309788348658872E-2</v>
      </c>
      <c r="AC73" s="776">
        <f t="shared" si="107"/>
        <v>-5.6318621681992205E-2</v>
      </c>
      <c r="AD73" s="776">
        <f t="shared" si="107"/>
        <v>-5.6352288348658873E-2</v>
      </c>
      <c r="AE73" s="776">
        <f t="shared" si="107"/>
        <v>-5.6367021681992202E-2</v>
      </c>
      <c r="AF73" s="777">
        <f t="shared" si="107"/>
        <v>-5.6388121681992205E-2</v>
      </c>
      <c r="AG73" s="778">
        <f t="shared" si="107"/>
        <v>-5.6524788348658872E-2</v>
      </c>
      <c r="AI73" s="773">
        <f t="shared" si="65"/>
        <v>40.5</v>
      </c>
      <c r="AJ73" s="747">
        <f t="shared" si="99"/>
        <v>2.0160936783180077</v>
      </c>
      <c r="AK73" s="751">
        <f t="shared" si="99"/>
        <v>2.0129791501434049</v>
      </c>
      <c r="AL73" s="751">
        <f t="shared" si="99"/>
        <v>2.0076002860561029</v>
      </c>
      <c r="AM73" s="751">
        <f t="shared" si="99"/>
        <v>2.0022214219688017</v>
      </c>
      <c r="AN73" s="751">
        <f t="shared" si="99"/>
        <v>1.9918902116513411</v>
      </c>
      <c r="AO73" s="751">
        <f t="shared" si="97"/>
        <v>1.985862092603722</v>
      </c>
      <c r="AP73" s="751">
        <f t="shared" si="97"/>
        <v>1.9628869973656269</v>
      </c>
      <c r="AQ73" s="751">
        <f t="shared" si="97"/>
        <v>1.952832549746579</v>
      </c>
      <c r="AR73" s="752">
        <f t="shared" si="97"/>
        <v>1.9384333068894364</v>
      </c>
      <c r="AS73" s="751">
        <f t="shared" si="97"/>
        <v>1.8451680687941985</v>
      </c>
      <c r="AT73" s="674">
        <f t="shared" si="66"/>
        <v>1.75</v>
      </c>
      <c r="AU73" s="712">
        <f t="shared" si="67"/>
        <v>1.8</v>
      </c>
      <c r="AV73" s="712">
        <f t="shared" si="68"/>
        <v>1.81</v>
      </c>
      <c r="AW73" s="712">
        <f t="shared" si="69"/>
        <v>1.83</v>
      </c>
      <c r="AX73" s="712">
        <f t="shared" si="70"/>
        <v>1.84</v>
      </c>
      <c r="AY73" s="712">
        <f t="shared" si="71"/>
        <v>1.86</v>
      </c>
      <c r="AZ73" s="712">
        <f t="shared" si="72"/>
        <v>1.88</v>
      </c>
      <c r="BA73" s="712">
        <f t="shared" si="73"/>
        <v>1.9</v>
      </c>
      <c r="BB73" s="712">
        <f t="shared" si="74"/>
        <v>1.92</v>
      </c>
      <c r="BC73" s="779">
        <f t="shared" si="75"/>
        <v>1000000</v>
      </c>
      <c r="BD73" s="780">
        <f t="shared" si="76"/>
        <v>-1000000</v>
      </c>
      <c r="BF73" s="781">
        <f t="shared" si="108"/>
        <v>2.0164587620958461</v>
      </c>
      <c r="BG73" s="767">
        <f t="shared" si="108"/>
        <v>1.9884630978874138</v>
      </c>
      <c r="BH73" s="767">
        <f t="shared" si="108"/>
        <v>1.9561239140525077</v>
      </c>
      <c r="BI73" s="767">
        <f t="shared" si="108"/>
        <v>1.8881486259775915</v>
      </c>
      <c r="BJ73" s="767">
        <f t="shared" si="108"/>
        <v>2.0722107127108917</v>
      </c>
      <c r="BK73" s="767">
        <f t="shared" si="108"/>
        <v>2.0361921668040495</v>
      </c>
      <c r="BL73" s="767">
        <f t="shared" si="108"/>
        <v>2.0118452799192559</v>
      </c>
      <c r="BM73" s="767">
        <f t="shared" si="108"/>
        <v>2.0089496982048103</v>
      </c>
      <c r="BN73" s="767">
        <f t="shared" si="108"/>
        <v>2.0064925316126323</v>
      </c>
      <c r="BO73" s="782">
        <f t="shared" si="108"/>
        <v>2.0016821258793023</v>
      </c>
      <c r="BP73" s="781">
        <f t="shared" si="100"/>
        <v>2.0164587620958461</v>
      </c>
      <c r="BQ73" s="767">
        <f t="shared" si="100"/>
        <v>1.9884630978874138</v>
      </c>
      <c r="BR73" s="767">
        <f t="shared" si="100"/>
        <v>1.9561239140525077</v>
      </c>
      <c r="BS73" s="767">
        <f t="shared" si="100"/>
        <v>1.8881486259775915</v>
      </c>
      <c r="BT73" s="767">
        <f t="shared" si="100"/>
        <v>-1000000</v>
      </c>
      <c r="BU73" s="767">
        <f t="shared" si="98"/>
        <v>-1000000</v>
      </c>
      <c r="BV73" s="767">
        <f t="shared" si="98"/>
        <v>-1000000</v>
      </c>
      <c r="BW73" s="767">
        <f t="shared" si="98"/>
        <v>-1000000</v>
      </c>
      <c r="BX73" s="767">
        <f t="shared" si="98"/>
        <v>-1000000</v>
      </c>
      <c r="BY73" s="767">
        <f t="shared" si="98"/>
        <v>-1000000</v>
      </c>
      <c r="BZ73" s="648">
        <f t="shared" si="56"/>
        <v>36</v>
      </c>
      <c r="CA73" s="767">
        <f t="shared" si="105"/>
        <v>2.0164587620958461</v>
      </c>
      <c r="CB73" s="767">
        <f t="shared" si="105"/>
        <v>1.9884630978874138</v>
      </c>
      <c r="CC73" s="767">
        <f t="shared" si="105"/>
        <v>1.9561239140525077</v>
      </c>
      <c r="CD73" s="767">
        <f t="shared" si="105"/>
        <v>1.8881486259775915</v>
      </c>
      <c r="CE73" s="767"/>
      <c r="CF73" s="767"/>
      <c r="CG73" s="767"/>
      <c r="CH73" s="767"/>
      <c r="CI73" s="767"/>
      <c r="CJ73" s="767"/>
      <c r="CK73" s="781">
        <f t="shared" si="58"/>
        <v>1.75</v>
      </c>
      <c r="CL73" s="783">
        <f t="shared" si="78"/>
        <v>1000000</v>
      </c>
      <c r="CM73" s="552"/>
      <c r="CN73" s="552"/>
      <c r="CO73" s="552"/>
      <c r="CP73" s="552"/>
      <c r="CQ73" s="552"/>
      <c r="CR73" s="552"/>
      <c r="CS73" s="552"/>
      <c r="CT73" s="552"/>
      <c r="CU73" s="552"/>
      <c r="CV73" s="552"/>
      <c r="CW73" s="552"/>
      <c r="CX73" s="552"/>
      <c r="CY73" s="552"/>
      <c r="CZ73" s="642">
        <f t="shared" ref="CZ73:CZ127" si="133">CZ72+1</f>
        <v>66</v>
      </c>
      <c r="DA73" s="609">
        <f t="shared" si="110"/>
        <v>74.25</v>
      </c>
      <c r="DB73" s="609">
        <f t="shared" si="121"/>
        <v>26.400000000000002</v>
      </c>
      <c r="DC73" s="610">
        <f t="shared" si="101"/>
        <v>134.70811804881797</v>
      </c>
      <c r="DD73" s="611">
        <f t="shared" si="101"/>
        <v>134.87121744500263</v>
      </c>
      <c r="DE73" s="612">
        <f t="shared" si="101"/>
        <v>134.98334742003337</v>
      </c>
      <c r="DF73" s="610">
        <f t="shared" si="102"/>
        <v>19.411764705882348</v>
      </c>
      <c r="DG73" s="611">
        <f t="shared" si="102"/>
        <v>22</v>
      </c>
      <c r="DH73" s="612">
        <f t="shared" si="102"/>
        <v>28.470588235294098</v>
      </c>
      <c r="DI73" s="610">
        <f t="shared" si="111"/>
        <v>154.11988275470031</v>
      </c>
      <c r="DJ73" s="611">
        <f t="shared" si="111"/>
        <v>156.87121744500263</v>
      </c>
      <c r="DK73" s="612">
        <f t="shared" si="111"/>
        <v>163.45393565532746</v>
      </c>
      <c r="DL73" s="613">
        <f t="shared" si="122"/>
        <v>154.11988275470031</v>
      </c>
      <c r="DM73" s="613">
        <f t="shared" si="122"/>
        <v>156.87121744500263</v>
      </c>
      <c r="DN73" s="613">
        <f t="shared" si="122"/>
        <v>163.45393565532746</v>
      </c>
      <c r="DO73" s="609">
        <f t="shared" si="112"/>
        <v>135</v>
      </c>
      <c r="DP73" s="609"/>
      <c r="DQ73" s="609">
        <f t="shared" si="123"/>
        <v>26.400000000000002</v>
      </c>
      <c r="DR73" s="610">
        <f t="shared" si="113"/>
        <v>6.7847966337058294E-2</v>
      </c>
      <c r="DS73" s="611">
        <f t="shared" si="113"/>
        <v>3.392690895638209E-2</v>
      </c>
      <c r="DT73" s="612">
        <f t="shared" si="113"/>
        <v>5.6773091471590134E-3</v>
      </c>
      <c r="DU73" s="611">
        <f t="shared" si="132"/>
        <v>7.1102294781510603E-2</v>
      </c>
      <c r="DV73" s="611">
        <f t="shared" si="132"/>
        <v>3.5778951939633243E-2</v>
      </c>
      <c r="DW73" s="611">
        <f t="shared" si="132"/>
        <v>6.0826318496509336E-3</v>
      </c>
      <c r="DX73" s="614">
        <f t="shared" si="114"/>
        <v>12.5</v>
      </c>
      <c r="DY73" s="615"/>
      <c r="DZ73" s="609">
        <f t="shared" si="124"/>
        <v>26.400000000000002</v>
      </c>
      <c r="EA73" s="611">
        <f t="shared" si="103"/>
        <v>2.1146209677419354</v>
      </c>
      <c r="EB73" s="611">
        <f t="shared" si="103"/>
        <v>1000000</v>
      </c>
      <c r="EC73" s="611">
        <f t="shared" si="103"/>
        <v>1000000</v>
      </c>
      <c r="ED73" s="610">
        <f t="shared" si="104"/>
        <v>0.22002999999999975</v>
      </c>
      <c r="EE73" s="611">
        <f t="shared" si="104"/>
        <v>0.22005999999999976</v>
      </c>
      <c r="EF73" s="612">
        <f t="shared" si="104"/>
        <v>0.22012499999999974</v>
      </c>
      <c r="EG73" s="611">
        <f t="shared" si="115"/>
        <v>2.3346509677419354</v>
      </c>
      <c r="EH73" s="611">
        <f t="shared" si="115"/>
        <v>1000000.22006</v>
      </c>
      <c r="EI73" s="611">
        <f t="shared" si="115"/>
        <v>1000000.220125</v>
      </c>
      <c r="EJ73" s="610">
        <f t="shared" si="125"/>
        <v>2.2999999999999998</v>
      </c>
      <c r="EK73" s="643">
        <f t="shared" si="126"/>
        <v>2.25</v>
      </c>
      <c r="EL73" s="644">
        <f t="shared" si="127"/>
        <v>2.83</v>
      </c>
      <c r="EN73" s="620">
        <f t="shared" si="128"/>
        <v>14.391666666666669</v>
      </c>
      <c r="EO73" s="621">
        <f t="shared" si="40"/>
        <v>83.447093458147151</v>
      </c>
      <c r="EP73" s="621">
        <f t="shared" si="40"/>
        <v>96.327596264323418</v>
      </c>
      <c r="EQ73" s="621">
        <f t="shared" si="40"/>
        <v>106.87001779779375</v>
      </c>
      <c r="ER73" s="610">
        <f t="shared" si="116"/>
        <v>45.577126157314545</v>
      </c>
      <c r="ES73" s="611">
        <f t="shared" si="116"/>
        <v>69.335070423912796</v>
      </c>
      <c r="ET73" s="612">
        <f t="shared" si="116"/>
        <v>93.642249114853826</v>
      </c>
      <c r="EU73" s="610">
        <f t="shared" si="129"/>
        <v>100</v>
      </c>
      <c r="EV73" s="611">
        <f t="shared" si="130"/>
        <v>135</v>
      </c>
      <c r="EW73" s="645">
        <f t="shared" si="131"/>
        <v>-1000000</v>
      </c>
      <c r="EX73" s="610">
        <f t="shared" si="117"/>
        <v>-37.869967300832606</v>
      </c>
      <c r="EY73" s="621">
        <f t="shared" si="118"/>
        <v>-26.992525840410622</v>
      </c>
      <c r="EZ73" s="612">
        <f t="shared" si="119"/>
        <v>-13.227768682939924</v>
      </c>
      <c r="FA73" s="646">
        <f t="shared" si="120"/>
        <v>14.391666666666669</v>
      </c>
      <c r="FB73" s="317"/>
      <c r="FC73" s="552"/>
      <c r="FD73" s="552"/>
      <c r="FE73" s="552"/>
      <c r="FF73" s="552"/>
      <c r="FG73" s="552"/>
      <c r="FH73" s="552"/>
      <c r="FI73" s="552"/>
      <c r="FJ73" s="552"/>
      <c r="FK73" s="552"/>
      <c r="FL73" s="552"/>
      <c r="FM73" s="552"/>
      <c r="FN73" s="552"/>
      <c r="FO73" s="552"/>
      <c r="FP73" s="552"/>
      <c r="FQ73" s="552"/>
      <c r="FR73" s="552"/>
      <c r="FS73" s="552"/>
      <c r="FT73" s="552"/>
    </row>
    <row r="74" spans="2:176" s="564" customFormat="1" ht="15" customHeight="1" x14ac:dyDescent="0.2">
      <c r="B74" s="647">
        <f t="shared" si="109"/>
        <v>36</v>
      </c>
      <c r="C74" s="652">
        <f>$F$11</f>
        <v>116.5</v>
      </c>
      <c r="D74" s="771">
        <f>$B$11</f>
        <v>1.84</v>
      </c>
      <c r="E74" s="772">
        <f t="shared" si="49"/>
        <v>3.2361111111111112</v>
      </c>
      <c r="F74" s="689"/>
      <c r="G74" s="747">
        <f t="shared" si="50"/>
        <v>1.8697372286109699</v>
      </c>
      <c r="H74" s="748">
        <f t="shared" si="60"/>
        <v>8.8430276546108298E-4</v>
      </c>
      <c r="I74" s="689"/>
      <c r="J74" s="773">
        <f t="shared" si="82"/>
        <v>37</v>
      </c>
      <c r="K74" s="774">
        <f t="shared" si="61"/>
        <v>41.625</v>
      </c>
      <c r="L74" s="747">
        <f t="shared" si="106"/>
        <v>2.0722760481927711</v>
      </c>
      <c r="M74" s="751">
        <f t="shared" si="106"/>
        <v>2.0691286144578314</v>
      </c>
      <c r="N74" s="751">
        <f t="shared" si="106"/>
        <v>2.063692921686747</v>
      </c>
      <c r="O74" s="751">
        <f t="shared" si="106"/>
        <v>2.0582572289156627</v>
      </c>
      <c r="P74" s="751">
        <f t="shared" si="106"/>
        <v>2.0478168674698796</v>
      </c>
      <c r="Q74" s="751">
        <f t="shared" si="106"/>
        <v>2.0417250602409638</v>
      </c>
      <c r="R74" s="751">
        <f t="shared" si="106"/>
        <v>2.0185072289156629</v>
      </c>
      <c r="S74" s="751">
        <f t="shared" si="106"/>
        <v>2.0083465542168675</v>
      </c>
      <c r="T74" s="752">
        <f t="shared" si="106"/>
        <v>1.9937951807228917</v>
      </c>
      <c r="U74" s="753">
        <f t="shared" si="106"/>
        <v>1.899544578313253</v>
      </c>
      <c r="W74" s="773">
        <f t="shared" si="63"/>
        <v>41.625</v>
      </c>
      <c r="X74" s="775">
        <f t="shared" si="107"/>
        <v>-5.8401605248574504E-2</v>
      </c>
      <c r="Y74" s="776">
        <f t="shared" si="107"/>
        <v>-5.8406169137463389E-2</v>
      </c>
      <c r="Z74" s="776">
        <f t="shared" si="107"/>
        <v>-5.8414051081907836E-2</v>
      </c>
      <c r="AA74" s="776">
        <f t="shared" si="107"/>
        <v>-5.8421933026352277E-2</v>
      </c>
      <c r="AB74" s="776">
        <f t="shared" si="107"/>
        <v>-5.8437071915241168E-2</v>
      </c>
      <c r="AC74" s="776">
        <f t="shared" si="107"/>
        <v>-5.8445905248574501E-2</v>
      </c>
      <c r="AD74" s="776">
        <f t="shared" si="107"/>
        <v>-5.8479571915241169E-2</v>
      </c>
      <c r="AE74" s="776">
        <f t="shared" si="107"/>
        <v>-5.8494305248574498E-2</v>
      </c>
      <c r="AF74" s="777">
        <f t="shared" si="107"/>
        <v>-5.8515405248574501E-2</v>
      </c>
      <c r="AG74" s="778">
        <f t="shared" si="107"/>
        <v>-5.8652071915241168E-2</v>
      </c>
      <c r="AI74" s="773">
        <f t="shared" si="65"/>
        <v>41.625</v>
      </c>
      <c r="AJ74" s="747">
        <f t="shared" si="99"/>
        <v>2.0138744429441968</v>
      </c>
      <c r="AK74" s="751">
        <f t="shared" si="99"/>
        <v>2.010722445320368</v>
      </c>
      <c r="AL74" s="751">
        <f t="shared" si="99"/>
        <v>2.005278870604839</v>
      </c>
      <c r="AM74" s="751">
        <f t="shared" si="99"/>
        <v>1.9998352958893104</v>
      </c>
      <c r="AN74" s="751">
        <f t="shared" si="99"/>
        <v>1.9893797955546384</v>
      </c>
      <c r="AO74" s="751">
        <f t="shared" si="97"/>
        <v>1.9832791549923894</v>
      </c>
      <c r="AP74" s="751">
        <f t="shared" si="97"/>
        <v>1.9600276570004218</v>
      </c>
      <c r="AQ74" s="751">
        <f t="shared" si="97"/>
        <v>1.949852248968293</v>
      </c>
      <c r="AR74" s="752">
        <f t="shared" si="97"/>
        <v>1.9352797754743172</v>
      </c>
      <c r="AS74" s="751">
        <f t="shared" si="97"/>
        <v>1.8408925063980117</v>
      </c>
      <c r="AT74" s="674">
        <f t="shared" si="66"/>
        <v>1.75</v>
      </c>
      <c r="AU74" s="712">
        <f t="shared" si="67"/>
        <v>1.8</v>
      </c>
      <c r="AV74" s="712">
        <f t="shared" si="68"/>
        <v>1.81</v>
      </c>
      <c r="AW74" s="712">
        <f t="shared" si="69"/>
        <v>1.83</v>
      </c>
      <c r="AX74" s="712">
        <f t="shared" si="70"/>
        <v>1.84</v>
      </c>
      <c r="AY74" s="712">
        <f t="shared" si="71"/>
        <v>1.86</v>
      </c>
      <c r="AZ74" s="712">
        <f t="shared" si="72"/>
        <v>1.88</v>
      </c>
      <c r="BA74" s="712">
        <f t="shared" si="73"/>
        <v>1.9</v>
      </c>
      <c r="BB74" s="712">
        <f t="shared" si="74"/>
        <v>1.92</v>
      </c>
      <c r="BC74" s="779">
        <f t="shared" si="75"/>
        <v>1000000</v>
      </c>
      <c r="BD74" s="780">
        <f t="shared" si="76"/>
        <v>-1000000</v>
      </c>
      <c r="BF74" s="781">
        <f t="shared" si="108"/>
        <v>2.0142321053334387</v>
      </c>
      <c r="BG74" s="767">
        <f t="shared" si="108"/>
        <v>1.9867866365252915</v>
      </c>
      <c r="BH74" s="767">
        <f t="shared" si="108"/>
        <v>1.9540324116507677</v>
      </c>
      <c r="BI74" s="767">
        <f t="shared" si="108"/>
        <v>1.8717155789447268</v>
      </c>
      <c r="BJ74" s="767">
        <f t="shared" si="108"/>
        <v>2.0609036863818</v>
      </c>
      <c r="BK74" s="767">
        <f t="shared" si="108"/>
        <v>2.0318342486135013</v>
      </c>
      <c r="BL74" s="767">
        <f t="shared" si="108"/>
        <v>2.0104330416287755</v>
      </c>
      <c r="BM74" s="767">
        <f t="shared" si="108"/>
        <v>2.0077837868442328</v>
      </c>
      <c r="BN74" s="767">
        <f t="shared" si="108"/>
        <v>2.0055172043063636</v>
      </c>
      <c r="BO74" s="782">
        <f t="shared" si="108"/>
        <v>2.0010263679805114</v>
      </c>
      <c r="BP74" s="781">
        <f t="shared" si="100"/>
        <v>2.0142321053334387</v>
      </c>
      <c r="BQ74" s="767">
        <f t="shared" si="100"/>
        <v>1.9867866365252915</v>
      </c>
      <c r="BR74" s="767">
        <f t="shared" si="100"/>
        <v>1.9540324116507677</v>
      </c>
      <c r="BS74" s="767">
        <f t="shared" si="100"/>
        <v>1.8717155789447268</v>
      </c>
      <c r="BT74" s="767">
        <f t="shared" si="100"/>
        <v>-1000000</v>
      </c>
      <c r="BU74" s="767">
        <f t="shared" si="98"/>
        <v>-1000000</v>
      </c>
      <c r="BV74" s="767">
        <f t="shared" si="98"/>
        <v>-1000000</v>
      </c>
      <c r="BW74" s="767">
        <f t="shared" si="98"/>
        <v>-1000000</v>
      </c>
      <c r="BX74" s="767">
        <f t="shared" si="98"/>
        <v>-1000000</v>
      </c>
      <c r="BY74" s="767">
        <f t="shared" si="98"/>
        <v>-1000000</v>
      </c>
      <c r="BZ74" s="648">
        <f t="shared" si="56"/>
        <v>37</v>
      </c>
      <c r="CA74" s="767">
        <f t="shared" si="105"/>
        <v>2.0142321053334387</v>
      </c>
      <c r="CB74" s="767">
        <f t="shared" si="105"/>
        <v>1.9867866365252915</v>
      </c>
      <c r="CC74" s="767">
        <f t="shared" si="105"/>
        <v>1.9540324116507677</v>
      </c>
      <c r="CD74" s="767">
        <f t="shared" si="105"/>
        <v>1.8717155789447268</v>
      </c>
      <c r="CE74" s="767"/>
      <c r="CF74" s="767"/>
      <c r="CG74" s="767"/>
      <c r="CH74" s="767"/>
      <c r="CI74" s="767"/>
      <c r="CJ74" s="767"/>
      <c r="CK74" s="781">
        <f t="shared" si="58"/>
        <v>1.75</v>
      </c>
      <c r="CL74" s="783">
        <f t="shared" si="78"/>
        <v>1000000</v>
      </c>
      <c r="CM74" s="552"/>
      <c r="CN74" s="552"/>
      <c r="CO74" s="552"/>
      <c r="CP74" s="552"/>
      <c r="CQ74" s="552"/>
      <c r="CR74" s="552"/>
      <c r="CS74" s="552"/>
      <c r="CT74" s="552"/>
      <c r="CU74" s="552"/>
      <c r="CV74" s="552"/>
      <c r="CW74" s="552"/>
      <c r="CX74" s="552"/>
      <c r="CY74" s="552"/>
      <c r="CZ74" s="642">
        <f t="shared" si="133"/>
        <v>67</v>
      </c>
      <c r="DA74" s="609">
        <f t="shared" si="110"/>
        <v>75.375</v>
      </c>
      <c r="DB74" s="609">
        <f t="shared" si="121"/>
        <v>26.8</v>
      </c>
      <c r="DC74" s="610">
        <f t="shared" si="101"/>
        <v>134.73403374643021</v>
      </c>
      <c r="DD74" s="611">
        <f t="shared" si="101"/>
        <v>134.88409765094823</v>
      </c>
      <c r="DE74" s="612">
        <f t="shared" si="101"/>
        <v>134.98547030513424</v>
      </c>
      <c r="DF74" s="610">
        <f t="shared" si="102"/>
        <v>19.411764705882348</v>
      </c>
      <c r="DG74" s="611">
        <f t="shared" si="102"/>
        <v>22</v>
      </c>
      <c r="DH74" s="612">
        <f t="shared" si="102"/>
        <v>28.470588235294098</v>
      </c>
      <c r="DI74" s="610">
        <f t="shared" si="111"/>
        <v>154.14579845231256</v>
      </c>
      <c r="DJ74" s="611">
        <f t="shared" si="111"/>
        <v>156.88409765094823</v>
      </c>
      <c r="DK74" s="612">
        <f t="shared" si="111"/>
        <v>163.45605854042833</v>
      </c>
      <c r="DL74" s="613">
        <f t="shared" si="122"/>
        <v>154.14579845231256</v>
      </c>
      <c r="DM74" s="613">
        <f t="shared" si="122"/>
        <v>156.88409765094823</v>
      </c>
      <c r="DN74" s="613">
        <f t="shared" si="122"/>
        <v>163.45605854042833</v>
      </c>
      <c r="DO74" s="609">
        <f t="shared" si="112"/>
        <v>135</v>
      </c>
      <c r="DP74" s="609"/>
      <c r="DQ74" s="609">
        <f t="shared" si="123"/>
        <v>26.8</v>
      </c>
      <c r="DR74" s="610">
        <f t="shared" si="113"/>
        <v>6.1823861824683857E-2</v>
      </c>
      <c r="DS74" s="611">
        <f t="shared" si="113"/>
        <v>3.0533704228734648E-2</v>
      </c>
      <c r="DT74" s="612">
        <f t="shared" si="113"/>
        <v>4.9535609336257974E-3</v>
      </c>
      <c r="DU74" s="611">
        <f t="shared" si="132"/>
        <v>6.4789244030621043E-2</v>
      </c>
      <c r="DV74" s="611">
        <f t="shared" si="132"/>
        <v>3.2200514864015983E-2</v>
      </c>
      <c r="DW74" s="611">
        <f t="shared" si="132"/>
        <v>5.3072127521858383E-3</v>
      </c>
      <c r="DX74" s="614">
        <f t="shared" si="114"/>
        <v>12.5</v>
      </c>
      <c r="DY74" s="615"/>
      <c r="DZ74" s="609">
        <f t="shared" si="124"/>
        <v>26.8</v>
      </c>
      <c r="EA74" s="611">
        <f t="shared" si="103"/>
        <v>2.1153818681318683</v>
      </c>
      <c r="EB74" s="611">
        <f t="shared" si="103"/>
        <v>1000000</v>
      </c>
      <c r="EC74" s="611">
        <f t="shared" si="103"/>
        <v>1000000</v>
      </c>
      <c r="ED74" s="610">
        <f t="shared" si="104"/>
        <v>0.22002999999999975</v>
      </c>
      <c r="EE74" s="611">
        <f t="shared" si="104"/>
        <v>0.22005999999999976</v>
      </c>
      <c r="EF74" s="612">
        <f t="shared" si="104"/>
        <v>0.22012499999999974</v>
      </c>
      <c r="EG74" s="611">
        <f t="shared" si="115"/>
        <v>2.3354118681318683</v>
      </c>
      <c r="EH74" s="611">
        <f t="shared" si="115"/>
        <v>1000000.22006</v>
      </c>
      <c r="EI74" s="611">
        <f t="shared" si="115"/>
        <v>1000000.220125</v>
      </c>
      <c r="EJ74" s="610">
        <f t="shared" si="125"/>
        <v>2.2999999999999998</v>
      </c>
      <c r="EK74" s="643">
        <f t="shared" si="126"/>
        <v>2.25</v>
      </c>
      <c r="EL74" s="644">
        <f t="shared" si="127"/>
        <v>2.83</v>
      </c>
      <c r="EN74" s="620">
        <f t="shared" si="128"/>
        <v>14.609722222222222</v>
      </c>
      <c r="EO74" s="621">
        <f t="shared" si="40"/>
        <v>82.666622283965694</v>
      </c>
      <c r="EP74" s="621">
        <f t="shared" si="40"/>
        <v>95.742007223727626</v>
      </c>
      <c r="EQ74" s="621">
        <f t="shared" si="40"/>
        <v>106.44399455476761</v>
      </c>
      <c r="ER74" s="610">
        <f t="shared" si="116"/>
        <v>44.795816352327762</v>
      </c>
      <c r="ES74" s="611">
        <f t="shared" si="116"/>
        <v>68.642181031811475</v>
      </c>
      <c r="ET74" s="612">
        <f t="shared" si="116"/>
        <v>92.934502806011153</v>
      </c>
      <c r="EU74" s="610">
        <f t="shared" si="129"/>
        <v>100</v>
      </c>
      <c r="EV74" s="611">
        <f t="shared" si="130"/>
        <v>135</v>
      </c>
      <c r="EW74" s="645">
        <f t="shared" si="131"/>
        <v>-1000000</v>
      </c>
      <c r="EX74" s="610">
        <f t="shared" si="117"/>
        <v>-37.870805931637932</v>
      </c>
      <c r="EY74" s="621">
        <f t="shared" si="118"/>
        <v>-27.099826191916144</v>
      </c>
      <c r="EZ74" s="612">
        <f t="shared" si="119"/>
        <v>-13.509491748756453</v>
      </c>
      <c r="FA74" s="646">
        <f t="shared" si="120"/>
        <v>14.609722222222222</v>
      </c>
      <c r="FB74" s="317"/>
      <c r="FC74" s="552"/>
      <c r="FD74" s="552"/>
      <c r="FE74" s="552"/>
      <c r="FF74" s="552"/>
      <c r="FG74" s="552"/>
      <c r="FH74" s="552"/>
      <c r="FI74" s="552"/>
      <c r="FJ74" s="552"/>
      <c r="FK74" s="552"/>
      <c r="FL74" s="552"/>
      <c r="FM74" s="552"/>
      <c r="FN74" s="552"/>
      <c r="FO74" s="552"/>
      <c r="FP74" s="552"/>
      <c r="FQ74" s="552"/>
      <c r="FR74" s="552"/>
      <c r="FS74" s="552"/>
      <c r="FT74" s="552"/>
    </row>
    <row r="75" spans="2:176" s="564" customFormat="1" ht="15" customHeight="1" x14ac:dyDescent="0.2">
      <c r="B75" s="785">
        <f t="shared" si="109"/>
        <v>36</v>
      </c>
      <c r="C75" s="786">
        <f>$F$12</f>
        <v>113.5</v>
      </c>
      <c r="D75" s="787">
        <f>$B$12</f>
        <v>1.86</v>
      </c>
      <c r="E75" s="788">
        <f t="shared" si="49"/>
        <v>3.1527777777777777</v>
      </c>
      <c r="F75" s="791"/>
      <c r="G75" s="747">
        <f t="shared" si="50"/>
        <v>1.8881486259775915</v>
      </c>
      <c r="H75" s="789">
        <f t="shared" si="60"/>
        <v>7.9234514442633229E-4</v>
      </c>
      <c r="I75" s="689"/>
      <c r="J75" s="773">
        <f t="shared" si="82"/>
        <v>38</v>
      </c>
      <c r="K75" s="774">
        <f t="shared" si="61"/>
        <v>42.75</v>
      </c>
      <c r="L75" s="747">
        <f t="shared" si="106"/>
        <v>2.0721818536585368</v>
      </c>
      <c r="M75" s="751">
        <f t="shared" si="106"/>
        <v>2.0689960365853661</v>
      </c>
      <c r="N75" s="751">
        <f t="shared" si="106"/>
        <v>2.0634940548780487</v>
      </c>
      <c r="O75" s="751">
        <f t="shared" si="106"/>
        <v>2.0579920731707317</v>
      </c>
      <c r="P75" s="751">
        <f t="shared" si="106"/>
        <v>2.0474243902439024</v>
      </c>
      <c r="Q75" s="751">
        <f t="shared" si="106"/>
        <v>2.0412582926829268</v>
      </c>
      <c r="R75" s="751">
        <f t="shared" si="106"/>
        <v>2.0177573170731709</v>
      </c>
      <c r="S75" s="751">
        <f t="shared" si="106"/>
        <v>2.0074727317073173</v>
      </c>
      <c r="T75" s="752">
        <f t="shared" si="106"/>
        <v>1.9927439024390246</v>
      </c>
      <c r="U75" s="753">
        <f t="shared" si="106"/>
        <v>1.8973439024390244</v>
      </c>
      <c r="W75" s="773">
        <f t="shared" si="63"/>
        <v>42.75</v>
      </c>
      <c r="X75" s="775">
        <f t="shared" si="107"/>
        <v>-6.0422841806111537E-2</v>
      </c>
      <c r="Y75" s="776">
        <f t="shared" si="107"/>
        <v>-6.0427405695000422E-2</v>
      </c>
      <c r="Z75" s="776">
        <f t="shared" si="107"/>
        <v>-6.0435287639444869E-2</v>
      </c>
      <c r="AA75" s="776">
        <f t="shared" si="107"/>
        <v>-6.044316958388931E-2</v>
      </c>
      <c r="AB75" s="776">
        <f t="shared" si="107"/>
        <v>-6.0458308472778201E-2</v>
      </c>
      <c r="AC75" s="776">
        <f t="shared" si="107"/>
        <v>-6.0467141806111534E-2</v>
      </c>
      <c r="AD75" s="776">
        <f t="shared" si="107"/>
        <v>-6.0500808472778202E-2</v>
      </c>
      <c r="AE75" s="776">
        <f t="shared" si="107"/>
        <v>-6.0515541806111531E-2</v>
      </c>
      <c r="AF75" s="777">
        <f t="shared" si="107"/>
        <v>-6.0536641806111534E-2</v>
      </c>
      <c r="AG75" s="778">
        <f t="shared" si="107"/>
        <v>-6.0673308472778201E-2</v>
      </c>
      <c r="AI75" s="773">
        <f t="shared" si="65"/>
        <v>42.75</v>
      </c>
      <c r="AJ75" s="747">
        <f t="shared" si="99"/>
        <v>2.0117590118524253</v>
      </c>
      <c r="AK75" s="751">
        <f t="shared" si="99"/>
        <v>2.0085686308903656</v>
      </c>
      <c r="AL75" s="751">
        <f t="shared" si="99"/>
        <v>2.003058767238604</v>
      </c>
      <c r="AM75" s="751">
        <f t="shared" si="99"/>
        <v>1.9975489035868423</v>
      </c>
      <c r="AN75" s="751">
        <f t="shared" si="99"/>
        <v>1.9869660817711243</v>
      </c>
      <c r="AO75" s="751">
        <f t="shared" si="97"/>
        <v>1.9807911508768152</v>
      </c>
      <c r="AP75" s="751">
        <f t="shared" si="97"/>
        <v>1.9572565086003926</v>
      </c>
      <c r="AQ75" s="751">
        <f t="shared" si="97"/>
        <v>1.9469571899012057</v>
      </c>
      <c r="AR75" s="752">
        <f t="shared" si="97"/>
        <v>1.932207260632913</v>
      </c>
      <c r="AS75" s="751">
        <f t="shared" si="97"/>
        <v>1.8366705939662462</v>
      </c>
      <c r="AT75" s="674">
        <f t="shared" si="66"/>
        <v>1.75</v>
      </c>
      <c r="AU75" s="712">
        <f t="shared" si="67"/>
        <v>1.8</v>
      </c>
      <c r="AV75" s="712">
        <f t="shared" si="68"/>
        <v>1.81</v>
      </c>
      <c r="AW75" s="712">
        <f t="shared" si="69"/>
        <v>1.83</v>
      </c>
      <c r="AX75" s="712">
        <f t="shared" si="70"/>
        <v>1.84</v>
      </c>
      <c r="AY75" s="712">
        <f t="shared" si="71"/>
        <v>1.86</v>
      </c>
      <c r="AZ75" s="712">
        <f t="shared" si="72"/>
        <v>1.88</v>
      </c>
      <c r="BA75" s="712">
        <f t="shared" si="73"/>
        <v>1.9</v>
      </c>
      <c r="BB75" s="712">
        <f t="shared" si="74"/>
        <v>1.92</v>
      </c>
      <c r="BC75" s="779">
        <f t="shared" si="75"/>
        <v>1000000</v>
      </c>
      <c r="BD75" s="780">
        <f t="shared" si="76"/>
        <v>-1000000</v>
      </c>
      <c r="BF75" s="781">
        <f t="shared" si="108"/>
        <v>2.0121092327343457</v>
      </c>
      <c r="BG75" s="767">
        <f t="shared" si="108"/>
        <v>1.985196457594198</v>
      </c>
      <c r="BH75" s="767">
        <f t="shared" si="108"/>
        <v>1.9518400356299312</v>
      </c>
      <c r="BI75" s="767">
        <f t="shared" si="108"/>
        <v>1.8485761521704736</v>
      </c>
      <c r="BJ75" s="767">
        <f t="shared" si="108"/>
        <v>2.0520888199649816</v>
      </c>
      <c r="BK75" s="767">
        <f t="shared" si="108"/>
        <v>2.0281141775783267</v>
      </c>
      <c r="BL75" s="767">
        <f t="shared" si="108"/>
        <v>2.0091443698960818</v>
      </c>
      <c r="BM75" s="767">
        <f t="shared" si="108"/>
        <v>2.0067111245032647</v>
      </c>
      <c r="BN75" s="767">
        <f t="shared" si="108"/>
        <v>2.0046135922980928</v>
      </c>
      <c r="BO75" s="782">
        <f t="shared" si="108"/>
        <v>2.0004105456868819</v>
      </c>
      <c r="BP75" s="781">
        <f t="shared" si="100"/>
        <v>2.0121092327343457</v>
      </c>
      <c r="BQ75" s="767">
        <f t="shared" si="100"/>
        <v>1.985196457594198</v>
      </c>
      <c r="BR75" s="767">
        <f t="shared" si="100"/>
        <v>1.9518400356299312</v>
      </c>
      <c r="BS75" s="767">
        <f t="shared" si="100"/>
        <v>1.8485761521704736</v>
      </c>
      <c r="BT75" s="767">
        <f t="shared" si="100"/>
        <v>-1000000</v>
      </c>
      <c r="BU75" s="767">
        <f t="shared" si="98"/>
        <v>-1000000</v>
      </c>
      <c r="BV75" s="767">
        <f t="shared" si="98"/>
        <v>-1000000</v>
      </c>
      <c r="BW75" s="767">
        <f t="shared" si="98"/>
        <v>-1000000</v>
      </c>
      <c r="BX75" s="767">
        <f t="shared" si="98"/>
        <v>-1000000</v>
      </c>
      <c r="BY75" s="767">
        <f t="shared" si="98"/>
        <v>-1000000</v>
      </c>
      <c r="BZ75" s="648">
        <f t="shared" si="56"/>
        <v>38</v>
      </c>
      <c r="CA75" s="767">
        <f t="shared" si="105"/>
        <v>2.0121092327343457</v>
      </c>
      <c r="CB75" s="767">
        <f t="shared" si="105"/>
        <v>1.985196457594198</v>
      </c>
      <c r="CC75" s="767">
        <f t="shared" si="105"/>
        <v>1.9518400356299312</v>
      </c>
      <c r="CD75" s="767">
        <f t="shared" si="105"/>
        <v>1.8485761521704736</v>
      </c>
      <c r="CE75" s="767"/>
      <c r="CF75" s="767"/>
      <c r="CG75" s="767"/>
      <c r="CH75" s="767"/>
      <c r="CI75" s="767"/>
      <c r="CJ75" s="767"/>
      <c r="CK75" s="781">
        <f t="shared" si="58"/>
        <v>1.75</v>
      </c>
      <c r="CL75" s="783">
        <f t="shared" si="78"/>
        <v>1000000</v>
      </c>
      <c r="CM75" s="552"/>
      <c r="CN75" s="552"/>
      <c r="CO75" s="552"/>
      <c r="CP75" s="552"/>
      <c r="CQ75" s="552"/>
      <c r="CR75" s="552"/>
      <c r="CS75" s="552"/>
      <c r="CT75" s="552"/>
      <c r="CU75" s="552"/>
      <c r="CV75" s="552"/>
      <c r="CW75" s="552"/>
      <c r="CX75" s="552"/>
      <c r="CY75" s="552"/>
      <c r="CZ75" s="642">
        <f t="shared" si="133"/>
        <v>68</v>
      </c>
      <c r="DA75" s="609">
        <f t="shared" si="110"/>
        <v>76.5</v>
      </c>
      <c r="DB75" s="609">
        <f t="shared" si="121"/>
        <v>27.2</v>
      </c>
      <c r="DC75" s="610">
        <f t="shared" si="101"/>
        <v>134.75764843371957</v>
      </c>
      <c r="DD75" s="611">
        <f t="shared" si="101"/>
        <v>134.89568964122512</v>
      </c>
      <c r="DE75" s="612">
        <f t="shared" si="101"/>
        <v>134.98732256303137</v>
      </c>
      <c r="DF75" s="610">
        <f t="shared" si="102"/>
        <v>19.411764705882348</v>
      </c>
      <c r="DG75" s="611">
        <f t="shared" si="102"/>
        <v>22</v>
      </c>
      <c r="DH75" s="612">
        <f t="shared" si="102"/>
        <v>28.470588235294098</v>
      </c>
      <c r="DI75" s="610">
        <f t="shared" si="111"/>
        <v>154.16941313960191</v>
      </c>
      <c r="DJ75" s="611">
        <f t="shared" si="111"/>
        <v>156.89568964122512</v>
      </c>
      <c r="DK75" s="612">
        <f t="shared" si="111"/>
        <v>163.45791079832546</v>
      </c>
      <c r="DL75" s="613">
        <f t="shared" si="122"/>
        <v>154.16941313960191</v>
      </c>
      <c r="DM75" s="613">
        <f t="shared" si="122"/>
        <v>156.89568964122512</v>
      </c>
      <c r="DN75" s="613">
        <f t="shared" si="122"/>
        <v>163.45791079832546</v>
      </c>
      <c r="DO75" s="609">
        <f t="shared" si="112"/>
        <v>135</v>
      </c>
      <c r="DP75" s="609"/>
      <c r="DQ75" s="609">
        <f t="shared" si="123"/>
        <v>27.2</v>
      </c>
      <c r="DR75" s="610">
        <f t="shared" si="113"/>
        <v>5.6334627215347169E-2</v>
      </c>
      <c r="DS75" s="611">
        <f t="shared" si="113"/>
        <v>2.7479871364835023E-2</v>
      </c>
      <c r="DT75" s="612">
        <f t="shared" si="113"/>
        <v>4.3220767598013644E-3</v>
      </c>
      <c r="DU75" s="611">
        <f t="shared" si="132"/>
        <v>5.9036718223382176E-2</v>
      </c>
      <c r="DV75" s="611">
        <f t="shared" si="132"/>
        <v>2.8979975692209441E-2</v>
      </c>
      <c r="DW75" s="611">
        <f t="shared" si="132"/>
        <v>4.6306447428179518E-3</v>
      </c>
      <c r="DX75" s="614">
        <f t="shared" si="114"/>
        <v>12.5</v>
      </c>
      <c r="DY75" s="615"/>
      <c r="DZ75" s="609">
        <f t="shared" si="124"/>
        <v>27.2</v>
      </c>
      <c r="EA75" s="611">
        <f t="shared" si="103"/>
        <v>2.116176966292135</v>
      </c>
      <c r="EB75" s="611">
        <f t="shared" si="103"/>
        <v>1000000</v>
      </c>
      <c r="EC75" s="611">
        <f t="shared" si="103"/>
        <v>1000000</v>
      </c>
      <c r="ED75" s="610">
        <f t="shared" si="104"/>
        <v>0.22002999999999975</v>
      </c>
      <c r="EE75" s="611">
        <f t="shared" si="104"/>
        <v>0.22005999999999976</v>
      </c>
      <c r="EF75" s="612">
        <f t="shared" si="104"/>
        <v>0.22012499999999974</v>
      </c>
      <c r="EG75" s="611">
        <f t="shared" si="115"/>
        <v>2.336206966292135</v>
      </c>
      <c r="EH75" s="611">
        <f t="shared" si="115"/>
        <v>1000000.22006</v>
      </c>
      <c r="EI75" s="611">
        <f t="shared" si="115"/>
        <v>1000000.220125</v>
      </c>
      <c r="EJ75" s="610">
        <f t="shared" si="125"/>
        <v>2.2999999999999998</v>
      </c>
      <c r="EK75" s="643">
        <f t="shared" si="126"/>
        <v>2.25</v>
      </c>
      <c r="EL75" s="644">
        <f t="shared" si="127"/>
        <v>2.83</v>
      </c>
      <c r="EN75" s="620">
        <f t="shared" si="128"/>
        <v>14.827777777777778</v>
      </c>
      <c r="EO75" s="621">
        <f t="shared" si="40"/>
        <v>81.886170003783974</v>
      </c>
      <c r="EP75" s="621">
        <f t="shared" si="40"/>
        <v>95.156428817473625</v>
      </c>
      <c r="EQ75" s="621">
        <f t="shared" si="40"/>
        <v>106.01797693931802</v>
      </c>
      <c r="ER75" s="610">
        <f t="shared" si="116"/>
        <v>44.014633780056251</v>
      </c>
      <c r="ES75" s="611">
        <f t="shared" si="116"/>
        <v>67.954200677638724</v>
      </c>
      <c r="ET75" s="612">
        <f t="shared" si="116"/>
        <v>92.23163400990461</v>
      </c>
      <c r="EU75" s="610">
        <f t="shared" si="129"/>
        <v>100</v>
      </c>
      <c r="EV75" s="611">
        <f t="shared" si="130"/>
        <v>135</v>
      </c>
      <c r="EW75" s="645">
        <f t="shared" si="131"/>
        <v>-1000000</v>
      </c>
      <c r="EX75" s="610">
        <f t="shared" si="117"/>
        <v>-37.871536223727723</v>
      </c>
      <c r="EY75" s="621">
        <f t="shared" si="118"/>
        <v>-27.202228139834901</v>
      </c>
      <c r="EZ75" s="612">
        <f t="shared" si="119"/>
        <v>-13.786342929413408</v>
      </c>
      <c r="FA75" s="646">
        <f t="shared" si="120"/>
        <v>14.827777777777778</v>
      </c>
      <c r="FB75" s="317"/>
      <c r="FC75" s="552"/>
      <c r="FD75" s="552"/>
      <c r="FE75" s="552"/>
      <c r="FF75" s="552"/>
      <c r="FG75" s="552"/>
      <c r="FH75" s="552"/>
      <c r="FI75" s="552"/>
      <c r="FJ75" s="552"/>
      <c r="FK75" s="552"/>
      <c r="FL75" s="552"/>
      <c r="FM75" s="552"/>
      <c r="FN75" s="552"/>
      <c r="FO75" s="552"/>
      <c r="FP75" s="552"/>
      <c r="FQ75" s="552"/>
      <c r="FR75" s="552"/>
      <c r="FS75" s="552"/>
      <c r="FT75" s="552"/>
    </row>
    <row r="76" spans="2:176" s="564" customFormat="1" ht="15" customHeight="1" x14ac:dyDescent="0.2">
      <c r="B76" s="647">
        <f t="shared" si="109"/>
        <v>36</v>
      </c>
      <c r="C76" s="652">
        <f>$F$13</f>
        <v>110.5</v>
      </c>
      <c r="D76" s="771">
        <f>$B$13</f>
        <v>1.88</v>
      </c>
      <c r="E76" s="772">
        <f t="shared" si="49"/>
        <v>3.0694444444444446</v>
      </c>
      <c r="F76" s="689"/>
      <c r="G76" s="747">
        <f t="shared" si="50"/>
        <v>1.9021283475687434</v>
      </c>
      <c r="H76" s="748">
        <f t="shared" si="60"/>
        <v>4.8966376612311589E-4</v>
      </c>
      <c r="I76" s="689"/>
      <c r="J76" s="773">
        <f t="shared" si="82"/>
        <v>39</v>
      </c>
      <c r="K76" s="774">
        <f t="shared" si="61"/>
        <v>43.875</v>
      </c>
      <c r="L76" s="747">
        <f t="shared" si="106"/>
        <v>2.0720853333333333</v>
      </c>
      <c r="M76" s="751">
        <f t="shared" si="106"/>
        <v>2.0688601851851853</v>
      </c>
      <c r="N76" s="751">
        <f t="shared" si="106"/>
        <v>2.063290277777778</v>
      </c>
      <c r="O76" s="751">
        <f t="shared" si="106"/>
        <v>2.0577203703703706</v>
      </c>
      <c r="P76" s="751">
        <f t="shared" si="106"/>
        <v>2.0470222222222221</v>
      </c>
      <c r="Q76" s="751">
        <f t="shared" si="106"/>
        <v>2.0407800000000003</v>
      </c>
      <c r="R76" s="751">
        <f t="shared" si="106"/>
        <v>2.0169888888888892</v>
      </c>
      <c r="S76" s="751">
        <f t="shared" si="106"/>
        <v>2.0065773333333334</v>
      </c>
      <c r="T76" s="752">
        <f t="shared" si="106"/>
        <v>1.9916666666666667</v>
      </c>
      <c r="U76" s="753">
        <f t="shared" si="106"/>
        <v>1.895088888888889</v>
      </c>
      <c r="W76" s="773">
        <f t="shared" si="63"/>
        <v>43.875</v>
      </c>
      <c r="X76" s="775">
        <f t="shared" si="107"/>
        <v>-6.2343317893879972E-2</v>
      </c>
      <c r="Y76" s="776">
        <f t="shared" si="107"/>
        <v>-6.2347881782768858E-2</v>
      </c>
      <c r="Z76" s="776">
        <f t="shared" si="107"/>
        <v>-6.2355763727213305E-2</v>
      </c>
      <c r="AA76" s="776">
        <f t="shared" si="107"/>
        <v>-6.2363645671657746E-2</v>
      </c>
      <c r="AB76" s="776">
        <f t="shared" si="107"/>
        <v>-6.2378784560546637E-2</v>
      </c>
      <c r="AC76" s="776">
        <f t="shared" si="107"/>
        <v>-6.2387617893879969E-2</v>
      </c>
      <c r="AD76" s="776">
        <f t="shared" si="107"/>
        <v>-6.2421284560546637E-2</v>
      </c>
      <c r="AE76" s="776">
        <f t="shared" si="107"/>
        <v>-6.2436017893879966E-2</v>
      </c>
      <c r="AF76" s="777">
        <f t="shared" si="107"/>
        <v>-6.245711789387997E-2</v>
      </c>
      <c r="AG76" s="778">
        <f t="shared" si="107"/>
        <v>-6.2593784560546636E-2</v>
      </c>
      <c r="AI76" s="773">
        <f t="shared" si="65"/>
        <v>43.875</v>
      </c>
      <c r="AJ76" s="747">
        <f t="shared" si="99"/>
        <v>2.0097420154394534</v>
      </c>
      <c r="AK76" s="751">
        <f t="shared" si="99"/>
        <v>2.0065123034024164</v>
      </c>
      <c r="AL76" s="751">
        <f t="shared" si="99"/>
        <v>2.0009345140505648</v>
      </c>
      <c r="AM76" s="751">
        <f t="shared" si="99"/>
        <v>1.9953567246987129</v>
      </c>
      <c r="AN76" s="751">
        <f t="shared" si="99"/>
        <v>1.9846434376616755</v>
      </c>
      <c r="AO76" s="751">
        <f t="shared" si="97"/>
        <v>1.9783923821061202</v>
      </c>
      <c r="AP76" s="751">
        <f t="shared" si="97"/>
        <v>1.9545676043283424</v>
      </c>
      <c r="AQ76" s="751">
        <f t="shared" si="97"/>
        <v>1.9441413154394536</v>
      </c>
      <c r="AR76" s="752">
        <f t="shared" si="97"/>
        <v>1.9292095487727867</v>
      </c>
      <c r="AS76" s="751">
        <f t="shared" si="97"/>
        <v>1.8324951043283424</v>
      </c>
      <c r="AT76" s="674">
        <f t="shared" si="66"/>
        <v>1.75</v>
      </c>
      <c r="AU76" s="712">
        <f t="shared" si="67"/>
        <v>1.8</v>
      </c>
      <c r="AV76" s="712">
        <f t="shared" si="68"/>
        <v>1.81</v>
      </c>
      <c r="AW76" s="712">
        <f t="shared" si="69"/>
        <v>1.83</v>
      </c>
      <c r="AX76" s="712">
        <f t="shared" si="70"/>
        <v>1.84</v>
      </c>
      <c r="AY76" s="712">
        <f t="shared" si="71"/>
        <v>1.86</v>
      </c>
      <c r="AZ76" s="712">
        <f t="shared" si="72"/>
        <v>1.88</v>
      </c>
      <c r="BA76" s="712">
        <f t="shared" si="73"/>
        <v>1.9</v>
      </c>
      <c r="BB76" s="712">
        <f t="shared" si="74"/>
        <v>1.92</v>
      </c>
      <c r="BC76" s="779">
        <f t="shared" si="75"/>
        <v>1000000</v>
      </c>
      <c r="BD76" s="780">
        <f t="shared" si="76"/>
        <v>-1000000</v>
      </c>
      <c r="BF76" s="781">
        <f t="shared" si="108"/>
        <v>2.0100848019992816</v>
      </c>
      <c r="BG76" s="767">
        <f t="shared" si="108"/>
        <v>1.9836851003777238</v>
      </c>
      <c r="BH76" s="767">
        <f t="shared" si="108"/>
        <v>1.9495144529771629</v>
      </c>
      <c r="BI76" s="767">
        <f t="shared" si="108"/>
        <v>1.8134373863785935</v>
      </c>
      <c r="BJ76" s="767">
        <f t="shared" si="108"/>
        <v>2.0450242740291507</v>
      </c>
      <c r="BK76" s="767">
        <f t="shared" si="108"/>
        <v>2.0249015368548329</v>
      </c>
      <c r="BL76" s="767">
        <f t="shared" si="108"/>
        <v>2.0079637252969906</v>
      </c>
      <c r="BM76" s="767">
        <f t="shared" si="108"/>
        <v>2.0057209540558896</v>
      </c>
      <c r="BN76" s="767">
        <f t="shared" si="108"/>
        <v>2.0037740662791785</v>
      </c>
      <c r="BO76" s="782">
        <f t="shared" si="108"/>
        <v>1.9998311186878517</v>
      </c>
      <c r="BP76" s="781">
        <f t="shared" si="100"/>
        <v>2.0100848019992816</v>
      </c>
      <c r="BQ76" s="767">
        <f t="shared" si="100"/>
        <v>1.9836851003777238</v>
      </c>
      <c r="BR76" s="767">
        <f t="shared" si="100"/>
        <v>1.9495144529771629</v>
      </c>
      <c r="BS76" s="767">
        <f t="shared" si="100"/>
        <v>1.8134373863785935</v>
      </c>
      <c r="BT76" s="767">
        <f t="shared" si="100"/>
        <v>-1000000</v>
      </c>
      <c r="BU76" s="767">
        <f t="shared" si="98"/>
        <v>-1000000</v>
      </c>
      <c r="BV76" s="767">
        <f t="shared" si="98"/>
        <v>-1000000</v>
      </c>
      <c r="BW76" s="767">
        <f t="shared" si="98"/>
        <v>-1000000</v>
      </c>
      <c r="BX76" s="767">
        <f t="shared" si="98"/>
        <v>-1000000</v>
      </c>
      <c r="BY76" s="767">
        <f t="shared" si="98"/>
        <v>-1000000</v>
      </c>
      <c r="BZ76" s="648">
        <f t="shared" si="56"/>
        <v>39</v>
      </c>
      <c r="CA76" s="767">
        <f t="shared" si="105"/>
        <v>2.0100848019992816</v>
      </c>
      <c r="CB76" s="767">
        <f t="shared" si="105"/>
        <v>1.9836851003777238</v>
      </c>
      <c r="CC76" s="767">
        <f t="shared" si="105"/>
        <v>1.9495144529771629</v>
      </c>
      <c r="CD76" s="767">
        <f t="shared" si="105"/>
        <v>1.8134373863785935</v>
      </c>
      <c r="CE76" s="767"/>
      <c r="CF76" s="767"/>
      <c r="CG76" s="767"/>
      <c r="CH76" s="767"/>
      <c r="CI76" s="767"/>
      <c r="CJ76" s="767"/>
      <c r="CK76" s="781">
        <f t="shared" si="58"/>
        <v>1.75</v>
      </c>
      <c r="CL76" s="783">
        <f t="shared" si="78"/>
        <v>1000000</v>
      </c>
      <c r="CM76" s="552"/>
      <c r="CN76" s="552"/>
      <c r="CO76" s="552"/>
      <c r="CP76" s="552"/>
      <c r="CQ76" s="552"/>
      <c r="CR76" s="552"/>
      <c r="CS76" s="552"/>
      <c r="CT76" s="552"/>
      <c r="CU76" s="552"/>
      <c r="CV76" s="552"/>
      <c r="CW76" s="552"/>
      <c r="CX76" s="552"/>
      <c r="CY76" s="552"/>
      <c r="CZ76" s="642">
        <f t="shared" si="133"/>
        <v>69</v>
      </c>
      <c r="DA76" s="609">
        <f t="shared" si="110"/>
        <v>77.625</v>
      </c>
      <c r="DB76" s="609">
        <f t="shared" si="121"/>
        <v>27.599999999999998</v>
      </c>
      <c r="DC76" s="610">
        <f t="shared" si="101"/>
        <v>134.77916641344439</v>
      </c>
      <c r="DD76" s="611">
        <f t="shared" si="101"/>
        <v>134.90612225691061</v>
      </c>
      <c r="DE76" s="612">
        <f t="shared" si="101"/>
        <v>134.98893869351156</v>
      </c>
      <c r="DF76" s="610">
        <f t="shared" si="102"/>
        <v>19.411764705882348</v>
      </c>
      <c r="DG76" s="611">
        <f t="shared" si="102"/>
        <v>22</v>
      </c>
      <c r="DH76" s="612">
        <f t="shared" si="102"/>
        <v>28.470588235294098</v>
      </c>
      <c r="DI76" s="610">
        <f t="shared" si="111"/>
        <v>154.19093111932673</v>
      </c>
      <c r="DJ76" s="611">
        <f t="shared" si="111"/>
        <v>156.90612225691061</v>
      </c>
      <c r="DK76" s="612">
        <f t="shared" si="111"/>
        <v>163.45952692880564</v>
      </c>
      <c r="DL76" s="613">
        <f t="shared" si="122"/>
        <v>154.19093111932673</v>
      </c>
      <c r="DM76" s="613">
        <f t="shared" si="122"/>
        <v>156.90612225691061</v>
      </c>
      <c r="DN76" s="613">
        <f t="shared" si="122"/>
        <v>163.45952692880564</v>
      </c>
      <c r="DO76" s="609">
        <f t="shared" si="112"/>
        <v>135</v>
      </c>
      <c r="DP76" s="609"/>
      <c r="DQ76" s="609">
        <f t="shared" si="123"/>
        <v>27.599999999999998</v>
      </c>
      <c r="DR76" s="610">
        <f t="shared" si="113"/>
        <v>5.1332772328127885E-2</v>
      </c>
      <c r="DS76" s="611">
        <f t="shared" si="113"/>
        <v>2.4731468038431747E-2</v>
      </c>
      <c r="DT76" s="612">
        <f t="shared" si="113"/>
        <v>3.7710947271909034E-3</v>
      </c>
      <c r="DU76" s="611">
        <f t="shared" si="132"/>
        <v>5.3794949312049506E-2</v>
      </c>
      <c r="DV76" s="611">
        <f t="shared" si="132"/>
        <v>2.6081539213720455E-2</v>
      </c>
      <c r="DW76" s="611">
        <f t="shared" si="132"/>
        <v>4.0403262004673627E-3</v>
      </c>
      <c r="DX76" s="614">
        <f t="shared" si="114"/>
        <v>12.5</v>
      </c>
      <c r="DY76" s="615"/>
      <c r="DZ76" s="609">
        <f t="shared" si="124"/>
        <v>27.599999999999998</v>
      </c>
      <c r="EA76" s="611">
        <f t="shared" si="103"/>
        <v>2.1170086206896555</v>
      </c>
      <c r="EB76" s="611">
        <f t="shared" si="103"/>
        <v>1000000</v>
      </c>
      <c r="EC76" s="611">
        <f t="shared" si="103"/>
        <v>1000000</v>
      </c>
      <c r="ED76" s="610">
        <f t="shared" si="104"/>
        <v>0.22002999999999975</v>
      </c>
      <c r="EE76" s="611">
        <f t="shared" si="104"/>
        <v>0.22005999999999976</v>
      </c>
      <c r="EF76" s="612">
        <f t="shared" si="104"/>
        <v>0.22012499999999974</v>
      </c>
      <c r="EG76" s="611">
        <f t="shared" si="115"/>
        <v>2.3370386206896554</v>
      </c>
      <c r="EH76" s="611">
        <f t="shared" si="115"/>
        <v>1000000.22006</v>
      </c>
      <c r="EI76" s="611">
        <f t="shared" si="115"/>
        <v>1000000.220125</v>
      </c>
      <c r="EJ76" s="610">
        <f t="shared" si="125"/>
        <v>2.2999999999999998</v>
      </c>
      <c r="EK76" s="643">
        <f t="shared" si="126"/>
        <v>2.25</v>
      </c>
      <c r="EL76" s="644">
        <f t="shared" si="127"/>
        <v>2.83</v>
      </c>
      <c r="EN76" s="620">
        <f t="shared" si="128"/>
        <v>15.045833333333333</v>
      </c>
      <c r="EO76" s="621">
        <f t="shared" si="40"/>
        <v>81.105736616915863</v>
      </c>
      <c r="EP76" s="621">
        <f t="shared" si="40"/>
        <v>94.570861045271783</v>
      </c>
      <c r="EQ76" s="621">
        <f t="shared" si="40"/>
        <v>105.59196495133344</v>
      </c>
      <c r="ER76" s="610">
        <f t="shared" si="116"/>
        <v>43.233564444051744</v>
      </c>
      <c r="ES76" s="611">
        <f t="shared" si="116"/>
        <v>67.270905742473985</v>
      </c>
      <c r="ET76" s="612">
        <f t="shared" si="116"/>
        <v>91.533558476079378</v>
      </c>
      <c r="EU76" s="610">
        <f t="shared" si="129"/>
        <v>100</v>
      </c>
      <c r="EV76" s="611">
        <f t="shared" si="130"/>
        <v>135</v>
      </c>
      <c r="EW76" s="645">
        <f t="shared" si="131"/>
        <v>-1000000</v>
      </c>
      <c r="EX76" s="610">
        <f t="shared" si="117"/>
        <v>-37.872172172864119</v>
      </c>
      <c r="EY76" s="621">
        <f t="shared" si="118"/>
        <v>-27.299955302797805</v>
      </c>
      <c r="EZ76" s="612">
        <f t="shared" si="119"/>
        <v>-14.058406475254067</v>
      </c>
      <c r="FA76" s="646">
        <f t="shared" si="120"/>
        <v>15.045833333333333</v>
      </c>
      <c r="FB76" s="317"/>
      <c r="FC76" s="552"/>
      <c r="FD76" s="552"/>
      <c r="FE76" s="552"/>
      <c r="FF76" s="552"/>
      <c r="FG76" s="552"/>
      <c r="FH76" s="552"/>
      <c r="FI76" s="552"/>
      <c r="FJ76" s="552"/>
      <c r="FK76" s="552"/>
      <c r="FL76" s="552"/>
      <c r="FM76" s="552"/>
      <c r="FN76" s="552"/>
      <c r="FO76" s="552"/>
      <c r="FP76" s="552"/>
      <c r="FQ76" s="552"/>
      <c r="FR76" s="552"/>
      <c r="FS76" s="552"/>
      <c r="FT76" s="552"/>
    </row>
    <row r="77" spans="2:176" s="564" customFormat="1" ht="15" customHeight="1" x14ac:dyDescent="0.2">
      <c r="B77" s="647">
        <f t="shared" si="109"/>
        <v>36</v>
      </c>
      <c r="C77" s="652">
        <f>$F$14</f>
        <v>106</v>
      </c>
      <c r="D77" s="771">
        <f>$B$14</f>
        <v>1.9</v>
      </c>
      <c r="E77" s="772">
        <f t="shared" si="49"/>
        <v>2.9444444444444446</v>
      </c>
      <c r="F77" s="689"/>
      <c r="G77" s="747">
        <f t="shared" si="50"/>
        <v>1.9178260166683174</v>
      </c>
      <c r="H77" s="748">
        <f t="shared" si="60"/>
        <v>3.1776687025913378E-4</v>
      </c>
      <c r="I77" s="689"/>
      <c r="J77" s="773">
        <f t="shared" si="82"/>
        <v>40</v>
      </c>
      <c r="K77" s="774">
        <f t="shared" si="61"/>
        <v>45</v>
      </c>
      <c r="L77" s="747">
        <f t="shared" si="106"/>
        <v>2.0719864000000001</v>
      </c>
      <c r="M77" s="751">
        <f t="shared" si="106"/>
        <v>2.0687209375000002</v>
      </c>
      <c r="N77" s="751">
        <f t="shared" si="106"/>
        <v>2.0630814062500002</v>
      </c>
      <c r="O77" s="751">
        <f t="shared" si="106"/>
        <v>2.0574418749999999</v>
      </c>
      <c r="P77" s="751">
        <f t="shared" si="106"/>
        <v>2.0466100000000003</v>
      </c>
      <c r="Q77" s="751">
        <f t="shared" si="106"/>
        <v>2.0402897499999999</v>
      </c>
      <c r="R77" s="751">
        <f t="shared" si="106"/>
        <v>2.0162012499999999</v>
      </c>
      <c r="S77" s="751">
        <f t="shared" si="106"/>
        <v>2.0056595500000003</v>
      </c>
      <c r="T77" s="752">
        <f t="shared" si="106"/>
        <v>1.9905625</v>
      </c>
      <c r="U77" s="753">
        <f t="shared" si="106"/>
        <v>1.8927775</v>
      </c>
      <c r="W77" s="773">
        <f t="shared" si="63"/>
        <v>45</v>
      </c>
      <c r="X77" s="775">
        <f t="shared" si="107"/>
        <v>-6.4168056512394156E-2</v>
      </c>
      <c r="Y77" s="776">
        <f t="shared" si="107"/>
        <v>-6.4172620401283048E-2</v>
      </c>
      <c r="Z77" s="776">
        <f t="shared" si="107"/>
        <v>-6.4180502345727489E-2</v>
      </c>
      <c r="AA77" s="776">
        <f t="shared" si="107"/>
        <v>-6.4188384290171929E-2</v>
      </c>
      <c r="AB77" s="776">
        <f t="shared" si="107"/>
        <v>-6.420352317906082E-2</v>
      </c>
      <c r="AC77" s="776">
        <f t="shared" si="107"/>
        <v>-6.4212356512394153E-2</v>
      </c>
      <c r="AD77" s="776">
        <f t="shared" si="107"/>
        <v>-6.4246023179060821E-2</v>
      </c>
      <c r="AE77" s="776">
        <f t="shared" si="107"/>
        <v>-6.4260756512394157E-2</v>
      </c>
      <c r="AF77" s="777">
        <f t="shared" si="107"/>
        <v>-6.4281856512394153E-2</v>
      </c>
      <c r="AG77" s="778">
        <f t="shared" si="107"/>
        <v>-6.4418523179060813E-2</v>
      </c>
      <c r="AI77" s="773">
        <f t="shared" si="65"/>
        <v>45</v>
      </c>
      <c r="AJ77" s="747">
        <f t="shared" si="99"/>
        <v>2.0078183434876058</v>
      </c>
      <c r="AK77" s="751">
        <f t="shared" si="99"/>
        <v>2.0045483170987173</v>
      </c>
      <c r="AL77" s="751">
        <f t="shared" si="99"/>
        <v>1.9989009039042727</v>
      </c>
      <c r="AM77" s="751">
        <f t="shared" si="99"/>
        <v>1.993253490709828</v>
      </c>
      <c r="AN77" s="751">
        <f t="shared" si="99"/>
        <v>1.9824064768209395</v>
      </c>
      <c r="AO77" s="751">
        <f t="shared" si="97"/>
        <v>1.9760773934876057</v>
      </c>
      <c r="AP77" s="751">
        <f t="shared" si="97"/>
        <v>1.951955226820939</v>
      </c>
      <c r="AQ77" s="751">
        <f t="shared" si="97"/>
        <v>1.9413987934876062</v>
      </c>
      <c r="AR77" s="752">
        <f t="shared" si="97"/>
        <v>1.9262806434876059</v>
      </c>
      <c r="AS77" s="751">
        <f t="shared" si="97"/>
        <v>1.8283589768209392</v>
      </c>
      <c r="AT77" s="674">
        <f t="shared" si="66"/>
        <v>1.75</v>
      </c>
      <c r="AU77" s="712">
        <f t="shared" si="67"/>
        <v>1.8</v>
      </c>
      <c r="AV77" s="712">
        <f t="shared" si="68"/>
        <v>1.81</v>
      </c>
      <c r="AW77" s="712">
        <f t="shared" si="69"/>
        <v>1.83</v>
      </c>
      <c r="AX77" s="712">
        <f t="shared" si="70"/>
        <v>1.84</v>
      </c>
      <c r="AY77" s="712">
        <f t="shared" si="71"/>
        <v>1.86</v>
      </c>
      <c r="AZ77" s="712">
        <f t="shared" si="72"/>
        <v>1.88</v>
      </c>
      <c r="BA77" s="712">
        <f t="shared" si="73"/>
        <v>1.9</v>
      </c>
      <c r="BB77" s="712">
        <f t="shared" si="74"/>
        <v>1.92</v>
      </c>
      <c r="BC77" s="779">
        <f t="shared" si="75"/>
        <v>1000000</v>
      </c>
      <c r="BD77" s="780">
        <f t="shared" si="76"/>
        <v>-1000000</v>
      </c>
      <c r="BF77" s="781">
        <f t="shared" si="108"/>
        <v>2.00815372792017</v>
      </c>
      <c r="BG77" s="767">
        <f t="shared" si="108"/>
        <v>1.9822455071148088</v>
      </c>
      <c r="BH77" s="767">
        <f t="shared" si="108"/>
        <v>1.947017759698316</v>
      </c>
      <c r="BI77" s="767">
        <f t="shared" si="108"/>
        <v>1.7535026461008161</v>
      </c>
      <c r="BJ77" s="767">
        <f t="shared" si="108"/>
        <v>2.0392360743528597</v>
      </c>
      <c r="BK77" s="767">
        <f t="shared" si="108"/>
        <v>2.0220991774628509</v>
      </c>
      <c r="BL77" s="767">
        <f t="shared" si="108"/>
        <v>2.0068780695254058</v>
      </c>
      <c r="BM77" s="767">
        <f t="shared" si="108"/>
        <v>2.0048041117621525</v>
      </c>
      <c r="BN77" s="767">
        <f t="shared" si="108"/>
        <v>2.0029920420602463</v>
      </c>
      <c r="BO77" s="782">
        <f t="shared" si="108"/>
        <v>1.9992849531289847</v>
      </c>
      <c r="BP77" s="781">
        <f t="shared" si="100"/>
        <v>2.00815372792017</v>
      </c>
      <c r="BQ77" s="767">
        <f t="shared" si="100"/>
        <v>1.9822455071148088</v>
      </c>
      <c r="BR77" s="767">
        <f t="shared" si="100"/>
        <v>1.947017759698316</v>
      </c>
      <c r="BS77" s="767">
        <f t="shared" si="100"/>
        <v>1.7535026461008161</v>
      </c>
      <c r="BT77" s="767">
        <f t="shared" si="100"/>
        <v>-1000000</v>
      </c>
      <c r="BU77" s="767">
        <f t="shared" si="98"/>
        <v>-1000000</v>
      </c>
      <c r="BV77" s="767">
        <f t="shared" si="98"/>
        <v>-1000000</v>
      </c>
      <c r="BW77" s="767">
        <f t="shared" si="98"/>
        <v>-1000000</v>
      </c>
      <c r="BX77" s="767">
        <f t="shared" si="98"/>
        <v>-1000000</v>
      </c>
      <c r="BY77" s="767">
        <f t="shared" si="98"/>
        <v>-1000000</v>
      </c>
      <c r="BZ77" s="648">
        <f t="shared" si="56"/>
        <v>40</v>
      </c>
      <c r="CA77" s="767">
        <f t="shared" si="105"/>
        <v>2.00815372792017</v>
      </c>
      <c r="CB77" s="767">
        <f t="shared" si="105"/>
        <v>1.9822455071148088</v>
      </c>
      <c r="CC77" s="767">
        <f t="shared" si="105"/>
        <v>1.947017759698316</v>
      </c>
      <c r="CD77" s="767">
        <f t="shared" si="105"/>
        <v>1.7535026461008161</v>
      </c>
      <c r="CE77" s="767"/>
      <c r="CF77" s="767"/>
      <c r="CG77" s="767"/>
      <c r="CH77" s="767"/>
      <c r="CI77" s="767"/>
      <c r="CJ77" s="767"/>
      <c r="CK77" s="781">
        <f t="shared" si="58"/>
        <v>1.75</v>
      </c>
      <c r="CL77" s="783">
        <f t="shared" si="78"/>
        <v>1000000</v>
      </c>
      <c r="CM77" s="552"/>
      <c r="CN77" s="552"/>
      <c r="CO77" s="552"/>
      <c r="CP77" s="552"/>
      <c r="CQ77" s="552"/>
      <c r="CR77" s="552"/>
      <c r="CS77" s="552"/>
      <c r="CT77" s="552"/>
      <c r="CU77" s="552"/>
      <c r="CV77" s="552"/>
      <c r="CW77" s="552"/>
      <c r="CX77" s="552"/>
      <c r="CY77" s="552"/>
      <c r="CZ77" s="642">
        <f t="shared" si="133"/>
        <v>70</v>
      </c>
      <c r="DA77" s="609">
        <f t="shared" si="110"/>
        <v>78.75</v>
      </c>
      <c r="DB77" s="609">
        <f t="shared" si="121"/>
        <v>28</v>
      </c>
      <c r="DC77" s="610">
        <f t="shared" si="101"/>
        <v>134.79877384867163</v>
      </c>
      <c r="DD77" s="611">
        <f t="shared" si="101"/>
        <v>134.91551145302276</v>
      </c>
      <c r="DE77" s="612">
        <f t="shared" si="101"/>
        <v>134.99034879829938</v>
      </c>
      <c r="DF77" s="610">
        <f t="shared" si="102"/>
        <v>19.411764705882348</v>
      </c>
      <c r="DG77" s="611">
        <f t="shared" si="102"/>
        <v>22</v>
      </c>
      <c r="DH77" s="612">
        <f t="shared" si="102"/>
        <v>28.470588235294098</v>
      </c>
      <c r="DI77" s="610">
        <f t="shared" si="111"/>
        <v>154.21053855455398</v>
      </c>
      <c r="DJ77" s="611">
        <f t="shared" si="111"/>
        <v>156.91551145302276</v>
      </c>
      <c r="DK77" s="612">
        <f t="shared" si="111"/>
        <v>163.46093703359347</v>
      </c>
      <c r="DL77" s="613">
        <f t="shared" si="122"/>
        <v>154.21053855455398</v>
      </c>
      <c r="DM77" s="613">
        <f t="shared" si="122"/>
        <v>156.91551145302276</v>
      </c>
      <c r="DN77" s="613">
        <f t="shared" si="122"/>
        <v>163.46093703359347</v>
      </c>
      <c r="DO77" s="609">
        <f t="shared" si="112"/>
        <v>135</v>
      </c>
      <c r="DP77" s="609"/>
      <c r="DQ77" s="609">
        <f t="shared" si="123"/>
        <v>28</v>
      </c>
      <c r="DR77" s="610">
        <f t="shared" si="113"/>
        <v>4.6775023553782311E-2</v>
      </c>
      <c r="DS77" s="611">
        <f t="shared" si="113"/>
        <v>2.2257946669964064E-2</v>
      </c>
      <c r="DT77" s="612">
        <f t="shared" si="113"/>
        <v>3.2903523541540636E-3</v>
      </c>
      <c r="DU77" s="611">
        <f t="shared" si="132"/>
        <v>4.9018588068107952E-2</v>
      </c>
      <c r="DV77" s="611">
        <f t="shared" si="132"/>
        <v>2.3472990280381953E-2</v>
      </c>
      <c r="DW77" s="611">
        <f t="shared" si="132"/>
        <v>3.5252619695569178E-3</v>
      </c>
      <c r="DX77" s="614">
        <f t="shared" si="114"/>
        <v>12.5</v>
      </c>
      <c r="DY77" s="615"/>
      <c r="DZ77" s="609">
        <f t="shared" si="124"/>
        <v>28</v>
      </c>
      <c r="EA77" s="611">
        <f t="shared" si="103"/>
        <v>2.1178794117647062</v>
      </c>
      <c r="EB77" s="611">
        <f t="shared" si="103"/>
        <v>1000000</v>
      </c>
      <c r="EC77" s="611">
        <f t="shared" si="103"/>
        <v>1000000</v>
      </c>
      <c r="ED77" s="610">
        <f t="shared" si="104"/>
        <v>0.22002999999999975</v>
      </c>
      <c r="EE77" s="611">
        <f t="shared" si="104"/>
        <v>0.22005999999999976</v>
      </c>
      <c r="EF77" s="612">
        <f t="shared" si="104"/>
        <v>0.22012499999999974</v>
      </c>
      <c r="EG77" s="611">
        <f t="shared" si="115"/>
        <v>2.3379094117647061</v>
      </c>
      <c r="EH77" s="611">
        <f t="shared" si="115"/>
        <v>1000000.22006</v>
      </c>
      <c r="EI77" s="611">
        <f t="shared" si="115"/>
        <v>1000000.220125</v>
      </c>
      <c r="EJ77" s="610">
        <f t="shared" si="125"/>
        <v>2.2999999999999998</v>
      </c>
      <c r="EK77" s="643">
        <f t="shared" si="126"/>
        <v>2.25</v>
      </c>
      <c r="EL77" s="644">
        <f t="shared" si="127"/>
        <v>2.83</v>
      </c>
      <c r="EN77" s="620">
        <f t="shared" si="128"/>
        <v>15.263888888888891</v>
      </c>
      <c r="EO77" s="621">
        <f t="shared" si="40"/>
        <v>80.325322122675345</v>
      </c>
      <c r="EP77" s="621">
        <f t="shared" si="40"/>
        <v>93.985303906832414</v>
      </c>
      <c r="EQ77" s="621">
        <f t="shared" si="40"/>
        <v>105.16595859070236</v>
      </c>
      <c r="ER77" s="610">
        <f t="shared" si="116"/>
        <v>42.452596155911863</v>
      </c>
      <c r="ES77" s="611">
        <f t="shared" si="116"/>
        <v>66.592082815884226</v>
      </c>
      <c r="ET77" s="612">
        <f t="shared" si="116"/>
        <v>90.840193411036239</v>
      </c>
      <c r="EU77" s="610">
        <f t="shared" si="129"/>
        <v>100</v>
      </c>
      <c r="EV77" s="611">
        <f t="shared" si="130"/>
        <v>135</v>
      </c>
      <c r="EW77" s="645">
        <f t="shared" si="131"/>
        <v>-1000000</v>
      </c>
      <c r="EX77" s="610">
        <f t="shared" si="117"/>
        <v>-37.872725966763483</v>
      </c>
      <c r="EY77" s="621">
        <f t="shared" si="118"/>
        <v>-27.393221090948181</v>
      </c>
      <c r="EZ77" s="612">
        <f t="shared" si="119"/>
        <v>-14.325765179666128</v>
      </c>
      <c r="FA77" s="646">
        <f t="shared" si="120"/>
        <v>15.263888888888891</v>
      </c>
      <c r="FB77" s="317"/>
      <c r="FC77" s="552"/>
      <c r="FD77" s="552"/>
      <c r="FE77" s="552"/>
      <c r="FF77" s="552"/>
      <c r="FG77" s="552"/>
      <c r="FH77" s="552"/>
      <c r="FI77" s="552"/>
      <c r="FJ77" s="552"/>
      <c r="FK77" s="552"/>
      <c r="FL77" s="552"/>
      <c r="FM77" s="552"/>
      <c r="FN77" s="552"/>
      <c r="FO77" s="552"/>
      <c r="FP77" s="552"/>
      <c r="FQ77" s="552"/>
      <c r="FR77" s="552"/>
      <c r="FS77" s="552"/>
      <c r="FT77" s="552"/>
    </row>
    <row r="78" spans="2:176" s="564" customFormat="1" ht="15" customHeight="1" x14ac:dyDescent="0.2">
      <c r="B78" s="647">
        <f t="shared" si="109"/>
        <v>36</v>
      </c>
      <c r="C78" s="652">
        <f>$F$15</f>
        <v>100.5</v>
      </c>
      <c r="D78" s="771">
        <f>$B$15</f>
        <v>1.92</v>
      </c>
      <c r="E78" s="772">
        <f t="shared" si="49"/>
        <v>2.7916666666666665</v>
      </c>
      <c r="F78" s="689"/>
      <c r="G78" s="747">
        <f t="shared" si="50"/>
        <v>1.931719676005367</v>
      </c>
      <c r="H78" s="748">
        <f t="shared" si="60"/>
        <v>1.3735080567077622E-4</v>
      </c>
      <c r="I78" s="689"/>
      <c r="J78" s="773">
        <f t="shared" si="82"/>
        <v>41</v>
      </c>
      <c r="K78" s="774">
        <f t="shared" si="61"/>
        <v>46.125</v>
      </c>
      <c r="L78" s="747">
        <f t="shared" si="106"/>
        <v>2.0718849620253166</v>
      </c>
      <c r="M78" s="751">
        <f t="shared" si="106"/>
        <v>2.0685781645569623</v>
      </c>
      <c r="N78" s="751">
        <f t="shared" si="106"/>
        <v>2.062867246835443</v>
      </c>
      <c r="O78" s="751">
        <f t="shared" si="106"/>
        <v>2.0571563291139241</v>
      </c>
      <c r="P78" s="751">
        <f t="shared" si="106"/>
        <v>2.0461873417721521</v>
      </c>
      <c r="Q78" s="751">
        <f t="shared" si="106"/>
        <v>2.0397870886075951</v>
      </c>
      <c r="R78" s="751">
        <f t="shared" si="106"/>
        <v>2.015393670886076</v>
      </c>
      <c r="S78" s="751">
        <f t="shared" si="106"/>
        <v>2.0047185316455698</v>
      </c>
      <c r="T78" s="752">
        <f t="shared" si="106"/>
        <v>1.9894303797468356</v>
      </c>
      <c r="U78" s="753">
        <f t="shared" si="106"/>
        <v>1.890407594936709</v>
      </c>
      <c r="W78" s="773">
        <f t="shared" si="63"/>
        <v>46.125</v>
      </c>
      <c r="X78" s="775">
        <f t="shared" si="107"/>
        <v>-6.5901830261051453E-2</v>
      </c>
      <c r="Y78" s="776">
        <f t="shared" si="107"/>
        <v>-6.5906394149940345E-2</v>
      </c>
      <c r="Z78" s="776">
        <f t="shared" si="107"/>
        <v>-6.5914276094384786E-2</v>
      </c>
      <c r="AA78" s="776">
        <f t="shared" si="107"/>
        <v>-6.5922158038829226E-2</v>
      </c>
      <c r="AB78" s="776">
        <f t="shared" si="107"/>
        <v>-6.5937296927718117E-2</v>
      </c>
      <c r="AC78" s="776">
        <f t="shared" si="107"/>
        <v>-6.594613026105145E-2</v>
      </c>
      <c r="AD78" s="776">
        <f t="shared" si="107"/>
        <v>-6.5979796927718118E-2</v>
      </c>
      <c r="AE78" s="776">
        <f t="shared" si="107"/>
        <v>-6.5994530261051454E-2</v>
      </c>
      <c r="AF78" s="777">
        <f t="shared" si="107"/>
        <v>-6.601563026105145E-2</v>
      </c>
      <c r="AG78" s="778">
        <f t="shared" si="107"/>
        <v>-6.615229692771811E-2</v>
      </c>
      <c r="AI78" s="773">
        <f t="shared" si="65"/>
        <v>46.125</v>
      </c>
      <c r="AJ78" s="747">
        <f t="shared" si="99"/>
        <v>2.0059831317642649</v>
      </c>
      <c r="AK78" s="751">
        <f t="shared" si="99"/>
        <v>2.002671770407022</v>
      </c>
      <c r="AL78" s="751">
        <f t="shared" si="99"/>
        <v>1.9969529707410583</v>
      </c>
      <c r="AM78" s="751">
        <f t="shared" si="99"/>
        <v>1.9912341710750949</v>
      </c>
      <c r="AN78" s="751">
        <f t="shared" si="99"/>
        <v>1.980250044844434</v>
      </c>
      <c r="AO78" s="751">
        <f t="shared" si="97"/>
        <v>1.9738409583465435</v>
      </c>
      <c r="AP78" s="751">
        <f t="shared" si="97"/>
        <v>1.949413873958358</v>
      </c>
      <c r="AQ78" s="751">
        <f t="shared" si="97"/>
        <v>1.9387240013845184</v>
      </c>
      <c r="AR78" s="752">
        <f t="shared" si="97"/>
        <v>1.9234147494857841</v>
      </c>
      <c r="AS78" s="751">
        <f t="shared" si="97"/>
        <v>1.8242552980089908</v>
      </c>
      <c r="AT78" s="674">
        <f t="shared" si="66"/>
        <v>1.75</v>
      </c>
      <c r="AU78" s="712">
        <f t="shared" si="67"/>
        <v>1.8</v>
      </c>
      <c r="AV78" s="712">
        <f t="shared" si="68"/>
        <v>1.81</v>
      </c>
      <c r="AW78" s="712">
        <f t="shared" si="69"/>
        <v>1.83</v>
      </c>
      <c r="AX78" s="712">
        <f t="shared" si="70"/>
        <v>1.84</v>
      </c>
      <c r="AY78" s="712">
        <f t="shared" si="71"/>
        <v>1.86</v>
      </c>
      <c r="AZ78" s="712">
        <f t="shared" si="72"/>
        <v>1.88</v>
      </c>
      <c r="BA78" s="712">
        <f t="shared" si="73"/>
        <v>1.9</v>
      </c>
      <c r="BB78" s="712">
        <f t="shared" si="74"/>
        <v>1.92</v>
      </c>
      <c r="BC78" s="779">
        <f t="shared" si="75"/>
        <v>1000000</v>
      </c>
      <c r="BD78" s="780">
        <f t="shared" si="76"/>
        <v>-1000000</v>
      </c>
      <c r="BF78" s="781">
        <f t="shared" si="108"/>
        <v>2.0063111691651554</v>
      </c>
      <c r="BG78" s="767">
        <f t="shared" si="108"/>
        <v>1.9808709837005296</v>
      </c>
      <c r="BH78" s="767">
        <f t="shared" si="108"/>
        <v>1.9443045001059904</v>
      </c>
      <c r="BI78" s="767">
        <f t="shared" si="108"/>
        <v>1.6278487214534443</v>
      </c>
      <c r="BJ78" s="767">
        <f t="shared" si="108"/>
        <v>2.0344072004743987</v>
      </c>
      <c r="BK78" s="767">
        <f t="shared" si="108"/>
        <v>2.0196332491287423</v>
      </c>
      <c r="BL78" s="767">
        <f t="shared" si="108"/>
        <v>2.0058763815880458</v>
      </c>
      <c r="BM78" s="767">
        <f t="shared" si="108"/>
        <v>2.0039527427592319</v>
      </c>
      <c r="BN78" s="767">
        <f t="shared" si="108"/>
        <v>2.0022618075348717</v>
      </c>
      <c r="BO78" s="782">
        <f t="shared" si="108"/>
        <v>1.9987692649089281</v>
      </c>
      <c r="BP78" s="781">
        <f t="shared" si="100"/>
        <v>2.0063111691651554</v>
      </c>
      <c r="BQ78" s="767">
        <f t="shared" si="100"/>
        <v>1.9808709837005296</v>
      </c>
      <c r="BR78" s="767">
        <f t="shared" si="100"/>
        <v>1.9443045001059904</v>
      </c>
      <c r="BS78" s="767">
        <f t="shared" si="100"/>
        <v>1.6278487214534443</v>
      </c>
      <c r="BT78" s="767">
        <f t="shared" si="100"/>
        <v>-1000000</v>
      </c>
      <c r="BU78" s="767">
        <f t="shared" si="98"/>
        <v>-1000000</v>
      </c>
      <c r="BV78" s="767">
        <f t="shared" si="98"/>
        <v>-1000000</v>
      </c>
      <c r="BW78" s="767">
        <f t="shared" si="98"/>
        <v>-1000000</v>
      </c>
      <c r="BX78" s="767">
        <f t="shared" si="98"/>
        <v>-1000000</v>
      </c>
      <c r="BY78" s="767">
        <f t="shared" si="98"/>
        <v>-1000000</v>
      </c>
      <c r="BZ78" s="648">
        <f t="shared" si="56"/>
        <v>41</v>
      </c>
      <c r="CA78" s="767">
        <f t="shared" si="105"/>
        <v>2.0063111691651554</v>
      </c>
      <c r="CB78" s="767">
        <f t="shared" si="105"/>
        <v>1.9808709837005296</v>
      </c>
      <c r="CC78" s="767">
        <f t="shared" si="105"/>
        <v>1.9443045001059904</v>
      </c>
      <c r="CD78" s="767">
        <f t="shared" si="105"/>
        <v>1.6278487214534443</v>
      </c>
      <c r="CE78" s="767"/>
      <c r="CF78" s="767"/>
      <c r="CG78" s="767"/>
      <c r="CH78" s="767"/>
      <c r="CI78" s="767"/>
      <c r="CJ78" s="767"/>
      <c r="CK78" s="781">
        <f t="shared" si="58"/>
        <v>1.75</v>
      </c>
      <c r="CL78" s="783">
        <f t="shared" si="78"/>
        <v>1000000</v>
      </c>
      <c r="CM78" s="552"/>
      <c r="CN78" s="552"/>
      <c r="CO78" s="552"/>
      <c r="CP78" s="552"/>
      <c r="CQ78" s="552"/>
      <c r="CR78" s="552"/>
      <c r="CS78" s="552"/>
      <c r="CT78" s="552"/>
      <c r="CU78" s="552"/>
      <c r="CV78" s="552"/>
      <c r="CW78" s="552"/>
      <c r="CX78" s="552"/>
      <c r="CY78" s="552"/>
      <c r="CZ78" s="642">
        <f t="shared" si="133"/>
        <v>71</v>
      </c>
      <c r="DA78" s="609">
        <f t="shared" si="110"/>
        <v>79.875</v>
      </c>
      <c r="DB78" s="609">
        <f t="shared" si="121"/>
        <v>28.4</v>
      </c>
      <c r="DC78" s="610">
        <f t="shared" si="101"/>
        <v>134.81664037336895</v>
      </c>
      <c r="DD78" s="611">
        <f t="shared" si="101"/>
        <v>134.92396158732188</v>
      </c>
      <c r="DE78" s="612">
        <f t="shared" si="101"/>
        <v>134.99157914172585</v>
      </c>
      <c r="DF78" s="610">
        <f t="shared" si="102"/>
        <v>19.411764705882348</v>
      </c>
      <c r="DG78" s="611">
        <f t="shared" si="102"/>
        <v>22</v>
      </c>
      <c r="DH78" s="612">
        <f t="shared" si="102"/>
        <v>28.470588235294098</v>
      </c>
      <c r="DI78" s="610">
        <f t="shared" si="111"/>
        <v>154.2284050792513</v>
      </c>
      <c r="DJ78" s="611">
        <f t="shared" si="111"/>
        <v>156.92396158732188</v>
      </c>
      <c r="DK78" s="612">
        <f t="shared" si="111"/>
        <v>163.46216737701994</v>
      </c>
      <c r="DL78" s="613">
        <f t="shared" si="122"/>
        <v>154.2284050792513</v>
      </c>
      <c r="DM78" s="613">
        <f t="shared" si="122"/>
        <v>156.92396158732188</v>
      </c>
      <c r="DN78" s="613">
        <f t="shared" si="122"/>
        <v>163.46216737701994</v>
      </c>
      <c r="DO78" s="609">
        <f t="shared" si="112"/>
        <v>135</v>
      </c>
      <c r="DP78" s="609"/>
      <c r="DQ78" s="609">
        <f t="shared" si="123"/>
        <v>28.4</v>
      </c>
      <c r="DR78" s="610">
        <f t="shared" si="113"/>
        <v>4.2621949472579468E-2</v>
      </c>
      <c r="DS78" s="611">
        <f t="shared" si="113"/>
        <v>2.0031814900478496E-2</v>
      </c>
      <c r="DT78" s="612">
        <f t="shared" si="113"/>
        <v>2.8708954289652197E-3</v>
      </c>
      <c r="DU78" s="611">
        <f t="shared" si="132"/>
        <v>4.4666311743313418E-2</v>
      </c>
      <c r="DV78" s="611">
        <f t="shared" si="132"/>
        <v>2.1125335747811468E-2</v>
      </c>
      <c r="DW78" s="611">
        <f t="shared" si="132"/>
        <v>3.0758585661772139E-3</v>
      </c>
      <c r="DX78" s="614">
        <f t="shared" si="114"/>
        <v>12.5</v>
      </c>
      <c r="DY78" s="615"/>
      <c r="DZ78" s="609">
        <f t="shared" si="124"/>
        <v>28.4</v>
      </c>
      <c r="EA78" s="611">
        <f t="shared" si="103"/>
        <v>2.1187921686746987</v>
      </c>
      <c r="EB78" s="611">
        <f t="shared" si="103"/>
        <v>1000000</v>
      </c>
      <c r="EC78" s="611">
        <f t="shared" si="103"/>
        <v>1000000</v>
      </c>
      <c r="ED78" s="610">
        <f t="shared" si="104"/>
        <v>0.22002999999999975</v>
      </c>
      <c r="EE78" s="611">
        <f t="shared" si="104"/>
        <v>0.22005999999999976</v>
      </c>
      <c r="EF78" s="612">
        <f t="shared" si="104"/>
        <v>0.22012499999999974</v>
      </c>
      <c r="EG78" s="611">
        <f t="shared" si="115"/>
        <v>2.3388221686746986</v>
      </c>
      <c r="EH78" s="611">
        <f t="shared" si="115"/>
        <v>1000000.22006</v>
      </c>
      <c r="EI78" s="611">
        <f t="shared" si="115"/>
        <v>1000000.220125</v>
      </c>
      <c r="EJ78" s="610">
        <f t="shared" si="125"/>
        <v>2.2999999999999998</v>
      </c>
      <c r="EK78" s="643">
        <f t="shared" si="126"/>
        <v>2.25</v>
      </c>
      <c r="EL78" s="644">
        <f t="shared" si="127"/>
        <v>2.83</v>
      </c>
      <c r="EN78" s="620">
        <f t="shared" si="128"/>
        <v>15.481944444444446</v>
      </c>
      <c r="EO78" s="621">
        <f t="shared" si="40"/>
        <v>79.544926520376379</v>
      </c>
      <c r="EP78" s="621">
        <f t="shared" si="40"/>
        <v>93.399757401865827</v>
      </c>
      <c r="EQ78" s="621">
        <f t="shared" si="40"/>
        <v>104.73995785731334</v>
      </c>
      <c r="ER78" s="610">
        <f t="shared" si="116"/>
        <v>41.671718301707159</v>
      </c>
      <c r="ES78" s="611">
        <f t="shared" si="116"/>
        <v>65.917528229892994</v>
      </c>
      <c r="ET78" s="612">
        <f t="shared" si="116"/>
        <v>90.151457453036258</v>
      </c>
      <c r="EU78" s="610">
        <f t="shared" si="129"/>
        <v>100</v>
      </c>
      <c r="EV78" s="611">
        <f t="shared" si="130"/>
        <v>135</v>
      </c>
      <c r="EW78" s="645">
        <f t="shared" si="131"/>
        <v>-1000000</v>
      </c>
      <c r="EX78" s="610">
        <f t="shared" si="117"/>
        <v>-37.87320821866922</v>
      </c>
      <c r="EY78" s="621">
        <f t="shared" si="118"/>
        <v>-27.482229171972833</v>
      </c>
      <c r="EZ78" s="612">
        <f t="shared" si="119"/>
        <v>-14.588500404277084</v>
      </c>
      <c r="FA78" s="646">
        <f t="shared" si="120"/>
        <v>15.481944444444446</v>
      </c>
      <c r="FB78" s="317"/>
      <c r="FC78" s="552"/>
      <c r="FD78" s="552"/>
      <c r="FE78" s="552"/>
      <c r="FF78" s="552"/>
      <c r="FG78" s="552"/>
      <c r="FH78" s="552"/>
      <c r="FI78" s="552"/>
      <c r="FJ78" s="552"/>
      <c r="FK78" s="552"/>
      <c r="FL78" s="552"/>
      <c r="FM78" s="552"/>
      <c r="FN78" s="552"/>
      <c r="FO78" s="552"/>
      <c r="FP78" s="552"/>
      <c r="FQ78" s="552"/>
      <c r="FR78" s="552"/>
      <c r="FS78" s="552"/>
      <c r="FT78" s="552"/>
    </row>
    <row r="79" spans="2:176" s="564" customFormat="1" ht="15" customHeight="1" x14ac:dyDescent="0.2">
      <c r="B79" s="682">
        <f t="shared" si="109"/>
        <v>36</v>
      </c>
      <c r="C79" s="704">
        <f>$F$16</f>
        <v>94</v>
      </c>
      <c r="D79" s="807">
        <f>$B$16</f>
        <v>1.94</v>
      </c>
      <c r="E79" s="790">
        <f t="shared" si="49"/>
        <v>2.6111111111111112</v>
      </c>
      <c r="F79" s="689"/>
      <c r="G79" s="747">
        <f t="shared" si="50"/>
        <v>1.9437774471290945</v>
      </c>
      <c r="H79" s="748">
        <f t="shared" si="60"/>
        <v>1.4269106813104716E-5</v>
      </c>
      <c r="I79" s="689"/>
      <c r="J79" s="773">
        <f t="shared" si="82"/>
        <v>42</v>
      </c>
      <c r="K79" s="774">
        <f t="shared" si="61"/>
        <v>47.25</v>
      </c>
      <c r="L79" s="747">
        <f t="shared" si="106"/>
        <v>2.0717809230769233</v>
      </c>
      <c r="M79" s="751">
        <f t="shared" si="106"/>
        <v>2.0684317307692308</v>
      </c>
      <c r="N79" s="751">
        <f t="shared" si="106"/>
        <v>2.0626475961538464</v>
      </c>
      <c r="O79" s="751">
        <f t="shared" si="106"/>
        <v>2.0568634615384616</v>
      </c>
      <c r="P79" s="751">
        <f t="shared" si="106"/>
        <v>2.045753846153846</v>
      </c>
      <c r="Q79" s="751">
        <f t="shared" si="106"/>
        <v>2.0392715384615387</v>
      </c>
      <c r="R79" s="751">
        <f t="shared" si="106"/>
        <v>2.0145653846153846</v>
      </c>
      <c r="S79" s="751">
        <f t="shared" si="106"/>
        <v>2.0037533846153845</v>
      </c>
      <c r="T79" s="752">
        <f t="shared" si="106"/>
        <v>1.9882692307692309</v>
      </c>
      <c r="U79" s="753">
        <f t="shared" si="106"/>
        <v>1.8879769230769232</v>
      </c>
      <c r="W79" s="773">
        <f t="shared" si="63"/>
        <v>47.25</v>
      </c>
      <c r="X79" s="775">
        <f t="shared" si="107"/>
        <v>-6.7549173820854486E-2</v>
      </c>
      <c r="Y79" s="776">
        <f t="shared" si="107"/>
        <v>-6.7553737709743378E-2</v>
      </c>
      <c r="Z79" s="776">
        <f t="shared" si="107"/>
        <v>-6.7561619654187818E-2</v>
      </c>
      <c r="AA79" s="776">
        <f t="shared" si="107"/>
        <v>-6.7569501598632259E-2</v>
      </c>
      <c r="AB79" s="776">
        <f t="shared" si="107"/>
        <v>-6.758464048752115E-2</v>
      </c>
      <c r="AC79" s="776">
        <f t="shared" si="107"/>
        <v>-6.7593473820854483E-2</v>
      </c>
      <c r="AD79" s="776">
        <f t="shared" si="107"/>
        <v>-6.7627140487521151E-2</v>
      </c>
      <c r="AE79" s="776">
        <f t="shared" si="107"/>
        <v>-6.7641873820854487E-2</v>
      </c>
      <c r="AF79" s="777">
        <f t="shared" si="107"/>
        <v>-6.7662973820854483E-2</v>
      </c>
      <c r="AG79" s="778">
        <f t="shared" si="107"/>
        <v>-6.7799640487521143E-2</v>
      </c>
      <c r="AI79" s="773">
        <f t="shared" si="65"/>
        <v>47.25</v>
      </c>
      <c r="AJ79" s="747">
        <f t="shared" si="99"/>
        <v>2.0042317492560686</v>
      </c>
      <c r="AK79" s="751">
        <f t="shared" si="99"/>
        <v>2.0008779930594875</v>
      </c>
      <c r="AL79" s="751">
        <f t="shared" si="99"/>
        <v>1.9950859764996587</v>
      </c>
      <c r="AM79" s="751">
        <f t="shared" si="99"/>
        <v>1.9892939599398294</v>
      </c>
      <c r="AN79" s="751">
        <f t="shared" si="99"/>
        <v>1.9781692056663249</v>
      </c>
      <c r="AO79" s="751">
        <f t="shared" si="97"/>
        <v>1.9716780646406842</v>
      </c>
      <c r="AP79" s="751">
        <f t="shared" si="97"/>
        <v>1.9469382441278635</v>
      </c>
      <c r="AQ79" s="751">
        <f t="shared" si="97"/>
        <v>1.9361115107945301</v>
      </c>
      <c r="AR79" s="752">
        <f t="shared" si="97"/>
        <v>1.9206062569483764</v>
      </c>
      <c r="AS79" s="751">
        <f t="shared" si="97"/>
        <v>1.820177282589402</v>
      </c>
      <c r="AT79" s="674">
        <f t="shared" si="66"/>
        <v>1.75</v>
      </c>
      <c r="AU79" s="712">
        <f t="shared" si="67"/>
        <v>1.8</v>
      </c>
      <c r="AV79" s="712">
        <f t="shared" si="68"/>
        <v>1.81</v>
      </c>
      <c r="AW79" s="712">
        <f t="shared" si="69"/>
        <v>1.83</v>
      </c>
      <c r="AX79" s="712">
        <f t="shared" si="70"/>
        <v>1.84</v>
      </c>
      <c r="AY79" s="712">
        <f t="shared" si="71"/>
        <v>1.86</v>
      </c>
      <c r="AZ79" s="712">
        <f t="shared" si="72"/>
        <v>1.88</v>
      </c>
      <c r="BA79" s="712">
        <f t="shared" si="73"/>
        <v>1.9</v>
      </c>
      <c r="BB79" s="712">
        <f t="shared" si="74"/>
        <v>1.92</v>
      </c>
      <c r="BC79" s="779">
        <f t="shared" si="75"/>
        <v>1000000</v>
      </c>
      <c r="BD79" s="780">
        <f t="shared" si="76"/>
        <v>-1000000</v>
      </c>
      <c r="BF79" s="781">
        <f t="shared" si="108"/>
        <v>2.0045525156875486</v>
      </c>
      <c r="BG79" s="767">
        <f t="shared" si="108"/>
        <v>1.9795551616431861</v>
      </c>
      <c r="BH79" s="767">
        <f t="shared" si="108"/>
        <v>1.9413189294919331</v>
      </c>
      <c r="BI79" s="767">
        <f t="shared" si="108"/>
        <v>1.1957905834272271</v>
      </c>
      <c r="BJ79" s="767">
        <f t="shared" si="108"/>
        <v>2.0303175755470875</v>
      </c>
      <c r="BK79" s="767">
        <f t="shared" si="108"/>
        <v>2.0174466131911264</v>
      </c>
      <c r="BL79" s="767">
        <f t="shared" si="108"/>
        <v>2.0049492821284778</v>
      </c>
      <c r="BM79" s="767">
        <f t="shared" si="108"/>
        <v>2.0031600754169929</v>
      </c>
      <c r="BN79" s="767">
        <f t="shared" si="108"/>
        <v>2.0015783829207736</v>
      </c>
      <c r="BO79" s="782">
        <f t="shared" si="108"/>
        <v>1.9982815722111911</v>
      </c>
      <c r="BP79" s="781">
        <f t="shared" si="100"/>
        <v>2.0045525156875486</v>
      </c>
      <c r="BQ79" s="767">
        <f t="shared" si="100"/>
        <v>1.9795551616431861</v>
      </c>
      <c r="BR79" s="767">
        <f t="shared" si="100"/>
        <v>1.9413189294919331</v>
      </c>
      <c r="BS79" s="767">
        <f t="shared" si="100"/>
        <v>1.1957905834272271</v>
      </c>
      <c r="BT79" s="767">
        <f t="shared" si="100"/>
        <v>-1000000</v>
      </c>
      <c r="BU79" s="767">
        <f t="shared" si="98"/>
        <v>-1000000</v>
      </c>
      <c r="BV79" s="767">
        <f t="shared" si="98"/>
        <v>-1000000</v>
      </c>
      <c r="BW79" s="767">
        <f t="shared" si="98"/>
        <v>-1000000</v>
      </c>
      <c r="BX79" s="767">
        <f t="shared" si="98"/>
        <v>-1000000</v>
      </c>
      <c r="BY79" s="767">
        <f t="shared" si="98"/>
        <v>-1000000</v>
      </c>
      <c r="BZ79" s="648">
        <f t="shared" si="56"/>
        <v>42</v>
      </c>
      <c r="CA79" s="767">
        <f t="shared" si="105"/>
        <v>2.0045525156875486</v>
      </c>
      <c r="CB79" s="767">
        <f t="shared" si="105"/>
        <v>1.9795551616431861</v>
      </c>
      <c r="CC79" s="767">
        <f t="shared" si="105"/>
        <v>1.9413189294919331</v>
      </c>
      <c r="CD79" s="767"/>
      <c r="CE79" s="767"/>
      <c r="CF79" s="767"/>
      <c r="CG79" s="767"/>
      <c r="CH79" s="767"/>
      <c r="CI79" s="767"/>
      <c r="CJ79" s="767"/>
      <c r="CK79" s="781">
        <f t="shared" si="58"/>
        <v>1.75</v>
      </c>
      <c r="CL79" s="783">
        <f t="shared" si="78"/>
        <v>1000000</v>
      </c>
      <c r="CM79" s="552"/>
      <c r="CN79" s="552"/>
      <c r="CO79" s="552"/>
      <c r="CP79" s="552"/>
      <c r="CQ79" s="552"/>
      <c r="CR79" s="552"/>
      <c r="CS79" s="552"/>
      <c r="CT79" s="552"/>
      <c r="CU79" s="552"/>
      <c r="CV79" s="552"/>
      <c r="CW79" s="552"/>
      <c r="CX79" s="552"/>
      <c r="CY79" s="552"/>
      <c r="CZ79" s="642">
        <f t="shared" si="133"/>
        <v>72</v>
      </c>
      <c r="DA79" s="609">
        <f t="shared" si="110"/>
        <v>81</v>
      </c>
      <c r="DB79" s="609">
        <f t="shared" si="121"/>
        <v>28.799999999999997</v>
      </c>
      <c r="DC79" s="610">
        <f t="shared" si="101"/>
        <v>134.83292055999516</v>
      </c>
      <c r="DD79" s="611">
        <f t="shared" si="101"/>
        <v>134.93156658021155</v>
      </c>
      <c r="DE79" s="612">
        <f t="shared" si="101"/>
        <v>134.99265263992268</v>
      </c>
      <c r="DF79" s="610">
        <f t="shared" si="102"/>
        <v>19.411764705882348</v>
      </c>
      <c r="DG79" s="611">
        <f t="shared" si="102"/>
        <v>22</v>
      </c>
      <c r="DH79" s="612">
        <f t="shared" si="102"/>
        <v>28.470588235294098</v>
      </c>
      <c r="DI79" s="610">
        <f t="shared" si="111"/>
        <v>154.24468526587751</v>
      </c>
      <c r="DJ79" s="611">
        <f t="shared" si="111"/>
        <v>156.93156658021155</v>
      </c>
      <c r="DK79" s="612">
        <f t="shared" si="111"/>
        <v>163.46324087521677</v>
      </c>
      <c r="DL79" s="613">
        <f t="shared" si="122"/>
        <v>154.24468526587751</v>
      </c>
      <c r="DM79" s="613">
        <f t="shared" si="122"/>
        <v>156.93156658021155</v>
      </c>
      <c r="DN79" s="613">
        <f t="shared" si="122"/>
        <v>163.46324087521677</v>
      </c>
      <c r="DO79" s="609">
        <f t="shared" si="112"/>
        <v>135</v>
      </c>
      <c r="DP79" s="609"/>
      <c r="DQ79" s="609">
        <f t="shared" si="123"/>
        <v>28.799999999999997</v>
      </c>
      <c r="DR79" s="610">
        <f t="shared" si="113"/>
        <v>3.8837619712886684E-2</v>
      </c>
      <c r="DS79" s="611">
        <f t="shared" si="113"/>
        <v>1.8028330023295909E-2</v>
      </c>
      <c r="DT79" s="612">
        <f t="shared" si="113"/>
        <v>2.5049112304485707E-3</v>
      </c>
      <c r="DU79" s="611">
        <f t="shared" si="132"/>
        <v>4.0700466565510997E-2</v>
      </c>
      <c r="DV79" s="611">
        <f t="shared" si="132"/>
        <v>1.9012482224170024E-2</v>
      </c>
      <c r="DW79" s="611">
        <f t="shared" si="132"/>
        <v>2.6837454920780697E-3</v>
      </c>
      <c r="DX79" s="614">
        <f t="shared" si="114"/>
        <v>12.5</v>
      </c>
      <c r="DY79" s="615"/>
      <c r="DZ79" s="609">
        <f t="shared" si="124"/>
        <v>28.799999999999997</v>
      </c>
      <c r="EA79" s="611">
        <f t="shared" si="103"/>
        <v>2.1197500000000002</v>
      </c>
      <c r="EB79" s="611">
        <f t="shared" si="103"/>
        <v>1000000</v>
      </c>
      <c r="EC79" s="611">
        <f t="shared" si="103"/>
        <v>1000000</v>
      </c>
      <c r="ED79" s="610">
        <f t="shared" si="104"/>
        <v>0.22002999999999975</v>
      </c>
      <c r="EE79" s="611">
        <f t="shared" si="104"/>
        <v>0.22005999999999976</v>
      </c>
      <c r="EF79" s="612">
        <f t="shared" si="104"/>
        <v>0.22012499999999974</v>
      </c>
      <c r="EG79" s="611">
        <f t="shared" si="115"/>
        <v>2.3397800000000002</v>
      </c>
      <c r="EH79" s="611">
        <f t="shared" si="115"/>
        <v>1000000.22006</v>
      </c>
      <c r="EI79" s="611">
        <f t="shared" si="115"/>
        <v>1000000.220125</v>
      </c>
      <c r="EJ79" s="610">
        <f t="shared" si="125"/>
        <v>2.2999999999999998</v>
      </c>
      <c r="EK79" s="643">
        <f t="shared" si="126"/>
        <v>2.25</v>
      </c>
      <c r="EL79" s="644">
        <f t="shared" si="127"/>
        <v>2.83</v>
      </c>
      <c r="EN79" s="620">
        <f t="shared" si="128"/>
        <v>15.7</v>
      </c>
      <c r="EO79" s="621">
        <f t="shared" si="40"/>
        <v>78.764549809333033</v>
      </c>
      <c r="EP79" s="621">
        <f t="shared" si="40"/>
        <v>92.814221530082406</v>
      </c>
      <c r="EQ79" s="621">
        <f t="shared" si="40"/>
        <v>104.31396275105479</v>
      </c>
      <c r="ER79" s="610">
        <f t="shared" si="116"/>
        <v>40.890921638582618</v>
      </c>
      <c r="ES79" s="611">
        <f t="shared" si="116"/>
        <v>65.2470476142243</v>
      </c>
      <c r="ET79" s="612">
        <f t="shared" si="116"/>
        <v>89.467270647340939</v>
      </c>
      <c r="EU79" s="610">
        <f t="shared" si="129"/>
        <v>100</v>
      </c>
      <c r="EV79" s="611">
        <f t="shared" si="130"/>
        <v>135</v>
      </c>
      <c r="EW79" s="645">
        <f t="shared" si="131"/>
        <v>-1000000</v>
      </c>
      <c r="EX79" s="610">
        <f t="shared" si="117"/>
        <v>-37.873628170750415</v>
      </c>
      <c r="EY79" s="621">
        <f t="shared" si="118"/>
        <v>-27.567173915858099</v>
      </c>
      <c r="EZ79" s="612">
        <f t="shared" si="119"/>
        <v>-14.846692103713856</v>
      </c>
      <c r="FA79" s="646">
        <f t="shared" si="120"/>
        <v>15.7</v>
      </c>
      <c r="FB79" s="317"/>
      <c r="FC79" s="552"/>
      <c r="FD79" s="552"/>
      <c r="FE79" s="552"/>
      <c r="FF79" s="552"/>
      <c r="FG79" s="552"/>
      <c r="FH79" s="552"/>
      <c r="FI79" s="552"/>
      <c r="FJ79" s="552"/>
      <c r="FK79" s="552"/>
      <c r="FL79" s="552"/>
      <c r="FM79" s="552"/>
      <c r="FN79" s="552"/>
      <c r="FO79" s="552"/>
      <c r="FP79" s="552"/>
      <c r="FQ79" s="552"/>
      <c r="FR79" s="552"/>
      <c r="FS79" s="552"/>
      <c r="FT79" s="552"/>
    </row>
    <row r="80" spans="2:176" s="564" customFormat="1" ht="15" customHeight="1" x14ac:dyDescent="0.2">
      <c r="B80" s="626">
        <f>$G$4</f>
        <v>24</v>
      </c>
      <c r="C80" s="631">
        <f>$G$6</f>
        <v>116.5</v>
      </c>
      <c r="D80" s="744">
        <f>$B$6</f>
        <v>1.75</v>
      </c>
      <c r="E80" s="745">
        <f t="shared" si="49"/>
        <v>4.854166666666667</v>
      </c>
      <c r="F80" s="689"/>
      <c r="G80" s="747">
        <f t="shared" si="50"/>
        <v>1.8133995953527116</v>
      </c>
      <c r="H80" s="748">
        <f t="shared" si="60"/>
        <v>4.0195086908875648E-3</v>
      </c>
      <c r="I80" s="689"/>
      <c r="J80" s="773">
        <f t="shared" si="82"/>
        <v>43</v>
      </c>
      <c r="K80" s="774">
        <f t="shared" si="61"/>
        <v>48.375</v>
      </c>
      <c r="L80" s="747">
        <f t="shared" si="106"/>
        <v>2.0716741818181821</v>
      </c>
      <c r="M80" s="751">
        <f t="shared" si="106"/>
        <v>2.0682814935064937</v>
      </c>
      <c r="N80" s="751">
        <f t="shared" si="106"/>
        <v>2.0624222402597403</v>
      </c>
      <c r="O80" s="751">
        <f t="shared" si="106"/>
        <v>2.0565629870129869</v>
      </c>
      <c r="P80" s="751">
        <f t="shared" si="106"/>
        <v>2.045309090909091</v>
      </c>
      <c r="Q80" s="751">
        <f t="shared" si="106"/>
        <v>2.0387425974025977</v>
      </c>
      <c r="R80" s="751">
        <f t="shared" si="106"/>
        <v>2.0137155844155843</v>
      </c>
      <c r="S80" s="751">
        <f t="shared" si="106"/>
        <v>2.0027631688311689</v>
      </c>
      <c r="T80" s="752">
        <f t="shared" si="106"/>
        <v>1.9870779220779222</v>
      </c>
      <c r="U80" s="753">
        <f t="shared" si="106"/>
        <v>1.885483116883117</v>
      </c>
      <c r="W80" s="773">
        <f t="shared" si="63"/>
        <v>48.375</v>
      </c>
      <c r="X80" s="775">
        <f t="shared" si="107"/>
        <v>-6.9114395814858065E-2</v>
      </c>
      <c r="Y80" s="776">
        <f t="shared" si="107"/>
        <v>-6.9118959703746957E-2</v>
      </c>
      <c r="Z80" s="776">
        <f t="shared" si="107"/>
        <v>-6.9126841648191398E-2</v>
      </c>
      <c r="AA80" s="776">
        <f t="shared" si="107"/>
        <v>-6.9134723592635838E-2</v>
      </c>
      <c r="AB80" s="776">
        <f t="shared" si="107"/>
        <v>-6.9149862481524729E-2</v>
      </c>
      <c r="AC80" s="776">
        <f t="shared" si="107"/>
        <v>-6.9158695814858062E-2</v>
      </c>
      <c r="AD80" s="776">
        <f t="shared" si="107"/>
        <v>-6.919236248152473E-2</v>
      </c>
      <c r="AE80" s="776">
        <f t="shared" si="107"/>
        <v>-6.9207095814858066E-2</v>
      </c>
      <c r="AF80" s="777">
        <f t="shared" si="107"/>
        <v>-6.9228195814858062E-2</v>
      </c>
      <c r="AG80" s="778">
        <f t="shared" si="107"/>
        <v>-6.9364862481524722E-2</v>
      </c>
      <c r="AI80" s="773">
        <f t="shared" si="65"/>
        <v>48.375</v>
      </c>
      <c r="AJ80" s="747">
        <f t="shared" si="99"/>
        <v>2.002559786003324</v>
      </c>
      <c r="AK80" s="751">
        <f t="shared" si="99"/>
        <v>1.9991625338027468</v>
      </c>
      <c r="AL80" s="751">
        <f t="shared" si="99"/>
        <v>1.9932953986115489</v>
      </c>
      <c r="AM80" s="751">
        <f t="shared" si="99"/>
        <v>1.9874282634203511</v>
      </c>
      <c r="AN80" s="751">
        <f t="shared" si="99"/>
        <v>1.9761592284275662</v>
      </c>
      <c r="AO80" s="751">
        <f t="shared" si="97"/>
        <v>1.9695839015877397</v>
      </c>
      <c r="AP80" s="751">
        <f t="shared" si="97"/>
        <v>1.9445232219340596</v>
      </c>
      <c r="AQ80" s="751">
        <f t="shared" si="97"/>
        <v>1.9335560730163108</v>
      </c>
      <c r="AR80" s="752">
        <f t="shared" si="97"/>
        <v>1.9178497262630643</v>
      </c>
      <c r="AS80" s="751">
        <f t="shared" si="97"/>
        <v>1.8161182544015924</v>
      </c>
      <c r="AT80" s="674">
        <f t="shared" si="66"/>
        <v>1.75</v>
      </c>
      <c r="AU80" s="712">
        <f t="shared" si="67"/>
        <v>1.8</v>
      </c>
      <c r="AV80" s="712">
        <f t="shared" si="68"/>
        <v>1.81</v>
      </c>
      <c r="AW80" s="712">
        <f t="shared" si="69"/>
        <v>1.83</v>
      </c>
      <c r="AX80" s="712">
        <f t="shared" si="70"/>
        <v>1.84</v>
      </c>
      <c r="AY80" s="712">
        <f t="shared" si="71"/>
        <v>1.86</v>
      </c>
      <c r="AZ80" s="712">
        <f t="shared" si="72"/>
        <v>1.88</v>
      </c>
      <c r="BA80" s="712">
        <f t="shared" si="73"/>
        <v>1.9</v>
      </c>
      <c r="BB80" s="712">
        <f t="shared" si="74"/>
        <v>1.92</v>
      </c>
      <c r="BC80" s="779">
        <f t="shared" si="75"/>
        <v>1000000</v>
      </c>
      <c r="BD80" s="780">
        <f t="shared" si="76"/>
        <v>-1000000</v>
      </c>
      <c r="BF80" s="781">
        <f t="shared" si="108"/>
        <v>2.0028733767250197</v>
      </c>
      <c r="BG80" s="767">
        <f t="shared" si="108"/>
        <v>1.9782919609639797</v>
      </c>
      <c r="BH80" s="767">
        <f t="shared" si="108"/>
        <v>1.9379911405959005</v>
      </c>
      <c r="BI80" s="767">
        <f t="shared" si="108"/>
        <v>5.5468833641575168</v>
      </c>
      <c r="BJ80" s="767">
        <f t="shared" si="108"/>
        <v>2.026809637976728</v>
      </c>
      <c r="BK80" s="767">
        <f t="shared" si="108"/>
        <v>2.0154943704782218</v>
      </c>
      <c r="BL80" s="767">
        <f t="shared" si="108"/>
        <v>2.004088738698202</v>
      </c>
      <c r="BM80" s="767">
        <f t="shared" si="108"/>
        <v>2.0024202408215417</v>
      </c>
      <c r="BN80" s="767">
        <f t="shared" si="108"/>
        <v>2.000937407043776</v>
      </c>
      <c r="BO80" s="782">
        <f t="shared" si="108"/>
        <v>1.997819655562451</v>
      </c>
      <c r="BP80" s="781">
        <f t="shared" si="100"/>
        <v>2.0028733767250197</v>
      </c>
      <c r="BQ80" s="767">
        <f t="shared" si="100"/>
        <v>1.9782919609639797</v>
      </c>
      <c r="BR80" s="767">
        <f t="shared" si="100"/>
        <v>1.9379911405959005</v>
      </c>
      <c r="BS80" s="767">
        <f t="shared" si="100"/>
        <v>-1000000</v>
      </c>
      <c r="BT80" s="767">
        <f t="shared" si="100"/>
        <v>-1000000</v>
      </c>
      <c r="BU80" s="767">
        <f t="shared" si="98"/>
        <v>-1000000</v>
      </c>
      <c r="BV80" s="767">
        <f t="shared" si="98"/>
        <v>-1000000</v>
      </c>
      <c r="BW80" s="767">
        <f t="shared" si="98"/>
        <v>-1000000</v>
      </c>
      <c r="BX80" s="767">
        <f t="shared" si="98"/>
        <v>-1000000</v>
      </c>
      <c r="BY80" s="767">
        <f t="shared" si="98"/>
        <v>-1000000</v>
      </c>
      <c r="BZ80" s="648">
        <f t="shared" si="56"/>
        <v>43</v>
      </c>
      <c r="CA80" s="767">
        <f t="shared" si="105"/>
        <v>2.0028733767250197</v>
      </c>
      <c r="CB80" s="767">
        <f t="shared" si="105"/>
        <v>1.9782919609639797</v>
      </c>
      <c r="CC80" s="767">
        <f t="shared" si="105"/>
        <v>1.9379911405959005</v>
      </c>
      <c r="CD80" s="767"/>
      <c r="CE80" s="767"/>
      <c r="CF80" s="767"/>
      <c r="CG80" s="767"/>
      <c r="CH80" s="767"/>
      <c r="CI80" s="767"/>
      <c r="CJ80" s="767"/>
      <c r="CK80" s="781">
        <f t="shared" si="58"/>
        <v>1.75</v>
      </c>
      <c r="CL80" s="783">
        <f t="shared" si="78"/>
        <v>1000000</v>
      </c>
      <c r="CM80" s="552"/>
      <c r="CN80" s="552"/>
      <c r="CO80" s="552"/>
      <c r="CP80" s="552"/>
      <c r="CQ80" s="552"/>
      <c r="CR80" s="552"/>
      <c r="CS80" s="552"/>
      <c r="CT80" s="552"/>
      <c r="CU80" s="552"/>
      <c r="CV80" s="552"/>
      <c r="CW80" s="552"/>
      <c r="CX80" s="552"/>
      <c r="CY80" s="552"/>
      <c r="CZ80" s="642">
        <f t="shared" si="133"/>
        <v>73</v>
      </c>
      <c r="DA80" s="609">
        <f t="shared" si="110"/>
        <v>82.125</v>
      </c>
      <c r="DB80" s="609">
        <f t="shared" si="121"/>
        <v>29.199999999999996</v>
      </c>
      <c r="DC80" s="610">
        <f t="shared" si="101"/>
        <v>134.8477552567856</v>
      </c>
      <c r="DD80" s="611">
        <f t="shared" si="101"/>
        <v>134.93841095863266</v>
      </c>
      <c r="DE80" s="612">
        <f t="shared" si="101"/>
        <v>134.99358928765355</v>
      </c>
      <c r="DF80" s="610">
        <f t="shared" si="102"/>
        <v>19.411764705882348</v>
      </c>
      <c r="DG80" s="611">
        <f t="shared" si="102"/>
        <v>22</v>
      </c>
      <c r="DH80" s="612">
        <f t="shared" si="102"/>
        <v>28.470588235294098</v>
      </c>
      <c r="DI80" s="610">
        <f t="shared" si="111"/>
        <v>154.25951996266795</v>
      </c>
      <c r="DJ80" s="611">
        <f t="shared" si="111"/>
        <v>156.93841095863266</v>
      </c>
      <c r="DK80" s="612">
        <f t="shared" si="111"/>
        <v>163.46417752294764</v>
      </c>
      <c r="DL80" s="613">
        <f t="shared" si="122"/>
        <v>154.25951996266795</v>
      </c>
      <c r="DM80" s="613">
        <f t="shared" si="122"/>
        <v>156.93841095863266</v>
      </c>
      <c r="DN80" s="613">
        <f t="shared" si="122"/>
        <v>163.46417752294764</v>
      </c>
      <c r="DO80" s="609">
        <f t="shared" si="112"/>
        <v>135</v>
      </c>
      <c r="DP80" s="609"/>
      <c r="DQ80" s="609">
        <f t="shared" si="123"/>
        <v>29.199999999999996</v>
      </c>
      <c r="DR80" s="610">
        <f t="shared" si="113"/>
        <v>3.5389294099116689E-2</v>
      </c>
      <c r="DS80" s="611">
        <f t="shared" si="113"/>
        <v>1.6225223977139932E-2</v>
      </c>
      <c r="DT80" s="612">
        <f t="shared" si="113"/>
        <v>2.1855830097890264E-3</v>
      </c>
      <c r="DU80" s="611">
        <f t="shared" si="132"/>
        <v>3.7086741976111302E-2</v>
      </c>
      <c r="DV80" s="611">
        <f t="shared" si="132"/>
        <v>1.711094605276748E-2</v>
      </c>
      <c r="DW80" s="611">
        <f t="shared" si="132"/>
        <v>2.3416193271685952E-3</v>
      </c>
      <c r="DX80" s="614">
        <f t="shared" si="114"/>
        <v>12.5</v>
      </c>
      <c r="DY80" s="615"/>
      <c r="DZ80" s="609">
        <f t="shared" si="124"/>
        <v>29.199999999999996</v>
      </c>
      <c r="EA80" s="611">
        <f t="shared" si="103"/>
        <v>2.1207563291139242</v>
      </c>
      <c r="EB80" s="611">
        <f t="shared" si="103"/>
        <v>1000000</v>
      </c>
      <c r="EC80" s="611">
        <f t="shared" si="103"/>
        <v>1000000</v>
      </c>
      <c r="ED80" s="610">
        <f t="shared" si="104"/>
        <v>0.22002999999999975</v>
      </c>
      <c r="EE80" s="611">
        <f t="shared" si="104"/>
        <v>0.22005999999999976</v>
      </c>
      <c r="EF80" s="612">
        <f t="shared" si="104"/>
        <v>0.22012499999999974</v>
      </c>
      <c r="EG80" s="611">
        <f t="shared" si="115"/>
        <v>2.3407863291139241</v>
      </c>
      <c r="EH80" s="611">
        <f t="shared" si="115"/>
        <v>1000000.22006</v>
      </c>
      <c r="EI80" s="611">
        <f t="shared" si="115"/>
        <v>1000000.220125</v>
      </c>
      <c r="EJ80" s="610">
        <f t="shared" si="125"/>
        <v>2.2999999999999998</v>
      </c>
      <c r="EK80" s="643">
        <f t="shared" si="126"/>
        <v>2.25</v>
      </c>
      <c r="EL80" s="644">
        <f t="shared" si="127"/>
        <v>2.83</v>
      </c>
      <c r="EN80" s="620">
        <f t="shared" si="128"/>
        <v>15.918055555555554</v>
      </c>
      <c r="EO80" s="621">
        <f t="shared" si="40"/>
        <v>77.984191988859294</v>
      </c>
      <c r="EP80" s="621">
        <f t="shared" si="40"/>
        <v>92.228696291192506</v>
      </c>
      <c r="EQ80" s="621">
        <f t="shared" si="40"/>
        <v>103.88797327181533</v>
      </c>
      <c r="ER80" s="610">
        <f t="shared" si="116"/>
        <v>40.110198117634937</v>
      </c>
      <c r="ES80" s="611">
        <f t="shared" si="116"/>
        <v>64.580455471850286</v>
      </c>
      <c r="ET80" s="612">
        <f t="shared" si="116"/>
        <v>88.787554421880941</v>
      </c>
      <c r="EU80" s="610">
        <f t="shared" si="129"/>
        <v>100</v>
      </c>
      <c r="EV80" s="611">
        <f t="shared" si="130"/>
        <v>135</v>
      </c>
      <c r="EW80" s="645">
        <f t="shared" si="131"/>
        <v>-1000000</v>
      </c>
      <c r="EX80" s="610">
        <f t="shared" si="117"/>
        <v>-37.873993871224357</v>
      </c>
      <c r="EY80" s="621">
        <f t="shared" si="118"/>
        <v>-27.648240819342227</v>
      </c>
      <c r="EZ80" s="612">
        <f t="shared" si="119"/>
        <v>-15.100418849934378</v>
      </c>
      <c r="FA80" s="646">
        <f t="shared" si="120"/>
        <v>15.918055555555554</v>
      </c>
      <c r="FB80" s="317"/>
      <c r="FC80" s="552"/>
      <c r="FD80" s="552"/>
      <c r="FE80" s="552"/>
      <c r="FF80" s="552"/>
      <c r="FG80" s="552"/>
      <c r="FH80" s="552"/>
      <c r="FI80" s="552"/>
      <c r="FJ80" s="552"/>
      <c r="FK80" s="552"/>
      <c r="FL80" s="552"/>
      <c r="FM80" s="552"/>
      <c r="FN80" s="552"/>
      <c r="FO80" s="552"/>
      <c r="FP80" s="552"/>
      <c r="FQ80" s="552"/>
      <c r="FR80" s="552"/>
      <c r="FS80" s="552"/>
      <c r="FT80" s="552"/>
    </row>
    <row r="81" spans="2:176" s="564" customFormat="1" ht="15" customHeight="1" x14ac:dyDescent="0.2">
      <c r="B81" s="647">
        <f t="shared" ref="B81:B90" si="134">$G$4</f>
        <v>24</v>
      </c>
      <c r="C81" s="652">
        <f>$G$7</f>
        <v>115.5</v>
      </c>
      <c r="D81" s="771">
        <f>$B$7</f>
        <v>1.78</v>
      </c>
      <c r="E81" s="772">
        <f t="shared" si="49"/>
        <v>4.8125</v>
      </c>
      <c r="F81" s="689"/>
      <c r="G81" s="747">
        <f t="shared" si="50"/>
        <v>1.8235035239588906</v>
      </c>
      <c r="H81" s="748">
        <f t="shared" si="60"/>
        <v>1.8925565968417656E-3</v>
      </c>
      <c r="I81" s="689"/>
      <c r="J81" s="773">
        <f t="shared" si="82"/>
        <v>44</v>
      </c>
      <c r="K81" s="774">
        <f t="shared" si="61"/>
        <v>49.5</v>
      </c>
      <c r="L81" s="747">
        <f t="shared" si="106"/>
        <v>2.0715646315789473</v>
      </c>
      <c r="M81" s="751">
        <f t="shared" si="106"/>
        <v>2.068127302631579</v>
      </c>
      <c r="N81" s="751">
        <f t="shared" si="106"/>
        <v>2.0621909539473684</v>
      </c>
      <c r="O81" s="751">
        <f t="shared" si="106"/>
        <v>2.0562546052631578</v>
      </c>
      <c r="P81" s="751">
        <f t="shared" si="106"/>
        <v>2.0448526315789475</v>
      </c>
      <c r="Q81" s="751">
        <f t="shared" si="106"/>
        <v>2.0381997368421052</v>
      </c>
      <c r="R81" s="751">
        <f t="shared" si="106"/>
        <v>2.0128434210526316</v>
      </c>
      <c r="S81" s="751">
        <f t="shared" si="106"/>
        <v>2.0017468947368422</v>
      </c>
      <c r="T81" s="752">
        <f t="shared" si="106"/>
        <v>1.9858552631578947</v>
      </c>
      <c r="U81" s="753">
        <f t="shared" si="106"/>
        <v>1.8829236842105264</v>
      </c>
      <c r="W81" s="773">
        <f t="shared" si="63"/>
        <v>49.5</v>
      </c>
      <c r="X81" s="775">
        <f t="shared" si="107"/>
        <v>-7.0601590077362469E-2</v>
      </c>
      <c r="Y81" s="776">
        <f t="shared" si="107"/>
        <v>-7.0606153966251362E-2</v>
      </c>
      <c r="Z81" s="776">
        <f t="shared" si="107"/>
        <v>-7.0614035910695802E-2</v>
      </c>
      <c r="AA81" s="776">
        <f t="shared" si="107"/>
        <v>-7.0621917855140243E-2</v>
      </c>
      <c r="AB81" s="776">
        <f t="shared" si="107"/>
        <v>-7.0637056744029134E-2</v>
      </c>
      <c r="AC81" s="776">
        <f t="shared" si="107"/>
        <v>-7.0645890077362467E-2</v>
      </c>
      <c r="AD81" s="776">
        <f t="shared" si="107"/>
        <v>-7.0679556744029134E-2</v>
      </c>
      <c r="AE81" s="776">
        <f t="shared" si="107"/>
        <v>-7.0694290077362471E-2</v>
      </c>
      <c r="AF81" s="777">
        <f t="shared" si="107"/>
        <v>-7.0715390077362467E-2</v>
      </c>
      <c r="AG81" s="778">
        <f t="shared" si="107"/>
        <v>-7.0852056744029127E-2</v>
      </c>
      <c r="AI81" s="773">
        <f t="shared" si="65"/>
        <v>49.5</v>
      </c>
      <c r="AJ81" s="747">
        <f t="shared" si="99"/>
        <v>2.0009630415015849</v>
      </c>
      <c r="AK81" s="751">
        <f t="shared" si="99"/>
        <v>1.9975211486653275</v>
      </c>
      <c r="AL81" s="751">
        <f t="shared" si="99"/>
        <v>1.9915769180366727</v>
      </c>
      <c r="AM81" s="751">
        <f t="shared" si="99"/>
        <v>1.9856326874080177</v>
      </c>
      <c r="AN81" s="751">
        <f t="shared" si="99"/>
        <v>1.9742155748349184</v>
      </c>
      <c r="AO81" s="751">
        <f t="shared" si="97"/>
        <v>1.9675538467647427</v>
      </c>
      <c r="AP81" s="751">
        <f t="shared" si="97"/>
        <v>1.9421638643086025</v>
      </c>
      <c r="AQ81" s="751">
        <f t="shared" si="97"/>
        <v>1.9310526046594798</v>
      </c>
      <c r="AR81" s="752">
        <f t="shared" si="97"/>
        <v>1.9151398730805322</v>
      </c>
      <c r="AS81" s="751">
        <f t="shared" si="97"/>
        <v>1.8120716274664972</v>
      </c>
      <c r="AT81" s="674">
        <f t="shared" si="66"/>
        <v>1.75</v>
      </c>
      <c r="AU81" s="712">
        <f t="shared" si="67"/>
        <v>1.8</v>
      </c>
      <c r="AV81" s="712">
        <f t="shared" si="68"/>
        <v>1.81</v>
      </c>
      <c r="AW81" s="712">
        <f t="shared" si="69"/>
        <v>1.83</v>
      </c>
      <c r="AX81" s="712">
        <f t="shared" si="70"/>
        <v>1.84</v>
      </c>
      <c r="AY81" s="712">
        <f t="shared" si="71"/>
        <v>1.86</v>
      </c>
      <c r="AZ81" s="712">
        <f t="shared" si="72"/>
        <v>1.88</v>
      </c>
      <c r="BA81" s="712">
        <f t="shared" si="73"/>
        <v>1.9</v>
      </c>
      <c r="BB81" s="712">
        <f t="shared" si="74"/>
        <v>1.92</v>
      </c>
      <c r="BC81" s="779">
        <f t="shared" si="75"/>
        <v>1000000</v>
      </c>
      <c r="BD81" s="780">
        <f t="shared" si="76"/>
        <v>-1000000</v>
      </c>
      <c r="BF81" s="781">
        <f t="shared" si="108"/>
        <v>2.0012695693567615</v>
      </c>
      <c r="BG81" s="767">
        <f t="shared" si="108"/>
        <v>1.977075553705578</v>
      </c>
      <c r="BH81" s="767">
        <f t="shared" si="108"/>
        <v>1.934231442797846</v>
      </c>
      <c r="BI81" s="767">
        <f t="shared" si="108"/>
        <v>2.5269588057877916</v>
      </c>
      <c r="BJ81" s="767">
        <f t="shared" si="108"/>
        <v>2.0237676146540822</v>
      </c>
      <c r="BK81" s="767">
        <f t="shared" si="108"/>
        <v>2.0137407521027186</v>
      </c>
      <c r="BL81" s="767">
        <f t="shared" si="108"/>
        <v>2.0032878323306957</v>
      </c>
      <c r="BM81" s="767">
        <f t="shared" si="108"/>
        <v>2.001728127195828</v>
      </c>
      <c r="BN81" s="767">
        <f t="shared" si="108"/>
        <v>2.000335044173299</v>
      </c>
      <c r="BO81" s="782">
        <f t="shared" si="108"/>
        <v>1.9973815240609236</v>
      </c>
      <c r="BP81" s="781">
        <f t="shared" si="100"/>
        <v>2.0012695693567615</v>
      </c>
      <c r="BQ81" s="767">
        <f t="shared" si="100"/>
        <v>1.977075553705578</v>
      </c>
      <c r="BR81" s="767">
        <f t="shared" si="100"/>
        <v>1.934231442797846</v>
      </c>
      <c r="BS81" s="767">
        <f t="shared" si="100"/>
        <v>-1000000</v>
      </c>
      <c r="BT81" s="767">
        <f t="shared" si="100"/>
        <v>-1000000</v>
      </c>
      <c r="BU81" s="767">
        <f t="shared" si="98"/>
        <v>-1000000</v>
      </c>
      <c r="BV81" s="767">
        <f t="shared" si="98"/>
        <v>-1000000</v>
      </c>
      <c r="BW81" s="767">
        <f t="shared" si="98"/>
        <v>-1000000</v>
      </c>
      <c r="BX81" s="767">
        <f t="shared" si="98"/>
        <v>-1000000</v>
      </c>
      <c r="BY81" s="767">
        <f t="shared" si="98"/>
        <v>-1000000</v>
      </c>
      <c r="BZ81" s="648">
        <f t="shared" si="56"/>
        <v>44</v>
      </c>
      <c r="CA81" s="767">
        <f t="shared" si="105"/>
        <v>2.0012695693567615</v>
      </c>
      <c r="CB81" s="767">
        <f t="shared" si="105"/>
        <v>1.977075553705578</v>
      </c>
      <c r="CC81" s="767">
        <f t="shared" si="105"/>
        <v>1.934231442797846</v>
      </c>
      <c r="CD81" s="767"/>
      <c r="CE81" s="767"/>
      <c r="CF81" s="767"/>
      <c r="CG81" s="767"/>
      <c r="CH81" s="767"/>
      <c r="CI81" s="767"/>
      <c r="CJ81" s="767"/>
      <c r="CK81" s="781">
        <f t="shared" si="58"/>
        <v>1.75</v>
      </c>
      <c r="CL81" s="783">
        <f t="shared" si="78"/>
        <v>1000000</v>
      </c>
      <c r="CM81" s="552"/>
      <c r="CN81" s="552"/>
      <c r="CO81" s="552"/>
      <c r="CP81" s="552"/>
      <c r="CQ81" s="552"/>
      <c r="CR81" s="552"/>
      <c r="CS81" s="552"/>
      <c r="CT81" s="552"/>
      <c r="CU81" s="552"/>
      <c r="CV81" s="552"/>
      <c r="CW81" s="552"/>
      <c r="CX81" s="552"/>
      <c r="CY81" s="552"/>
      <c r="CZ81" s="642">
        <f t="shared" si="133"/>
        <v>74</v>
      </c>
      <c r="DA81" s="609">
        <f t="shared" si="110"/>
        <v>83.25</v>
      </c>
      <c r="DB81" s="609">
        <f t="shared" si="121"/>
        <v>29.6</v>
      </c>
      <c r="DC81" s="610">
        <f t="shared" si="101"/>
        <v>134.86127280630251</v>
      </c>
      <c r="DD81" s="611">
        <f t="shared" si="101"/>
        <v>134.94457079555173</v>
      </c>
      <c r="DE81" s="612">
        <f t="shared" si="101"/>
        <v>134.99440653073262</v>
      </c>
      <c r="DF81" s="610">
        <f t="shared" si="102"/>
        <v>19.411764705882348</v>
      </c>
      <c r="DG81" s="611">
        <f t="shared" si="102"/>
        <v>22</v>
      </c>
      <c r="DH81" s="612">
        <f t="shared" si="102"/>
        <v>28.470588235294098</v>
      </c>
      <c r="DI81" s="610">
        <f t="shared" si="111"/>
        <v>154.27303751218486</v>
      </c>
      <c r="DJ81" s="611">
        <f t="shared" si="111"/>
        <v>156.94457079555173</v>
      </c>
      <c r="DK81" s="612">
        <f t="shared" si="111"/>
        <v>163.46499476602671</v>
      </c>
      <c r="DL81" s="613">
        <f t="shared" si="122"/>
        <v>154.27303751218486</v>
      </c>
      <c r="DM81" s="613">
        <f t="shared" si="122"/>
        <v>156.94457079555173</v>
      </c>
      <c r="DN81" s="613">
        <f t="shared" si="122"/>
        <v>163.46499476602671</v>
      </c>
      <c r="DO81" s="609">
        <f t="shared" si="112"/>
        <v>135</v>
      </c>
      <c r="DP81" s="609"/>
      <c r="DQ81" s="609">
        <f t="shared" si="123"/>
        <v>29.6</v>
      </c>
      <c r="DR81" s="610">
        <f t="shared" si="113"/>
        <v>3.224713939969432E-2</v>
      </c>
      <c r="DS81" s="611">
        <f t="shared" si="113"/>
        <v>1.4602455844117486E-2</v>
      </c>
      <c r="DT81" s="612">
        <f t="shared" si="113"/>
        <v>1.9069630231259899E-3</v>
      </c>
      <c r="DU81" s="611">
        <f t="shared" si="132"/>
        <v>3.3793873792262251E-2</v>
      </c>
      <c r="DV81" s="611">
        <f t="shared" si="132"/>
        <v>1.5399592297668855E-2</v>
      </c>
      <c r="DW81" s="611">
        <f t="shared" si="132"/>
        <v>2.043107697673434E-3</v>
      </c>
      <c r="DX81" s="614">
        <f t="shared" si="114"/>
        <v>12.5</v>
      </c>
      <c r="DY81" s="615"/>
      <c r="DZ81" s="609">
        <f t="shared" si="124"/>
        <v>29.6</v>
      </c>
      <c r="EA81" s="611">
        <f t="shared" si="103"/>
        <v>2.1218149350649353</v>
      </c>
      <c r="EB81" s="611">
        <f t="shared" si="103"/>
        <v>1000000</v>
      </c>
      <c r="EC81" s="611">
        <f t="shared" si="103"/>
        <v>1000000</v>
      </c>
      <c r="ED81" s="610">
        <f t="shared" si="104"/>
        <v>0.22002999999999975</v>
      </c>
      <c r="EE81" s="611">
        <f t="shared" si="104"/>
        <v>0.22005999999999976</v>
      </c>
      <c r="EF81" s="612">
        <f t="shared" si="104"/>
        <v>0.22012499999999974</v>
      </c>
      <c r="EG81" s="611">
        <f t="shared" si="115"/>
        <v>2.3418449350649353</v>
      </c>
      <c r="EH81" s="611">
        <f t="shared" si="115"/>
        <v>1000000.22006</v>
      </c>
      <c r="EI81" s="611">
        <f t="shared" si="115"/>
        <v>1000000.220125</v>
      </c>
      <c r="EJ81" s="610">
        <f t="shared" si="125"/>
        <v>2.2999999999999998</v>
      </c>
      <c r="EK81" s="643">
        <f t="shared" si="126"/>
        <v>2.25</v>
      </c>
      <c r="EL81" s="644">
        <f t="shared" si="127"/>
        <v>2.83</v>
      </c>
      <c r="EN81" s="620">
        <f t="shared" si="128"/>
        <v>16.136111111111113</v>
      </c>
      <c r="EO81" s="621">
        <f t="shared" si="40"/>
        <v>77.203853058269246</v>
      </c>
      <c r="EP81" s="621">
        <f t="shared" si="40"/>
        <v>91.643181684906523</v>
      </c>
      <c r="EQ81" s="621">
        <f t="shared" si="40"/>
        <v>103.46198941948337</v>
      </c>
      <c r="ER81" s="610">
        <f t="shared" si="116"/>
        <v>39.329540729671677</v>
      </c>
      <c r="ES81" s="611">
        <f t="shared" si="116"/>
        <v>63.917574773915568</v>
      </c>
      <c r="ET81" s="612">
        <f t="shared" si="116"/>
        <v>88.112231563345148</v>
      </c>
      <c r="EU81" s="610">
        <f t="shared" si="129"/>
        <v>100</v>
      </c>
      <c r="EV81" s="611">
        <f t="shared" si="130"/>
        <v>135</v>
      </c>
      <c r="EW81" s="645">
        <f t="shared" si="131"/>
        <v>-1000000</v>
      </c>
      <c r="EX81" s="610">
        <f t="shared" si="117"/>
        <v>-37.874312328597568</v>
      </c>
      <c r="EY81" s="621">
        <f t="shared" si="118"/>
        <v>-27.725606910990955</v>
      </c>
      <c r="EZ81" s="612">
        <f t="shared" si="119"/>
        <v>-15.349757856138226</v>
      </c>
      <c r="FA81" s="646">
        <f t="shared" si="120"/>
        <v>16.136111111111113</v>
      </c>
      <c r="FB81" s="317"/>
      <c r="FC81" s="552"/>
      <c r="FD81" s="552"/>
      <c r="FE81" s="552"/>
      <c r="FF81" s="552"/>
      <c r="FG81" s="552"/>
      <c r="FH81" s="552"/>
      <c r="FI81" s="552"/>
      <c r="FJ81" s="552"/>
      <c r="FK81" s="552"/>
      <c r="FL81" s="552"/>
      <c r="FM81" s="552"/>
      <c r="FN81" s="552"/>
      <c r="FO81" s="552"/>
      <c r="FP81" s="552"/>
      <c r="FQ81" s="552"/>
      <c r="FR81" s="552"/>
      <c r="FS81" s="552"/>
      <c r="FT81" s="552"/>
    </row>
    <row r="82" spans="2:176" s="564" customFormat="1" ht="15" customHeight="1" x14ac:dyDescent="0.2">
      <c r="B82" s="647">
        <f t="shared" si="134"/>
        <v>24</v>
      </c>
      <c r="C82" s="652">
        <f>$G$8</f>
        <v>114.5</v>
      </c>
      <c r="D82" s="771">
        <f>$B$8</f>
        <v>1.8</v>
      </c>
      <c r="E82" s="772">
        <f t="shared" si="49"/>
        <v>4.770833333333333</v>
      </c>
      <c r="F82" s="689"/>
      <c r="G82" s="747">
        <f t="shared" si="50"/>
        <v>1.8326307785818796</v>
      </c>
      <c r="H82" s="748">
        <f t="shared" si="60"/>
        <v>1.0647677108596505E-3</v>
      </c>
      <c r="I82" s="689"/>
      <c r="J82" s="773">
        <f t="shared" si="82"/>
        <v>45</v>
      </c>
      <c r="K82" s="774">
        <f t="shared" si="61"/>
        <v>50.625</v>
      </c>
      <c r="L82" s="747">
        <f t="shared" si="106"/>
        <v>2.0714521600000002</v>
      </c>
      <c r="M82" s="751">
        <f t="shared" si="106"/>
        <v>2.0679690000000002</v>
      </c>
      <c r="N82" s="751">
        <f t="shared" si="106"/>
        <v>2.0619535</v>
      </c>
      <c r="O82" s="751">
        <f t="shared" si="106"/>
        <v>2.0559380000000003</v>
      </c>
      <c r="P82" s="751">
        <f t="shared" si="106"/>
        <v>2.044384</v>
      </c>
      <c r="Q82" s="751">
        <f t="shared" si="106"/>
        <v>2.0376424000000002</v>
      </c>
      <c r="R82" s="751">
        <f t="shared" si="106"/>
        <v>2.0119480000000003</v>
      </c>
      <c r="S82" s="751">
        <f t="shared" si="106"/>
        <v>2.0007035200000001</v>
      </c>
      <c r="T82" s="752">
        <f t="shared" si="106"/>
        <v>1.9846000000000001</v>
      </c>
      <c r="U82" s="753">
        <f t="shared" si="106"/>
        <v>1.880296</v>
      </c>
      <c r="W82" s="773">
        <f t="shared" si="63"/>
        <v>50.625</v>
      </c>
      <c r="X82" s="775">
        <f t="shared" si="107"/>
        <v>-7.2014646361326831E-2</v>
      </c>
      <c r="Y82" s="776">
        <f t="shared" si="107"/>
        <v>-7.2019210250215723E-2</v>
      </c>
      <c r="Z82" s="776">
        <f t="shared" si="107"/>
        <v>-7.2027092194660164E-2</v>
      </c>
      <c r="AA82" s="776">
        <f t="shared" si="107"/>
        <v>-7.2034974139104604E-2</v>
      </c>
      <c r="AB82" s="776">
        <f t="shared" si="107"/>
        <v>-7.2050113027993495E-2</v>
      </c>
      <c r="AC82" s="776">
        <f t="shared" si="107"/>
        <v>-7.2058946361326828E-2</v>
      </c>
      <c r="AD82" s="776">
        <f t="shared" si="107"/>
        <v>-7.2092613027993496E-2</v>
      </c>
      <c r="AE82" s="776">
        <f t="shared" si="107"/>
        <v>-7.2107346361326832E-2</v>
      </c>
      <c r="AF82" s="777">
        <f t="shared" si="107"/>
        <v>-7.2128446361326828E-2</v>
      </c>
      <c r="AG82" s="778">
        <f t="shared" si="107"/>
        <v>-7.2265113027993488E-2</v>
      </c>
      <c r="AI82" s="773">
        <f t="shared" si="65"/>
        <v>50.625</v>
      </c>
      <c r="AJ82" s="747">
        <f t="shared" si="99"/>
        <v>1.9994375136386733</v>
      </c>
      <c r="AK82" s="751">
        <f t="shared" si="99"/>
        <v>1.9959497897497844</v>
      </c>
      <c r="AL82" s="751">
        <f t="shared" si="99"/>
        <v>1.9899264078053398</v>
      </c>
      <c r="AM82" s="751">
        <f t="shared" si="99"/>
        <v>1.9839030258608956</v>
      </c>
      <c r="AN82" s="751">
        <f t="shared" si="99"/>
        <v>1.9723338869720064</v>
      </c>
      <c r="AO82" s="751">
        <f t="shared" si="97"/>
        <v>1.9655834536386734</v>
      </c>
      <c r="AP82" s="751">
        <f t="shared" si="97"/>
        <v>1.9398553869720068</v>
      </c>
      <c r="AQ82" s="751">
        <f t="shared" si="97"/>
        <v>1.9285961736386732</v>
      </c>
      <c r="AR82" s="752">
        <f t="shared" si="97"/>
        <v>1.9124715536386734</v>
      </c>
      <c r="AS82" s="751">
        <f t="shared" si="97"/>
        <v>1.8080308869720065</v>
      </c>
      <c r="AT82" s="674">
        <f t="shared" si="66"/>
        <v>1.75</v>
      </c>
      <c r="AU82" s="712">
        <f t="shared" si="67"/>
        <v>1.8</v>
      </c>
      <c r="AV82" s="712">
        <f t="shared" si="68"/>
        <v>1.81</v>
      </c>
      <c r="AW82" s="712">
        <f t="shared" si="69"/>
        <v>1.83</v>
      </c>
      <c r="AX82" s="712">
        <f t="shared" si="70"/>
        <v>1.84</v>
      </c>
      <c r="AY82" s="712">
        <f t="shared" si="71"/>
        <v>1.86</v>
      </c>
      <c r="AZ82" s="712">
        <f t="shared" si="72"/>
        <v>1.88</v>
      </c>
      <c r="BA82" s="712">
        <f t="shared" si="73"/>
        <v>1.9</v>
      </c>
      <c r="BB82" s="712">
        <f t="shared" si="74"/>
        <v>1.92</v>
      </c>
      <c r="BC82" s="779">
        <f t="shared" si="75"/>
        <v>1000000</v>
      </c>
      <c r="BD82" s="780">
        <f t="shared" si="76"/>
        <v>-1000000</v>
      </c>
      <c r="BF82" s="781">
        <f t="shared" si="108"/>
        <v>1.9997371075876387</v>
      </c>
      <c r="BG82" s="767">
        <f t="shared" si="108"/>
        <v>1.9759003276883182</v>
      </c>
      <c r="BH82" s="767">
        <f t="shared" si="108"/>
        <v>1.9299219791341167</v>
      </c>
      <c r="BI82" s="767">
        <f t="shared" si="108"/>
        <v>2.276764338360822</v>
      </c>
      <c r="BJ82" s="767">
        <f t="shared" si="108"/>
        <v>2.0211045289884342</v>
      </c>
      <c r="BK82" s="767">
        <f t="shared" si="108"/>
        <v>2.0121569120042375</v>
      </c>
      <c r="BL82" s="767">
        <f t="shared" si="108"/>
        <v>2.0025405710397735</v>
      </c>
      <c r="BM82" s="767">
        <f t="shared" si="108"/>
        <v>2.001079261614485</v>
      </c>
      <c r="BN82" s="767">
        <f t="shared" si="108"/>
        <v>1.9997679072027517</v>
      </c>
      <c r="BO82" s="782">
        <f t="shared" si="108"/>
        <v>1.996965386690728</v>
      </c>
      <c r="BP82" s="781">
        <f t="shared" si="100"/>
        <v>1.9997371075876387</v>
      </c>
      <c r="BQ82" s="767">
        <f t="shared" si="100"/>
        <v>1.9759003276883182</v>
      </c>
      <c r="BR82" s="767">
        <f t="shared" si="100"/>
        <v>1.9299219791341167</v>
      </c>
      <c r="BS82" s="767">
        <f t="shared" si="100"/>
        <v>-1000000</v>
      </c>
      <c r="BT82" s="767">
        <f t="shared" si="100"/>
        <v>-1000000</v>
      </c>
      <c r="BU82" s="767">
        <f t="shared" si="98"/>
        <v>-1000000</v>
      </c>
      <c r="BV82" s="767">
        <f t="shared" si="98"/>
        <v>-1000000</v>
      </c>
      <c r="BW82" s="767">
        <f t="shared" si="98"/>
        <v>-1000000</v>
      </c>
      <c r="BX82" s="767">
        <f t="shared" si="98"/>
        <v>-1000000</v>
      </c>
      <c r="BY82" s="767">
        <f t="shared" si="98"/>
        <v>-1000000</v>
      </c>
      <c r="BZ82" s="648">
        <f t="shared" si="56"/>
        <v>45</v>
      </c>
      <c r="CA82" s="767">
        <f t="shared" si="105"/>
        <v>1.9997371075876387</v>
      </c>
      <c r="CB82" s="767">
        <f t="shared" si="105"/>
        <v>1.9759003276883182</v>
      </c>
      <c r="CC82" s="767">
        <f t="shared" si="105"/>
        <v>1.9299219791341167</v>
      </c>
      <c r="CD82" s="767"/>
      <c r="CE82" s="767"/>
      <c r="CF82" s="767"/>
      <c r="CG82" s="767"/>
      <c r="CH82" s="767"/>
      <c r="CI82" s="767"/>
      <c r="CJ82" s="767"/>
      <c r="CK82" s="781">
        <f t="shared" si="58"/>
        <v>1.75</v>
      </c>
      <c r="CL82" s="783">
        <f t="shared" si="78"/>
        <v>1000000</v>
      </c>
      <c r="CM82" s="552"/>
      <c r="CN82" s="552"/>
      <c r="CO82" s="552"/>
      <c r="CP82" s="552"/>
      <c r="CQ82" s="552"/>
      <c r="CR82" s="552"/>
      <c r="CS82" s="552"/>
      <c r="CT82" s="552"/>
      <c r="CU82" s="552"/>
      <c r="CV82" s="552"/>
      <c r="CW82" s="552"/>
      <c r="CX82" s="552"/>
      <c r="CY82" s="552"/>
      <c r="CZ82" s="642">
        <f t="shared" si="133"/>
        <v>75</v>
      </c>
      <c r="DA82" s="609">
        <f t="shared" si="110"/>
        <v>84.375</v>
      </c>
      <c r="DB82" s="609">
        <f t="shared" si="121"/>
        <v>30</v>
      </c>
      <c r="DC82" s="610">
        <f t="shared" si="101"/>
        <v>134.87359015579224</v>
      </c>
      <c r="DD82" s="611">
        <f t="shared" si="101"/>
        <v>134.95011455548649</v>
      </c>
      <c r="DE82" s="612">
        <f t="shared" si="101"/>
        <v>134.99511959096677</v>
      </c>
      <c r="DF82" s="610">
        <f t="shared" si="102"/>
        <v>19.411764705882348</v>
      </c>
      <c r="DG82" s="611">
        <f t="shared" si="102"/>
        <v>22</v>
      </c>
      <c r="DH82" s="612">
        <f t="shared" si="102"/>
        <v>28.470588235294098</v>
      </c>
      <c r="DI82" s="610">
        <f t="shared" si="111"/>
        <v>154.28535486167459</v>
      </c>
      <c r="DJ82" s="611">
        <f t="shared" si="111"/>
        <v>156.95011455548649</v>
      </c>
      <c r="DK82" s="612">
        <f t="shared" si="111"/>
        <v>163.46570782626085</v>
      </c>
      <c r="DL82" s="613">
        <f t="shared" si="122"/>
        <v>154.28535486167459</v>
      </c>
      <c r="DM82" s="613">
        <f t="shared" si="122"/>
        <v>156.95011455548649</v>
      </c>
      <c r="DN82" s="613">
        <f t="shared" si="122"/>
        <v>163.46570782626085</v>
      </c>
      <c r="DO82" s="609">
        <f t="shared" si="112"/>
        <v>135</v>
      </c>
      <c r="DP82" s="609"/>
      <c r="DQ82" s="609">
        <f t="shared" si="123"/>
        <v>30</v>
      </c>
      <c r="DR82" s="610">
        <f t="shared" si="113"/>
        <v>2.9383971224486074E-2</v>
      </c>
      <c r="DS82" s="611">
        <f t="shared" si="113"/>
        <v>1.3141989101649891E-2</v>
      </c>
      <c r="DT82" s="612">
        <f t="shared" si="113"/>
        <v>1.663861750060389E-3</v>
      </c>
      <c r="DU82" s="611">
        <f t="shared" si="132"/>
        <v>3.0793373724336104E-2</v>
      </c>
      <c r="DV82" s="611">
        <f t="shared" si="132"/>
        <v>1.3859399836917467E-2</v>
      </c>
      <c r="DW82" s="611">
        <f t="shared" si="132"/>
        <v>1.7826505853690896E-3</v>
      </c>
      <c r="DX82" s="614">
        <f t="shared" si="114"/>
        <v>12.5</v>
      </c>
      <c r="DY82" s="615"/>
      <c r="DZ82" s="609">
        <f t="shared" si="124"/>
        <v>30</v>
      </c>
      <c r="EA82" s="611">
        <f t="shared" si="103"/>
        <v>2.1229300000000002</v>
      </c>
      <c r="EB82" s="611">
        <f t="shared" si="103"/>
        <v>1000000</v>
      </c>
      <c r="EC82" s="611">
        <f t="shared" si="103"/>
        <v>1000000</v>
      </c>
      <c r="ED82" s="610">
        <f t="shared" si="104"/>
        <v>0.22002999999999975</v>
      </c>
      <c r="EE82" s="611">
        <f t="shared" si="104"/>
        <v>0.22005999999999976</v>
      </c>
      <c r="EF82" s="612">
        <f t="shared" si="104"/>
        <v>0.22012499999999974</v>
      </c>
      <c r="EG82" s="611">
        <f t="shared" si="115"/>
        <v>2.3429600000000002</v>
      </c>
      <c r="EH82" s="611">
        <f t="shared" si="115"/>
        <v>1000000.22006</v>
      </c>
      <c r="EI82" s="611">
        <f t="shared" si="115"/>
        <v>1000000.220125</v>
      </c>
      <c r="EJ82" s="610">
        <f t="shared" si="125"/>
        <v>2.2999999999999998</v>
      </c>
      <c r="EK82" s="643">
        <f t="shared" si="126"/>
        <v>2.25</v>
      </c>
      <c r="EL82" s="644">
        <f t="shared" si="127"/>
        <v>2.83</v>
      </c>
      <c r="EN82" s="620">
        <f t="shared" si="128"/>
        <v>16.354166666666668</v>
      </c>
      <c r="EO82" s="621">
        <f t="shared" si="40"/>
        <v>76.423533016877073</v>
      </c>
      <c r="EP82" s="621">
        <f t="shared" si="40"/>
        <v>91.057677710934826</v>
      </c>
      <c r="EQ82" s="621">
        <f t="shared" si="40"/>
        <v>103.03601119394745</v>
      </c>
      <c r="ER82" s="610">
        <f t="shared" si="116"/>
        <v>38.548943370896097</v>
      </c>
      <c r="ES82" s="611">
        <f t="shared" si="116"/>
        <v>63.258236573154008</v>
      </c>
      <c r="ET82" s="612">
        <f t="shared" si="116"/>
        <v>87.441226193683491</v>
      </c>
      <c r="EU82" s="610">
        <f t="shared" si="129"/>
        <v>100</v>
      </c>
      <c r="EV82" s="611">
        <f t="shared" si="130"/>
        <v>135</v>
      </c>
      <c r="EW82" s="645">
        <f t="shared" si="131"/>
        <v>-1000000</v>
      </c>
      <c r="EX82" s="610">
        <f t="shared" si="117"/>
        <v>-37.874589645980976</v>
      </c>
      <c r="EY82" s="621">
        <f t="shared" si="118"/>
        <v>-27.799441137780818</v>
      </c>
      <c r="EZ82" s="612">
        <f t="shared" si="119"/>
        <v>-15.594785000263954</v>
      </c>
      <c r="FA82" s="646">
        <f t="shared" si="120"/>
        <v>16.354166666666668</v>
      </c>
      <c r="FB82" s="317"/>
      <c r="FC82" s="552"/>
      <c r="FD82" s="552"/>
      <c r="FE82" s="552"/>
      <c r="FF82" s="552"/>
      <c r="FG82" s="552"/>
      <c r="FH82" s="552"/>
      <c r="FI82" s="552"/>
      <c r="FJ82" s="552"/>
      <c r="FK82" s="552"/>
      <c r="FL82" s="552"/>
      <c r="FM82" s="552"/>
      <c r="FN82" s="552"/>
      <c r="FO82" s="552"/>
      <c r="FP82" s="552"/>
      <c r="FQ82" s="552"/>
      <c r="FR82" s="552"/>
      <c r="FS82" s="552"/>
      <c r="FT82" s="552"/>
    </row>
    <row r="83" spans="2:176" s="564" customFormat="1" ht="15" customHeight="1" x14ac:dyDescent="0.2">
      <c r="B83" s="647">
        <f t="shared" si="134"/>
        <v>24</v>
      </c>
      <c r="C83" s="652">
        <f>$G$9</f>
        <v>114.4</v>
      </c>
      <c r="D83" s="771">
        <f>$B$9</f>
        <v>1.81</v>
      </c>
      <c r="E83" s="772">
        <f t="shared" si="49"/>
        <v>4.7666666666666666</v>
      </c>
      <c r="F83" s="689"/>
      <c r="G83" s="747">
        <f t="shared" si="50"/>
        <v>1.8334952845057124</v>
      </c>
      <c r="H83" s="748">
        <f t="shared" si="60"/>
        <v>5.5202839400436763E-4</v>
      </c>
      <c r="I83" s="689"/>
      <c r="J83" s="773">
        <f t="shared" si="82"/>
        <v>46</v>
      </c>
      <c r="K83" s="774">
        <f t="shared" si="61"/>
        <v>51.75</v>
      </c>
      <c r="L83" s="747">
        <f t="shared" si="106"/>
        <v>2.0713366486486486</v>
      </c>
      <c r="M83" s="751">
        <f t="shared" si="106"/>
        <v>2.0678064189189191</v>
      </c>
      <c r="N83" s="751">
        <f t="shared" si="106"/>
        <v>2.0617096283783782</v>
      </c>
      <c r="O83" s="751">
        <f t="shared" si="106"/>
        <v>2.0556128378378378</v>
      </c>
      <c r="P83" s="751">
        <f t="shared" si="106"/>
        <v>2.0439027027027028</v>
      </c>
      <c r="Q83" s="751">
        <f t="shared" si="106"/>
        <v>2.0370699999999999</v>
      </c>
      <c r="R83" s="751">
        <f t="shared" si="106"/>
        <v>2.0110283783783784</v>
      </c>
      <c r="S83" s="751">
        <f t="shared" si="106"/>
        <v>1.999631945945946</v>
      </c>
      <c r="T83" s="752">
        <f t="shared" si="106"/>
        <v>1.9833108108108108</v>
      </c>
      <c r="U83" s="753">
        <f t="shared" si="106"/>
        <v>1.8775972972972974</v>
      </c>
      <c r="W83" s="773">
        <f t="shared" si="63"/>
        <v>51.75</v>
      </c>
      <c r="X83" s="775">
        <f t="shared" si="107"/>
        <v>-7.3357260512008582E-2</v>
      </c>
      <c r="Y83" s="776">
        <f t="shared" si="107"/>
        <v>-7.3361824400897474E-2</v>
      </c>
      <c r="Z83" s="776">
        <f t="shared" si="107"/>
        <v>-7.3369706345341915E-2</v>
      </c>
      <c r="AA83" s="776">
        <f t="shared" si="107"/>
        <v>-7.3377588289786355E-2</v>
      </c>
      <c r="AB83" s="776">
        <f t="shared" si="107"/>
        <v>-7.3392727178675246E-2</v>
      </c>
      <c r="AC83" s="776">
        <f t="shared" si="107"/>
        <v>-7.3401560512008579E-2</v>
      </c>
      <c r="AD83" s="776">
        <f t="shared" si="107"/>
        <v>-7.3435227178675247E-2</v>
      </c>
      <c r="AE83" s="776">
        <f t="shared" si="107"/>
        <v>-7.3449960512008583E-2</v>
      </c>
      <c r="AF83" s="777">
        <f t="shared" si="107"/>
        <v>-7.3471060512008579E-2</v>
      </c>
      <c r="AG83" s="778">
        <f t="shared" si="107"/>
        <v>-7.3607727178675239E-2</v>
      </c>
      <c r="AI83" s="773">
        <f t="shared" si="65"/>
        <v>51.75</v>
      </c>
      <c r="AJ83" s="747">
        <f t="shared" si="99"/>
        <v>1.9979793881366401</v>
      </c>
      <c r="AK83" s="751">
        <f t="shared" si="99"/>
        <v>1.9944445945180216</v>
      </c>
      <c r="AL83" s="751">
        <f t="shared" si="99"/>
        <v>1.9883399220330362</v>
      </c>
      <c r="AM83" s="751">
        <f t="shared" si="99"/>
        <v>1.9822352495480513</v>
      </c>
      <c r="AN83" s="751">
        <f t="shared" si="99"/>
        <v>1.9705099755240276</v>
      </c>
      <c r="AO83" s="751">
        <f t="shared" si="97"/>
        <v>1.9636684394879913</v>
      </c>
      <c r="AP83" s="751">
        <f t="shared" si="97"/>
        <v>1.9375931511997031</v>
      </c>
      <c r="AQ83" s="751">
        <f t="shared" si="97"/>
        <v>1.9261819854339373</v>
      </c>
      <c r="AR83" s="752">
        <f t="shared" si="97"/>
        <v>1.9098397502988023</v>
      </c>
      <c r="AS83" s="751">
        <f t="shared" si="97"/>
        <v>1.8039895701186222</v>
      </c>
      <c r="AT83" s="674">
        <f t="shared" si="66"/>
        <v>1.75</v>
      </c>
      <c r="AU83" s="712">
        <f t="shared" si="67"/>
        <v>1.8</v>
      </c>
      <c r="AV83" s="712">
        <f t="shared" si="68"/>
        <v>1.81</v>
      </c>
      <c r="AW83" s="712">
        <f t="shared" si="69"/>
        <v>1.83</v>
      </c>
      <c r="AX83" s="712">
        <f t="shared" si="70"/>
        <v>1.84</v>
      </c>
      <c r="AY83" s="712">
        <f t="shared" si="71"/>
        <v>1.86</v>
      </c>
      <c r="AZ83" s="712">
        <f t="shared" si="72"/>
        <v>1.88</v>
      </c>
      <c r="BA83" s="712">
        <f t="shared" si="73"/>
        <v>1.9</v>
      </c>
      <c r="BB83" s="712">
        <f t="shared" si="74"/>
        <v>1.92</v>
      </c>
      <c r="BC83" s="779">
        <f t="shared" si="75"/>
        <v>1000000</v>
      </c>
      <c r="BD83" s="780">
        <f t="shared" si="76"/>
        <v>-1000000</v>
      </c>
      <c r="BF83" s="781">
        <f t="shared" si="108"/>
        <v>1.9982721919295554</v>
      </c>
      <c r="BG83" s="767">
        <f t="shared" si="108"/>
        <v>1.9747608501160749</v>
      </c>
      <c r="BH83" s="767">
        <f t="shared" si="108"/>
        <v>1.924903834710858</v>
      </c>
      <c r="BI83" s="767">
        <f t="shared" si="108"/>
        <v>2.1838618933519065</v>
      </c>
      <c r="BJ83" s="767">
        <f t="shared" si="108"/>
        <v>2.0187537728832039</v>
      </c>
      <c r="BK83" s="767">
        <f t="shared" si="108"/>
        <v>2.0107193302028739</v>
      </c>
      <c r="BL83" s="767">
        <f t="shared" si="108"/>
        <v>2.0018417395929848</v>
      </c>
      <c r="BM83" s="767">
        <f t="shared" si="108"/>
        <v>2.0004697132231453</v>
      </c>
      <c r="BN83" s="767">
        <f t="shared" si="108"/>
        <v>1.9992329939243225</v>
      </c>
      <c r="BO83" s="782">
        <f t="shared" si="108"/>
        <v>1.9965696278505136</v>
      </c>
      <c r="BP83" s="781">
        <f t="shared" si="100"/>
        <v>1.9982721919295554</v>
      </c>
      <c r="BQ83" s="767">
        <f t="shared" si="100"/>
        <v>1.9747608501160749</v>
      </c>
      <c r="BR83" s="767">
        <f t="shared" si="100"/>
        <v>1.924903834710858</v>
      </c>
      <c r="BS83" s="767">
        <f t="shared" si="100"/>
        <v>-1000000</v>
      </c>
      <c r="BT83" s="767">
        <f t="shared" si="100"/>
        <v>-1000000</v>
      </c>
      <c r="BU83" s="767">
        <f t="shared" si="98"/>
        <v>-1000000</v>
      </c>
      <c r="BV83" s="767">
        <f t="shared" si="98"/>
        <v>-1000000</v>
      </c>
      <c r="BW83" s="767">
        <f t="shared" si="98"/>
        <v>-1000000</v>
      </c>
      <c r="BX83" s="767">
        <f t="shared" si="98"/>
        <v>-1000000</v>
      </c>
      <c r="BY83" s="767">
        <f t="shared" si="98"/>
        <v>-1000000</v>
      </c>
      <c r="BZ83" s="648">
        <f t="shared" si="56"/>
        <v>46</v>
      </c>
      <c r="CA83" s="767">
        <f t="shared" si="105"/>
        <v>1.9982721919295554</v>
      </c>
      <c r="CB83" s="767">
        <f t="shared" si="105"/>
        <v>1.9747608501160749</v>
      </c>
      <c r="CC83" s="767">
        <f t="shared" si="105"/>
        <v>1.924903834710858</v>
      </c>
      <c r="CD83" s="767"/>
      <c r="CE83" s="767"/>
      <c r="CF83" s="767"/>
      <c r="CG83" s="767"/>
      <c r="CH83" s="767"/>
      <c r="CI83" s="767"/>
      <c r="CJ83" s="767"/>
      <c r="CK83" s="781">
        <f t="shared" si="58"/>
        <v>1.75</v>
      </c>
      <c r="CL83" s="783">
        <f t="shared" si="78"/>
        <v>1000000</v>
      </c>
      <c r="CM83" s="552"/>
      <c r="CN83" s="552"/>
      <c r="CO83" s="552"/>
      <c r="CP83" s="552"/>
      <c r="CQ83" s="552"/>
      <c r="CR83" s="552"/>
      <c r="CS83" s="552"/>
      <c r="CT83" s="552"/>
      <c r="CU83" s="552"/>
      <c r="CV83" s="552"/>
      <c r="CW83" s="552"/>
      <c r="CX83" s="552"/>
      <c r="CY83" s="552"/>
      <c r="CZ83" s="642">
        <f t="shared" si="133"/>
        <v>76</v>
      </c>
      <c r="DA83" s="609">
        <f t="shared" si="110"/>
        <v>85.5</v>
      </c>
      <c r="DB83" s="609">
        <f t="shared" si="121"/>
        <v>30.4</v>
      </c>
      <c r="DC83" s="610">
        <f t="shared" si="101"/>
        <v>134.88481386895586</v>
      </c>
      <c r="DD83" s="611">
        <f t="shared" si="101"/>
        <v>134.95510385546612</v>
      </c>
      <c r="DE83" s="612">
        <f t="shared" si="101"/>
        <v>134.99574174967393</v>
      </c>
      <c r="DF83" s="610">
        <f t="shared" si="102"/>
        <v>19.411764705882348</v>
      </c>
      <c r="DG83" s="611">
        <f t="shared" si="102"/>
        <v>22</v>
      </c>
      <c r="DH83" s="612">
        <f t="shared" si="102"/>
        <v>28.470588235294098</v>
      </c>
      <c r="DI83" s="610">
        <f t="shared" si="111"/>
        <v>154.29657857483821</v>
      </c>
      <c r="DJ83" s="611">
        <f t="shared" si="111"/>
        <v>156.95510385546612</v>
      </c>
      <c r="DK83" s="612">
        <f t="shared" si="111"/>
        <v>163.46632998496801</v>
      </c>
      <c r="DL83" s="613">
        <f t="shared" si="122"/>
        <v>154.29657857483821</v>
      </c>
      <c r="DM83" s="613">
        <f t="shared" si="122"/>
        <v>156.95510385546612</v>
      </c>
      <c r="DN83" s="613">
        <f t="shared" si="122"/>
        <v>163.46632998496801</v>
      </c>
      <c r="DO83" s="609">
        <f t="shared" si="112"/>
        <v>135</v>
      </c>
      <c r="DP83" s="609"/>
      <c r="DQ83" s="609">
        <f t="shared" si="123"/>
        <v>30.4</v>
      </c>
      <c r="DR83" s="610">
        <f t="shared" si="113"/>
        <v>2.6775018838713183E-2</v>
      </c>
      <c r="DS83" s="611">
        <f t="shared" si="113"/>
        <v>1.1827591152584116E-2</v>
      </c>
      <c r="DT83" s="612">
        <f t="shared" si="113"/>
        <v>1.4517512346809225E-3</v>
      </c>
      <c r="DU83" s="611">
        <f t="shared" si="132"/>
        <v>2.8059282909041017E-2</v>
      </c>
      <c r="DV83" s="611">
        <f t="shared" si="132"/>
        <v>1.2473249949067667E-2</v>
      </c>
      <c r="DW83" s="611">
        <f t="shared" si="132"/>
        <v>1.5553967678982926E-3</v>
      </c>
      <c r="DX83" s="614">
        <f t="shared" si="114"/>
        <v>12.5</v>
      </c>
      <c r="DY83" s="615"/>
      <c r="DZ83" s="609">
        <f t="shared" si="124"/>
        <v>30.4</v>
      </c>
      <c r="EA83" s="611">
        <f t="shared" si="103"/>
        <v>2.1241061643835617</v>
      </c>
      <c r="EB83" s="611">
        <f t="shared" si="103"/>
        <v>1000000</v>
      </c>
      <c r="EC83" s="611">
        <f t="shared" si="103"/>
        <v>1000000</v>
      </c>
      <c r="ED83" s="610">
        <f t="shared" si="104"/>
        <v>0.22002999999999975</v>
      </c>
      <c r="EE83" s="611">
        <f t="shared" si="104"/>
        <v>0.22005999999999976</v>
      </c>
      <c r="EF83" s="612">
        <f t="shared" si="104"/>
        <v>0.22012499999999974</v>
      </c>
      <c r="EG83" s="611">
        <f t="shared" si="115"/>
        <v>2.3441361643835616</v>
      </c>
      <c r="EH83" s="611">
        <f t="shared" si="115"/>
        <v>1000000.22006</v>
      </c>
      <c r="EI83" s="611">
        <f t="shared" si="115"/>
        <v>1000000.220125</v>
      </c>
      <c r="EJ83" s="610">
        <f t="shared" si="125"/>
        <v>2.2999999999999998</v>
      </c>
      <c r="EK83" s="643">
        <f t="shared" si="126"/>
        <v>2.25</v>
      </c>
      <c r="EL83" s="644">
        <f t="shared" si="127"/>
        <v>2.83</v>
      </c>
      <c r="EN83" s="620">
        <f t="shared" si="128"/>
        <v>16.572222222222223</v>
      </c>
      <c r="EO83" s="621">
        <f t="shared" si="40"/>
        <v>75.643231863996874</v>
      </c>
      <c r="EP83" s="621">
        <f t="shared" si="40"/>
        <v>90.472184368987783</v>
      </c>
      <c r="EQ83" s="621">
        <f t="shared" si="40"/>
        <v>102.61003859509611</v>
      </c>
      <c r="ER83" s="610">
        <f t="shared" si="116"/>
        <v>37.768400725943124</v>
      </c>
      <c r="ES83" s="611">
        <f t="shared" si="116"/>
        <v>62.602279634953327</v>
      </c>
      <c r="ET83" s="612">
        <f t="shared" si="116"/>
        <v>86.774463747016213</v>
      </c>
      <c r="EU83" s="610">
        <f t="shared" si="129"/>
        <v>100</v>
      </c>
      <c r="EV83" s="611">
        <f t="shared" si="130"/>
        <v>135</v>
      </c>
      <c r="EW83" s="645">
        <f t="shared" si="131"/>
        <v>-1000000</v>
      </c>
      <c r="EX83" s="610">
        <f t="shared" si="117"/>
        <v>-37.87483113805375</v>
      </c>
      <c r="EY83" s="621">
        <f t="shared" si="118"/>
        <v>-27.869904734034456</v>
      </c>
      <c r="EZ83" s="612">
        <f t="shared" si="119"/>
        <v>-15.835574848079901</v>
      </c>
      <c r="FA83" s="646">
        <f t="shared" si="120"/>
        <v>16.572222222222223</v>
      </c>
      <c r="FB83" s="317"/>
      <c r="FC83" s="552"/>
      <c r="FD83" s="552"/>
      <c r="FE83" s="552"/>
      <c r="FF83" s="552"/>
      <c r="FG83" s="552"/>
      <c r="FH83" s="552"/>
      <c r="FI83" s="552"/>
      <c r="FJ83" s="552"/>
      <c r="FK83" s="552"/>
      <c r="FL83" s="552"/>
      <c r="FM83" s="552"/>
      <c r="FN83" s="552"/>
      <c r="FO83" s="552"/>
      <c r="FP83" s="552"/>
      <c r="FQ83" s="552"/>
      <c r="FR83" s="552"/>
      <c r="FS83" s="552"/>
      <c r="FT83" s="552"/>
    </row>
    <row r="84" spans="2:176" s="564" customFormat="1" ht="15" customHeight="1" x14ac:dyDescent="0.2">
      <c r="B84" s="647">
        <f t="shared" si="134"/>
        <v>24</v>
      </c>
      <c r="C84" s="652">
        <f>$G$10</f>
        <v>113</v>
      </c>
      <c r="D84" s="771">
        <f>$B$10</f>
        <v>1.83</v>
      </c>
      <c r="E84" s="772">
        <f t="shared" si="49"/>
        <v>4.708333333333333</v>
      </c>
      <c r="F84" s="689"/>
      <c r="G84" s="747">
        <f t="shared" si="50"/>
        <v>1.844782902508054</v>
      </c>
      <c r="H84" s="748">
        <f t="shared" si="60"/>
        <v>2.1853420656262686E-4</v>
      </c>
      <c r="I84" s="689"/>
      <c r="J84" s="773">
        <f t="shared" si="82"/>
        <v>47</v>
      </c>
      <c r="K84" s="774">
        <f t="shared" si="61"/>
        <v>52.875</v>
      </c>
      <c r="L84" s="747">
        <f t="shared" si="106"/>
        <v>2.07121797260274</v>
      </c>
      <c r="M84" s="751">
        <f t="shared" si="106"/>
        <v>2.067639383561644</v>
      </c>
      <c r="N84" s="751">
        <f t="shared" si="106"/>
        <v>2.0614590753424658</v>
      </c>
      <c r="O84" s="751">
        <f t="shared" si="106"/>
        <v>2.0552787671232879</v>
      </c>
      <c r="P84" s="751">
        <f t="shared" si="106"/>
        <v>2.0434082191780822</v>
      </c>
      <c r="Q84" s="751">
        <f t="shared" si="106"/>
        <v>2.0364819178082194</v>
      </c>
      <c r="R84" s="751">
        <f t="shared" si="106"/>
        <v>2.0100835616438357</v>
      </c>
      <c r="S84" s="751">
        <f t="shared" si="106"/>
        <v>1.9985310136986303</v>
      </c>
      <c r="T84" s="752">
        <f t="shared" si="106"/>
        <v>1.9819863013698631</v>
      </c>
      <c r="U84" s="753">
        <f t="shared" si="106"/>
        <v>1.8748246575342467</v>
      </c>
      <c r="W84" s="773">
        <f t="shared" si="63"/>
        <v>52.875</v>
      </c>
      <c r="X84" s="775">
        <f t="shared" si="107"/>
        <v>-7.4632944133437767E-2</v>
      </c>
      <c r="Y84" s="776">
        <f t="shared" si="107"/>
        <v>-7.463750802232666E-2</v>
      </c>
      <c r="Z84" s="776">
        <f t="shared" si="107"/>
        <v>-7.46453899667711E-2</v>
      </c>
      <c r="AA84" s="776">
        <f t="shared" si="107"/>
        <v>-7.4653271911215541E-2</v>
      </c>
      <c r="AB84" s="776">
        <f t="shared" si="107"/>
        <v>-7.4668410800104432E-2</v>
      </c>
      <c r="AC84" s="776">
        <f t="shared" si="107"/>
        <v>-7.4677244133437765E-2</v>
      </c>
      <c r="AD84" s="776">
        <f t="shared" si="107"/>
        <v>-7.4710910800104433E-2</v>
      </c>
      <c r="AE84" s="776">
        <f t="shared" si="107"/>
        <v>-7.4725644133437769E-2</v>
      </c>
      <c r="AF84" s="777">
        <f t="shared" si="107"/>
        <v>-7.4746744133437765E-2</v>
      </c>
      <c r="AG84" s="778">
        <f t="shared" si="107"/>
        <v>-7.4883410800104425E-2</v>
      </c>
      <c r="AI84" s="773">
        <f t="shared" si="65"/>
        <v>52.875</v>
      </c>
      <c r="AJ84" s="747">
        <f t="shared" si="99"/>
        <v>1.9965850284693023</v>
      </c>
      <c r="AK84" s="751">
        <f t="shared" si="99"/>
        <v>1.9930018755393173</v>
      </c>
      <c r="AL84" s="751">
        <f t="shared" si="99"/>
        <v>1.9868136853756946</v>
      </c>
      <c r="AM84" s="751">
        <f t="shared" si="99"/>
        <v>1.9806254952120723</v>
      </c>
      <c r="AN84" s="751">
        <f t="shared" si="99"/>
        <v>1.9687398083779779</v>
      </c>
      <c r="AO84" s="751">
        <f t="shared" si="97"/>
        <v>1.9618046736747816</v>
      </c>
      <c r="AP84" s="751">
        <f t="shared" si="97"/>
        <v>1.9353726508437312</v>
      </c>
      <c r="AQ84" s="751">
        <f t="shared" si="97"/>
        <v>1.9238053695651924</v>
      </c>
      <c r="AR84" s="752">
        <f t="shared" si="97"/>
        <v>1.9072395572364254</v>
      </c>
      <c r="AS84" s="751">
        <f t="shared" si="97"/>
        <v>1.7999412467341422</v>
      </c>
      <c r="AT84" s="674">
        <f t="shared" si="66"/>
        <v>1.75</v>
      </c>
      <c r="AU84" s="712">
        <f t="shared" si="67"/>
        <v>1.8</v>
      </c>
      <c r="AV84" s="712">
        <f t="shared" si="68"/>
        <v>1.81</v>
      </c>
      <c r="AW84" s="712">
        <f t="shared" si="69"/>
        <v>1.83</v>
      </c>
      <c r="AX84" s="712">
        <f t="shared" si="70"/>
        <v>1.84</v>
      </c>
      <c r="AY84" s="712">
        <f t="shared" si="71"/>
        <v>1.86</v>
      </c>
      <c r="AZ84" s="712">
        <f t="shared" si="72"/>
        <v>1.88</v>
      </c>
      <c r="BA84" s="712">
        <f t="shared" si="73"/>
        <v>1.9</v>
      </c>
      <c r="BB84" s="712">
        <f t="shared" si="74"/>
        <v>1.92</v>
      </c>
      <c r="BC84" s="779">
        <f t="shared" si="75"/>
        <v>1000000</v>
      </c>
      <c r="BD84" s="780">
        <f t="shared" si="76"/>
        <v>-1000000</v>
      </c>
      <c r="BF84" s="781">
        <f t="shared" si="108"/>
        <v>1.9968711994513544</v>
      </c>
      <c r="BG84" s="767">
        <f t="shared" si="108"/>
        <v>1.973651830585748</v>
      </c>
      <c r="BH84" s="767">
        <f t="shared" si="108"/>
        <v>1.9189565061681866</v>
      </c>
      <c r="BI84" s="767">
        <f t="shared" si="108"/>
        <v>2.1353842265861318</v>
      </c>
      <c r="BJ84" s="767">
        <f t="shared" si="108"/>
        <v>2.0166634753340187</v>
      </c>
      <c r="BK84" s="767">
        <f t="shared" si="108"/>
        <v>2.0094086383542402</v>
      </c>
      <c r="BL84" s="767">
        <f t="shared" si="108"/>
        <v>2.0011867775861538</v>
      </c>
      <c r="BM84" s="767">
        <f t="shared" si="108"/>
        <v>1.9998960135349029</v>
      </c>
      <c r="BN84" s="767">
        <f t="shared" si="108"/>
        <v>1.9987276338660429</v>
      </c>
      <c r="BO84" s="782">
        <f t="shared" si="108"/>
        <v>1.9961927863913054</v>
      </c>
      <c r="BP84" s="781">
        <f t="shared" si="100"/>
        <v>1.9968711994513544</v>
      </c>
      <c r="BQ84" s="767">
        <f t="shared" si="100"/>
        <v>1.973651830585748</v>
      </c>
      <c r="BR84" s="767">
        <f t="shared" si="100"/>
        <v>1.9189565061681866</v>
      </c>
      <c r="BS84" s="767">
        <f t="shared" si="100"/>
        <v>-1000000</v>
      </c>
      <c r="BT84" s="767">
        <f t="shared" si="100"/>
        <v>-1000000</v>
      </c>
      <c r="BU84" s="767">
        <f t="shared" si="98"/>
        <v>-1000000</v>
      </c>
      <c r="BV84" s="767">
        <f t="shared" si="98"/>
        <v>-1000000</v>
      </c>
      <c r="BW84" s="767">
        <f t="shared" si="98"/>
        <v>-1000000</v>
      </c>
      <c r="BX84" s="767">
        <f t="shared" si="98"/>
        <v>-1000000</v>
      </c>
      <c r="BY84" s="767">
        <f t="shared" si="98"/>
        <v>-1000000</v>
      </c>
      <c r="BZ84" s="648">
        <f t="shared" si="56"/>
        <v>47</v>
      </c>
      <c r="CA84" s="767">
        <f t="shared" ref="CA84:CC99" si="135">IF(BP84&lt;0,-1000000,BP84)</f>
        <v>1.9968711994513544</v>
      </c>
      <c r="CB84" s="767">
        <f t="shared" si="135"/>
        <v>1.973651830585748</v>
      </c>
      <c r="CC84" s="767">
        <f t="shared" si="135"/>
        <v>1.9189565061681866</v>
      </c>
      <c r="CD84" s="767"/>
      <c r="CE84" s="767"/>
      <c r="CF84" s="767"/>
      <c r="CG84" s="767"/>
      <c r="CH84" s="767"/>
      <c r="CI84" s="767"/>
      <c r="CJ84" s="767"/>
      <c r="CK84" s="781">
        <f t="shared" si="58"/>
        <v>1.75</v>
      </c>
      <c r="CL84" s="783">
        <f t="shared" si="78"/>
        <v>1000000</v>
      </c>
      <c r="CM84" s="552"/>
      <c r="CN84" s="552"/>
      <c r="CO84" s="552"/>
      <c r="CP84" s="552"/>
      <c r="CQ84" s="552"/>
      <c r="CR84" s="552"/>
      <c r="CS84" s="552"/>
      <c r="CT84" s="552"/>
      <c r="CU84" s="552"/>
      <c r="CV84" s="552"/>
      <c r="CW84" s="552"/>
      <c r="CX84" s="552"/>
      <c r="CY84" s="552"/>
      <c r="CZ84" s="642">
        <f t="shared" si="133"/>
        <v>77</v>
      </c>
      <c r="DA84" s="609">
        <f t="shared" si="110"/>
        <v>86.625</v>
      </c>
      <c r="DB84" s="609">
        <f t="shared" si="121"/>
        <v>30.800000000000004</v>
      </c>
      <c r="DC84" s="610">
        <f t="shared" si="101"/>
        <v>134.89504104788617</v>
      </c>
      <c r="DD84" s="611">
        <f t="shared" si="101"/>
        <v>134.95959414988346</v>
      </c>
      <c r="DE84" s="612">
        <f t="shared" si="101"/>
        <v>134.99628459505828</v>
      </c>
      <c r="DF84" s="610">
        <f t="shared" si="102"/>
        <v>19.411764705882348</v>
      </c>
      <c r="DG84" s="611">
        <f t="shared" si="102"/>
        <v>22</v>
      </c>
      <c r="DH84" s="612">
        <f t="shared" si="102"/>
        <v>28.470588235294098</v>
      </c>
      <c r="DI84" s="610">
        <f t="shared" si="111"/>
        <v>154.30680575376851</v>
      </c>
      <c r="DJ84" s="611">
        <f t="shared" si="111"/>
        <v>156.95959414988346</v>
      </c>
      <c r="DK84" s="612">
        <f t="shared" si="111"/>
        <v>163.46687283035237</v>
      </c>
      <c r="DL84" s="613">
        <f t="shared" si="122"/>
        <v>154.30680575376851</v>
      </c>
      <c r="DM84" s="613">
        <f t="shared" si="122"/>
        <v>156.95959414988346</v>
      </c>
      <c r="DN84" s="613">
        <f t="shared" si="122"/>
        <v>163.46687283035237</v>
      </c>
      <c r="DO84" s="609">
        <f t="shared" si="112"/>
        <v>135</v>
      </c>
      <c r="DP84" s="609"/>
      <c r="DQ84" s="609">
        <f t="shared" si="123"/>
        <v>30.800000000000004</v>
      </c>
      <c r="DR84" s="610">
        <f t="shared" si="113"/>
        <v>2.4397710858634399E-2</v>
      </c>
      <c r="DS84" s="611">
        <f t="shared" si="113"/>
        <v>1.0644652905329484E-2</v>
      </c>
      <c r="DT84" s="612">
        <f t="shared" si="113"/>
        <v>1.2666807487587747E-3</v>
      </c>
      <c r="DU84" s="611">
        <f t="shared" si="132"/>
        <v>2.556794732576825E-2</v>
      </c>
      <c r="DV84" s="611">
        <f t="shared" si="132"/>
        <v>1.1225736043343044E-2</v>
      </c>
      <c r="DW84" s="611">
        <f t="shared" si="132"/>
        <v>1.3571134608980435E-3</v>
      </c>
      <c r="DX84" s="614">
        <f t="shared" si="114"/>
        <v>12.5</v>
      </c>
      <c r="DY84" s="615"/>
      <c r="DZ84" s="609">
        <f t="shared" si="124"/>
        <v>30.800000000000004</v>
      </c>
      <c r="EA84" s="611">
        <f t="shared" si="103"/>
        <v>2.125348591549296</v>
      </c>
      <c r="EB84" s="611">
        <f t="shared" si="103"/>
        <v>1000000</v>
      </c>
      <c r="EC84" s="611">
        <f t="shared" si="103"/>
        <v>1000000</v>
      </c>
      <c r="ED84" s="610">
        <f t="shared" si="104"/>
        <v>0.22002999999999975</v>
      </c>
      <c r="EE84" s="611">
        <f t="shared" si="104"/>
        <v>0.22005999999999976</v>
      </c>
      <c r="EF84" s="612">
        <f t="shared" si="104"/>
        <v>0.22012499999999974</v>
      </c>
      <c r="EG84" s="611">
        <f t="shared" si="115"/>
        <v>2.345378591549296</v>
      </c>
      <c r="EH84" s="611">
        <f t="shared" si="115"/>
        <v>1000000.22006</v>
      </c>
      <c r="EI84" s="611">
        <f t="shared" si="115"/>
        <v>1000000.220125</v>
      </c>
      <c r="EJ84" s="610">
        <f t="shared" si="125"/>
        <v>2.2999999999999998</v>
      </c>
      <c r="EK84" s="643">
        <f t="shared" si="126"/>
        <v>2.25</v>
      </c>
      <c r="EL84" s="644">
        <f t="shared" si="127"/>
        <v>2.83</v>
      </c>
      <c r="EN84" s="620">
        <f t="shared" si="128"/>
        <v>16.790277777777781</v>
      </c>
      <c r="EO84" s="621">
        <f t="shared" si="40"/>
        <v>74.862949598942819</v>
      </c>
      <c r="EP84" s="621">
        <f t="shared" si="40"/>
        <v>89.886701658775863</v>
      </c>
      <c r="EQ84" s="621">
        <f t="shared" si="40"/>
        <v>102.18407162281784</v>
      </c>
      <c r="ER84" s="610">
        <f t="shared" si="116"/>
        <v>36.987908166025846</v>
      </c>
      <c r="ES84" s="611">
        <f t="shared" si="116"/>
        <v>61.949550085262402</v>
      </c>
      <c r="ET84" s="612">
        <f t="shared" si="116"/>
        <v>86.111870946941977</v>
      </c>
      <c r="EU84" s="610">
        <f t="shared" si="129"/>
        <v>100</v>
      </c>
      <c r="EV84" s="611">
        <f t="shared" si="130"/>
        <v>135</v>
      </c>
      <c r="EW84" s="645">
        <f t="shared" si="131"/>
        <v>-1000000</v>
      </c>
      <c r="EX84" s="610">
        <f t="shared" si="117"/>
        <v>-37.875041432916973</v>
      </c>
      <c r="EY84" s="621">
        <f t="shared" si="118"/>
        <v>-27.937151573513461</v>
      </c>
      <c r="EZ84" s="612">
        <f t="shared" si="119"/>
        <v>-16.072200675875862</v>
      </c>
      <c r="FA84" s="646">
        <f t="shared" si="120"/>
        <v>16.790277777777781</v>
      </c>
      <c r="FB84" s="317"/>
      <c r="FC84" s="552"/>
      <c r="FD84" s="552"/>
      <c r="FE84" s="552"/>
      <c r="FF84" s="552"/>
      <c r="FG84" s="552"/>
      <c r="FH84" s="552"/>
      <c r="FI84" s="552"/>
      <c r="FJ84" s="552"/>
      <c r="FK84" s="552"/>
      <c r="FL84" s="552"/>
      <c r="FM84" s="552"/>
      <c r="FN84" s="552"/>
      <c r="FO84" s="552"/>
      <c r="FP84" s="552"/>
      <c r="FQ84" s="552"/>
      <c r="FR84" s="552"/>
      <c r="FS84" s="552"/>
      <c r="FT84" s="552"/>
    </row>
    <row r="85" spans="2:176" s="564" customFormat="1" ht="15" customHeight="1" x14ac:dyDescent="0.2">
      <c r="B85" s="785">
        <f t="shared" si="134"/>
        <v>24</v>
      </c>
      <c r="C85" s="786">
        <f>$G$11</f>
        <v>112</v>
      </c>
      <c r="D85" s="787">
        <f>$B$11</f>
        <v>1.84</v>
      </c>
      <c r="E85" s="788">
        <f t="shared" si="49"/>
        <v>4.666666666666667</v>
      </c>
      <c r="F85" s="791"/>
      <c r="G85" s="747">
        <f t="shared" si="50"/>
        <v>1.8520153800365717</v>
      </c>
      <c r="H85" s="789">
        <f t="shared" si="60"/>
        <v>1.4436935742324466E-4</v>
      </c>
      <c r="I85" s="689"/>
      <c r="J85" s="773">
        <f t="shared" si="82"/>
        <v>48</v>
      </c>
      <c r="K85" s="774">
        <f t="shared" si="61"/>
        <v>54</v>
      </c>
      <c r="L85" s="747">
        <f t="shared" ref="L85:U100" si="136">$AB$21-($AD$24*L$34)/(1-($K85)/($AB$22))</f>
        <v>2.0710960000000003</v>
      </c>
      <c r="M85" s="751">
        <f t="shared" si="136"/>
        <v>2.0674677083333335</v>
      </c>
      <c r="N85" s="751">
        <f t="shared" si="136"/>
        <v>2.0612015625</v>
      </c>
      <c r="O85" s="751">
        <f t="shared" si="136"/>
        <v>2.0549354166666669</v>
      </c>
      <c r="P85" s="751">
        <f t="shared" si="136"/>
        <v>2.0428999999999999</v>
      </c>
      <c r="Q85" s="751">
        <f t="shared" si="136"/>
        <v>2.0358775000000002</v>
      </c>
      <c r="R85" s="751">
        <f t="shared" si="136"/>
        <v>2.0091125000000001</v>
      </c>
      <c r="S85" s="751">
        <f t="shared" si="136"/>
        <v>1.9973995</v>
      </c>
      <c r="T85" s="752">
        <f t="shared" si="136"/>
        <v>1.9806250000000001</v>
      </c>
      <c r="U85" s="753">
        <f t="shared" si="136"/>
        <v>1.8719749999999999</v>
      </c>
      <c r="W85" s="773">
        <f t="shared" si="63"/>
        <v>54</v>
      </c>
      <c r="X85" s="775">
        <f t="shared" ref="X85:AG100" si="137">$AB$28*(1-(1-EXP(-(($W85)/($AB$23))))/(1-EXP(-1)))-$AD$25*X$34</f>
        <v>-7.5845033773008733E-2</v>
      </c>
      <c r="Y85" s="776">
        <f t="shared" si="137"/>
        <v>-7.5849597661897625E-2</v>
      </c>
      <c r="Z85" s="776">
        <f t="shared" si="137"/>
        <v>-7.5857479606342065E-2</v>
      </c>
      <c r="AA85" s="776">
        <f t="shared" si="137"/>
        <v>-7.5865361550786506E-2</v>
      </c>
      <c r="AB85" s="776">
        <f t="shared" si="137"/>
        <v>-7.5880500439675397E-2</v>
      </c>
      <c r="AC85" s="776">
        <f t="shared" si="137"/>
        <v>-7.588933377300873E-2</v>
      </c>
      <c r="AD85" s="776">
        <f t="shared" si="137"/>
        <v>-7.5923000439675398E-2</v>
      </c>
      <c r="AE85" s="776">
        <f t="shared" si="137"/>
        <v>-7.5937733773008734E-2</v>
      </c>
      <c r="AF85" s="777">
        <f t="shared" si="137"/>
        <v>-7.595883377300873E-2</v>
      </c>
      <c r="AG85" s="778">
        <f t="shared" si="137"/>
        <v>-7.609550043967539E-2</v>
      </c>
      <c r="AI85" s="773">
        <f t="shared" si="65"/>
        <v>54</v>
      </c>
      <c r="AJ85" s="747">
        <f t="shared" si="99"/>
        <v>1.9952509662269915</v>
      </c>
      <c r="AK85" s="751">
        <f t="shared" si="99"/>
        <v>1.9916181106714359</v>
      </c>
      <c r="AL85" s="751">
        <f t="shared" si="99"/>
        <v>1.9853440828936579</v>
      </c>
      <c r="AM85" s="751">
        <f t="shared" si="99"/>
        <v>1.9790700551158804</v>
      </c>
      <c r="AN85" s="751">
        <f t="shared" si="99"/>
        <v>1.9670194995603245</v>
      </c>
      <c r="AO85" s="751">
        <f t="shared" si="97"/>
        <v>1.9599881662269916</v>
      </c>
      <c r="AP85" s="751">
        <f t="shared" si="97"/>
        <v>1.9331894995603247</v>
      </c>
      <c r="AQ85" s="751">
        <f t="shared" si="97"/>
        <v>1.9214617662269913</v>
      </c>
      <c r="AR85" s="752">
        <f t="shared" si="97"/>
        <v>1.9046661662269913</v>
      </c>
      <c r="AS85" s="751">
        <f t="shared" si="97"/>
        <v>1.7958794995603244</v>
      </c>
      <c r="AT85" s="674">
        <f t="shared" si="66"/>
        <v>1.75</v>
      </c>
      <c r="AU85" s="712">
        <f t="shared" si="67"/>
        <v>1.8</v>
      </c>
      <c r="AV85" s="712">
        <f t="shared" si="68"/>
        <v>1.81</v>
      </c>
      <c r="AW85" s="712">
        <f t="shared" si="69"/>
        <v>1.83</v>
      </c>
      <c r="AX85" s="712">
        <f t="shared" si="70"/>
        <v>1.84</v>
      </c>
      <c r="AY85" s="712">
        <f t="shared" si="71"/>
        <v>1.86</v>
      </c>
      <c r="AZ85" s="712">
        <f t="shared" si="72"/>
        <v>1.88</v>
      </c>
      <c r="BA85" s="712">
        <f t="shared" si="73"/>
        <v>1.9</v>
      </c>
      <c r="BB85" s="712">
        <f t="shared" si="74"/>
        <v>1.92</v>
      </c>
      <c r="BC85" s="779">
        <f t="shared" si="75"/>
        <v>1000000</v>
      </c>
      <c r="BD85" s="780">
        <f t="shared" si="76"/>
        <v>-1000000</v>
      </c>
      <c r="BF85" s="781">
        <f t="shared" ref="BF85:BO100" si="138">$AB$21-(($AD$24/(1-(BF$34*$BZ85)/($AB$22)))+$AD$25)*BF$34+$AB$28*(1-(1-EXP(-(BF$34*$BZ85)/($AB$23)))/(1-EXP(-1)))</f>
        <v>1.9955306742695882</v>
      </c>
      <c r="BG85" s="767">
        <f t="shared" si="138"/>
        <v>1.972568082992102</v>
      </c>
      <c r="BH85" s="767">
        <f t="shared" si="138"/>
        <v>1.911763848038315</v>
      </c>
      <c r="BI85" s="767">
        <f t="shared" si="138"/>
        <v>2.1056091448524175</v>
      </c>
      <c r="BJ85" s="767">
        <f t="shared" si="138"/>
        <v>2.0147926415589801</v>
      </c>
      <c r="BK85" s="767">
        <f t="shared" si="138"/>
        <v>2.0082087428248463</v>
      </c>
      <c r="BL85" s="767">
        <f t="shared" si="138"/>
        <v>2.0005716797874937</v>
      </c>
      <c r="BM85" s="767">
        <f t="shared" si="138"/>
        <v>1.9993550903886181</v>
      </c>
      <c r="BN85" s="767">
        <f t="shared" si="138"/>
        <v>1.9982494437035672</v>
      </c>
      <c r="BO85" s="782">
        <f t="shared" si="138"/>
        <v>1.9958335375901688</v>
      </c>
      <c r="BP85" s="781">
        <f t="shared" si="100"/>
        <v>1.9955306742695882</v>
      </c>
      <c r="BQ85" s="767">
        <f t="shared" si="100"/>
        <v>1.972568082992102</v>
      </c>
      <c r="BR85" s="767">
        <f t="shared" si="100"/>
        <v>1.911763848038315</v>
      </c>
      <c r="BS85" s="767">
        <f t="shared" si="100"/>
        <v>-1000000</v>
      </c>
      <c r="BT85" s="767">
        <f t="shared" si="100"/>
        <v>-1000000</v>
      </c>
      <c r="BU85" s="767">
        <f t="shared" si="98"/>
        <v>-1000000</v>
      </c>
      <c r="BV85" s="767">
        <f t="shared" si="98"/>
        <v>-1000000</v>
      </c>
      <c r="BW85" s="767">
        <f t="shared" si="98"/>
        <v>-1000000</v>
      </c>
      <c r="BX85" s="767">
        <f t="shared" si="98"/>
        <v>-1000000</v>
      </c>
      <c r="BY85" s="767">
        <f t="shared" si="98"/>
        <v>-1000000</v>
      </c>
      <c r="BZ85" s="648">
        <f t="shared" si="56"/>
        <v>48</v>
      </c>
      <c r="CA85" s="767">
        <f t="shared" si="135"/>
        <v>1.9955306742695882</v>
      </c>
      <c r="CB85" s="767">
        <f t="shared" si="135"/>
        <v>1.972568082992102</v>
      </c>
      <c r="CC85" s="767">
        <f t="shared" si="135"/>
        <v>1.911763848038315</v>
      </c>
      <c r="CD85" s="767"/>
      <c r="CE85" s="767"/>
      <c r="CF85" s="767"/>
      <c r="CG85" s="767"/>
      <c r="CH85" s="767"/>
      <c r="CI85" s="767"/>
      <c r="CJ85" s="767"/>
      <c r="CK85" s="781">
        <f t="shared" si="58"/>
        <v>1.75</v>
      </c>
      <c r="CL85" s="783">
        <f t="shared" si="78"/>
        <v>1000000</v>
      </c>
      <c r="CM85" s="552"/>
      <c r="CN85" s="552"/>
      <c r="CO85" s="552"/>
      <c r="CP85" s="552"/>
      <c r="CQ85" s="552"/>
      <c r="CR85" s="552"/>
      <c r="CS85" s="552"/>
      <c r="CT85" s="552"/>
      <c r="CU85" s="552"/>
      <c r="CV85" s="552"/>
      <c r="CW85" s="552"/>
      <c r="CX85" s="552"/>
      <c r="CY85" s="552"/>
      <c r="CZ85" s="642">
        <f t="shared" si="133"/>
        <v>78</v>
      </c>
      <c r="DA85" s="609">
        <f t="shared" si="110"/>
        <v>87.75</v>
      </c>
      <c r="DB85" s="609">
        <f t="shared" si="121"/>
        <v>31.200000000000003</v>
      </c>
      <c r="DC85" s="610">
        <f t="shared" si="101"/>
        <v>134.90436017314781</v>
      </c>
      <c r="DD85" s="611">
        <f t="shared" si="101"/>
        <v>134.96363534685241</v>
      </c>
      <c r="DE85" s="612">
        <f t="shared" si="101"/>
        <v>134.99675823804998</v>
      </c>
      <c r="DF85" s="610">
        <f t="shared" si="102"/>
        <v>19.411764705882348</v>
      </c>
      <c r="DG85" s="611">
        <f t="shared" si="102"/>
        <v>22</v>
      </c>
      <c r="DH85" s="612">
        <f t="shared" si="102"/>
        <v>28.470588235294098</v>
      </c>
      <c r="DI85" s="610">
        <f t="shared" si="111"/>
        <v>154.31612487903016</v>
      </c>
      <c r="DJ85" s="611">
        <f t="shared" si="111"/>
        <v>156.96363534685241</v>
      </c>
      <c r="DK85" s="612">
        <f t="shared" si="111"/>
        <v>163.46734647334407</v>
      </c>
      <c r="DL85" s="613">
        <f t="shared" si="122"/>
        <v>154.31612487903016</v>
      </c>
      <c r="DM85" s="613">
        <f t="shared" si="122"/>
        <v>156.96363534685241</v>
      </c>
      <c r="DN85" s="613">
        <f t="shared" si="122"/>
        <v>163.46734647334407</v>
      </c>
      <c r="DO85" s="609">
        <f t="shared" si="112"/>
        <v>135</v>
      </c>
      <c r="DP85" s="609"/>
      <c r="DQ85" s="609">
        <f t="shared" si="123"/>
        <v>31.200000000000003</v>
      </c>
      <c r="DR85" s="610">
        <f t="shared" si="113"/>
        <v>2.2231479974941293E-2</v>
      </c>
      <c r="DS85" s="611">
        <f t="shared" si="113"/>
        <v>9.5800263987129569E-3</v>
      </c>
      <c r="DT85" s="612">
        <f t="shared" si="113"/>
        <v>1.1052032062702131E-3</v>
      </c>
      <c r="DU85" s="611">
        <f t="shared" si="132"/>
        <v>2.3297813154101815E-2</v>
      </c>
      <c r="DV85" s="611">
        <f t="shared" si="132"/>
        <v>1.010299242238947E-2</v>
      </c>
      <c r="DW85" s="611">
        <f t="shared" si="132"/>
        <v>1.184107479232925E-3</v>
      </c>
      <c r="DX85" s="614">
        <f t="shared" si="114"/>
        <v>12.5</v>
      </c>
      <c r="DY85" s="615"/>
      <c r="DZ85" s="609">
        <f t="shared" si="124"/>
        <v>31.200000000000003</v>
      </c>
      <c r="EA85" s="611">
        <f t="shared" si="103"/>
        <v>2.1266630434782607</v>
      </c>
      <c r="EB85" s="611">
        <f t="shared" si="103"/>
        <v>1000000</v>
      </c>
      <c r="EC85" s="611">
        <f t="shared" si="103"/>
        <v>1000000</v>
      </c>
      <c r="ED85" s="610">
        <f t="shared" si="104"/>
        <v>0.22002999999999975</v>
      </c>
      <c r="EE85" s="611">
        <f t="shared" si="104"/>
        <v>0.22005999999999976</v>
      </c>
      <c r="EF85" s="612">
        <f t="shared" si="104"/>
        <v>0.22012499999999974</v>
      </c>
      <c r="EG85" s="611">
        <f t="shared" si="115"/>
        <v>2.3466930434782607</v>
      </c>
      <c r="EH85" s="611">
        <f t="shared" si="115"/>
        <v>1000000.22006</v>
      </c>
      <c r="EI85" s="611">
        <f t="shared" si="115"/>
        <v>1000000.220125</v>
      </c>
      <c r="EJ85" s="610">
        <f t="shared" si="125"/>
        <v>2.2999999999999998</v>
      </c>
      <c r="EK85" s="643">
        <f t="shared" si="126"/>
        <v>2.25</v>
      </c>
      <c r="EL85" s="644">
        <f t="shared" si="127"/>
        <v>2.83</v>
      </c>
      <c r="EN85" s="620">
        <f t="shared" si="128"/>
        <v>17.008333333333336</v>
      </c>
      <c r="EO85" s="621">
        <f t="shared" si="40"/>
        <v>74.082686221029149</v>
      </c>
      <c r="EP85" s="621">
        <f t="shared" si="40"/>
        <v>89.301229580009419</v>
      </c>
      <c r="EQ85" s="621">
        <f t="shared" si="40"/>
        <v>101.75811027700117</v>
      </c>
      <c r="ER85" s="610">
        <f t="shared" si="116"/>
        <v>36.207461660239765</v>
      </c>
      <c r="ES85" s="611">
        <f t="shared" si="116"/>
        <v>61.299901074571586</v>
      </c>
      <c r="ET85" s="612">
        <f t="shared" si="116"/>
        <v>85.453375784238958</v>
      </c>
      <c r="EU85" s="610">
        <f t="shared" si="129"/>
        <v>100</v>
      </c>
      <c r="EV85" s="611">
        <f t="shared" si="130"/>
        <v>135</v>
      </c>
      <c r="EW85" s="645">
        <f t="shared" si="131"/>
        <v>-1000000</v>
      </c>
      <c r="EX85" s="610">
        <f t="shared" si="117"/>
        <v>-37.875224560789384</v>
      </c>
      <c r="EY85" s="621">
        <f t="shared" si="118"/>
        <v>-28.001328505437833</v>
      </c>
      <c r="EZ85" s="612">
        <f t="shared" si="119"/>
        <v>-16.304734492762208</v>
      </c>
      <c r="FA85" s="646">
        <f t="shared" si="120"/>
        <v>17.008333333333336</v>
      </c>
      <c r="FB85" s="317"/>
      <c r="FC85" s="552"/>
      <c r="FD85" s="552"/>
      <c r="FE85" s="552"/>
      <c r="FF85" s="552"/>
      <c r="FG85" s="552"/>
      <c r="FH85" s="552"/>
      <c r="FI85" s="552"/>
      <c r="FJ85" s="552"/>
      <c r="FK85" s="552"/>
      <c r="FL85" s="552"/>
      <c r="FM85" s="552"/>
      <c r="FN85" s="552"/>
      <c r="FO85" s="552"/>
      <c r="FP85" s="552"/>
      <c r="FQ85" s="552"/>
      <c r="FR85" s="552"/>
      <c r="FS85" s="552"/>
      <c r="FT85" s="552"/>
    </row>
    <row r="86" spans="2:176" s="564" customFormat="1" ht="15" customHeight="1" x14ac:dyDescent="0.2">
      <c r="B86" s="647">
        <f t="shared" si="134"/>
        <v>24</v>
      </c>
      <c r="C86" s="652">
        <f>$G$12</f>
        <v>109.5</v>
      </c>
      <c r="D86" s="771">
        <f>$B$12</f>
        <v>1.86</v>
      </c>
      <c r="E86" s="772">
        <f t="shared" si="49"/>
        <v>4.5625</v>
      </c>
      <c r="F86" s="689"/>
      <c r="G86" s="747">
        <f t="shared" si="50"/>
        <v>1.8676555226233436</v>
      </c>
      <c r="H86" s="748">
        <f t="shared" si="60"/>
        <v>5.8607026636523502E-5</v>
      </c>
      <c r="I86" s="689"/>
      <c r="J86" s="773">
        <f t="shared" si="82"/>
        <v>49</v>
      </c>
      <c r="K86" s="774">
        <f t="shared" si="61"/>
        <v>55.125</v>
      </c>
      <c r="L86" s="747">
        <f t="shared" si="136"/>
        <v>2.0709705915492957</v>
      </c>
      <c r="M86" s="751">
        <f t="shared" si="136"/>
        <v>2.0672911971830987</v>
      </c>
      <c r="N86" s="751">
        <f t="shared" si="136"/>
        <v>2.0609367957746478</v>
      </c>
      <c r="O86" s="751">
        <f t="shared" si="136"/>
        <v>2.0545823943661974</v>
      </c>
      <c r="P86" s="751">
        <f t="shared" si="136"/>
        <v>2.0423774647887325</v>
      </c>
      <c r="Q86" s="751">
        <f t="shared" si="136"/>
        <v>2.0352560563380284</v>
      </c>
      <c r="R86" s="751">
        <f t="shared" si="136"/>
        <v>2.0081140845070422</v>
      </c>
      <c r="S86" s="751">
        <f t="shared" si="136"/>
        <v>1.9962361126760564</v>
      </c>
      <c r="T86" s="752">
        <f t="shared" si="136"/>
        <v>1.9792253521126761</v>
      </c>
      <c r="U86" s="753">
        <f t="shared" si="136"/>
        <v>1.8690450704225352</v>
      </c>
      <c r="W86" s="773">
        <f t="shared" si="63"/>
        <v>55.125</v>
      </c>
      <c r="X86" s="775">
        <f t="shared" si="137"/>
        <v>-7.6996699648211556E-2</v>
      </c>
      <c r="Y86" s="776">
        <f t="shared" si="137"/>
        <v>-7.7001263537100448E-2</v>
      </c>
      <c r="Z86" s="776">
        <f t="shared" si="137"/>
        <v>-7.7009145481544888E-2</v>
      </c>
      <c r="AA86" s="776">
        <f t="shared" si="137"/>
        <v>-7.7017027425989329E-2</v>
      </c>
      <c r="AB86" s="776">
        <f t="shared" si="137"/>
        <v>-7.703216631487822E-2</v>
      </c>
      <c r="AC86" s="776">
        <f t="shared" si="137"/>
        <v>-7.7040999648211553E-2</v>
      </c>
      <c r="AD86" s="776">
        <f t="shared" si="137"/>
        <v>-7.7074666314878221E-2</v>
      </c>
      <c r="AE86" s="776">
        <f t="shared" si="137"/>
        <v>-7.7089399648211557E-2</v>
      </c>
      <c r="AF86" s="777">
        <f t="shared" si="137"/>
        <v>-7.7110499648211553E-2</v>
      </c>
      <c r="AG86" s="778">
        <f t="shared" si="137"/>
        <v>-7.7247166314878213E-2</v>
      </c>
      <c r="AI86" s="773">
        <f t="shared" si="65"/>
        <v>55.125</v>
      </c>
      <c r="AJ86" s="747">
        <f t="shared" si="99"/>
        <v>1.9939738919010841</v>
      </c>
      <c r="AK86" s="751">
        <f t="shared" si="99"/>
        <v>1.9902899336459983</v>
      </c>
      <c r="AL86" s="751">
        <f t="shared" si="99"/>
        <v>1.9839276502931029</v>
      </c>
      <c r="AM86" s="751">
        <f t="shared" si="99"/>
        <v>1.977565366940208</v>
      </c>
      <c r="AN86" s="751">
        <f t="shared" si="99"/>
        <v>1.9653452984738542</v>
      </c>
      <c r="AO86" s="751">
        <f t="shared" si="97"/>
        <v>1.9582150566898169</v>
      </c>
      <c r="AP86" s="751">
        <f t="shared" si="97"/>
        <v>1.931039418192164</v>
      </c>
      <c r="AQ86" s="751">
        <f t="shared" si="97"/>
        <v>1.9191467130278448</v>
      </c>
      <c r="AR86" s="752">
        <f t="shared" si="97"/>
        <v>1.9021148524644647</v>
      </c>
      <c r="AS86" s="751">
        <f t="shared" si="97"/>
        <v>1.791797904107657</v>
      </c>
      <c r="AT86" s="674">
        <f t="shared" si="66"/>
        <v>1.75</v>
      </c>
      <c r="AU86" s="712">
        <f t="shared" si="67"/>
        <v>1.8</v>
      </c>
      <c r="AV86" s="712">
        <f t="shared" si="68"/>
        <v>1.81</v>
      </c>
      <c r="AW86" s="712">
        <f t="shared" si="69"/>
        <v>1.83</v>
      </c>
      <c r="AX86" s="712">
        <f t="shared" si="70"/>
        <v>1.84</v>
      </c>
      <c r="AY86" s="712">
        <f t="shared" si="71"/>
        <v>1.86</v>
      </c>
      <c r="AZ86" s="712">
        <f t="shared" si="72"/>
        <v>1.88</v>
      </c>
      <c r="BA86" s="712">
        <f t="shared" si="73"/>
        <v>1.9</v>
      </c>
      <c r="BB86" s="712">
        <f t="shared" si="74"/>
        <v>1.92</v>
      </c>
      <c r="BC86" s="779">
        <f t="shared" si="75"/>
        <v>1000000</v>
      </c>
      <c r="BD86" s="780">
        <f t="shared" si="76"/>
        <v>-1000000</v>
      </c>
      <c r="BF86" s="781">
        <f t="shared" si="138"/>
        <v>1.9942473184533893</v>
      </c>
      <c r="BG86" s="767">
        <f t="shared" si="138"/>
        <v>1.9715044857396875</v>
      </c>
      <c r="BH86" s="767">
        <f t="shared" si="138"/>
        <v>1.9028547953580417</v>
      </c>
      <c r="BI86" s="767">
        <f t="shared" si="138"/>
        <v>2.0854609421439148</v>
      </c>
      <c r="BJ86" s="767">
        <f t="shared" si="138"/>
        <v>2.0131084454594741</v>
      </c>
      <c r="BK86" s="767">
        <f t="shared" si="138"/>
        <v>2.0071061609373961</v>
      </c>
      <c r="BL86" s="767">
        <f t="shared" si="138"/>
        <v>1.9999929141455206</v>
      </c>
      <c r="BM86" s="767">
        <f t="shared" si="138"/>
        <v>1.9988442129127622</v>
      </c>
      <c r="BN86" s="767">
        <f t="shared" si="138"/>
        <v>1.9977962896753645</v>
      </c>
      <c r="BO86" s="782">
        <f t="shared" si="138"/>
        <v>1.9954906775909438</v>
      </c>
      <c r="BP86" s="781">
        <f t="shared" si="100"/>
        <v>1.9942473184533893</v>
      </c>
      <c r="BQ86" s="767">
        <f t="shared" si="100"/>
        <v>1.9715044857396875</v>
      </c>
      <c r="BR86" s="767">
        <f t="shared" si="100"/>
        <v>1.9028547953580417</v>
      </c>
      <c r="BS86" s="767">
        <f t="shared" si="100"/>
        <v>-1000000</v>
      </c>
      <c r="BT86" s="767">
        <f t="shared" si="100"/>
        <v>-1000000</v>
      </c>
      <c r="BU86" s="767">
        <f t="shared" si="98"/>
        <v>-1000000</v>
      </c>
      <c r="BV86" s="767">
        <f t="shared" si="98"/>
        <v>-1000000</v>
      </c>
      <c r="BW86" s="767">
        <f t="shared" si="98"/>
        <v>-1000000</v>
      </c>
      <c r="BX86" s="767">
        <f t="shared" si="98"/>
        <v>-1000000</v>
      </c>
      <c r="BY86" s="767">
        <f t="shared" si="98"/>
        <v>-1000000</v>
      </c>
      <c r="BZ86" s="648">
        <f t="shared" si="56"/>
        <v>49</v>
      </c>
      <c r="CA86" s="767">
        <f t="shared" si="135"/>
        <v>1.9942473184533893</v>
      </c>
      <c r="CB86" s="767">
        <f t="shared" si="135"/>
        <v>1.9715044857396875</v>
      </c>
      <c r="CC86" s="767">
        <f t="shared" si="135"/>
        <v>1.9028547953580417</v>
      </c>
      <c r="CD86" s="767"/>
      <c r="CE86" s="767"/>
      <c r="CF86" s="767"/>
      <c r="CG86" s="767"/>
      <c r="CH86" s="767"/>
      <c r="CI86" s="767"/>
      <c r="CJ86" s="767"/>
      <c r="CK86" s="781">
        <f t="shared" si="58"/>
        <v>1.75</v>
      </c>
      <c r="CL86" s="783">
        <f t="shared" si="78"/>
        <v>1000000</v>
      </c>
      <c r="CM86" s="552"/>
      <c r="CN86" s="552"/>
      <c r="CO86" s="552"/>
      <c r="CP86" s="552"/>
      <c r="CQ86" s="552"/>
      <c r="CR86" s="552"/>
      <c r="CS86" s="552"/>
      <c r="CT86" s="552"/>
      <c r="CU86" s="552"/>
      <c r="CV86" s="552"/>
      <c r="CW86" s="552"/>
      <c r="CX86" s="552"/>
      <c r="CY86" s="552"/>
      <c r="CZ86" s="642">
        <f t="shared" si="133"/>
        <v>79</v>
      </c>
      <c r="DA86" s="609">
        <f t="shared" si="110"/>
        <v>88.875</v>
      </c>
      <c r="DB86" s="609">
        <f t="shared" si="121"/>
        <v>31.6</v>
      </c>
      <c r="DC86" s="610">
        <f t="shared" ref="DC86:DE105" si="139">$CS$28*(1-EXP(-$DB86/DC$4))</f>
        <v>134.91285186926794</v>
      </c>
      <c r="DD86" s="611">
        <f t="shared" si="139"/>
        <v>134.96727236291946</v>
      </c>
      <c r="DE86" s="612">
        <f t="shared" si="139"/>
        <v>134.99717150062898</v>
      </c>
      <c r="DF86" s="610">
        <f t="shared" ref="DF86:DH105" si="140">$CS$31*((DF$3-$CS$21)+($CS$23-DF$3)*EXP(-$DB86/DF$4))</f>
        <v>19.411764705882348</v>
      </c>
      <c r="DG86" s="611">
        <f t="shared" si="140"/>
        <v>22</v>
      </c>
      <c r="DH86" s="612">
        <f t="shared" si="140"/>
        <v>28.470588235294098</v>
      </c>
      <c r="DI86" s="610">
        <f t="shared" si="111"/>
        <v>154.32461657515029</v>
      </c>
      <c r="DJ86" s="611">
        <f t="shared" si="111"/>
        <v>156.96727236291946</v>
      </c>
      <c r="DK86" s="612">
        <f t="shared" si="111"/>
        <v>163.46775973592307</v>
      </c>
      <c r="DL86" s="613">
        <f t="shared" si="122"/>
        <v>154.32461657515029</v>
      </c>
      <c r="DM86" s="613">
        <f t="shared" si="122"/>
        <v>156.96727236291946</v>
      </c>
      <c r="DN86" s="613">
        <f t="shared" si="122"/>
        <v>163.46775973592307</v>
      </c>
      <c r="DO86" s="609">
        <f t="shared" si="112"/>
        <v>135</v>
      </c>
      <c r="DP86" s="609"/>
      <c r="DQ86" s="609">
        <f t="shared" si="123"/>
        <v>31.6</v>
      </c>
      <c r="DR86" s="610">
        <f t="shared" si="113"/>
        <v>2.0257585014427839E-2</v>
      </c>
      <c r="DS86" s="611">
        <f t="shared" si="113"/>
        <v>8.6218786668081169E-3</v>
      </c>
      <c r="DT86" s="612">
        <f t="shared" si="113"/>
        <v>9.6431095865859187E-4</v>
      </c>
      <c r="DU86" s="611">
        <f t="shared" si="132"/>
        <v>2.1229240300328987E-2</v>
      </c>
      <c r="DV86" s="611">
        <f t="shared" si="132"/>
        <v>9.0925401676145486E-3</v>
      </c>
      <c r="DW86" s="611">
        <f t="shared" si="132"/>
        <v>1.0331564475052383E-3</v>
      </c>
      <c r="DX86" s="614">
        <f t="shared" si="114"/>
        <v>12.5</v>
      </c>
      <c r="DY86" s="615"/>
      <c r="DZ86" s="609">
        <f t="shared" si="124"/>
        <v>31.6</v>
      </c>
      <c r="EA86" s="611">
        <f t="shared" ref="EA86:EC105" si="141">IF((EA$4*$DZ86)&gt;=$CS$28,1000000,($CS$21+($CS$36*EA$4)/(1-(EA$4*$DZ86)/($CS$28))))</f>
        <v>2.1280559701492536</v>
      </c>
      <c r="EB86" s="611">
        <f t="shared" si="141"/>
        <v>1000000</v>
      </c>
      <c r="EC86" s="611">
        <f t="shared" si="141"/>
        <v>1000000</v>
      </c>
      <c r="ED86" s="610">
        <f t="shared" ref="ED86:EF105" si="142">($CS$25-$CS$21)+($CS$23-$CS$25)*EXP(-$DZ86/$CX$14)+$CS$37*ED$4</f>
        <v>0.22002999999999975</v>
      </c>
      <c r="EE86" s="611">
        <f t="shared" si="142"/>
        <v>0.22005999999999976</v>
      </c>
      <c r="EF86" s="612">
        <f t="shared" si="142"/>
        <v>0.22012499999999974</v>
      </c>
      <c r="EG86" s="611">
        <f t="shared" si="115"/>
        <v>2.3480859701492536</v>
      </c>
      <c r="EH86" s="611">
        <f t="shared" si="115"/>
        <v>1000000.22006</v>
      </c>
      <c r="EI86" s="611">
        <f t="shared" si="115"/>
        <v>1000000.220125</v>
      </c>
      <c r="EJ86" s="610">
        <f t="shared" si="125"/>
        <v>2.2999999999999998</v>
      </c>
      <c r="EK86" s="643">
        <f t="shared" si="126"/>
        <v>2.25</v>
      </c>
      <c r="EL86" s="644">
        <f t="shared" si="127"/>
        <v>2.83</v>
      </c>
      <c r="EN86" s="620">
        <f t="shared" si="128"/>
        <v>17.226388888888888</v>
      </c>
      <c r="EO86" s="621">
        <f t="shared" ref="EO86:EQ127" si="143">$CS$28*((1-($CS$36*$EN86)/($CS$21-EO$4))/(1+(($CS$37*$EN86)/($CS$21-EO$4))))</f>
        <v>73.302441729570134</v>
      </c>
      <c r="EP86" s="621">
        <f t="shared" si="143"/>
        <v>88.715768132398964</v>
      </c>
      <c r="EQ86" s="621">
        <f t="shared" si="143"/>
        <v>101.33215455753465</v>
      </c>
      <c r="ER86" s="610">
        <f t="shared" si="116"/>
        <v>35.4270576983251</v>
      </c>
      <c r="ES86" s="611">
        <f t="shared" si="116"/>
        <v>60.653192457233388</v>
      </c>
      <c r="ET86" s="612">
        <f t="shared" si="116"/>
        <v>84.798907494951223</v>
      </c>
      <c r="EU86" s="610">
        <f t="shared" si="129"/>
        <v>100</v>
      </c>
      <c r="EV86" s="611">
        <f t="shared" si="130"/>
        <v>135</v>
      </c>
      <c r="EW86" s="645">
        <f t="shared" si="131"/>
        <v>-1000000</v>
      </c>
      <c r="EX86" s="610">
        <f t="shared" si="117"/>
        <v>-37.875384031245034</v>
      </c>
      <c r="EY86" s="621">
        <f t="shared" si="118"/>
        <v>-28.062575675165576</v>
      </c>
      <c r="EZ86" s="612">
        <f t="shared" si="119"/>
        <v>-16.533247062583428</v>
      </c>
      <c r="FA86" s="646">
        <f t="shared" si="120"/>
        <v>17.226388888888888</v>
      </c>
      <c r="FB86" s="317"/>
      <c r="FC86" s="552"/>
      <c r="FD86" s="552"/>
      <c r="FE86" s="552"/>
      <c r="FF86" s="552"/>
      <c r="FG86" s="552"/>
      <c r="FH86" s="552"/>
      <c r="FI86" s="552"/>
      <c r="FJ86" s="552"/>
      <c r="FK86" s="552"/>
      <c r="FL86" s="552"/>
      <c r="FM86" s="552"/>
      <c r="FN86" s="552"/>
      <c r="FO86" s="552"/>
      <c r="FP86" s="552"/>
      <c r="FQ86" s="552"/>
      <c r="FR86" s="552"/>
      <c r="FS86" s="552"/>
      <c r="FT86" s="552"/>
    </row>
    <row r="87" spans="2:176" s="564" customFormat="1" ht="15" customHeight="1" x14ac:dyDescent="0.2">
      <c r="B87" s="647">
        <f t="shared" si="134"/>
        <v>24</v>
      </c>
      <c r="C87" s="652">
        <f>$G$13</f>
        <v>106</v>
      </c>
      <c r="D87" s="771">
        <f>$B$13</f>
        <v>1.88</v>
      </c>
      <c r="E87" s="772">
        <f t="shared" si="49"/>
        <v>4.416666666666667</v>
      </c>
      <c r="F87" s="689"/>
      <c r="G87" s="747">
        <f t="shared" si="50"/>
        <v>1.8851203461702331</v>
      </c>
      <c r="H87" s="748">
        <f t="shared" si="60"/>
        <v>2.6217944903021377E-5</v>
      </c>
      <c r="I87" s="689"/>
      <c r="J87" s="773">
        <f t="shared" si="82"/>
        <v>50</v>
      </c>
      <c r="K87" s="774">
        <f t="shared" si="61"/>
        <v>56.25</v>
      </c>
      <c r="L87" s="747">
        <f t="shared" si="136"/>
        <v>2.0708416000000001</v>
      </c>
      <c r="M87" s="751">
        <f t="shared" si="136"/>
        <v>2.0671096428571429</v>
      </c>
      <c r="N87" s="751">
        <f t="shared" si="136"/>
        <v>2.0606644642857144</v>
      </c>
      <c r="O87" s="751">
        <f t="shared" si="136"/>
        <v>2.0542192857142858</v>
      </c>
      <c r="P87" s="751">
        <f t="shared" si="136"/>
        <v>2.0418400000000001</v>
      </c>
      <c r="Q87" s="751">
        <f t="shared" si="136"/>
        <v>2.0346168571428573</v>
      </c>
      <c r="R87" s="751">
        <f t="shared" si="136"/>
        <v>2.0070871428571428</v>
      </c>
      <c r="S87" s="751">
        <f t="shared" si="136"/>
        <v>1.9950394857142857</v>
      </c>
      <c r="T87" s="752">
        <f t="shared" si="136"/>
        <v>1.9777857142857143</v>
      </c>
      <c r="U87" s="753">
        <f t="shared" si="136"/>
        <v>1.8660314285714286</v>
      </c>
      <c r="W87" s="773">
        <f t="shared" si="63"/>
        <v>56.25</v>
      </c>
      <c r="X87" s="775">
        <f t="shared" si="137"/>
        <v>-7.8090953938328447E-2</v>
      </c>
      <c r="Y87" s="776">
        <f t="shared" si="137"/>
        <v>-7.8095517827217339E-2</v>
      </c>
      <c r="Z87" s="776">
        <f t="shared" si="137"/>
        <v>-7.810339977166178E-2</v>
      </c>
      <c r="AA87" s="776">
        <f t="shared" si="137"/>
        <v>-7.8111281716106221E-2</v>
      </c>
      <c r="AB87" s="776">
        <f t="shared" si="137"/>
        <v>-7.8126420604995112E-2</v>
      </c>
      <c r="AC87" s="776">
        <f t="shared" si="137"/>
        <v>-7.8135253938328444E-2</v>
      </c>
      <c r="AD87" s="776">
        <f t="shared" si="137"/>
        <v>-7.8168920604995112E-2</v>
      </c>
      <c r="AE87" s="776">
        <f t="shared" si="137"/>
        <v>-7.8183653938328448E-2</v>
      </c>
      <c r="AF87" s="777">
        <f t="shared" si="137"/>
        <v>-7.8204753938328445E-2</v>
      </c>
      <c r="AG87" s="778">
        <f t="shared" si="137"/>
        <v>-7.8341420604995105E-2</v>
      </c>
      <c r="AI87" s="773">
        <f t="shared" si="65"/>
        <v>56.25</v>
      </c>
      <c r="AJ87" s="747">
        <f t="shared" si="99"/>
        <v>1.9927506460616715</v>
      </c>
      <c r="AK87" s="751">
        <f t="shared" si="99"/>
        <v>1.9890141250299256</v>
      </c>
      <c r="AL87" s="751">
        <f t="shared" si="99"/>
        <v>1.9825610645140526</v>
      </c>
      <c r="AM87" s="751">
        <f t="shared" si="99"/>
        <v>1.9761080039981795</v>
      </c>
      <c r="AN87" s="751">
        <f t="shared" si="99"/>
        <v>1.9637135793950049</v>
      </c>
      <c r="AO87" s="751">
        <f t="shared" si="97"/>
        <v>1.9564816032045289</v>
      </c>
      <c r="AP87" s="751">
        <f t="shared" si="97"/>
        <v>1.9289182222521477</v>
      </c>
      <c r="AQ87" s="751">
        <f t="shared" si="97"/>
        <v>1.9168558317759572</v>
      </c>
      <c r="AR87" s="752">
        <f t="shared" si="97"/>
        <v>1.8995809603473859</v>
      </c>
      <c r="AS87" s="751">
        <f t="shared" si="97"/>
        <v>1.7876900079664335</v>
      </c>
      <c r="AT87" s="674">
        <f t="shared" si="66"/>
        <v>1.75</v>
      </c>
      <c r="AU87" s="712">
        <f t="shared" si="67"/>
        <v>1.8</v>
      </c>
      <c r="AV87" s="712">
        <f t="shared" si="68"/>
        <v>1.81</v>
      </c>
      <c r="AW87" s="712">
        <f t="shared" si="69"/>
        <v>1.83</v>
      </c>
      <c r="AX87" s="712">
        <f t="shared" si="70"/>
        <v>1.84</v>
      </c>
      <c r="AY87" s="712">
        <f t="shared" si="71"/>
        <v>1.86</v>
      </c>
      <c r="AZ87" s="712">
        <f t="shared" si="72"/>
        <v>1.88</v>
      </c>
      <c r="BA87" s="712">
        <f t="shared" si="73"/>
        <v>1.9</v>
      </c>
      <c r="BB87" s="712">
        <f t="shared" si="74"/>
        <v>1.92</v>
      </c>
      <c r="BC87" s="779">
        <f t="shared" si="75"/>
        <v>1000000</v>
      </c>
      <c r="BD87" s="780">
        <f t="shared" si="76"/>
        <v>-1000000</v>
      </c>
      <c r="BF87" s="781">
        <f t="shared" si="138"/>
        <v>1.9930179833174668</v>
      </c>
      <c r="BG87" s="767">
        <f t="shared" si="138"/>
        <v>1.9704559395709418</v>
      </c>
      <c r="BH87" s="767">
        <f t="shared" si="138"/>
        <v>1.8914939645693467</v>
      </c>
      <c r="BI87" s="767">
        <f t="shared" si="138"/>
        <v>2.0709192101298943</v>
      </c>
      <c r="BJ87" s="767">
        <f t="shared" si="138"/>
        <v>2.0115842924734206</v>
      </c>
      <c r="BK87" s="767">
        <f t="shared" si="138"/>
        <v>2.0060895123010853</v>
      </c>
      <c r="BL87" s="767">
        <f t="shared" si="138"/>
        <v>1.9994473539124757</v>
      </c>
      <c r="BM87" s="767">
        <f t="shared" si="138"/>
        <v>1.9983609454128251</v>
      </c>
      <c r="BN87" s="767">
        <f t="shared" si="138"/>
        <v>1.9973662557507053</v>
      </c>
      <c r="BO87" s="782">
        <f t="shared" si="138"/>
        <v>1.9951631099269116</v>
      </c>
      <c r="BP87" s="781">
        <f t="shared" si="100"/>
        <v>1.9930179833174668</v>
      </c>
      <c r="BQ87" s="767">
        <f t="shared" si="100"/>
        <v>1.9704559395709418</v>
      </c>
      <c r="BR87" s="767">
        <f t="shared" si="100"/>
        <v>1.8914939645693467</v>
      </c>
      <c r="BS87" s="767">
        <f t="shared" si="100"/>
        <v>-1000000</v>
      </c>
      <c r="BT87" s="767">
        <f t="shared" si="100"/>
        <v>-1000000</v>
      </c>
      <c r="BU87" s="767">
        <f t="shared" si="98"/>
        <v>-1000000</v>
      </c>
      <c r="BV87" s="767">
        <f t="shared" si="98"/>
        <v>-1000000</v>
      </c>
      <c r="BW87" s="767">
        <f t="shared" si="98"/>
        <v>-1000000</v>
      </c>
      <c r="BX87" s="767">
        <f t="shared" si="98"/>
        <v>-1000000</v>
      </c>
      <c r="BY87" s="767">
        <f t="shared" si="98"/>
        <v>-1000000</v>
      </c>
      <c r="BZ87" s="648">
        <f t="shared" si="56"/>
        <v>50</v>
      </c>
      <c r="CA87" s="767">
        <f t="shared" si="135"/>
        <v>1.9930179833174668</v>
      </c>
      <c r="CB87" s="767">
        <f t="shared" si="135"/>
        <v>1.9704559395709418</v>
      </c>
      <c r="CC87" s="767">
        <f t="shared" si="135"/>
        <v>1.8914939645693467</v>
      </c>
      <c r="CD87" s="767"/>
      <c r="CE87" s="767"/>
      <c r="CF87" s="767"/>
      <c r="CG87" s="767"/>
      <c r="CH87" s="767"/>
      <c r="CI87" s="767"/>
      <c r="CJ87" s="767"/>
      <c r="CK87" s="781">
        <f t="shared" si="58"/>
        <v>1.75</v>
      </c>
      <c r="CL87" s="783">
        <f t="shared" si="78"/>
        <v>1000000</v>
      </c>
      <c r="CM87" s="552"/>
      <c r="CN87" s="552"/>
      <c r="CO87" s="552"/>
      <c r="CP87" s="552"/>
      <c r="CQ87" s="552"/>
      <c r="CR87" s="552"/>
      <c r="CS87" s="552"/>
      <c r="CT87" s="552"/>
      <c r="CU87" s="552"/>
      <c r="CV87" s="552"/>
      <c r="CW87" s="552"/>
      <c r="CX87" s="552"/>
      <c r="CY87" s="552"/>
      <c r="CZ87" s="642">
        <f t="shared" si="133"/>
        <v>80</v>
      </c>
      <c r="DA87" s="609">
        <f t="shared" si="110"/>
        <v>90</v>
      </c>
      <c r="DB87" s="609">
        <f t="shared" si="121"/>
        <v>32</v>
      </c>
      <c r="DC87" s="610">
        <f t="shared" si="139"/>
        <v>134.92058960226024</v>
      </c>
      <c r="DD87" s="611">
        <f t="shared" si="139"/>
        <v>134.97054562229624</v>
      </c>
      <c r="DE87" s="612">
        <f t="shared" si="139"/>
        <v>134.99753208014187</v>
      </c>
      <c r="DF87" s="610">
        <f t="shared" si="140"/>
        <v>19.411764705882348</v>
      </c>
      <c r="DG87" s="611">
        <f t="shared" si="140"/>
        <v>22</v>
      </c>
      <c r="DH87" s="612">
        <f t="shared" si="140"/>
        <v>28.470588235294098</v>
      </c>
      <c r="DI87" s="610">
        <f t="shared" si="111"/>
        <v>154.33235430814258</v>
      </c>
      <c r="DJ87" s="611">
        <f t="shared" si="111"/>
        <v>156.97054562229624</v>
      </c>
      <c r="DK87" s="612">
        <f t="shared" si="111"/>
        <v>163.46812031543595</v>
      </c>
      <c r="DL87" s="613">
        <f t="shared" ref="DL87:DN102" si="144">IF((DL86+$CS$33*($DB87-$DB86))&lt;DI87,(DL86+$CS$33*($DB87-$DB86)),DI87)</f>
        <v>154.33235430814258</v>
      </c>
      <c r="DM87" s="613">
        <f t="shared" si="144"/>
        <v>156.97054562229624</v>
      </c>
      <c r="DN87" s="613">
        <f t="shared" si="144"/>
        <v>163.46812031543595</v>
      </c>
      <c r="DO87" s="609">
        <f t="shared" si="112"/>
        <v>135</v>
      </c>
      <c r="DP87" s="609"/>
      <c r="DQ87" s="609">
        <f t="shared" si="123"/>
        <v>32</v>
      </c>
      <c r="DR87" s="610">
        <f t="shared" si="113"/>
        <v>1.8458948800499506E-2</v>
      </c>
      <c r="DS87" s="611">
        <f t="shared" si="113"/>
        <v>7.7595602194945575E-3</v>
      </c>
      <c r="DT87" s="612">
        <f t="shared" si="113"/>
        <v>8.4137977497117443E-4</v>
      </c>
      <c r="DU87" s="611">
        <f t="shared" si="132"/>
        <v>1.9344332480741924E-2</v>
      </c>
      <c r="DV87" s="611">
        <f t="shared" si="132"/>
        <v>8.1831484419581397E-3</v>
      </c>
      <c r="DW87" s="611">
        <f t="shared" si="132"/>
        <v>9.0144878221565575E-4</v>
      </c>
      <c r="DX87" s="614">
        <f t="shared" si="114"/>
        <v>12.5</v>
      </c>
      <c r="DY87" s="615"/>
      <c r="DZ87" s="609">
        <f t="shared" si="124"/>
        <v>32</v>
      </c>
      <c r="EA87" s="611">
        <f t="shared" si="141"/>
        <v>2.1295346153846153</v>
      </c>
      <c r="EB87" s="611">
        <f t="shared" si="141"/>
        <v>1000000</v>
      </c>
      <c r="EC87" s="611">
        <f t="shared" si="141"/>
        <v>1000000</v>
      </c>
      <c r="ED87" s="610">
        <f t="shared" si="142"/>
        <v>0.22002999999999975</v>
      </c>
      <c r="EE87" s="611">
        <f t="shared" si="142"/>
        <v>0.22005999999999976</v>
      </c>
      <c r="EF87" s="612">
        <f t="shared" si="142"/>
        <v>0.22012499999999974</v>
      </c>
      <c r="EG87" s="611">
        <f t="shared" si="115"/>
        <v>2.3495646153846153</v>
      </c>
      <c r="EH87" s="611">
        <f t="shared" si="115"/>
        <v>1000000.22006</v>
      </c>
      <c r="EI87" s="611">
        <f t="shared" si="115"/>
        <v>1000000.220125</v>
      </c>
      <c r="EJ87" s="610">
        <f t="shared" si="125"/>
        <v>2.2999999999999998</v>
      </c>
      <c r="EK87" s="643">
        <f t="shared" si="126"/>
        <v>2.25</v>
      </c>
      <c r="EL87" s="644">
        <f t="shared" si="127"/>
        <v>2.83</v>
      </c>
      <c r="EN87" s="620">
        <f t="shared" si="128"/>
        <v>17.444444444444443</v>
      </c>
      <c r="EO87" s="621">
        <f t="shared" si="143"/>
        <v>72.522216123880014</v>
      </c>
      <c r="EP87" s="621">
        <f t="shared" si="143"/>
        <v>88.130317315654807</v>
      </c>
      <c r="EQ87" s="621">
        <f t="shared" si="143"/>
        <v>100.90620446430677</v>
      </c>
      <c r="ER87" s="610">
        <f t="shared" si="116"/>
        <v>34.646693223407212</v>
      </c>
      <c r="ES87" s="611">
        <f t="shared" si="116"/>
        <v>60.009290485421865</v>
      </c>
      <c r="ET87" s="612">
        <f t="shared" si="116"/>
        <v>84.148396538853973</v>
      </c>
      <c r="EU87" s="610">
        <f t="shared" si="129"/>
        <v>100</v>
      </c>
      <c r="EV87" s="611">
        <f t="shared" si="130"/>
        <v>135</v>
      </c>
      <c r="EW87" s="645">
        <f t="shared" si="131"/>
        <v>-1000000</v>
      </c>
      <c r="EX87" s="610">
        <f t="shared" si="117"/>
        <v>-37.875522900472802</v>
      </c>
      <c r="EY87" s="621">
        <f t="shared" si="118"/>
        <v>-28.121026830232942</v>
      </c>
      <c r="EZ87" s="612">
        <f t="shared" si="119"/>
        <v>-16.757807925452795</v>
      </c>
      <c r="FA87" s="646">
        <f t="shared" si="120"/>
        <v>17.444444444444443</v>
      </c>
      <c r="FB87" s="317"/>
      <c r="FC87" s="552"/>
      <c r="FD87" s="552"/>
      <c r="FE87" s="552"/>
      <c r="FF87" s="552"/>
      <c r="FG87" s="552"/>
      <c r="FH87" s="552"/>
      <c r="FI87" s="552"/>
      <c r="FJ87" s="552"/>
      <c r="FK87" s="552"/>
      <c r="FL87" s="552"/>
      <c r="FM87" s="552"/>
      <c r="FN87" s="552"/>
      <c r="FO87" s="552"/>
      <c r="FP87" s="552"/>
      <c r="FQ87" s="552"/>
      <c r="FR87" s="552"/>
      <c r="FS87" s="552"/>
      <c r="FT87" s="552"/>
    </row>
    <row r="88" spans="2:176" s="564" customFormat="1" ht="15" customHeight="1" x14ac:dyDescent="0.2">
      <c r="B88" s="647">
        <f t="shared" si="134"/>
        <v>24</v>
      </c>
      <c r="C88" s="652">
        <f>$G$14</f>
        <v>102</v>
      </c>
      <c r="D88" s="771">
        <f>$B$14</f>
        <v>1.9</v>
      </c>
      <c r="E88" s="772">
        <f t="shared" si="49"/>
        <v>4.25</v>
      </c>
      <c r="F88" s="689"/>
      <c r="G88" s="747">
        <f t="shared" si="50"/>
        <v>1.9006952701749584</v>
      </c>
      <c r="H88" s="748">
        <f t="shared" si="60"/>
        <v>4.8340061618684786E-7</v>
      </c>
      <c r="I88" s="689"/>
      <c r="J88" s="773">
        <f t="shared" si="82"/>
        <v>51</v>
      </c>
      <c r="K88" s="774">
        <f t="shared" si="61"/>
        <v>57.375</v>
      </c>
      <c r="L88" s="747">
        <f t="shared" si="136"/>
        <v>2.0707088695652174</v>
      </c>
      <c r="M88" s="751">
        <f t="shared" si="136"/>
        <v>2.0669228260869565</v>
      </c>
      <c r="N88" s="751">
        <f t="shared" si="136"/>
        <v>2.060384239130435</v>
      </c>
      <c r="O88" s="751">
        <f t="shared" si="136"/>
        <v>2.053845652173913</v>
      </c>
      <c r="P88" s="751">
        <f t="shared" si="136"/>
        <v>2.0412869565217391</v>
      </c>
      <c r="Q88" s="751">
        <f t="shared" si="136"/>
        <v>2.0339591304347828</v>
      </c>
      <c r="R88" s="751">
        <f t="shared" si="136"/>
        <v>2.0060304347826086</v>
      </c>
      <c r="S88" s="751">
        <f t="shared" si="136"/>
        <v>1.9938081739130435</v>
      </c>
      <c r="T88" s="752">
        <f t="shared" si="136"/>
        <v>1.9763043478260871</v>
      </c>
      <c r="U88" s="753">
        <f t="shared" si="136"/>
        <v>1.8629304347826088</v>
      </c>
      <c r="W88" s="773">
        <f t="shared" si="63"/>
        <v>57.375</v>
      </c>
      <c r="X88" s="775">
        <f t="shared" si="137"/>
        <v>-7.9130658662781045E-2</v>
      </c>
      <c r="Y88" s="776">
        <f t="shared" si="137"/>
        <v>-7.9135222551669937E-2</v>
      </c>
      <c r="Z88" s="776">
        <f t="shared" si="137"/>
        <v>-7.9143104496114378E-2</v>
      </c>
      <c r="AA88" s="776">
        <f t="shared" si="137"/>
        <v>-7.9150986440558818E-2</v>
      </c>
      <c r="AB88" s="776">
        <f t="shared" si="137"/>
        <v>-7.9166125329447709E-2</v>
      </c>
      <c r="AC88" s="776">
        <f t="shared" si="137"/>
        <v>-7.9174958662781042E-2</v>
      </c>
      <c r="AD88" s="776">
        <f t="shared" si="137"/>
        <v>-7.920862532944771E-2</v>
      </c>
      <c r="AE88" s="776">
        <f t="shared" si="137"/>
        <v>-7.9223358662781046E-2</v>
      </c>
      <c r="AF88" s="777">
        <f t="shared" si="137"/>
        <v>-7.9244458662781042E-2</v>
      </c>
      <c r="AG88" s="778">
        <f t="shared" si="137"/>
        <v>-7.9381125329447702E-2</v>
      </c>
      <c r="AI88" s="773">
        <f t="shared" si="65"/>
        <v>57.375</v>
      </c>
      <c r="AJ88" s="747">
        <f t="shared" si="99"/>
        <v>1.9915782109024363</v>
      </c>
      <c r="AK88" s="751">
        <f t="shared" si="99"/>
        <v>1.9877876035352866</v>
      </c>
      <c r="AL88" s="751">
        <f t="shared" si="99"/>
        <v>1.9812411346343206</v>
      </c>
      <c r="AM88" s="751">
        <f t="shared" si="99"/>
        <v>1.9746946657333542</v>
      </c>
      <c r="AN88" s="751">
        <f t="shared" si="99"/>
        <v>1.9621208311922913</v>
      </c>
      <c r="AO88" s="751">
        <f t="shared" si="97"/>
        <v>1.9547841717720018</v>
      </c>
      <c r="AP88" s="751">
        <f t="shared" si="97"/>
        <v>1.9268218094531608</v>
      </c>
      <c r="AQ88" s="751">
        <f t="shared" si="97"/>
        <v>1.9145848152502625</v>
      </c>
      <c r="AR88" s="752">
        <f t="shared" si="97"/>
        <v>1.8970598891633061</v>
      </c>
      <c r="AS88" s="751">
        <f t="shared" si="97"/>
        <v>1.7835493094531611</v>
      </c>
      <c r="AT88" s="674">
        <f t="shared" si="66"/>
        <v>1.75</v>
      </c>
      <c r="AU88" s="712">
        <f t="shared" si="67"/>
        <v>1.8</v>
      </c>
      <c r="AV88" s="712">
        <f t="shared" si="68"/>
        <v>1.81</v>
      </c>
      <c r="AW88" s="712">
        <f t="shared" si="69"/>
        <v>1.83</v>
      </c>
      <c r="AX88" s="712">
        <f t="shared" si="70"/>
        <v>1.84</v>
      </c>
      <c r="AY88" s="712">
        <f t="shared" si="71"/>
        <v>1.86</v>
      </c>
      <c r="AZ88" s="712">
        <f t="shared" si="72"/>
        <v>1.88</v>
      </c>
      <c r="BA88" s="712">
        <f t="shared" si="73"/>
        <v>1.9</v>
      </c>
      <c r="BB88" s="712">
        <f t="shared" si="74"/>
        <v>1.92</v>
      </c>
      <c r="BC88" s="779">
        <f t="shared" si="75"/>
        <v>1000000</v>
      </c>
      <c r="BD88" s="780">
        <f t="shared" si="76"/>
        <v>-1000000</v>
      </c>
      <c r="BF88" s="781">
        <f t="shared" si="138"/>
        <v>1.9918396610779647</v>
      </c>
      <c r="BG88" s="767">
        <f t="shared" si="138"/>
        <v>1.9694173221880094</v>
      </c>
      <c r="BH88" s="767">
        <f t="shared" si="138"/>
        <v>1.8764645419610657</v>
      </c>
      <c r="BI88" s="767">
        <f t="shared" si="138"/>
        <v>2.0599290918288062</v>
      </c>
      <c r="BJ88" s="767">
        <f t="shared" si="138"/>
        <v>2.0101984086354951</v>
      </c>
      <c r="BK88" s="767">
        <f t="shared" si="138"/>
        <v>2.0051491245505138</v>
      </c>
      <c r="BL88" s="767">
        <f t="shared" si="138"/>
        <v>1.998932221126942</v>
      </c>
      <c r="BM88" s="767">
        <f t="shared" si="138"/>
        <v>1.997903108538637</v>
      </c>
      <c r="BN88" s="767">
        <f t="shared" si="138"/>
        <v>1.9969576165487024</v>
      </c>
      <c r="BO88" s="782">
        <f t="shared" si="138"/>
        <v>1.9948498338074823</v>
      </c>
      <c r="BP88" s="781">
        <f t="shared" si="100"/>
        <v>1.9918396610779647</v>
      </c>
      <c r="BQ88" s="767">
        <f t="shared" si="100"/>
        <v>1.9694173221880094</v>
      </c>
      <c r="BR88" s="767">
        <f t="shared" si="100"/>
        <v>1.8764645419610657</v>
      </c>
      <c r="BS88" s="767">
        <f t="shared" si="100"/>
        <v>-1000000</v>
      </c>
      <c r="BT88" s="767">
        <f t="shared" si="100"/>
        <v>-1000000</v>
      </c>
      <c r="BU88" s="767">
        <f t="shared" si="98"/>
        <v>-1000000</v>
      </c>
      <c r="BV88" s="767">
        <f t="shared" si="98"/>
        <v>-1000000</v>
      </c>
      <c r="BW88" s="767">
        <f t="shared" si="98"/>
        <v>-1000000</v>
      </c>
      <c r="BX88" s="767">
        <f t="shared" si="98"/>
        <v>-1000000</v>
      </c>
      <c r="BY88" s="767">
        <f t="shared" si="98"/>
        <v>-1000000</v>
      </c>
      <c r="BZ88" s="648">
        <f t="shared" si="56"/>
        <v>51</v>
      </c>
      <c r="CA88" s="767">
        <f t="shared" si="135"/>
        <v>1.9918396610779647</v>
      </c>
      <c r="CB88" s="767">
        <f t="shared" si="135"/>
        <v>1.9694173221880094</v>
      </c>
      <c r="CC88" s="767">
        <f t="shared" si="135"/>
        <v>1.8764645419610657</v>
      </c>
      <c r="CD88" s="767"/>
      <c r="CE88" s="767"/>
      <c r="CF88" s="767"/>
      <c r="CG88" s="767"/>
      <c r="CH88" s="767"/>
      <c r="CI88" s="767"/>
      <c r="CJ88" s="767"/>
      <c r="CK88" s="781">
        <f t="shared" si="58"/>
        <v>1.75</v>
      </c>
      <c r="CL88" s="783">
        <f t="shared" si="78"/>
        <v>1000000</v>
      </c>
      <c r="CM88" s="552"/>
      <c r="CN88" s="552"/>
      <c r="CO88" s="552"/>
      <c r="CP88" s="552"/>
      <c r="CQ88" s="552"/>
      <c r="CR88" s="552"/>
      <c r="CS88" s="552"/>
      <c r="CT88" s="552"/>
      <c r="CU88" s="552"/>
      <c r="CV88" s="552"/>
      <c r="CW88" s="552"/>
      <c r="CX88" s="552"/>
      <c r="CY88" s="552"/>
      <c r="CZ88" s="642">
        <f t="shared" si="133"/>
        <v>81</v>
      </c>
      <c r="DA88" s="609">
        <f t="shared" si="110"/>
        <v>91.125</v>
      </c>
      <c r="DB88" s="609">
        <f t="shared" si="121"/>
        <v>32.400000000000006</v>
      </c>
      <c r="DC88" s="610">
        <f t="shared" si="139"/>
        <v>134.92764031521716</v>
      </c>
      <c r="DD88" s="611">
        <f t="shared" si="139"/>
        <v>134.97349150616094</v>
      </c>
      <c r="DE88" s="612">
        <f t="shared" si="139"/>
        <v>134.99784669267083</v>
      </c>
      <c r="DF88" s="610">
        <f t="shared" si="140"/>
        <v>19.411764705882348</v>
      </c>
      <c r="DG88" s="611">
        <f t="shared" si="140"/>
        <v>22</v>
      </c>
      <c r="DH88" s="612">
        <f t="shared" si="140"/>
        <v>28.470588235294098</v>
      </c>
      <c r="DI88" s="610">
        <f t="shared" si="111"/>
        <v>154.33940502109951</v>
      </c>
      <c r="DJ88" s="611">
        <f t="shared" si="111"/>
        <v>156.97349150616094</v>
      </c>
      <c r="DK88" s="612">
        <f t="shared" si="111"/>
        <v>163.46843492796492</v>
      </c>
      <c r="DL88" s="613">
        <f t="shared" si="144"/>
        <v>154.33940502109951</v>
      </c>
      <c r="DM88" s="613">
        <f t="shared" si="144"/>
        <v>156.97349150616094</v>
      </c>
      <c r="DN88" s="613">
        <f t="shared" si="144"/>
        <v>163.46843492796492</v>
      </c>
      <c r="DO88" s="609">
        <f t="shared" si="112"/>
        <v>135</v>
      </c>
      <c r="DP88" s="609"/>
      <c r="DQ88" s="609">
        <f t="shared" si="123"/>
        <v>32.400000000000006</v>
      </c>
      <c r="DR88" s="610">
        <f t="shared" si="113"/>
        <v>1.6820010409769243E-2</v>
      </c>
      <c r="DS88" s="611">
        <f t="shared" si="113"/>
        <v>6.9834866769532943E-3</v>
      </c>
      <c r="DT88" s="612">
        <f t="shared" si="113"/>
        <v>7.3411996345587268E-4</v>
      </c>
      <c r="DU88" s="611">
        <f t="shared" ref="DU88:DW103" si="145">(DL88-DL87)/($DQ88-$DQ87)</f>
        <v>1.7626782392312385E-2</v>
      </c>
      <c r="DV88" s="611">
        <f t="shared" si="145"/>
        <v>7.3647096617434132E-3</v>
      </c>
      <c r="DW88" s="611">
        <f t="shared" si="145"/>
        <v>7.865313224186709E-4</v>
      </c>
      <c r="DX88" s="614">
        <f t="shared" si="114"/>
        <v>12.5</v>
      </c>
      <c r="DY88" s="615"/>
      <c r="DZ88" s="609">
        <f t="shared" si="124"/>
        <v>32.400000000000006</v>
      </c>
      <c r="EA88" s="611">
        <f t="shared" si="141"/>
        <v>2.1311071428571431</v>
      </c>
      <c r="EB88" s="611">
        <f t="shared" si="141"/>
        <v>1000000</v>
      </c>
      <c r="EC88" s="611">
        <f t="shared" si="141"/>
        <v>1000000</v>
      </c>
      <c r="ED88" s="610">
        <f t="shared" si="142"/>
        <v>0.22002999999999975</v>
      </c>
      <c r="EE88" s="611">
        <f t="shared" si="142"/>
        <v>0.22005999999999976</v>
      </c>
      <c r="EF88" s="612">
        <f t="shared" si="142"/>
        <v>0.22012499999999974</v>
      </c>
      <c r="EG88" s="611">
        <f t="shared" si="115"/>
        <v>2.351137142857143</v>
      </c>
      <c r="EH88" s="611">
        <f t="shared" si="115"/>
        <v>1000000.22006</v>
      </c>
      <c r="EI88" s="611">
        <f t="shared" si="115"/>
        <v>1000000.220125</v>
      </c>
      <c r="EJ88" s="610">
        <f t="shared" si="125"/>
        <v>2.2999999999999998</v>
      </c>
      <c r="EK88" s="643">
        <f t="shared" si="126"/>
        <v>2.25</v>
      </c>
      <c r="EL88" s="644">
        <f t="shared" si="127"/>
        <v>2.83</v>
      </c>
      <c r="EN88" s="620">
        <f t="shared" si="128"/>
        <v>17.662500000000001</v>
      </c>
      <c r="EO88" s="621">
        <f t="shared" si="143"/>
        <v>71.742009403273101</v>
      </c>
      <c r="EP88" s="621">
        <f t="shared" si="143"/>
        <v>87.544877129487503</v>
      </c>
      <c r="EQ88" s="621">
        <f t="shared" si="143"/>
        <v>100.48025999720605</v>
      </c>
      <c r="ER88" s="610">
        <f t="shared" si="116"/>
        <v>33.866365573426016</v>
      </c>
      <c r="ES88" s="611">
        <f t="shared" si="116"/>
        <v>59.368067517064034</v>
      </c>
      <c r="ET88" s="612">
        <f t="shared" si="116"/>
        <v>83.501774578291617</v>
      </c>
      <c r="EU88" s="610">
        <f t="shared" si="129"/>
        <v>100</v>
      </c>
      <c r="EV88" s="611">
        <f t="shared" si="130"/>
        <v>135</v>
      </c>
      <c r="EW88" s="645">
        <f t="shared" si="131"/>
        <v>-1000000</v>
      </c>
      <c r="EX88" s="610">
        <f t="shared" si="117"/>
        <v>-37.875643829847085</v>
      </c>
      <c r="EY88" s="621">
        <f t="shared" si="118"/>
        <v>-28.176809612423469</v>
      </c>
      <c r="EZ88" s="612">
        <f t="shared" si="119"/>
        <v>-16.978485418914438</v>
      </c>
      <c r="FA88" s="646">
        <f t="shared" si="120"/>
        <v>17.662500000000001</v>
      </c>
      <c r="FB88" s="317"/>
      <c r="FC88" s="552"/>
      <c r="FD88" s="552"/>
      <c r="FE88" s="552"/>
      <c r="FF88" s="552"/>
      <c r="FG88" s="552"/>
      <c r="FH88" s="552"/>
      <c r="FI88" s="552"/>
      <c r="FJ88" s="552"/>
      <c r="FK88" s="552"/>
      <c r="FL88" s="552"/>
      <c r="FM88" s="552"/>
      <c r="FN88" s="552"/>
      <c r="FO88" s="552"/>
      <c r="FP88" s="552"/>
      <c r="FQ88" s="552"/>
      <c r="FR88" s="552"/>
      <c r="FS88" s="552"/>
      <c r="FT88" s="552"/>
    </row>
    <row r="89" spans="2:176" s="564" customFormat="1" ht="15" customHeight="1" x14ac:dyDescent="0.2">
      <c r="B89" s="647">
        <f t="shared" si="134"/>
        <v>24</v>
      </c>
      <c r="C89" s="652">
        <f>$G$15</f>
        <v>97</v>
      </c>
      <c r="D89" s="771">
        <f>$B$15</f>
        <v>1.92</v>
      </c>
      <c r="E89" s="772">
        <f t="shared" si="49"/>
        <v>4.041666666666667</v>
      </c>
      <c r="F89" s="689"/>
      <c r="G89" s="747">
        <f t="shared" si="50"/>
        <v>1.9158051857785618</v>
      </c>
      <c r="H89" s="748">
        <f t="shared" si="60"/>
        <v>1.7596466352379174E-5</v>
      </c>
      <c r="I89" s="689"/>
      <c r="J89" s="773">
        <f t="shared" si="82"/>
        <v>52</v>
      </c>
      <c r="K89" s="774">
        <f t="shared" si="61"/>
        <v>58.5</v>
      </c>
      <c r="L89" s="747">
        <f t="shared" si="136"/>
        <v>2.0705722352941178</v>
      </c>
      <c r="M89" s="751">
        <f t="shared" si="136"/>
        <v>2.0667305147058825</v>
      </c>
      <c r="N89" s="751">
        <f t="shared" si="136"/>
        <v>2.0600957720588235</v>
      </c>
      <c r="O89" s="751">
        <f t="shared" si="136"/>
        <v>2.0534610294117646</v>
      </c>
      <c r="P89" s="751">
        <f t="shared" si="136"/>
        <v>2.0407176470588237</v>
      </c>
      <c r="Q89" s="751">
        <f t="shared" si="136"/>
        <v>2.0332820588235294</v>
      </c>
      <c r="R89" s="751">
        <f t="shared" si="136"/>
        <v>2.0049426470588236</v>
      </c>
      <c r="S89" s="751">
        <f t="shared" si="136"/>
        <v>1.9925406470588236</v>
      </c>
      <c r="T89" s="752">
        <f t="shared" si="136"/>
        <v>1.9747794117647059</v>
      </c>
      <c r="U89" s="753">
        <f t="shared" si="136"/>
        <v>1.8597382352941176</v>
      </c>
      <c r="W89" s="773">
        <f t="shared" si="63"/>
        <v>58.5</v>
      </c>
      <c r="X89" s="775">
        <f t="shared" si="137"/>
        <v>-8.0118533166735326E-2</v>
      </c>
      <c r="Y89" s="776">
        <f t="shared" si="137"/>
        <v>-8.0123097055624218E-2</v>
      </c>
      <c r="Z89" s="776">
        <f t="shared" si="137"/>
        <v>-8.0130979000068658E-2</v>
      </c>
      <c r="AA89" s="776">
        <f t="shared" si="137"/>
        <v>-8.0138860944513099E-2</v>
      </c>
      <c r="AB89" s="776">
        <f t="shared" si="137"/>
        <v>-8.015399983340199E-2</v>
      </c>
      <c r="AC89" s="776">
        <f t="shared" si="137"/>
        <v>-8.0162833166735323E-2</v>
      </c>
      <c r="AD89" s="776">
        <f t="shared" si="137"/>
        <v>-8.0196499833401991E-2</v>
      </c>
      <c r="AE89" s="776">
        <f t="shared" si="137"/>
        <v>-8.0211233166735327E-2</v>
      </c>
      <c r="AF89" s="777">
        <f t="shared" si="137"/>
        <v>-8.0232333166735323E-2</v>
      </c>
      <c r="AG89" s="778">
        <f t="shared" si="137"/>
        <v>-8.0368999833401983E-2</v>
      </c>
      <c r="AI89" s="773">
        <f t="shared" si="65"/>
        <v>58.5</v>
      </c>
      <c r="AJ89" s="747">
        <f t="shared" si="99"/>
        <v>1.9904537021273825</v>
      </c>
      <c r="AK89" s="751">
        <f t="shared" si="99"/>
        <v>1.9866074176502584</v>
      </c>
      <c r="AL89" s="751">
        <f t="shared" si="99"/>
        <v>1.9799647930587549</v>
      </c>
      <c r="AM89" s="751">
        <f t="shared" si="99"/>
        <v>1.9733221684672515</v>
      </c>
      <c r="AN89" s="751">
        <f t="shared" si="99"/>
        <v>1.9605636472254218</v>
      </c>
      <c r="AO89" s="751">
        <f t="shared" si="97"/>
        <v>1.9531192256567942</v>
      </c>
      <c r="AP89" s="751">
        <f t="shared" si="97"/>
        <v>1.9247461472254217</v>
      </c>
      <c r="AQ89" s="751">
        <f t="shared" si="97"/>
        <v>1.9123294138920883</v>
      </c>
      <c r="AR89" s="752">
        <f t="shared" si="97"/>
        <v>1.8945470785979706</v>
      </c>
      <c r="AS89" s="751">
        <f t="shared" si="97"/>
        <v>1.7793692354607156</v>
      </c>
      <c r="AT89" s="674">
        <f t="shared" si="66"/>
        <v>1.75</v>
      </c>
      <c r="AU89" s="712">
        <f t="shared" si="67"/>
        <v>1.8</v>
      </c>
      <c r="AV89" s="712">
        <f t="shared" si="68"/>
        <v>1.81</v>
      </c>
      <c r="AW89" s="712">
        <f t="shared" si="69"/>
        <v>1.83</v>
      </c>
      <c r="AX89" s="712">
        <f t="shared" si="70"/>
        <v>1.84</v>
      </c>
      <c r="AY89" s="712">
        <f t="shared" si="71"/>
        <v>1.86</v>
      </c>
      <c r="AZ89" s="712">
        <f t="shared" si="72"/>
        <v>1.88</v>
      </c>
      <c r="BA89" s="712">
        <f t="shared" si="73"/>
        <v>1.9</v>
      </c>
      <c r="BB89" s="712">
        <f t="shared" si="74"/>
        <v>1.92</v>
      </c>
      <c r="BC89" s="779">
        <f t="shared" si="75"/>
        <v>1000000</v>
      </c>
      <c r="BD89" s="780">
        <f t="shared" si="76"/>
        <v>-1000000</v>
      </c>
      <c r="BF89" s="781">
        <f t="shared" si="138"/>
        <v>1.990709476846487</v>
      </c>
      <c r="BG89" s="767">
        <f t="shared" si="138"/>
        <v>1.9683834386768935</v>
      </c>
      <c r="BH89" s="767">
        <f t="shared" si="138"/>
        <v>1.8555953980808233</v>
      </c>
      <c r="BI89" s="767">
        <f t="shared" si="138"/>
        <v>2.0513308335270097</v>
      </c>
      <c r="BJ89" s="767">
        <f t="shared" si="138"/>
        <v>2.0089327962954879</v>
      </c>
      <c r="BK89" s="767">
        <f t="shared" si="138"/>
        <v>2.0042767245675233</v>
      </c>
      <c r="BL89" s="767">
        <f t="shared" si="138"/>
        <v>1.998445039297797</v>
      </c>
      <c r="BM89" s="767">
        <f t="shared" si="138"/>
        <v>1.9974687464250755</v>
      </c>
      <c r="BN89" s="767">
        <f t="shared" si="138"/>
        <v>1.9965688142011864</v>
      </c>
      <c r="BO89" s="782">
        <f t="shared" si="138"/>
        <v>1.9945499339052815</v>
      </c>
      <c r="BP89" s="781">
        <f t="shared" si="100"/>
        <v>1.990709476846487</v>
      </c>
      <c r="BQ89" s="767">
        <f t="shared" si="100"/>
        <v>1.9683834386768935</v>
      </c>
      <c r="BR89" s="767">
        <f t="shared" si="100"/>
        <v>1.8555953980808233</v>
      </c>
      <c r="BS89" s="767">
        <f t="shared" si="100"/>
        <v>-1000000</v>
      </c>
      <c r="BT89" s="767">
        <f t="shared" si="100"/>
        <v>-1000000</v>
      </c>
      <c r="BU89" s="767">
        <f t="shared" si="98"/>
        <v>-1000000</v>
      </c>
      <c r="BV89" s="767">
        <f t="shared" si="98"/>
        <v>-1000000</v>
      </c>
      <c r="BW89" s="767">
        <f t="shared" si="98"/>
        <v>-1000000</v>
      </c>
      <c r="BX89" s="767">
        <f t="shared" si="98"/>
        <v>-1000000</v>
      </c>
      <c r="BY89" s="767">
        <f t="shared" si="98"/>
        <v>-1000000</v>
      </c>
      <c r="BZ89" s="648">
        <f t="shared" si="56"/>
        <v>52</v>
      </c>
      <c r="CA89" s="767">
        <f t="shared" si="135"/>
        <v>1.990709476846487</v>
      </c>
      <c r="CB89" s="767">
        <f t="shared" si="135"/>
        <v>1.9683834386768935</v>
      </c>
      <c r="CC89" s="767">
        <f t="shared" si="135"/>
        <v>1.8555953980808233</v>
      </c>
      <c r="CD89" s="767"/>
      <c r="CE89" s="767"/>
      <c r="CF89" s="767"/>
      <c r="CG89" s="767"/>
      <c r="CH89" s="767"/>
      <c r="CI89" s="767"/>
      <c r="CJ89" s="767"/>
      <c r="CK89" s="781">
        <f t="shared" si="58"/>
        <v>1.75</v>
      </c>
      <c r="CL89" s="783">
        <f t="shared" si="78"/>
        <v>1000000</v>
      </c>
      <c r="CM89" s="552"/>
      <c r="CN89" s="552"/>
      <c r="CO89" s="552"/>
      <c r="CP89" s="552"/>
      <c r="CQ89" s="552"/>
      <c r="CR89" s="552"/>
      <c r="CS89" s="552"/>
      <c r="CT89" s="552"/>
      <c r="CU89" s="552"/>
      <c r="CV89" s="552"/>
      <c r="CW89" s="552"/>
      <c r="CX89" s="552"/>
      <c r="CY89" s="552"/>
      <c r="CZ89" s="642">
        <f t="shared" si="133"/>
        <v>82</v>
      </c>
      <c r="DA89" s="609">
        <f t="shared" si="110"/>
        <v>92.25</v>
      </c>
      <c r="DB89" s="609">
        <f t="shared" si="121"/>
        <v>32.799999999999997</v>
      </c>
      <c r="DC89" s="610">
        <f t="shared" si="139"/>
        <v>134.9340650074688</v>
      </c>
      <c r="DD89" s="611">
        <f t="shared" si="139"/>
        <v>134.97614275702301</v>
      </c>
      <c r="DE89" s="612">
        <f t="shared" si="139"/>
        <v>134.9981211981262</v>
      </c>
      <c r="DF89" s="610">
        <f t="shared" si="140"/>
        <v>19.411764705882348</v>
      </c>
      <c r="DG89" s="611">
        <f t="shared" si="140"/>
        <v>22</v>
      </c>
      <c r="DH89" s="612">
        <f t="shared" si="140"/>
        <v>28.470588235294098</v>
      </c>
      <c r="DI89" s="610">
        <f t="shared" si="111"/>
        <v>154.34582971335115</v>
      </c>
      <c r="DJ89" s="611">
        <f t="shared" si="111"/>
        <v>156.97614275702301</v>
      </c>
      <c r="DK89" s="612">
        <f t="shared" si="111"/>
        <v>163.46870943342029</v>
      </c>
      <c r="DL89" s="613">
        <f t="shared" si="144"/>
        <v>154.34582971335115</v>
      </c>
      <c r="DM89" s="613">
        <f t="shared" si="144"/>
        <v>156.97614275702301</v>
      </c>
      <c r="DN89" s="613">
        <f t="shared" si="144"/>
        <v>163.46870943342029</v>
      </c>
      <c r="DO89" s="609">
        <f t="shared" si="112"/>
        <v>135</v>
      </c>
      <c r="DP89" s="609"/>
      <c r="DQ89" s="609">
        <f t="shared" si="123"/>
        <v>32.799999999999997</v>
      </c>
      <c r="DR89" s="610">
        <f t="shared" si="113"/>
        <v>1.5326590546537009E-2</v>
      </c>
      <c r="DS89" s="611">
        <f t="shared" si="113"/>
        <v>6.2850322425052419E-3</v>
      </c>
      <c r="DT89" s="612">
        <f t="shared" si="113"/>
        <v>6.4053372421855317E-4</v>
      </c>
      <c r="DU89" s="611">
        <f t="shared" si="145"/>
        <v>1.6061730629104775E-2</v>
      </c>
      <c r="DV89" s="611">
        <f t="shared" si="145"/>
        <v>6.6281271551817149E-3</v>
      </c>
      <c r="DW89" s="611">
        <f t="shared" si="145"/>
        <v>6.8626363841418978E-4</v>
      </c>
      <c r="DX89" s="614">
        <f t="shared" si="114"/>
        <v>12.5</v>
      </c>
      <c r="DY89" s="615"/>
      <c r="DZ89" s="609">
        <f t="shared" si="124"/>
        <v>32.799999999999997</v>
      </c>
      <c r="EA89" s="611">
        <f t="shared" si="141"/>
        <v>2.132782786885246</v>
      </c>
      <c r="EB89" s="611">
        <f t="shared" si="141"/>
        <v>1000000</v>
      </c>
      <c r="EC89" s="611">
        <f t="shared" si="141"/>
        <v>1000000</v>
      </c>
      <c r="ED89" s="610">
        <f t="shared" si="142"/>
        <v>0.22002999999999975</v>
      </c>
      <c r="EE89" s="611">
        <f t="shared" si="142"/>
        <v>0.22005999999999976</v>
      </c>
      <c r="EF89" s="612">
        <f t="shared" si="142"/>
        <v>0.22012499999999974</v>
      </c>
      <c r="EG89" s="611">
        <f t="shared" si="115"/>
        <v>2.352812786885246</v>
      </c>
      <c r="EH89" s="611">
        <f t="shared" si="115"/>
        <v>1000000.22006</v>
      </c>
      <c r="EI89" s="611">
        <f t="shared" si="115"/>
        <v>1000000.220125</v>
      </c>
      <c r="EJ89" s="610">
        <f t="shared" si="125"/>
        <v>2.2999999999999998</v>
      </c>
      <c r="EK89" s="643">
        <f t="shared" si="126"/>
        <v>2.25</v>
      </c>
      <c r="EL89" s="644">
        <f t="shared" si="127"/>
        <v>2.83</v>
      </c>
      <c r="EN89" s="620">
        <f t="shared" si="128"/>
        <v>17.880555555555556</v>
      </c>
      <c r="EO89" s="621">
        <f t="shared" si="143"/>
        <v>70.961821567063765</v>
      </c>
      <c r="EP89" s="621">
        <f t="shared" si="143"/>
        <v>86.959447573607491</v>
      </c>
      <c r="EQ89" s="621">
        <f t="shared" si="143"/>
        <v>100.05432115612108</v>
      </c>
      <c r="ER89" s="610">
        <f t="shared" si="116"/>
        <v>33.086072430131715</v>
      </c>
      <c r="ES89" s="611">
        <f t="shared" si="116"/>
        <v>58.729401737103771</v>
      </c>
      <c r="ET89" s="612">
        <f t="shared" si="116"/>
        <v>82.85897445738135</v>
      </c>
      <c r="EU89" s="610">
        <f t="shared" si="129"/>
        <v>100</v>
      </c>
      <c r="EV89" s="611">
        <f t="shared" si="130"/>
        <v>135</v>
      </c>
      <c r="EW89" s="645">
        <f t="shared" si="131"/>
        <v>-1000000</v>
      </c>
      <c r="EX89" s="610">
        <f t="shared" si="117"/>
        <v>-37.87574913693205</v>
      </c>
      <c r="EY89" s="621">
        <f t="shared" si="118"/>
        <v>-28.23004583650372</v>
      </c>
      <c r="EZ89" s="612">
        <f t="shared" si="119"/>
        <v>-17.195346698739719</v>
      </c>
      <c r="FA89" s="646">
        <f t="shared" si="120"/>
        <v>17.880555555555556</v>
      </c>
      <c r="FB89" s="317"/>
      <c r="FC89" s="552"/>
      <c r="FD89" s="552"/>
      <c r="FE89" s="552"/>
      <c r="FF89" s="552"/>
      <c r="FG89" s="552"/>
      <c r="FH89" s="552"/>
      <c r="FI89" s="552"/>
      <c r="FJ89" s="552"/>
      <c r="FK89" s="552"/>
      <c r="FL89" s="552"/>
      <c r="FM89" s="552"/>
      <c r="FN89" s="552"/>
      <c r="FO89" s="552"/>
      <c r="FP89" s="552"/>
      <c r="FQ89" s="552"/>
      <c r="FR89" s="552"/>
      <c r="FS89" s="552"/>
      <c r="FT89" s="552"/>
    </row>
    <row r="90" spans="2:176" s="564" customFormat="1" ht="15" customHeight="1" x14ac:dyDescent="0.2">
      <c r="B90" s="682">
        <f t="shared" si="134"/>
        <v>24</v>
      </c>
      <c r="C90" s="704">
        <f>$G$16</f>
        <v>90.5</v>
      </c>
      <c r="D90" s="807">
        <f>$B$16</f>
        <v>1.94</v>
      </c>
      <c r="E90" s="790">
        <f t="shared" si="49"/>
        <v>3.7708333333333335</v>
      </c>
      <c r="F90" s="689"/>
      <c r="G90" s="747">
        <f t="shared" si="50"/>
        <v>1.9308559524192277</v>
      </c>
      <c r="H90" s="748">
        <f t="shared" si="60"/>
        <v>8.3613606159426879E-5</v>
      </c>
      <c r="I90" s="689"/>
      <c r="J90" s="773">
        <f t="shared" si="82"/>
        <v>53</v>
      </c>
      <c r="K90" s="774">
        <f t="shared" si="61"/>
        <v>59.625</v>
      </c>
      <c r="L90" s="747">
        <f t="shared" si="136"/>
        <v>2.0704315223880596</v>
      </c>
      <c r="M90" s="751">
        <f t="shared" si="136"/>
        <v>2.0665324626865673</v>
      </c>
      <c r="N90" s="751">
        <f t="shared" si="136"/>
        <v>2.0597986940298507</v>
      </c>
      <c r="O90" s="751">
        <f t="shared" si="136"/>
        <v>2.0530649253731346</v>
      </c>
      <c r="P90" s="751">
        <f t="shared" si="136"/>
        <v>2.0401313432835821</v>
      </c>
      <c r="Q90" s="751">
        <f t="shared" si="136"/>
        <v>2.0325847761194029</v>
      </c>
      <c r="R90" s="751">
        <f t="shared" si="136"/>
        <v>2.0038223880597017</v>
      </c>
      <c r="S90" s="751">
        <f t="shared" si="136"/>
        <v>1.9912352835820897</v>
      </c>
      <c r="T90" s="752">
        <f t="shared" si="136"/>
        <v>1.9732089552238807</v>
      </c>
      <c r="U90" s="753">
        <f t="shared" si="136"/>
        <v>1.8564507462686568</v>
      </c>
      <c r="W90" s="773">
        <f t="shared" si="63"/>
        <v>59.625</v>
      </c>
      <c r="X90" s="775">
        <f t="shared" si="137"/>
        <v>-8.1057161233542188E-2</v>
      </c>
      <c r="Y90" s="776">
        <f t="shared" si="137"/>
        <v>-8.106172512243108E-2</v>
      </c>
      <c r="Z90" s="776">
        <f t="shared" si="137"/>
        <v>-8.1069607066875521E-2</v>
      </c>
      <c r="AA90" s="776">
        <f t="shared" si="137"/>
        <v>-8.1077489011319961E-2</v>
      </c>
      <c r="AB90" s="776">
        <f t="shared" si="137"/>
        <v>-8.1092627900208852E-2</v>
      </c>
      <c r="AC90" s="776">
        <f t="shared" si="137"/>
        <v>-8.1101461233542185E-2</v>
      </c>
      <c r="AD90" s="776">
        <f t="shared" si="137"/>
        <v>-8.1135127900208853E-2</v>
      </c>
      <c r="AE90" s="776">
        <f t="shared" si="137"/>
        <v>-8.1149861233542189E-2</v>
      </c>
      <c r="AF90" s="777">
        <f t="shared" si="137"/>
        <v>-8.1170961233542185E-2</v>
      </c>
      <c r="AG90" s="778">
        <f t="shared" si="137"/>
        <v>-8.1307627900208845E-2</v>
      </c>
      <c r="AI90" s="773">
        <f t="shared" si="65"/>
        <v>59.625</v>
      </c>
      <c r="AJ90" s="747">
        <f t="shared" si="99"/>
        <v>1.9893743611545174</v>
      </c>
      <c r="AK90" s="751">
        <f t="shared" si="99"/>
        <v>1.9854707375641363</v>
      </c>
      <c r="AL90" s="751">
        <f t="shared" si="99"/>
        <v>1.9787290869629752</v>
      </c>
      <c r="AM90" s="751">
        <f t="shared" si="99"/>
        <v>1.9719874363618146</v>
      </c>
      <c r="AN90" s="751">
        <f t="shared" si="99"/>
        <v>1.9590387153833733</v>
      </c>
      <c r="AO90" s="751">
        <f t="shared" si="97"/>
        <v>1.9514833148858608</v>
      </c>
      <c r="AP90" s="751">
        <f t="shared" si="97"/>
        <v>1.9226872601594929</v>
      </c>
      <c r="AQ90" s="751">
        <f t="shared" si="97"/>
        <v>1.9100854223485475</v>
      </c>
      <c r="AR90" s="752">
        <f t="shared" si="97"/>
        <v>1.8920379939903385</v>
      </c>
      <c r="AS90" s="751">
        <f t="shared" si="97"/>
        <v>1.7751431183684478</v>
      </c>
      <c r="AT90" s="674">
        <f t="shared" si="66"/>
        <v>1.75</v>
      </c>
      <c r="AU90" s="712">
        <f t="shared" si="67"/>
        <v>1.8</v>
      </c>
      <c r="AV90" s="712">
        <f t="shared" si="68"/>
        <v>1.81</v>
      </c>
      <c r="AW90" s="712">
        <f t="shared" si="69"/>
        <v>1.83</v>
      </c>
      <c r="AX90" s="712">
        <f t="shared" si="70"/>
        <v>1.84</v>
      </c>
      <c r="AY90" s="712">
        <f t="shared" si="71"/>
        <v>1.86</v>
      </c>
      <c r="AZ90" s="712">
        <f t="shared" si="72"/>
        <v>1.88</v>
      </c>
      <c r="BA90" s="712">
        <f t="shared" si="73"/>
        <v>1.9</v>
      </c>
      <c r="BB90" s="712">
        <f t="shared" si="74"/>
        <v>1.92</v>
      </c>
      <c r="BC90" s="779">
        <f t="shared" si="75"/>
        <v>1000000</v>
      </c>
      <c r="BD90" s="780">
        <f t="shared" si="76"/>
        <v>-1000000</v>
      </c>
      <c r="BF90" s="781">
        <f t="shared" si="138"/>
        <v>1.9896246809380713</v>
      </c>
      <c r="BG90" s="767">
        <f t="shared" si="138"/>
        <v>1.9673489665249555</v>
      </c>
      <c r="BH90" s="767">
        <f t="shared" si="138"/>
        <v>1.8245949377549053</v>
      </c>
      <c r="BI90" s="767">
        <f t="shared" si="138"/>
        <v>2.0444202047233282</v>
      </c>
      <c r="BJ90" s="767">
        <f t="shared" si="138"/>
        <v>2.0077724499457799</v>
      </c>
      <c r="BK90" s="767">
        <f t="shared" si="138"/>
        <v>2.0034651943251371</v>
      </c>
      <c r="BL90" s="767">
        <f t="shared" si="138"/>
        <v>1.9979835935878212</v>
      </c>
      <c r="BM90" s="767">
        <f t="shared" si="138"/>
        <v>1.9970560987609465</v>
      </c>
      <c r="BN90" s="767">
        <f t="shared" si="138"/>
        <v>1.9961984385052229</v>
      </c>
      <c r="BO90" s="782">
        <f t="shared" si="138"/>
        <v>1.994262571424102</v>
      </c>
      <c r="BP90" s="781">
        <f t="shared" si="100"/>
        <v>1.9896246809380713</v>
      </c>
      <c r="BQ90" s="767">
        <f t="shared" si="100"/>
        <v>1.9673489665249555</v>
      </c>
      <c r="BR90" s="767">
        <f t="shared" si="100"/>
        <v>1.8245949377549053</v>
      </c>
      <c r="BS90" s="767">
        <f t="shared" si="100"/>
        <v>-1000000</v>
      </c>
      <c r="BT90" s="767">
        <f t="shared" si="100"/>
        <v>-1000000</v>
      </c>
      <c r="BU90" s="767">
        <f t="shared" si="98"/>
        <v>-1000000</v>
      </c>
      <c r="BV90" s="767">
        <f t="shared" si="98"/>
        <v>-1000000</v>
      </c>
      <c r="BW90" s="767">
        <f t="shared" si="98"/>
        <v>-1000000</v>
      </c>
      <c r="BX90" s="767">
        <f t="shared" si="98"/>
        <v>-1000000</v>
      </c>
      <c r="BY90" s="767">
        <f t="shared" si="98"/>
        <v>-1000000</v>
      </c>
      <c r="BZ90" s="648">
        <f t="shared" si="56"/>
        <v>53</v>
      </c>
      <c r="CA90" s="767">
        <f t="shared" si="135"/>
        <v>1.9896246809380713</v>
      </c>
      <c r="CB90" s="767">
        <f t="shared" si="135"/>
        <v>1.9673489665249555</v>
      </c>
      <c r="CC90" s="767">
        <f t="shared" si="135"/>
        <v>1.8245949377549053</v>
      </c>
      <c r="CD90" s="767"/>
      <c r="CE90" s="767"/>
      <c r="CF90" s="767"/>
      <c r="CG90" s="767"/>
      <c r="CH90" s="767"/>
      <c r="CI90" s="767"/>
      <c r="CJ90" s="767"/>
      <c r="CK90" s="781">
        <f t="shared" si="58"/>
        <v>1.75</v>
      </c>
      <c r="CL90" s="783">
        <f t="shared" si="78"/>
        <v>1000000</v>
      </c>
      <c r="CM90" s="552"/>
      <c r="CN90" s="552"/>
      <c r="CO90" s="552"/>
      <c r="CP90" s="552"/>
      <c r="CQ90" s="552"/>
      <c r="CR90" s="552"/>
      <c r="CS90" s="552"/>
      <c r="CT90" s="552"/>
      <c r="CU90" s="552"/>
      <c r="CV90" s="552"/>
      <c r="CW90" s="552"/>
      <c r="CX90" s="552"/>
      <c r="CY90" s="552"/>
      <c r="CZ90" s="642">
        <f t="shared" si="133"/>
        <v>83</v>
      </c>
      <c r="DA90" s="609">
        <f t="shared" si="110"/>
        <v>93.375</v>
      </c>
      <c r="DB90" s="609">
        <f t="shared" si="121"/>
        <v>33.200000000000003</v>
      </c>
      <c r="DC90" s="610">
        <f t="shared" si="139"/>
        <v>134.93991926231939</v>
      </c>
      <c r="DD90" s="611">
        <f t="shared" si="139"/>
        <v>134.97852884264495</v>
      </c>
      <c r="DE90" s="612">
        <f t="shared" si="139"/>
        <v>134.9983607093919</v>
      </c>
      <c r="DF90" s="610">
        <f t="shared" si="140"/>
        <v>19.411764705882348</v>
      </c>
      <c r="DG90" s="611">
        <f t="shared" si="140"/>
        <v>22</v>
      </c>
      <c r="DH90" s="612">
        <f t="shared" si="140"/>
        <v>28.470588235294098</v>
      </c>
      <c r="DI90" s="610">
        <f t="shared" si="111"/>
        <v>154.35168396820174</v>
      </c>
      <c r="DJ90" s="611">
        <f t="shared" si="111"/>
        <v>156.97852884264495</v>
      </c>
      <c r="DK90" s="612">
        <f t="shared" si="111"/>
        <v>163.46894894468599</v>
      </c>
      <c r="DL90" s="613">
        <f t="shared" si="144"/>
        <v>154.35168396820174</v>
      </c>
      <c r="DM90" s="613">
        <f t="shared" si="144"/>
        <v>156.97852884264495</v>
      </c>
      <c r="DN90" s="613">
        <f t="shared" si="144"/>
        <v>163.46894894468599</v>
      </c>
      <c r="DO90" s="609">
        <f t="shared" si="112"/>
        <v>135</v>
      </c>
      <c r="DP90" s="609"/>
      <c r="DQ90" s="609">
        <f t="shared" si="123"/>
        <v>33.200000000000003</v>
      </c>
      <c r="DR90" s="610">
        <f t="shared" si="113"/>
        <v>1.3965768870437914E-2</v>
      </c>
      <c r="DS90" s="611">
        <f t="shared" si="113"/>
        <v>5.6564338297791124E-3</v>
      </c>
      <c r="DT90" s="612">
        <f t="shared" si="113"/>
        <v>5.5887793859994825E-4</v>
      </c>
      <c r="DU90" s="611">
        <f t="shared" si="145"/>
        <v>1.4635637126474213E-2</v>
      </c>
      <c r="DV90" s="611">
        <f t="shared" si="145"/>
        <v>5.9652140548393223E-3</v>
      </c>
      <c r="DW90" s="611">
        <f t="shared" si="145"/>
        <v>5.987781642602301E-4</v>
      </c>
      <c r="DX90" s="614">
        <f t="shared" si="114"/>
        <v>12.5</v>
      </c>
      <c r="DY90" s="615"/>
      <c r="DZ90" s="609">
        <f t="shared" si="124"/>
        <v>33.200000000000003</v>
      </c>
      <c r="EA90" s="611">
        <f t="shared" si="141"/>
        <v>2.134572033898305</v>
      </c>
      <c r="EB90" s="611">
        <f t="shared" si="141"/>
        <v>1000000</v>
      </c>
      <c r="EC90" s="611">
        <f t="shared" si="141"/>
        <v>1000000</v>
      </c>
      <c r="ED90" s="610">
        <f t="shared" si="142"/>
        <v>0.22002999999999975</v>
      </c>
      <c r="EE90" s="611">
        <f t="shared" si="142"/>
        <v>0.22005999999999976</v>
      </c>
      <c r="EF90" s="612">
        <f t="shared" si="142"/>
        <v>0.22012499999999974</v>
      </c>
      <c r="EG90" s="611">
        <f t="shared" si="115"/>
        <v>2.3546020338983049</v>
      </c>
      <c r="EH90" s="611">
        <f t="shared" si="115"/>
        <v>1000000.22006</v>
      </c>
      <c r="EI90" s="611">
        <f t="shared" si="115"/>
        <v>1000000.220125</v>
      </c>
      <c r="EJ90" s="610">
        <f t="shared" si="125"/>
        <v>2.2999999999999998</v>
      </c>
      <c r="EK90" s="643">
        <f t="shared" si="126"/>
        <v>2.25</v>
      </c>
      <c r="EL90" s="644">
        <f t="shared" si="127"/>
        <v>2.83</v>
      </c>
      <c r="EN90" s="620">
        <f t="shared" si="128"/>
        <v>18.098611111111111</v>
      </c>
      <c r="EO90" s="621">
        <f t="shared" si="143"/>
        <v>70.181652614566389</v>
      </c>
      <c r="EP90" s="621">
        <f t="shared" si="143"/>
        <v>86.374028647725197</v>
      </c>
      <c r="EQ90" s="621">
        <f t="shared" si="143"/>
        <v>99.628387940940314</v>
      </c>
      <c r="ER90" s="610">
        <f t="shared" si="116"/>
        <v>32.305811774669628</v>
      </c>
      <c r="ES90" s="611">
        <f t="shared" si="116"/>
        <v>58.093176891490849</v>
      </c>
      <c r="ET90" s="612">
        <f t="shared" si="116"/>
        <v>82.219930181576586</v>
      </c>
      <c r="EU90" s="610">
        <f t="shared" si="129"/>
        <v>100</v>
      </c>
      <c r="EV90" s="611">
        <f t="shared" si="130"/>
        <v>135</v>
      </c>
      <c r="EW90" s="645">
        <f t="shared" si="131"/>
        <v>-1000000</v>
      </c>
      <c r="EX90" s="610">
        <f t="shared" si="117"/>
        <v>-37.87584083989676</v>
      </c>
      <c r="EY90" s="621">
        <f t="shared" si="118"/>
        <v>-28.280851756234348</v>
      </c>
      <c r="EZ90" s="612">
        <f t="shared" si="119"/>
        <v>-17.408457759363721</v>
      </c>
      <c r="FA90" s="646">
        <f t="shared" si="120"/>
        <v>18.098611111111111</v>
      </c>
      <c r="FB90" s="317"/>
      <c r="FC90" s="552"/>
      <c r="FD90" s="552"/>
      <c r="FE90" s="552"/>
      <c r="FF90" s="552"/>
      <c r="FG90" s="552"/>
      <c r="FH90" s="552"/>
      <c r="FI90" s="552"/>
      <c r="FJ90" s="552"/>
      <c r="FK90" s="552"/>
      <c r="FL90" s="552"/>
      <c r="FM90" s="552"/>
      <c r="FN90" s="552"/>
      <c r="FO90" s="552"/>
      <c r="FP90" s="552"/>
      <c r="FQ90" s="552"/>
      <c r="FR90" s="552"/>
      <c r="FS90" s="552"/>
      <c r="FT90" s="552"/>
    </row>
    <row r="91" spans="2:176" s="564" customFormat="1" ht="15" customHeight="1" x14ac:dyDescent="0.2">
      <c r="B91" s="626">
        <f>$H$4</f>
        <v>20</v>
      </c>
      <c r="C91" s="631">
        <f>$H$6</f>
        <v>114.5</v>
      </c>
      <c r="D91" s="744">
        <f>$B$6</f>
        <v>1.75</v>
      </c>
      <c r="E91" s="745">
        <f t="shared" si="49"/>
        <v>5.7249999999999996</v>
      </c>
      <c r="F91" s="689"/>
      <c r="G91" s="747">
        <f t="shared" si="50"/>
        <v>1.8026487674030178</v>
      </c>
      <c r="H91" s="748">
        <f t="shared" si="60"/>
        <v>2.7718927090570724E-3</v>
      </c>
      <c r="I91" s="689"/>
      <c r="J91" s="773">
        <f t="shared" si="82"/>
        <v>54</v>
      </c>
      <c r="K91" s="774">
        <f t="shared" si="61"/>
        <v>60.75</v>
      </c>
      <c r="L91" s="747">
        <f t="shared" si="136"/>
        <v>2.0702865454545454</v>
      </c>
      <c r="M91" s="751">
        <f t="shared" si="136"/>
        <v>2.0663284090909091</v>
      </c>
      <c r="N91" s="751">
        <f t="shared" si="136"/>
        <v>2.0594926136363636</v>
      </c>
      <c r="O91" s="751">
        <f t="shared" si="136"/>
        <v>2.0526568181818181</v>
      </c>
      <c r="P91" s="751">
        <f t="shared" si="136"/>
        <v>2.0395272727272729</v>
      </c>
      <c r="Q91" s="751">
        <f t="shared" si="136"/>
        <v>2.0318663636363636</v>
      </c>
      <c r="R91" s="751">
        <f t="shared" si="136"/>
        <v>2.0026681818181817</v>
      </c>
      <c r="S91" s="751">
        <f t="shared" si="136"/>
        <v>1.9898903636363636</v>
      </c>
      <c r="T91" s="752">
        <f t="shared" si="136"/>
        <v>1.9715909090909092</v>
      </c>
      <c r="U91" s="753">
        <f t="shared" si="136"/>
        <v>1.8530636363636364</v>
      </c>
      <c r="W91" s="773">
        <f t="shared" si="63"/>
        <v>60.75</v>
      </c>
      <c r="X91" s="775">
        <f t="shared" si="137"/>
        <v>-8.1948997842616542E-2</v>
      </c>
      <c r="Y91" s="776">
        <f t="shared" si="137"/>
        <v>-8.1953561731505434E-2</v>
      </c>
      <c r="Z91" s="776">
        <f t="shared" si="137"/>
        <v>-8.1961443675949874E-2</v>
      </c>
      <c r="AA91" s="776">
        <f t="shared" si="137"/>
        <v>-8.1969325620394315E-2</v>
      </c>
      <c r="AB91" s="776">
        <f t="shared" si="137"/>
        <v>-8.1984464509283206E-2</v>
      </c>
      <c r="AC91" s="776">
        <f t="shared" si="137"/>
        <v>-8.1993297842616539E-2</v>
      </c>
      <c r="AD91" s="776">
        <f t="shared" si="137"/>
        <v>-8.2026964509283207E-2</v>
      </c>
      <c r="AE91" s="776">
        <f t="shared" si="137"/>
        <v>-8.2041697842616543E-2</v>
      </c>
      <c r="AF91" s="777">
        <f t="shared" si="137"/>
        <v>-8.2062797842616539E-2</v>
      </c>
      <c r="AG91" s="778">
        <f t="shared" si="137"/>
        <v>-8.2199464509283199E-2</v>
      </c>
      <c r="AI91" s="773">
        <f t="shared" si="65"/>
        <v>60.75</v>
      </c>
      <c r="AJ91" s="747">
        <f t="shared" si="99"/>
        <v>1.9883375476119289</v>
      </c>
      <c r="AK91" s="751">
        <f t="shared" si="99"/>
        <v>1.9843748473594036</v>
      </c>
      <c r="AL91" s="751">
        <f t="shared" si="99"/>
        <v>1.9775311699604137</v>
      </c>
      <c r="AM91" s="751">
        <f t="shared" si="99"/>
        <v>1.9706874925614237</v>
      </c>
      <c r="AN91" s="751">
        <f t="shared" si="99"/>
        <v>1.9575428082179895</v>
      </c>
      <c r="AO91" s="751">
        <f t="shared" si="97"/>
        <v>1.9498730657937471</v>
      </c>
      <c r="AP91" s="751">
        <f t="shared" si="97"/>
        <v>1.9206412173088985</v>
      </c>
      <c r="AQ91" s="751">
        <f t="shared" si="97"/>
        <v>1.907848665793747</v>
      </c>
      <c r="AR91" s="752">
        <f t="shared" si="97"/>
        <v>1.8895281112482927</v>
      </c>
      <c r="AS91" s="751">
        <f t="shared" si="97"/>
        <v>1.7708641718543532</v>
      </c>
      <c r="AT91" s="674">
        <f t="shared" si="66"/>
        <v>1.75</v>
      </c>
      <c r="AU91" s="712">
        <f t="shared" si="67"/>
        <v>1.8</v>
      </c>
      <c r="AV91" s="712">
        <f t="shared" si="68"/>
        <v>1.81</v>
      </c>
      <c r="AW91" s="712">
        <f t="shared" si="69"/>
        <v>1.83</v>
      </c>
      <c r="AX91" s="712">
        <f t="shared" si="70"/>
        <v>1.84</v>
      </c>
      <c r="AY91" s="712">
        <f t="shared" si="71"/>
        <v>1.86</v>
      </c>
      <c r="AZ91" s="712">
        <f t="shared" si="72"/>
        <v>1.88</v>
      </c>
      <c r="BA91" s="712">
        <f t="shared" si="73"/>
        <v>1.9</v>
      </c>
      <c r="BB91" s="712">
        <f t="shared" si="74"/>
        <v>1.92</v>
      </c>
      <c r="BC91" s="779">
        <f t="shared" si="75"/>
        <v>1000000</v>
      </c>
      <c r="BD91" s="780">
        <f t="shared" si="76"/>
        <v>-1000000</v>
      </c>
      <c r="BF91" s="781">
        <f t="shared" si="138"/>
        <v>1.988582641469244</v>
      </c>
      <c r="BG91" s="767">
        <f t="shared" si="138"/>
        <v>1.9663083937413131</v>
      </c>
      <c r="BH91" s="767">
        <f t="shared" si="138"/>
        <v>1.7736224544916865</v>
      </c>
      <c r="BI91" s="767">
        <f t="shared" si="138"/>
        <v>2.0387448109100399</v>
      </c>
      <c r="BJ91" s="767">
        <f t="shared" si="138"/>
        <v>2.0067047595889287</v>
      </c>
      <c r="BK91" s="767">
        <f t="shared" si="138"/>
        <v>2.0027083761133624</v>
      </c>
      <c r="BL91" s="767">
        <f t="shared" si="138"/>
        <v>1.997545897145699</v>
      </c>
      <c r="BM91" s="767">
        <f t="shared" si="138"/>
        <v>1.9966635769447403</v>
      </c>
      <c r="BN91" s="767">
        <f t="shared" si="138"/>
        <v>1.9958452098322272</v>
      </c>
      <c r="BO91" s="782">
        <f t="shared" si="138"/>
        <v>1.9939869762641396</v>
      </c>
      <c r="BP91" s="781">
        <f t="shared" si="100"/>
        <v>1.988582641469244</v>
      </c>
      <c r="BQ91" s="767">
        <f t="shared" si="100"/>
        <v>1.9663083937413131</v>
      </c>
      <c r="BR91" s="767">
        <f t="shared" si="100"/>
        <v>1.7736224544916865</v>
      </c>
      <c r="BS91" s="767">
        <f t="shared" si="100"/>
        <v>-1000000</v>
      </c>
      <c r="BT91" s="767">
        <f t="shared" si="100"/>
        <v>-1000000</v>
      </c>
      <c r="BU91" s="767">
        <f t="shared" si="98"/>
        <v>-1000000</v>
      </c>
      <c r="BV91" s="767">
        <f t="shared" si="98"/>
        <v>-1000000</v>
      </c>
      <c r="BW91" s="767">
        <f t="shared" si="98"/>
        <v>-1000000</v>
      </c>
      <c r="BX91" s="767">
        <f t="shared" si="98"/>
        <v>-1000000</v>
      </c>
      <c r="BY91" s="767">
        <f t="shared" si="98"/>
        <v>-1000000</v>
      </c>
      <c r="BZ91" s="648">
        <f t="shared" si="56"/>
        <v>54</v>
      </c>
      <c r="CA91" s="767">
        <f t="shared" si="135"/>
        <v>1.988582641469244</v>
      </c>
      <c r="CB91" s="767">
        <f t="shared" si="135"/>
        <v>1.9663083937413131</v>
      </c>
      <c r="CC91" s="767">
        <f t="shared" si="135"/>
        <v>1.7736224544916865</v>
      </c>
      <c r="CD91" s="767"/>
      <c r="CE91" s="767"/>
      <c r="CF91" s="767"/>
      <c r="CG91" s="767"/>
      <c r="CH91" s="767"/>
      <c r="CI91" s="767"/>
      <c r="CJ91" s="767"/>
      <c r="CK91" s="781">
        <f t="shared" si="58"/>
        <v>1.75</v>
      </c>
      <c r="CL91" s="783">
        <f t="shared" si="78"/>
        <v>1000000</v>
      </c>
      <c r="CM91" s="552"/>
      <c r="CN91" s="552"/>
      <c r="CO91" s="552"/>
      <c r="CP91" s="552"/>
      <c r="CQ91" s="552"/>
      <c r="CR91" s="552"/>
      <c r="CS91" s="552"/>
      <c r="CT91" s="552"/>
      <c r="CU91" s="552"/>
      <c r="CV91" s="552"/>
      <c r="CW91" s="552"/>
      <c r="CX91" s="552"/>
      <c r="CY91" s="552"/>
      <c r="CZ91" s="642">
        <f t="shared" si="133"/>
        <v>84</v>
      </c>
      <c r="DA91" s="609">
        <f t="shared" si="110"/>
        <v>94.5</v>
      </c>
      <c r="DB91" s="609">
        <f t="shared" si="121"/>
        <v>33.599999999999994</v>
      </c>
      <c r="DC91" s="610">
        <f t="shared" si="139"/>
        <v>134.94525372792694</v>
      </c>
      <c r="DD91" s="611">
        <f t="shared" si="139"/>
        <v>134.98067628356682</v>
      </c>
      <c r="DE91" s="612">
        <f t="shared" si="139"/>
        <v>134.99856968755714</v>
      </c>
      <c r="DF91" s="610">
        <f t="shared" si="140"/>
        <v>19.411764705882348</v>
      </c>
      <c r="DG91" s="611">
        <f t="shared" si="140"/>
        <v>22</v>
      </c>
      <c r="DH91" s="612">
        <f t="shared" si="140"/>
        <v>28.470588235294098</v>
      </c>
      <c r="DI91" s="610">
        <f t="shared" si="111"/>
        <v>154.35701843380929</v>
      </c>
      <c r="DJ91" s="611">
        <f t="shared" si="111"/>
        <v>156.98067628356682</v>
      </c>
      <c r="DK91" s="612">
        <f t="shared" si="111"/>
        <v>163.46915792285122</v>
      </c>
      <c r="DL91" s="613">
        <f t="shared" si="144"/>
        <v>154.35701843380929</v>
      </c>
      <c r="DM91" s="613">
        <f t="shared" si="144"/>
        <v>156.98067628356682</v>
      </c>
      <c r="DN91" s="613">
        <f t="shared" si="144"/>
        <v>163.46915792285122</v>
      </c>
      <c r="DO91" s="609">
        <f t="shared" si="112"/>
        <v>135</v>
      </c>
      <c r="DP91" s="609"/>
      <c r="DQ91" s="609">
        <f t="shared" si="123"/>
        <v>33.599999999999994</v>
      </c>
      <c r="DR91" s="610">
        <f t="shared" si="113"/>
        <v>1.2725772215958534E-2</v>
      </c>
      <c r="DS91" s="611">
        <f t="shared" si="113"/>
        <v>5.0907047786148277E-3</v>
      </c>
      <c r="DT91" s="612">
        <f t="shared" si="113"/>
        <v>4.8763170219458279E-4</v>
      </c>
      <c r="DU91" s="611">
        <f t="shared" si="145"/>
        <v>1.333616401886701E-2</v>
      </c>
      <c r="DV91" s="611">
        <f t="shared" si="145"/>
        <v>5.3686023046851696E-3</v>
      </c>
      <c r="DW91" s="611">
        <f t="shared" si="145"/>
        <v>5.2244541308256183E-4</v>
      </c>
      <c r="DX91" s="614">
        <f t="shared" si="114"/>
        <v>12.5</v>
      </c>
      <c r="DY91" s="615"/>
      <c r="DZ91" s="609">
        <f t="shared" si="124"/>
        <v>33.599999999999994</v>
      </c>
      <c r="EA91" s="611">
        <f t="shared" si="141"/>
        <v>2.1364868421052634</v>
      </c>
      <c r="EB91" s="611">
        <f t="shared" si="141"/>
        <v>1000000</v>
      </c>
      <c r="EC91" s="611">
        <f t="shared" si="141"/>
        <v>1000000</v>
      </c>
      <c r="ED91" s="610">
        <f t="shared" si="142"/>
        <v>0.22002999999999975</v>
      </c>
      <c r="EE91" s="611">
        <f t="shared" si="142"/>
        <v>0.22005999999999976</v>
      </c>
      <c r="EF91" s="612">
        <f t="shared" si="142"/>
        <v>0.22012499999999974</v>
      </c>
      <c r="EG91" s="611">
        <f t="shared" si="115"/>
        <v>2.3565168421052634</v>
      </c>
      <c r="EH91" s="611">
        <f t="shared" si="115"/>
        <v>1000000.22006</v>
      </c>
      <c r="EI91" s="611">
        <f t="shared" si="115"/>
        <v>1000000.220125</v>
      </c>
      <c r="EJ91" s="610">
        <f t="shared" si="125"/>
        <v>2.2999999999999998</v>
      </c>
      <c r="EK91" s="643">
        <f t="shared" si="126"/>
        <v>2.25</v>
      </c>
      <c r="EL91" s="644">
        <f t="shared" si="127"/>
        <v>2.83</v>
      </c>
      <c r="EN91" s="620">
        <f t="shared" si="128"/>
        <v>18.316666666666666</v>
      </c>
      <c r="EO91" s="621">
        <f t="shared" si="143"/>
        <v>69.401502545095369</v>
      </c>
      <c r="EP91" s="621">
        <f t="shared" si="143"/>
        <v>85.788620351551145</v>
      </c>
      <c r="EQ91" s="621">
        <f t="shared" si="143"/>
        <v>99.202460351552361</v>
      </c>
      <c r="ER91" s="610">
        <f t="shared" si="116"/>
        <v>31.525581848902711</v>
      </c>
      <c r="ES91" s="611">
        <f t="shared" si="116"/>
        <v>57.459282033313762</v>
      </c>
      <c r="ET91" s="612">
        <f t="shared" si="116"/>
        <v>81.584576897583887</v>
      </c>
      <c r="EU91" s="610">
        <f t="shared" si="129"/>
        <v>100</v>
      </c>
      <c r="EV91" s="611">
        <f t="shared" si="130"/>
        <v>135</v>
      </c>
      <c r="EW91" s="645">
        <f t="shared" si="131"/>
        <v>-1000000</v>
      </c>
      <c r="EX91" s="610">
        <f t="shared" si="117"/>
        <v>-37.875920696192658</v>
      </c>
      <c r="EY91" s="621">
        <f t="shared" si="118"/>
        <v>-28.329338318237383</v>
      </c>
      <c r="EZ91" s="612">
        <f t="shared" si="119"/>
        <v>-17.617883453968474</v>
      </c>
      <c r="FA91" s="646">
        <f t="shared" si="120"/>
        <v>18.316666666666666</v>
      </c>
      <c r="FB91" s="317"/>
      <c r="FC91" s="552"/>
      <c r="FD91" s="552"/>
      <c r="FE91" s="552"/>
      <c r="FF91" s="552"/>
      <c r="FG91" s="552"/>
      <c r="FH91" s="552"/>
      <c r="FI91" s="552"/>
      <c r="FJ91" s="552"/>
      <c r="FK91" s="552"/>
      <c r="FL91" s="552"/>
      <c r="FM91" s="552"/>
      <c r="FN91" s="552"/>
      <c r="FO91" s="552"/>
      <c r="FP91" s="552"/>
      <c r="FQ91" s="552"/>
      <c r="FR91" s="552"/>
      <c r="FS91" s="552"/>
      <c r="FT91" s="552"/>
    </row>
    <row r="92" spans="2:176" s="564" customFormat="1" ht="15" customHeight="1" x14ac:dyDescent="0.2">
      <c r="B92" s="647">
        <f t="shared" ref="B92:B101" si="146">$H$4</f>
        <v>20</v>
      </c>
      <c r="C92" s="652">
        <f>$H$7</f>
        <v>113.5</v>
      </c>
      <c r="D92" s="771">
        <f>$B$7</f>
        <v>1.78</v>
      </c>
      <c r="E92" s="772">
        <f t="shared" si="49"/>
        <v>5.6749999999999998</v>
      </c>
      <c r="F92" s="689"/>
      <c r="G92" s="747">
        <f t="shared" si="50"/>
        <v>1.8125799153832762</v>
      </c>
      <c r="H92" s="748">
        <f t="shared" si="60"/>
        <v>1.0614508863814375E-3</v>
      </c>
      <c r="I92" s="689"/>
      <c r="J92" s="773">
        <f t="shared" si="82"/>
        <v>55</v>
      </c>
      <c r="K92" s="774">
        <f t="shared" si="61"/>
        <v>61.875</v>
      </c>
      <c r="L92" s="747">
        <f t="shared" si="136"/>
        <v>2.0701371076923079</v>
      </c>
      <c r="M92" s="751">
        <f t="shared" si="136"/>
        <v>2.0661180769230771</v>
      </c>
      <c r="N92" s="751">
        <f t="shared" si="136"/>
        <v>2.0591771153846157</v>
      </c>
      <c r="O92" s="751">
        <f t="shared" si="136"/>
        <v>2.0522361538461538</v>
      </c>
      <c r="P92" s="751">
        <f t="shared" si="136"/>
        <v>2.0389046153846153</v>
      </c>
      <c r="Q92" s="751">
        <f t="shared" si="136"/>
        <v>2.0311258461538464</v>
      </c>
      <c r="R92" s="751">
        <f t="shared" si="136"/>
        <v>2.0014784615384618</v>
      </c>
      <c r="S92" s="751">
        <f t="shared" si="136"/>
        <v>1.9885040615384617</v>
      </c>
      <c r="T92" s="752">
        <f t="shared" si="136"/>
        <v>1.9699230769230771</v>
      </c>
      <c r="U92" s="753">
        <f t="shared" si="136"/>
        <v>1.8495723076923078</v>
      </c>
      <c r="W92" s="773">
        <f t="shared" si="63"/>
        <v>61.875</v>
      </c>
      <c r="X92" s="775">
        <f t="shared" si="137"/>
        <v>-8.2796375590429891E-2</v>
      </c>
      <c r="Y92" s="776">
        <f t="shared" si="137"/>
        <v>-8.2800939479318783E-2</v>
      </c>
      <c r="Z92" s="776">
        <f t="shared" si="137"/>
        <v>-8.2808821423763224E-2</v>
      </c>
      <c r="AA92" s="776">
        <f t="shared" si="137"/>
        <v>-8.2816703368207664E-2</v>
      </c>
      <c r="AB92" s="776">
        <f t="shared" si="137"/>
        <v>-8.2831842257096555E-2</v>
      </c>
      <c r="AC92" s="776">
        <f t="shared" si="137"/>
        <v>-8.2840675590429888E-2</v>
      </c>
      <c r="AD92" s="776">
        <f t="shared" si="137"/>
        <v>-8.2874342257096556E-2</v>
      </c>
      <c r="AE92" s="776">
        <f t="shared" si="137"/>
        <v>-8.2889075590429892E-2</v>
      </c>
      <c r="AF92" s="777">
        <f t="shared" si="137"/>
        <v>-8.2910175590429888E-2</v>
      </c>
      <c r="AG92" s="778">
        <f t="shared" si="137"/>
        <v>-8.3046842257096548E-2</v>
      </c>
      <c r="AI92" s="773">
        <f t="shared" si="65"/>
        <v>61.875</v>
      </c>
      <c r="AJ92" s="747">
        <f t="shared" si="99"/>
        <v>1.9873407321018779</v>
      </c>
      <c r="AK92" s="751">
        <f t="shared" si="99"/>
        <v>1.9833171374437584</v>
      </c>
      <c r="AL92" s="751">
        <f t="shared" si="99"/>
        <v>1.9763682939608525</v>
      </c>
      <c r="AM92" s="751">
        <f t="shared" si="99"/>
        <v>1.9694194504779461</v>
      </c>
      <c r="AN92" s="751">
        <f t="shared" si="99"/>
        <v>1.9560727731275187</v>
      </c>
      <c r="AO92" s="751">
        <f t="shared" si="97"/>
        <v>1.9482851705634165</v>
      </c>
      <c r="AP92" s="751">
        <f t="shared" si="97"/>
        <v>1.9186041192813652</v>
      </c>
      <c r="AQ92" s="751">
        <f t="shared" si="97"/>
        <v>1.9056149859480318</v>
      </c>
      <c r="AR92" s="752">
        <f t="shared" si="97"/>
        <v>1.8870129013326473</v>
      </c>
      <c r="AS92" s="751">
        <f t="shared" si="97"/>
        <v>1.7665254654352114</v>
      </c>
      <c r="AT92" s="674">
        <f t="shared" si="66"/>
        <v>1.75</v>
      </c>
      <c r="AU92" s="712">
        <f t="shared" si="67"/>
        <v>1.8</v>
      </c>
      <c r="AV92" s="712">
        <f t="shared" si="68"/>
        <v>1.81</v>
      </c>
      <c r="AW92" s="712">
        <f t="shared" si="69"/>
        <v>1.83</v>
      </c>
      <c r="AX92" s="712">
        <f t="shared" si="70"/>
        <v>1.84</v>
      </c>
      <c r="AY92" s="712">
        <f t="shared" si="71"/>
        <v>1.86</v>
      </c>
      <c r="AZ92" s="712">
        <f t="shared" si="72"/>
        <v>1.88</v>
      </c>
      <c r="BA92" s="712">
        <f t="shared" si="73"/>
        <v>1.9</v>
      </c>
      <c r="BB92" s="712">
        <f t="shared" si="74"/>
        <v>1.92</v>
      </c>
      <c r="BC92" s="779">
        <f t="shared" si="75"/>
        <v>1000000</v>
      </c>
      <c r="BD92" s="780">
        <f t="shared" si="76"/>
        <v>-1000000</v>
      </c>
      <c r="BF92" s="781">
        <f t="shared" si="138"/>
        <v>1.9875808372224997</v>
      </c>
      <c r="BG92" s="767">
        <f t="shared" si="138"/>
        <v>1.965255948223684</v>
      </c>
      <c r="BH92" s="767">
        <f t="shared" si="138"/>
        <v>1.6740283400710092</v>
      </c>
      <c r="BI92" s="767">
        <f t="shared" si="138"/>
        <v>2.0340007361507877</v>
      </c>
      <c r="BJ92" s="767">
        <f t="shared" si="138"/>
        <v>2.0057190513305097</v>
      </c>
      <c r="BK92" s="767">
        <f t="shared" si="138"/>
        <v>2.0020009158791554</v>
      </c>
      <c r="BL92" s="767">
        <f t="shared" si="138"/>
        <v>1.997130162506465</v>
      </c>
      <c r="BM92" s="767">
        <f t="shared" si="138"/>
        <v>1.9962897436462024</v>
      </c>
      <c r="BN92" s="767">
        <f t="shared" si="138"/>
        <v>1.9955079643571085</v>
      </c>
      <c r="BO92" s="782">
        <f t="shared" si="138"/>
        <v>1.9937224401304043</v>
      </c>
      <c r="BP92" s="781">
        <f t="shared" si="100"/>
        <v>1.9875808372224997</v>
      </c>
      <c r="BQ92" s="767">
        <f t="shared" si="100"/>
        <v>1.965255948223684</v>
      </c>
      <c r="BR92" s="767">
        <f t="shared" si="100"/>
        <v>1.6740283400710092</v>
      </c>
      <c r="BS92" s="767">
        <f t="shared" si="100"/>
        <v>-1000000</v>
      </c>
      <c r="BT92" s="767">
        <f t="shared" si="100"/>
        <v>-1000000</v>
      </c>
      <c r="BU92" s="767">
        <f t="shared" si="98"/>
        <v>-1000000</v>
      </c>
      <c r="BV92" s="767">
        <f t="shared" si="98"/>
        <v>-1000000</v>
      </c>
      <c r="BW92" s="767">
        <f t="shared" si="98"/>
        <v>-1000000</v>
      </c>
      <c r="BX92" s="767">
        <f t="shared" si="98"/>
        <v>-1000000</v>
      </c>
      <c r="BY92" s="767">
        <f t="shared" si="98"/>
        <v>-1000000</v>
      </c>
      <c r="BZ92" s="648">
        <f t="shared" si="56"/>
        <v>55</v>
      </c>
      <c r="CA92" s="767">
        <f t="shared" si="135"/>
        <v>1.9875808372224997</v>
      </c>
      <c r="CB92" s="767">
        <f t="shared" si="135"/>
        <v>1.965255948223684</v>
      </c>
      <c r="CC92" s="767">
        <f t="shared" si="135"/>
        <v>1.6740283400710092</v>
      </c>
      <c r="CD92" s="767"/>
      <c r="CE92" s="767"/>
      <c r="CF92" s="767"/>
      <c r="CG92" s="767"/>
      <c r="CH92" s="767"/>
      <c r="CI92" s="767"/>
      <c r="CJ92" s="767"/>
      <c r="CK92" s="781">
        <f t="shared" si="58"/>
        <v>1.75</v>
      </c>
      <c r="CL92" s="783">
        <f t="shared" si="78"/>
        <v>1000000</v>
      </c>
      <c r="CM92" s="552"/>
      <c r="CN92" s="552"/>
      <c r="CO92" s="552"/>
      <c r="CP92" s="552"/>
      <c r="CQ92" s="552"/>
      <c r="CR92" s="552"/>
      <c r="CS92" s="552"/>
      <c r="CT92" s="552"/>
      <c r="CU92" s="552"/>
      <c r="CV92" s="552"/>
      <c r="CW92" s="552"/>
      <c r="CX92" s="552"/>
      <c r="CY92" s="552"/>
      <c r="CZ92" s="642">
        <f t="shared" si="133"/>
        <v>85</v>
      </c>
      <c r="DA92" s="609">
        <f t="shared" si="110"/>
        <v>95.625</v>
      </c>
      <c r="DB92" s="609">
        <f t="shared" si="121"/>
        <v>34</v>
      </c>
      <c r="DC92" s="610">
        <f t="shared" si="139"/>
        <v>134.95011455548649</v>
      </c>
      <c r="DD92" s="611">
        <f t="shared" si="139"/>
        <v>134.98260894787293</v>
      </c>
      <c r="DE92" s="612">
        <f t="shared" si="139"/>
        <v>134.9987520250076</v>
      </c>
      <c r="DF92" s="610">
        <f t="shared" si="140"/>
        <v>19.411764705882348</v>
      </c>
      <c r="DG92" s="611">
        <f t="shared" si="140"/>
        <v>22</v>
      </c>
      <c r="DH92" s="612">
        <f t="shared" si="140"/>
        <v>28.470588235294098</v>
      </c>
      <c r="DI92" s="610">
        <f t="shared" si="111"/>
        <v>154.36187926136884</v>
      </c>
      <c r="DJ92" s="611">
        <f t="shared" si="111"/>
        <v>156.98260894787293</v>
      </c>
      <c r="DK92" s="612">
        <f t="shared" si="111"/>
        <v>163.46934026030169</v>
      </c>
      <c r="DL92" s="613">
        <f t="shared" si="144"/>
        <v>154.36187926136884</v>
      </c>
      <c r="DM92" s="613">
        <f t="shared" si="144"/>
        <v>156.98260894787293</v>
      </c>
      <c r="DN92" s="613">
        <f t="shared" si="144"/>
        <v>163.46934026030169</v>
      </c>
      <c r="DO92" s="609">
        <f t="shared" si="112"/>
        <v>135</v>
      </c>
      <c r="DP92" s="609"/>
      <c r="DQ92" s="609">
        <f t="shared" si="123"/>
        <v>34</v>
      </c>
      <c r="DR92" s="610">
        <f t="shared" si="113"/>
        <v>1.1595872736749911E-2</v>
      </c>
      <c r="DS92" s="611">
        <f t="shared" si="113"/>
        <v>4.5815572006830613E-3</v>
      </c>
      <c r="DT92" s="612">
        <f t="shared" si="113"/>
        <v>4.2546799678810487E-4</v>
      </c>
      <c r="DU92" s="611">
        <f t="shared" si="145"/>
        <v>1.2152068898885031E-2</v>
      </c>
      <c r="DV92" s="611">
        <f t="shared" si="145"/>
        <v>4.8316607652764557E-3</v>
      </c>
      <c r="DW92" s="611">
        <f t="shared" si="145"/>
        <v>4.5584362617034267E-4</v>
      </c>
      <c r="DX92" s="614">
        <f t="shared" si="114"/>
        <v>12.5</v>
      </c>
      <c r="DY92" s="615"/>
      <c r="DZ92" s="609">
        <f t="shared" si="124"/>
        <v>34</v>
      </c>
      <c r="EA92" s="611">
        <f t="shared" si="141"/>
        <v>2.1385409090909091</v>
      </c>
      <c r="EB92" s="611">
        <f t="shared" si="141"/>
        <v>1000000</v>
      </c>
      <c r="EC92" s="611">
        <f t="shared" si="141"/>
        <v>1000000</v>
      </c>
      <c r="ED92" s="610">
        <f t="shared" si="142"/>
        <v>0.22002999999999975</v>
      </c>
      <c r="EE92" s="611">
        <f t="shared" si="142"/>
        <v>0.22005999999999976</v>
      </c>
      <c r="EF92" s="612">
        <f t="shared" si="142"/>
        <v>0.22012499999999974</v>
      </c>
      <c r="EG92" s="611">
        <f t="shared" si="115"/>
        <v>2.3585709090909091</v>
      </c>
      <c r="EH92" s="611">
        <f t="shared" si="115"/>
        <v>1000000.22006</v>
      </c>
      <c r="EI92" s="611">
        <f t="shared" si="115"/>
        <v>1000000.220125</v>
      </c>
      <c r="EJ92" s="610">
        <f t="shared" si="125"/>
        <v>2.2999999999999998</v>
      </c>
      <c r="EK92" s="643">
        <f t="shared" si="126"/>
        <v>2.25</v>
      </c>
      <c r="EL92" s="644">
        <f t="shared" si="127"/>
        <v>2.83</v>
      </c>
      <c r="EN92" s="620">
        <f t="shared" si="128"/>
        <v>18.534722222222225</v>
      </c>
      <c r="EO92" s="621">
        <f t="shared" si="143"/>
        <v>68.621371357965174</v>
      </c>
      <c r="EP92" s="621">
        <f t="shared" si="143"/>
        <v>85.20322268479579</v>
      </c>
      <c r="EQ92" s="621">
        <f t="shared" si="143"/>
        <v>98.776538387845704</v>
      </c>
      <c r="ER92" s="610">
        <f t="shared" si="116"/>
        <v>30.74538112173078</v>
      </c>
      <c r="ES92" s="611">
        <f t="shared" si="116"/>
        <v>56.827611280521602</v>
      </c>
      <c r="ET92" s="612">
        <f t="shared" si="116"/>
        <v>80.952850873626829</v>
      </c>
      <c r="EU92" s="610">
        <f t="shared" si="129"/>
        <v>100</v>
      </c>
      <c r="EV92" s="611">
        <f t="shared" si="130"/>
        <v>135</v>
      </c>
      <c r="EW92" s="645">
        <f t="shared" si="131"/>
        <v>-1000000</v>
      </c>
      <c r="EX92" s="610">
        <f t="shared" si="117"/>
        <v>-37.875990236234394</v>
      </c>
      <c r="EY92" s="621">
        <f t="shared" si="118"/>
        <v>-28.375611404274188</v>
      </c>
      <c r="EZ92" s="612">
        <f t="shared" si="119"/>
        <v>-17.823687514218868</v>
      </c>
      <c r="FA92" s="646">
        <f t="shared" si="120"/>
        <v>18.534722222222225</v>
      </c>
      <c r="FB92" s="317"/>
      <c r="FC92" s="552"/>
      <c r="FD92" s="552"/>
      <c r="FE92" s="552"/>
      <c r="FF92" s="552"/>
      <c r="FG92" s="552"/>
      <c r="FH92" s="552"/>
      <c r="FI92" s="552"/>
      <c r="FJ92" s="552"/>
      <c r="FK92" s="552"/>
      <c r="FL92" s="552"/>
      <c r="FM92" s="552"/>
      <c r="FN92" s="552"/>
      <c r="FO92" s="552"/>
      <c r="FP92" s="552"/>
      <c r="FQ92" s="552"/>
      <c r="FR92" s="552"/>
      <c r="FS92" s="552"/>
      <c r="FT92" s="552"/>
    </row>
    <row r="93" spans="2:176" s="564" customFormat="1" ht="15" customHeight="1" x14ac:dyDescent="0.2">
      <c r="B93" s="647">
        <f t="shared" si="146"/>
        <v>20</v>
      </c>
      <c r="C93" s="652">
        <f>$H$8</f>
        <v>112.5</v>
      </c>
      <c r="D93" s="771">
        <f>$B$8</f>
        <v>1.8</v>
      </c>
      <c r="E93" s="772">
        <f t="shared" si="49"/>
        <v>5.625</v>
      </c>
      <c r="F93" s="689"/>
      <c r="G93" s="747">
        <f t="shared" si="50"/>
        <v>1.8216376378088208</v>
      </c>
      <c r="H93" s="748">
        <f t="shared" si="60"/>
        <v>4.681873699457103E-4</v>
      </c>
      <c r="I93" s="689"/>
      <c r="J93" s="773">
        <f t="shared" si="82"/>
        <v>56</v>
      </c>
      <c r="K93" s="774">
        <f t="shared" si="61"/>
        <v>63</v>
      </c>
      <c r="L93" s="747">
        <f t="shared" si="136"/>
        <v>2.0699830000000001</v>
      </c>
      <c r="M93" s="751">
        <f t="shared" si="136"/>
        <v>2.0659011718750002</v>
      </c>
      <c r="N93" s="751">
        <f t="shared" si="136"/>
        <v>2.0588517578125001</v>
      </c>
      <c r="O93" s="751">
        <f t="shared" si="136"/>
        <v>2.0518023437499999</v>
      </c>
      <c r="P93" s="751">
        <f t="shared" si="136"/>
        <v>2.0382625000000001</v>
      </c>
      <c r="Q93" s="751">
        <f t="shared" si="136"/>
        <v>2.0303621875000002</v>
      </c>
      <c r="R93" s="751">
        <f t="shared" si="136"/>
        <v>2.0002515624999999</v>
      </c>
      <c r="S93" s="751">
        <f t="shared" si="136"/>
        <v>1.9870744375</v>
      </c>
      <c r="T93" s="752">
        <f t="shared" si="136"/>
        <v>1.9682031250000001</v>
      </c>
      <c r="U93" s="753">
        <f t="shared" si="136"/>
        <v>1.845971875</v>
      </c>
      <c r="W93" s="773">
        <f t="shared" si="63"/>
        <v>63</v>
      </c>
      <c r="X93" s="775">
        <f t="shared" si="137"/>
        <v>-8.3601510791410913E-2</v>
      </c>
      <c r="Y93" s="776">
        <f t="shared" si="137"/>
        <v>-8.3606074680299805E-2</v>
      </c>
      <c r="Z93" s="776">
        <f t="shared" si="137"/>
        <v>-8.3613956624744246E-2</v>
      </c>
      <c r="AA93" s="776">
        <f t="shared" si="137"/>
        <v>-8.3621838569188686E-2</v>
      </c>
      <c r="AB93" s="776">
        <f t="shared" si="137"/>
        <v>-8.3636977458077577E-2</v>
      </c>
      <c r="AC93" s="776">
        <f t="shared" si="137"/>
        <v>-8.364581079141091E-2</v>
      </c>
      <c r="AD93" s="776">
        <f t="shared" si="137"/>
        <v>-8.3679477458077578E-2</v>
      </c>
      <c r="AE93" s="776">
        <f t="shared" si="137"/>
        <v>-8.3694210791410914E-2</v>
      </c>
      <c r="AF93" s="777">
        <f t="shared" si="137"/>
        <v>-8.371531079141091E-2</v>
      </c>
      <c r="AG93" s="778">
        <f t="shared" si="137"/>
        <v>-8.385197745807757E-2</v>
      </c>
      <c r="AI93" s="773">
        <f t="shared" si="65"/>
        <v>63</v>
      </c>
      <c r="AJ93" s="747">
        <f t="shared" si="99"/>
        <v>1.9863814892085891</v>
      </c>
      <c r="AK93" s="751">
        <f t="shared" si="99"/>
        <v>1.9822950971947004</v>
      </c>
      <c r="AL93" s="751">
        <f t="shared" si="99"/>
        <v>1.9752378011877558</v>
      </c>
      <c r="AM93" s="751">
        <f t="shared" si="99"/>
        <v>1.9681805051808112</v>
      </c>
      <c r="AN93" s="751">
        <f t="shared" si="99"/>
        <v>1.9546255225419225</v>
      </c>
      <c r="AO93" s="751">
        <f t="shared" si="99"/>
        <v>1.9467163767085893</v>
      </c>
      <c r="AP93" s="751">
        <f t="shared" si="99"/>
        <v>1.9165720850419223</v>
      </c>
      <c r="AQ93" s="751">
        <f t="shared" si="99"/>
        <v>1.9033802267085891</v>
      </c>
      <c r="AR93" s="752">
        <f t="shared" si="99"/>
        <v>1.8844878142085892</v>
      </c>
      <c r="AS93" s="751">
        <f t="shared" si="99"/>
        <v>1.7621198975419226</v>
      </c>
      <c r="AT93" s="674">
        <f t="shared" si="66"/>
        <v>1.75</v>
      </c>
      <c r="AU93" s="712">
        <f t="shared" si="67"/>
        <v>1.8</v>
      </c>
      <c r="AV93" s="712">
        <f t="shared" si="68"/>
        <v>1.81</v>
      </c>
      <c r="AW93" s="712">
        <f t="shared" si="69"/>
        <v>1.83</v>
      </c>
      <c r="AX93" s="712">
        <f t="shared" si="70"/>
        <v>1.84</v>
      </c>
      <c r="AY93" s="712">
        <f t="shared" si="71"/>
        <v>1.86</v>
      </c>
      <c r="AZ93" s="712">
        <f t="shared" si="72"/>
        <v>1.88</v>
      </c>
      <c r="BA93" s="712">
        <f t="shared" si="73"/>
        <v>1.9</v>
      </c>
      <c r="BB93" s="712">
        <f t="shared" si="74"/>
        <v>1.92</v>
      </c>
      <c r="BC93" s="779">
        <f t="shared" si="75"/>
        <v>1000000</v>
      </c>
      <c r="BD93" s="780">
        <f t="shared" si="76"/>
        <v>-1000000</v>
      </c>
      <c r="BF93" s="781">
        <f t="shared" si="138"/>
        <v>1.9866168507536344</v>
      </c>
      <c r="BG93" s="767">
        <f t="shared" si="138"/>
        <v>1.9641855160362109</v>
      </c>
      <c r="BH93" s="767">
        <f t="shared" si="138"/>
        <v>1.3922724573071517</v>
      </c>
      <c r="BI93" s="767">
        <f t="shared" si="138"/>
        <v>2.0299762325573139</v>
      </c>
      <c r="BJ93" s="767">
        <f t="shared" si="138"/>
        <v>2.0048062297412521</v>
      </c>
      <c r="BK93" s="767">
        <f t="shared" si="138"/>
        <v>2.0013381362574365</v>
      </c>
      <c r="BL93" s="767">
        <f t="shared" si="138"/>
        <v>1.9967347771919353</v>
      </c>
      <c r="BM93" s="767">
        <f t="shared" si="138"/>
        <v>1.9959332952193611</v>
      </c>
      <c r="BN93" s="767">
        <f t="shared" si="138"/>
        <v>1.9951856412481479</v>
      </c>
      <c r="BO93" s="782">
        <f t="shared" si="138"/>
        <v>1.9934683104544482</v>
      </c>
      <c r="BP93" s="781">
        <f t="shared" si="100"/>
        <v>1.9866168507536344</v>
      </c>
      <c r="BQ93" s="767">
        <f t="shared" si="100"/>
        <v>1.9641855160362109</v>
      </c>
      <c r="BR93" s="767">
        <f t="shared" si="100"/>
        <v>1.3922724573071517</v>
      </c>
      <c r="BS93" s="767">
        <f t="shared" si="100"/>
        <v>-1000000</v>
      </c>
      <c r="BT93" s="767">
        <f t="shared" si="100"/>
        <v>-1000000</v>
      </c>
      <c r="BU93" s="767">
        <f t="shared" si="100"/>
        <v>-1000000</v>
      </c>
      <c r="BV93" s="767">
        <f t="shared" si="100"/>
        <v>-1000000</v>
      </c>
      <c r="BW93" s="767">
        <f t="shared" si="100"/>
        <v>-1000000</v>
      </c>
      <c r="BX93" s="767">
        <f t="shared" si="100"/>
        <v>-1000000</v>
      </c>
      <c r="BY93" s="767">
        <f t="shared" si="100"/>
        <v>-1000000</v>
      </c>
      <c r="BZ93" s="648">
        <f t="shared" si="56"/>
        <v>56</v>
      </c>
      <c r="CA93" s="767">
        <f t="shared" si="135"/>
        <v>1.9866168507536344</v>
      </c>
      <c r="CB93" s="767">
        <f t="shared" si="135"/>
        <v>1.9641855160362109</v>
      </c>
      <c r="CC93" s="767"/>
      <c r="CD93" s="767"/>
      <c r="CE93" s="767"/>
      <c r="CF93" s="767"/>
      <c r="CG93" s="767"/>
      <c r="CH93" s="767"/>
      <c r="CI93" s="767"/>
      <c r="CJ93" s="767"/>
      <c r="CK93" s="781">
        <f t="shared" si="58"/>
        <v>1.75</v>
      </c>
      <c r="CL93" s="783">
        <f t="shared" si="78"/>
        <v>1000000</v>
      </c>
      <c r="CM93" s="552"/>
      <c r="CN93" s="552"/>
      <c r="CO93" s="552"/>
      <c r="CP93" s="552"/>
      <c r="CQ93" s="552"/>
      <c r="CR93" s="552"/>
      <c r="CS93" s="552"/>
      <c r="CT93" s="552"/>
      <c r="CU93" s="552"/>
      <c r="CV93" s="552"/>
      <c r="CW93" s="552"/>
      <c r="CX93" s="552"/>
      <c r="CY93" s="552"/>
      <c r="CZ93" s="642">
        <f t="shared" si="133"/>
        <v>86</v>
      </c>
      <c r="DA93" s="609">
        <f t="shared" si="110"/>
        <v>96.75</v>
      </c>
      <c r="DB93" s="609">
        <f t="shared" si="121"/>
        <v>34.4</v>
      </c>
      <c r="DC93" s="610">
        <f t="shared" si="139"/>
        <v>134.95454379850761</v>
      </c>
      <c r="DD93" s="611">
        <f t="shared" si="139"/>
        <v>134.98434831647774</v>
      </c>
      <c r="DE93" s="612">
        <f t="shared" si="139"/>
        <v>134.99891111792431</v>
      </c>
      <c r="DF93" s="610">
        <f t="shared" si="140"/>
        <v>19.411764705882348</v>
      </c>
      <c r="DG93" s="611">
        <f t="shared" si="140"/>
        <v>22</v>
      </c>
      <c r="DH93" s="612">
        <f t="shared" si="140"/>
        <v>28.470588235294098</v>
      </c>
      <c r="DI93" s="610">
        <f t="shared" si="111"/>
        <v>154.36630850438996</v>
      </c>
      <c r="DJ93" s="611">
        <f t="shared" si="111"/>
        <v>156.98434831647774</v>
      </c>
      <c r="DK93" s="612">
        <f t="shared" si="111"/>
        <v>163.4694993532184</v>
      </c>
      <c r="DL93" s="613">
        <f t="shared" si="144"/>
        <v>154.36630850438996</v>
      </c>
      <c r="DM93" s="613">
        <f t="shared" si="144"/>
        <v>156.98434831647774</v>
      </c>
      <c r="DN93" s="613">
        <f t="shared" si="144"/>
        <v>163.4694993532184</v>
      </c>
      <c r="DO93" s="609">
        <f t="shared" si="112"/>
        <v>135</v>
      </c>
      <c r="DP93" s="609"/>
      <c r="DQ93" s="609">
        <f t="shared" si="123"/>
        <v>34.4</v>
      </c>
      <c r="DR93" s="610">
        <f t="shared" si="113"/>
        <v>1.0566295093532912E-2</v>
      </c>
      <c r="DS93" s="611">
        <f t="shared" si="113"/>
        <v>4.1233320917192081E-3</v>
      </c>
      <c r="DT93" s="612">
        <f t="shared" si="113"/>
        <v>3.7122897358024597E-4</v>
      </c>
      <c r="DU93" s="611">
        <f t="shared" si="145"/>
        <v>1.1073107552803703E-2</v>
      </c>
      <c r="DV93" s="611">
        <f t="shared" si="145"/>
        <v>4.348421512006E-3</v>
      </c>
      <c r="DW93" s="611">
        <f t="shared" si="145"/>
        <v>3.9773229175921329E-4</v>
      </c>
      <c r="DX93" s="614">
        <f t="shared" si="114"/>
        <v>12.5</v>
      </c>
      <c r="DY93" s="615"/>
      <c r="DZ93" s="609">
        <f t="shared" si="124"/>
        <v>34.4</v>
      </c>
      <c r="EA93" s="611">
        <f t="shared" si="141"/>
        <v>2.1407500000000002</v>
      </c>
      <c r="EB93" s="611">
        <f t="shared" si="141"/>
        <v>1000000</v>
      </c>
      <c r="EC93" s="611">
        <f t="shared" si="141"/>
        <v>1000000</v>
      </c>
      <c r="ED93" s="610">
        <f t="shared" si="142"/>
        <v>0.22002999999999975</v>
      </c>
      <c r="EE93" s="611">
        <f t="shared" si="142"/>
        <v>0.22005999999999976</v>
      </c>
      <c r="EF93" s="612">
        <f t="shared" si="142"/>
        <v>0.22012499999999974</v>
      </c>
      <c r="EG93" s="611">
        <f t="shared" si="115"/>
        <v>2.3607800000000001</v>
      </c>
      <c r="EH93" s="611">
        <f t="shared" si="115"/>
        <v>1000000.22006</v>
      </c>
      <c r="EI93" s="611">
        <f t="shared" si="115"/>
        <v>1000000.220125</v>
      </c>
      <c r="EJ93" s="610">
        <f t="shared" si="125"/>
        <v>2.2999999999999998</v>
      </c>
      <c r="EK93" s="643">
        <f t="shared" si="126"/>
        <v>2.25</v>
      </c>
      <c r="EL93" s="644">
        <f t="shared" si="127"/>
        <v>2.83</v>
      </c>
      <c r="EN93" s="620">
        <f t="shared" si="128"/>
        <v>18.75277777777778</v>
      </c>
      <c r="EO93" s="621">
        <f t="shared" si="143"/>
        <v>67.841259052490258</v>
      </c>
      <c r="EP93" s="621">
        <f t="shared" si="143"/>
        <v>84.617835647169656</v>
      </c>
      <c r="EQ93" s="621">
        <f t="shared" si="143"/>
        <v>98.35062204970896</v>
      </c>
      <c r="ER93" s="610">
        <f t="shared" si="116"/>
        <v>29.965208259760573</v>
      </c>
      <c r="ES93" s="611">
        <f t="shared" si="116"/>
        <v>56.198063584706588</v>
      </c>
      <c r="ET93" s="612">
        <f t="shared" si="116"/>
        <v>80.324689480051788</v>
      </c>
      <c r="EU93" s="610">
        <f t="shared" si="129"/>
        <v>100</v>
      </c>
      <c r="EV93" s="611">
        <f t="shared" si="130"/>
        <v>135</v>
      </c>
      <c r="EW93" s="645">
        <f t="shared" si="131"/>
        <v>-1000000</v>
      </c>
      <c r="EX93" s="610">
        <f t="shared" si="117"/>
        <v>-37.876050792729686</v>
      </c>
      <c r="EY93" s="621">
        <f t="shared" si="118"/>
        <v>-28.419772062463068</v>
      </c>
      <c r="EZ93" s="612">
        <f t="shared" si="119"/>
        <v>-18.025932569657172</v>
      </c>
      <c r="FA93" s="646">
        <f t="shared" si="120"/>
        <v>18.75277777777778</v>
      </c>
      <c r="FB93" s="317"/>
      <c r="FC93" s="552"/>
      <c r="FD93" s="552"/>
      <c r="FE93" s="552"/>
      <c r="FF93" s="552"/>
      <c r="FG93" s="552"/>
      <c r="FH93" s="552"/>
      <c r="FI93" s="552"/>
      <c r="FJ93" s="552"/>
      <c r="FK93" s="552"/>
      <c r="FL93" s="552"/>
      <c r="FM93" s="552"/>
      <c r="FN93" s="552"/>
      <c r="FO93" s="552"/>
      <c r="FP93" s="552"/>
      <c r="FQ93" s="552"/>
      <c r="FR93" s="552"/>
      <c r="FS93" s="552"/>
      <c r="FT93" s="552"/>
    </row>
    <row r="94" spans="2:176" s="564" customFormat="1" ht="15" customHeight="1" x14ac:dyDescent="0.2">
      <c r="B94" s="647">
        <f t="shared" si="146"/>
        <v>20</v>
      </c>
      <c r="C94" s="652">
        <f>$H$9</f>
        <v>112</v>
      </c>
      <c r="D94" s="771">
        <f>$B$9</f>
        <v>1.81</v>
      </c>
      <c r="E94" s="772">
        <f t="shared" si="49"/>
        <v>5.6</v>
      </c>
      <c r="F94" s="689"/>
      <c r="G94" s="747">
        <f t="shared" si="50"/>
        <v>1.8258747423554125</v>
      </c>
      <c r="H94" s="748">
        <f t="shared" si="60"/>
        <v>2.5200744485072505E-4</v>
      </c>
      <c r="I94" s="689"/>
      <c r="J94" s="773">
        <f t="shared" si="82"/>
        <v>57</v>
      </c>
      <c r="K94" s="774">
        <f t="shared" si="61"/>
        <v>64.125</v>
      </c>
      <c r="L94" s="747">
        <f t="shared" si="136"/>
        <v>2.0698240000000001</v>
      </c>
      <c r="M94" s="751">
        <f t="shared" si="136"/>
        <v>2.0656773809523812</v>
      </c>
      <c r="N94" s="751">
        <f t="shared" si="136"/>
        <v>2.0585160714285715</v>
      </c>
      <c r="O94" s="751">
        <f t="shared" si="136"/>
        <v>2.0513547619047618</v>
      </c>
      <c r="P94" s="751">
        <f t="shared" si="136"/>
        <v>2.0375999999999999</v>
      </c>
      <c r="Q94" s="751">
        <f t="shared" si="136"/>
        <v>2.0295742857142858</v>
      </c>
      <c r="R94" s="751">
        <f t="shared" si="136"/>
        <v>1.9989857142857144</v>
      </c>
      <c r="S94" s="751">
        <f t="shared" si="136"/>
        <v>1.9855994285714287</v>
      </c>
      <c r="T94" s="752">
        <f t="shared" si="136"/>
        <v>1.9664285714285714</v>
      </c>
      <c r="U94" s="753">
        <f t="shared" si="136"/>
        <v>1.842257142857143</v>
      </c>
      <c r="W94" s="773">
        <f t="shared" si="63"/>
        <v>64.125</v>
      </c>
      <c r="X94" s="775">
        <f t="shared" si="137"/>
        <v>-8.4366509274710039E-2</v>
      </c>
      <c r="Y94" s="776">
        <f t="shared" si="137"/>
        <v>-8.4371073163598931E-2</v>
      </c>
      <c r="Z94" s="776">
        <f t="shared" si="137"/>
        <v>-8.4378955108043371E-2</v>
      </c>
      <c r="AA94" s="776">
        <f t="shared" si="137"/>
        <v>-8.4386837052487812E-2</v>
      </c>
      <c r="AB94" s="776">
        <f t="shared" si="137"/>
        <v>-8.4401975941376703E-2</v>
      </c>
      <c r="AC94" s="776">
        <f t="shared" si="137"/>
        <v>-8.4410809274710036E-2</v>
      </c>
      <c r="AD94" s="776">
        <f t="shared" si="137"/>
        <v>-8.4444475941376704E-2</v>
      </c>
      <c r="AE94" s="776">
        <f t="shared" si="137"/>
        <v>-8.445920927471004E-2</v>
      </c>
      <c r="AF94" s="777">
        <f t="shared" si="137"/>
        <v>-8.4480309274710036E-2</v>
      </c>
      <c r="AG94" s="778">
        <f t="shared" si="137"/>
        <v>-8.4616975941376696E-2</v>
      </c>
      <c r="AI94" s="773">
        <f t="shared" si="65"/>
        <v>64.125</v>
      </c>
      <c r="AJ94" s="747">
        <f t="shared" ref="AJ94:AS121" si="147">L94+X94</f>
        <v>1.98545749072529</v>
      </c>
      <c r="AK94" s="751">
        <f t="shared" si="147"/>
        <v>1.9813063077887823</v>
      </c>
      <c r="AL94" s="751">
        <f t="shared" si="147"/>
        <v>1.9741371163205281</v>
      </c>
      <c r="AM94" s="751">
        <f t="shared" si="147"/>
        <v>1.966967924852274</v>
      </c>
      <c r="AN94" s="751">
        <f t="shared" si="147"/>
        <v>1.9531980240586231</v>
      </c>
      <c r="AO94" s="751">
        <f t="shared" si="147"/>
        <v>1.9451634764395758</v>
      </c>
      <c r="AP94" s="751">
        <f t="shared" si="147"/>
        <v>1.9145412383443376</v>
      </c>
      <c r="AQ94" s="751">
        <f t="shared" si="147"/>
        <v>1.9011402192967186</v>
      </c>
      <c r="AR94" s="752">
        <f t="shared" si="147"/>
        <v>1.8819482621538615</v>
      </c>
      <c r="AS94" s="751">
        <f t="shared" si="147"/>
        <v>1.7576401669157664</v>
      </c>
      <c r="AT94" s="674">
        <f t="shared" si="66"/>
        <v>1.75</v>
      </c>
      <c r="AU94" s="712">
        <f t="shared" si="67"/>
        <v>1.8</v>
      </c>
      <c r="AV94" s="712">
        <f t="shared" si="68"/>
        <v>1.81</v>
      </c>
      <c r="AW94" s="712">
        <f t="shared" si="69"/>
        <v>1.83</v>
      </c>
      <c r="AX94" s="712">
        <f t="shared" si="70"/>
        <v>1.84</v>
      </c>
      <c r="AY94" s="712">
        <f t="shared" si="71"/>
        <v>1.86</v>
      </c>
      <c r="AZ94" s="712">
        <f t="shared" si="72"/>
        <v>1.88</v>
      </c>
      <c r="BA94" s="712">
        <f t="shared" si="73"/>
        <v>1.9</v>
      </c>
      <c r="BB94" s="712">
        <f t="shared" si="74"/>
        <v>1.92</v>
      </c>
      <c r="BC94" s="779">
        <f t="shared" si="75"/>
        <v>1000000</v>
      </c>
      <c r="BD94" s="780">
        <f t="shared" si="76"/>
        <v>-1000000</v>
      </c>
      <c r="BF94" s="781">
        <f t="shared" si="138"/>
        <v>1.9856883617182732</v>
      </c>
      <c r="BG94" s="767">
        <f t="shared" si="138"/>
        <v>1.9630905456315975</v>
      </c>
      <c r="BH94" s="767">
        <f t="shared" si="138"/>
        <v>-4.9791650829983052</v>
      </c>
      <c r="BI94" s="767">
        <f t="shared" si="138"/>
        <v>2.026519233254823</v>
      </c>
      <c r="BJ94" s="767">
        <f t="shared" si="138"/>
        <v>2.0039584966297883</v>
      </c>
      <c r="BK94" s="767">
        <f t="shared" si="138"/>
        <v>2.0007159329315871</v>
      </c>
      <c r="BL94" s="767">
        <f t="shared" si="138"/>
        <v>1.9963582828086812</v>
      </c>
      <c r="BM94" s="767">
        <f t="shared" si="138"/>
        <v>1.9955930465134264</v>
      </c>
      <c r="BN94" s="767">
        <f t="shared" si="138"/>
        <v>1.994877271520529</v>
      </c>
      <c r="BO94" s="782">
        <f t="shared" si="138"/>
        <v>1.9932239850195839</v>
      </c>
      <c r="BP94" s="781">
        <f t="shared" ref="BP94:BY119" si="148">IF($BZ94*BF$34&lt;$AB$22,BF94,-1000000)</f>
        <v>1.9856883617182732</v>
      </c>
      <c r="BQ94" s="767">
        <f t="shared" si="148"/>
        <v>1.9630905456315975</v>
      </c>
      <c r="BR94" s="767">
        <f t="shared" si="148"/>
        <v>-4.9791650829983052</v>
      </c>
      <c r="BS94" s="767">
        <f t="shared" si="148"/>
        <v>-1000000</v>
      </c>
      <c r="BT94" s="767">
        <f t="shared" si="148"/>
        <v>-1000000</v>
      </c>
      <c r="BU94" s="767">
        <f t="shared" si="148"/>
        <v>-1000000</v>
      </c>
      <c r="BV94" s="767">
        <f t="shared" si="148"/>
        <v>-1000000</v>
      </c>
      <c r="BW94" s="767">
        <f t="shared" si="148"/>
        <v>-1000000</v>
      </c>
      <c r="BX94" s="767">
        <f t="shared" si="148"/>
        <v>-1000000</v>
      </c>
      <c r="BY94" s="767">
        <f t="shared" si="148"/>
        <v>-1000000</v>
      </c>
      <c r="BZ94" s="648">
        <f t="shared" si="56"/>
        <v>57</v>
      </c>
      <c r="CA94" s="767">
        <f t="shared" si="135"/>
        <v>1.9856883617182732</v>
      </c>
      <c r="CB94" s="767">
        <f t="shared" si="135"/>
        <v>1.9630905456315975</v>
      </c>
      <c r="CC94" s="767"/>
      <c r="CD94" s="767"/>
      <c r="CE94" s="767"/>
      <c r="CF94" s="767"/>
      <c r="CG94" s="767"/>
      <c r="CH94" s="767"/>
      <c r="CI94" s="767"/>
      <c r="CJ94" s="767"/>
      <c r="CK94" s="781">
        <f t="shared" si="58"/>
        <v>1.75</v>
      </c>
      <c r="CL94" s="783">
        <f t="shared" si="78"/>
        <v>1000000</v>
      </c>
      <c r="CM94" s="552"/>
      <c r="CN94" s="552"/>
      <c r="CO94" s="552"/>
      <c r="CP94" s="552"/>
      <c r="CQ94" s="552"/>
      <c r="CR94" s="552"/>
      <c r="CS94" s="552"/>
      <c r="CT94" s="552"/>
      <c r="CU94" s="552"/>
      <c r="CV94" s="552"/>
      <c r="CW94" s="552"/>
      <c r="CX94" s="552"/>
      <c r="CY94" s="552"/>
      <c r="CZ94" s="642">
        <f t="shared" si="133"/>
        <v>87</v>
      </c>
      <c r="DA94" s="609">
        <f t="shared" si="110"/>
        <v>97.875</v>
      </c>
      <c r="DB94" s="609">
        <f t="shared" si="121"/>
        <v>34.799999999999997</v>
      </c>
      <c r="DC94" s="610">
        <f t="shared" si="139"/>
        <v>134.95857977664093</v>
      </c>
      <c r="DD94" s="611">
        <f t="shared" si="139"/>
        <v>134.98591372187886</v>
      </c>
      <c r="DE94" s="612">
        <f t="shared" si="139"/>
        <v>134.99904992954026</v>
      </c>
      <c r="DF94" s="610">
        <f t="shared" si="140"/>
        <v>19.411764705882348</v>
      </c>
      <c r="DG94" s="611">
        <f t="shared" si="140"/>
        <v>22</v>
      </c>
      <c r="DH94" s="612">
        <f t="shared" si="140"/>
        <v>28.470588235294098</v>
      </c>
      <c r="DI94" s="610">
        <f t="shared" si="111"/>
        <v>154.37034448252328</v>
      </c>
      <c r="DJ94" s="611">
        <f t="shared" si="111"/>
        <v>156.98591372187886</v>
      </c>
      <c r="DK94" s="612">
        <f t="shared" si="111"/>
        <v>163.46963816483435</v>
      </c>
      <c r="DL94" s="613">
        <f t="shared" si="144"/>
        <v>154.37034448252328</v>
      </c>
      <c r="DM94" s="613">
        <f t="shared" si="144"/>
        <v>156.98591372187886</v>
      </c>
      <c r="DN94" s="613">
        <f t="shared" si="144"/>
        <v>163.46963816483435</v>
      </c>
      <c r="DO94" s="609">
        <f t="shared" si="112"/>
        <v>135</v>
      </c>
      <c r="DP94" s="609"/>
      <c r="DQ94" s="609">
        <f t="shared" si="123"/>
        <v>34.799999999999997</v>
      </c>
      <c r="DR94" s="610">
        <f t="shared" si="113"/>
        <v>9.6281318826296463E-3</v>
      </c>
      <c r="DS94" s="611">
        <f t="shared" si="113"/>
        <v>3.7109364335922075E-3</v>
      </c>
      <c r="DT94" s="612">
        <f t="shared" si="113"/>
        <v>3.2390438732358284E-4</v>
      </c>
      <c r="DU94" s="611">
        <f t="shared" si="145"/>
        <v>1.0089945333291475E-2</v>
      </c>
      <c r="DV94" s="611">
        <f t="shared" si="145"/>
        <v>3.9135135028090101E-3</v>
      </c>
      <c r="DW94" s="611">
        <f t="shared" si="145"/>
        <v>3.4702903988659397E-4</v>
      </c>
      <c r="DX94" s="614">
        <f t="shared" si="114"/>
        <v>12.5</v>
      </c>
      <c r="DY94" s="615"/>
      <c r="DZ94" s="609">
        <f t="shared" si="124"/>
        <v>34.799999999999997</v>
      </c>
      <c r="EA94" s="611">
        <f t="shared" si="141"/>
        <v>2.1431323529411763</v>
      </c>
      <c r="EB94" s="611">
        <f t="shared" si="141"/>
        <v>1000000</v>
      </c>
      <c r="EC94" s="611">
        <f t="shared" si="141"/>
        <v>1000000</v>
      </c>
      <c r="ED94" s="610">
        <f t="shared" si="142"/>
        <v>0.22002999999999975</v>
      </c>
      <c r="EE94" s="611">
        <f t="shared" si="142"/>
        <v>0.22005999999999976</v>
      </c>
      <c r="EF94" s="612">
        <f t="shared" si="142"/>
        <v>0.22012499999999974</v>
      </c>
      <c r="EG94" s="611">
        <f t="shared" si="115"/>
        <v>2.3631623529411763</v>
      </c>
      <c r="EH94" s="611">
        <f t="shared" si="115"/>
        <v>1000000.22006</v>
      </c>
      <c r="EI94" s="611">
        <f t="shared" si="115"/>
        <v>1000000.220125</v>
      </c>
      <c r="EJ94" s="610">
        <f t="shared" si="125"/>
        <v>2.2999999999999998</v>
      </c>
      <c r="EK94" s="643">
        <f t="shared" si="126"/>
        <v>2.25</v>
      </c>
      <c r="EL94" s="644">
        <f t="shared" si="127"/>
        <v>2.83</v>
      </c>
      <c r="EN94" s="620">
        <f t="shared" si="128"/>
        <v>18.970833333333335</v>
      </c>
      <c r="EO94" s="621">
        <f t="shared" si="143"/>
        <v>67.06116562798519</v>
      </c>
      <c r="EP94" s="621">
        <f t="shared" si="143"/>
        <v>84.032459238383282</v>
      </c>
      <c r="EQ94" s="621">
        <f t="shared" si="143"/>
        <v>97.924711337030644</v>
      </c>
      <c r="ER94" s="610">
        <f t="shared" si="116"/>
        <v>29.185062101765133</v>
      </c>
      <c r="ES94" s="611">
        <f t="shared" si="116"/>
        <v>55.570542510441811</v>
      </c>
      <c r="ET94" s="612">
        <f t="shared" si="116"/>
        <v>79.700031170268346</v>
      </c>
      <c r="EU94" s="610">
        <f t="shared" si="129"/>
        <v>100</v>
      </c>
      <c r="EV94" s="611">
        <f t="shared" si="130"/>
        <v>135</v>
      </c>
      <c r="EW94" s="645">
        <f t="shared" si="131"/>
        <v>-1000000</v>
      </c>
      <c r="EX94" s="610">
        <f t="shared" si="117"/>
        <v>-37.876103526220056</v>
      </c>
      <c r="EY94" s="621">
        <f t="shared" si="118"/>
        <v>-28.461916727941471</v>
      </c>
      <c r="EZ94" s="612">
        <f t="shared" si="119"/>
        <v>-18.22468016676229</v>
      </c>
      <c r="FA94" s="646">
        <f t="shared" si="120"/>
        <v>18.970833333333335</v>
      </c>
      <c r="FB94" s="317"/>
      <c r="FC94" s="552"/>
      <c r="FD94" s="552"/>
      <c r="FE94" s="552"/>
      <c r="FF94" s="552"/>
      <c r="FG94" s="552"/>
      <c r="FH94" s="552"/>
      <c r="FI94" s="552"/>
      <c r="FJ94" s="552"/>
      <c r="FK94" s="552"/>
      <c r="FL94" s="552"/>
      <c r="FM94" s="552"/>
      <c r="FN94" s="552"/>
      <c r="FO94" s="552"/>
      <c r="FP94" s="552"/>
      <c r="FQ94" s="552"/>
      <c r="FR94" s="552"/>
      <c r="FS94" s="552"/>
      <c r="FT94" s="552"/>
    </row>
    <row r="95" spans="2:176" s="564" customFormat="1" ht="15" customHeight="1" x14ac:dyDescent="0.2">
      <c r="B95" s="785">
        <f t="shared" si="146"/>
        <v>20</v>
      </c>
      <c r="C95" s="786">
        <f>$H$10</f>
        <v>111</v>
      </c>
      <c r="D95" s="787">
        <f>$B$10</f>
        <v>1.83</v>
      </c>
      <c r="E95" s="788">
        <f t="shared" si="49"/>
        <v>5.55</v>
      </c>
      <c r="F95" s="791"/>
      <c r="G95" s="747">
        <f t="shared" si="50"/>
        <v>1.8338265759266439</v>
      </c>
      <c r="H95" s="789">
        <f t="shared" si="60"/>
        <v>1.4642683322369979E-5</v>
      </c>
      <c r="I95" s="689"/>
      <c r="J95" s="773">
        <f t="shared" si="82"/>
        <v>58</v>
      </c>
      <c r="K95" s="774">
        <f t="shared" si="61"/>
        <v>65.25</v>
      </c>
      <c r="L95" s="747">
        <f t="shared" si="136"/>
        <v>2.0696598709677421</v>
      </c>
      <c r="M95" s="751">
        <f t="shared" si="136"/>
        <v>2.065446370967742</v>
      </c>
      <c r="N95" s="751">
        <f t="shared" si="136"/>
        <v>2.0581695564516131</v>
      </c>
      <c r="O95" s="751">
        <f t="shared" si="136"/>
        <v>2.0508927419354839</v>
      </c>
      <c r="P95" s="751">
        <f t="shared" si="136"/>
        <v>2.0369161290322579</v>
      </c>
      <c r="Q95" s="751">
        <f t="shared" si="136"/>
        <v>2.0287609677419356</v>
      </c>
      <c r="R95" s="751">
        <f t="shared" si="136"/>
        <v>1.9976790322580646</v>
      </c>
      <c r="S95" s="751">
        <f t="shared" si="136"/>
        <v>1.9840768387096774</v>
      </c>
      <c r="T95" s="752">
        <f t="shared" si="136"/>
        <v>1.9645967741935484</v>
      </c>
      <c r="U95" s="753">
        <f t="shared" si="136"/>
        <v>1.8384225806451613</v>
      </c>
      <c r="W95" s="773">
        <f t="shared" si="63"/>
        <v>65.25</v>
      </c>
      <c r="X95" s="775">
        <f t="shared" si="137"/>
        <v>-8.5093371891990968E-2</v>
      </c>
      <c r="Y95" s="776">
        <f t="shared" si="137"/>
        <v>-8.509793578087986E-2</v>
      </c>
      <c r="Z95" s="776">
        <f t="shared" si="137"/>
        <v>-8.5105817725324301E-2</v>
      </c>
      <c r="AA95" s="776">
        <f t="shared" si="137"/>
        <v>-8.5113699669768741E-2</v>
      </c>
      <c r="AB95" s="776">
        <f t="shared" si="137"/>
        <v>-8.5128838558657632E-2</v>
      </c>
      <c r="AC95" s="776">
        <f t="shared" si="137"/>
        <v>-8.5137671891990965E-2</v>
      </c>
      <c r="AD95" s="776">
        <f t="shared" si="137"/>
        <v>-8.5171338558657633E-2</v>
      </c>
      <c r="AE95" s="776">
        <f t="shared" si="137"/>
        <v>-8.5186071891990969E-2</v>
      </c>
      <c r="AF95" s="777">
        <f t="shared" si="137"/>
        <v>-8.5207171891990965E-2</v>
      </c>
      <c r="AG95" s="778">
        <f t="shared" si="137"/>
        <v>-8.5343838558657625E-2</v>
      </c>
      <c r="AI95" s="773">
        <f t="shared" si="65"/>
        <v>65.25</v>
      </c>
      <c r="AJ95" s="747">
        <f t="shared" si="147"/>
        <v>1.984566499075751</v>
      </c>
      <c r="AK95" s="751">
        <f t="shared" si="147"/>
        <v>1.9803484351868621</v>
      </c>
      <c r="AL95" s="751">
        <f t="shared" si="147"/>
        <v>1.9730637387262888</v>
      </c>
      <c r="AM95" s="751">
        <f t="shared" si="147"/>
        <v>1.9657790422657151</v>
      </c>
      <c r="AN95" s="751">
        <f t="shared" si="147"/>
        <v>1.9517872904736002</v>
      </c>
      <c r="AO95" s="751">
        <f t="shared" si="147"/>
        <v>1.9436232958499446</v>
      </c>
      <c r="AP95" s="751">
        <f t="shared" si="147"/>
        <v>1.912507693699407</v>
      </c>
      <c r="AQ95" s="751">
        <f t="shared" si="147"/>
        <v>1.8988907668176864</v>
      </c>
      <c r="AR95" s="752">
        <f t="shared" si="147"/>
        <v>1.8793896023015575</v>
      </c>
      <c r="AS95" s="751">
        <f t="shared" si="147"/>
        <v>1.7530787420865037</v>
      </c>
      <c r="AT95" s="674">
        <f t="shared" si="66"/>
        <v>1.75</v>
      </c>
      <c r="AU95" s="712">
        <f t="shared" si="67"/>
        <v>1.8</v>
      </c>
      <c r="AV95" s="712">
        <f t="shared" si="68"/>
        <v>1.81</v>
      </c>
      <c r="AW95" s="712">
        <f t="shared" si="69"/>
        <v>1.83</v>
      </c>
      <c r="AX95" s="712">
        <f t="shared" si="70"/>
        <v>1.84</v>
      </c>
      <c r="AY95" s="712">
        <f t="shared" si="71"/>
        <v>1.86</v>
      </c>
      <c r="AZ95" s="712">
        <f t="shared" si="72"/>
        <v>1.88</v>
      </c>
      <c r="BA95" s="712">
        <f t="shared" si="73"/>
        <v>1.9</v>
      </c>
      <c r="BB95" s="712">
        <f t="shared" si="74"/>
        <v>1.92</v>
      </c>
      <c r="BC95" s="779">
        <f t="shared" si="75"/>
        <v>1000000</v>
      </c>
      <c r="BD95" s="780">
        <f t="shared" si="76"/>
        <v>-1000000</v>
      </c>
      <c r="BF95" s="781">
        <f t="shared" si="138"/>
        <v>1.9847931403937054</v>
      </c>
      <c r="BG95" s="767">
        <f t="shared" si="138"/>
        <v>1.9619639342124335</v>
      </c>
      <c r="BH95" s="767">
        <f t="shared" si="138"/>
        <v>2.6911632965054824</v>
      </c>
      <c r="BI95" s="767">
        <f t="shared" si="138"/>
        <v>2.0235177038180336</v>
      </c>
      <c r="BJ95" s="767">
        <f t="shared" si="138"/>
        <v>2.0031691278404296</v>
      </c>
      <c r="BK95" s="767">
        <f t="shared" si="138"/>
        <v>2.0001306894727366</v>
      </c>
      <c r="BL95" s="767">
        <f t="shared" si="138"/>
        <v>1.9959993570722609</v>
      </c>
      <c r="BM95" s="767">
        <f t="shared" si="138"/>
        <v>1.9952679177086097</v>
      </c>
      <c r="BN95" s="767">
        <f t="shared" si="138"/>
        <v>1.994581968306792</v>
      </c>
      <c r="BO95" s="782">
        <f t="shared" si="138"/>
        <v>1.9929889071964062</v>
      </c>
      <c r="BP95" s="781">
        <f t="shared" si="148"/>
        <v>1.9847931403937054</v>
      </c>
      <c r="BQ95" s="767">
        <f t="shared" si="148"/>
        <v>1.9619639342124335</v>
      </c>
      <c r="BR95" s="767">
        <f t="shared" si="148"/>
        <v>-1000000</v>
      </c>
      <c r="BS95" s="767">
        <f t="shared" si="148"/>
        <v>-1000000</v>
      </c>
      <c r="BT95" s="767">
        <f t="shared" si="148"/>
        <v>-1000000</v>
      </c>
      <c r="BU95" s="767">
        <f t="shared" si="148"/>
        <v>-1000000</v>
      </c>
      <c r="BV95" s="767">
        <f t="shared" si="148"/>
        <v>-1000000</v>
      </c>
      <c r="BW95" s="767">
        <f t="shared" si="148"/>
        <v>-1000000</v>
      </c>
      <c r="BX95" s="767">
        <f t="shared" si="148"/>
        <v>-1000000</v>
      </c>
      <c r="BY95" s="767">
        <f t="shared" si="148"/>
        <v>-1000000</v>
      </c>
      <c r="BZ95" s="648">
        <f t="shared" si="56"/>
        <v>58</v>
      </c>
      <c r="CA95" s="767">
        <f t="shared" si="135"/>
        <v>1.9847931403937054</v>
      </c>
      <c r="CB95" s="767">
        <f t="shared" si="135"/>
        <v>1.9619639342124335</v>
      </c>
      <c r="CC95" s="767"/>
      <c r="CD95" s="767"/>
      <c r="CE95" s="767"/>
      <c r="CF95" s="767"/>
      <c r="CG95" s="767"/>
      <c r="CH95" s="767"/>
      <c r="CI95" s="767"/>
      <c r="CJ95" s="767"/>
      <c r="CK95" s="781">
        <f t="shared" si="58"/>
        <v>1.75</v>
      </c>
      <c r="CL95" s="783">
        <f t="shared" si="78"/>
        <v>1000000</v>
      </c>
      <c r="CM95" s="552"/>
      <c r="CN95" s="552"/>
      <c r="CO95" s="552"/>
      <c r="CP95" s="552"/>
      <c r="CQ95" s="552"/>
      <c r="CR95" s="552"/>
      <c r="CS95" s="552"/>
      <c r="CT95" s="552"/>
      <c r="CU95" s="552"/>
      <c r="CV95" s="552"/>
      <c r="CW95" s="552"/>
      <c r="CX95" s="552"/>
      <c r="CY95" s="552"/>
      <c r="CZ95" s="642">
        <f t="shared" si="133"/>
        <v>88</v>
      </c>
      <c r="DA95" s="609">
        <f t="shared" si="110"/>
        <v>99</v>
      </c>
      <c r="DB95" s="609">
        <f t="shared" si="121"/>
        <v>35.199999999999996</v>
      </c>
      <c r="DC95" s="610">
        <f t="shared" si="139"/>
        <v>134.96225740720101</v>
      </c>
      <c r="DD95" s="611">
        <f t="shared" si="139"/>
        <v>134.98732256303137</v>
      </c>
      <c r="DE95" s="612">
        <f t="shared" si="139"/>
        <v>134.99917104533301</v>
      </c>
      <c r="DF95" s="610">
        <f t="shared" si="140"/>
        <v>19.411764705882348</v>
      </c>
      <c r="DG95" s="611">
        <f t="shared" si="140"/>
        <v>22</v>
      </c>
      <c r="DH95" s="612">
        <f t="shared" si="140"/>
        <v>28.470588235294098</v>
      </c>
      <c r="DI95" s="610">
        <f t="shared" si="111"/>
        <v>154.37402211308336</v>
      </c>
      <c r="DJ95" s="611">
        <f t="shared" si="111"/>
        <v>156.98732256303137</v>
      </c>
      <c r="DK95" s="612">
        <f t="shared" si="111"/>
        <v>163.4697592806271</v>
      </c>
      <c r="DL95" s="613">
        <f t="shared" si="144"/>
        <v>154.37402211308336</v>
      </c>
      <c r="DM95" s="613">
        <f t="shared" si="144"/>
        <v>156.98732256303137</v>
      </c>
      <c r="DN95" s="613">
        <f t="shared" si="144"/>
        <v>163.4697592806271</v>
      </c>
      <c r="DO95" s="609">
        <f t="shared" si="112"/>
        <v>135</v>
      </c>
      <c r="DP95" s="609"/>
      <c r="DQ95" s="609">
        <f t="shared" si="123"/>
        <v>35.199999999999996</v>
      </c>
      <c r="DR95" s="610">
        <f t="shared" si="113"/>
        <v>8.7732665734507904E-3</v>
      </c>
      <c r="DS95" s="611">
        <f t="shared" si="113"/>
        <v>3.3397865871192213E-3</v>
      </c>
      <c r="DT95" s="612">
        <f t="shared" si="113"/>
        <v>2.82612779696698E-4</v>
      </c>
      <c r="DU95" s="611">
        <f t="shared" si="145"/>
        <v>9.1940764001919081E-3</v>
      </c>
      <c r="DV95" s="611">
        <f t="shared" si="145"/>
        <v>3.5221028812770908E-3</v>
      </c>
      <c r="DW95" s="611">
        <f t="shared" si="145"/>
        <v>3.0278948187856367E-4</v>
      </c>
      <c r="DX95" s="614">
        <f t="shared" si="114"/>
        <v>12.5</v>
      </c>
      <c r="DY95" s="615"/>
      <c r="DZ95" s="609">
        <f t="shared" si="124"/>
        <v>35.199999999999996</v>
      </c>
      <c r="EA95" s="611">
        <f t="shared" si="141"/>
        <v>2.1457091836734694</v>
      </c>
      <c r="EB95" s="611">
        <f t="shared" si="141"/>
        <v>1000000</v>
      </c>
      <c r="EC95" s="611">
        <f t="shared" si="141"/>
        <v>1000000</v>
      </c>
      <c r="ED95" s="610">
        <f t="shared" si="142"/>
        <v>0.22002999999999975</v>
      </c>
      <c r="EE95" s="611">
        <f t="shared" si="142"/>
        <v>0.22005999999999976</v>
      </c>
      <c r="EF95" s="612">
        <f t="shared" si="142"/>
        <v>0.22012499999999974</v>
      </c>
      <c r="EG95" s="611">
        <f t="shared" si="115"/>
        <v>2.3657391836734694</v>
      </c>
      <c r="EH95" s="611">
        <f t="shared" si="115"/>
        <v>1000000.22006</v>
      </c>
      <c r="EI95" s="611">
        <f t="shared" si="115"/>
        <v>1000000.220125</v>
      </c>
      <c r="EJ95" s="610">
        <f t="shared" si="125"/>
        <v>2.2999999999999998</v>
      </c>
      <c r="EK95" s="643">
        <f t="shared" si="126"/>
        <v>2.25</v>
      </c>
      <c r="EL95" s="644">
        <f t="shared" si="127"/>
        <v>2.83</v>
      </c>
      <c r="EN95" s="620">
        <f t="shared" si="128"/>
        <v>19.18888888888889</v>
      </c>
      <c r="EO95" s="621">
        <f t="shared" si="143"/>
        <v>66.281091083764466</v>
      </c>
      <c r="EP95" s="621">
        <f t="shared" si="143"/>
        <v>83.447093458147108</v>
      </c>
      <c r="EQ95" s="621">
        <f t="shared" si="143"/>
        <v>97.498806249699257</v>
      </c>
      <c r="ER95" s="610">
        <f t="shared" si="116"/>
        <v>28.40494163644226</v>
      </c>
      <c r="ES95" s="611">
        <f t="shared" si="116"/>
        <v>54.94495602469236</v>
      </c>
      <c r="ET95" s="612">
        <f t="shared" si="116"/>
        <v>79.07881546201989</v>
      </c>
      <c r="EU95" s="610">
        <f t="shared" si="129"/>
        <v>100</v>
      </c>
      <c r="EV95" s="611">
        <f t="shared" si="130"/>
        <v>135</v>
      </c>
      <c r="EW95" s="645">
        <f t="shared" si="131"/>
        <v>-1000000</v>
      </c>
      <c r="EX95" s="610">
        <f t="shared" si="117"/>
        <v>-37.876149447322206</v>
      </c>
      <c r="EY95" s="621">
        <f t="shared" si="118"/>
        <v>-28.502137433454749</v>
      </c>
      <c r="EZ95" s="612">
        <f t="shared" si="119"/>
        <v>-18.41999078767936</v>
      </c>
      <c r="FA95" s="646">
        <f t="shared" si="120"/>
        <v>19.18888888888889</v>
      </c>
      <c r="FB95" s="317"/>
      <c r="FC95" s="552"/>
      <c r="FD95" s="552"/>
      <c r="FE95" s="552"/>
      <c r="FF95" s="552"/>
      <c r="FG95" s="552"/>
      <c r="FH95" s="552"/>
      <c r="FI95" s="552"/>
      <c r="FJ95" s="552"/>
      <c r="FK95" s="552"/>
      <c r="FL95" s="552"/>
      <c r="FM95" s="552"/>
      <c r="FN95" s="552"/>
      <c r="FO95" s="552"/>
      <c r="FP95" s="552"/>
      <c r="FQ95" s="552"/>
      <c r="FR95" s="552"/>
      <c r="FS95" s="552"/>
      <c r="FT95" s="552"/>
    </row>
    <row r="96" spans="2:176" s="564" customFormat="1" ht="15" customHeight="1" x14ac:dyDescent="0.2">
      <c r="B96" s="647">
        <f t="shared" si="146"/>
        <v>20</v>
      </c>
      <c r="C96" s="652">
        <f>$H$11</f>
        <v>110.5</v>
      </c>
      <c r="D96" s="771">
        <f>$B$11</f>
        <v>1.84</v>
      </c>
      <c r="E96" s="772">
        <f t="shared" si="49"/>
        <v>5.5250000000000004</v>
      </c>
      <c r="F96" s="689"/>
      <c r="G96" s="747">
        <f t="shared" si="50"/>
        <v>1.8375627716050245</v>
      </c>
      <c r="H96" s="748">
        <f t="shared" si="60"/>
        <v>5.9400822492754428E-6</v>
      </c>
      <c r="I96" s="689"/>
      <c r="J96" s="773">
        <f t="shared" si="82"/>
        <v>59</v>
      </c>
      <c r="K96" s="774">
        <f t="shared" si="61"/>
        <v>66.375</v>
      </c>
      <c r="L96" s="747">
        <f t="shared" si="136"/>
        <v>2.0694903606557378</v>
      </c>
      <c r="M96" s="751">
        <f t="shared" si="136"/>
        <v>2.0652077868852459</v>
      </c>
      <c r="N96" s="751">
        <f t="shared" si="136"/>
        <v>2.0578116803278688</v>
      </c>
      <c r="O96" s="751">
        <f t="shared" si="136"/>
        <v>2.0504155737704917</v>
      </c>
      <c r="P96" s="751">
        <f t="shared" si="136"/>
        <v>2.036209836065574</v>
      </c>
      <c r="Q96" s="751">
        <f t="shared" si="136"/>
        <v>2.0279209836065575</v>
      </c>
      <c r="R96" s="751">
        <f t="shared" si="136"/>
        <v>1.9963295081967214</v>
      </c>
      <c r="S96" s="751">
        <f t="shared" si="136"/>
        <v>1.9825043278688526</v>
      </c>
      <c r="T96" s="752">
        <f t="shared" si="136"/>
        <v>1.9627049180327869</v>
      </c>
      <c r="U96" s="753">
        <f t="shared" si="136"/>
        <v>1.8344622950819673</v>
      </c>
      <c r="W96" s="773">
        <f t="shared" si="63"/>
        <v>66.375</v>
      </c>
      <c r="X96" s="775">
        <f t="shared" si="137"/>
        <v>-8.5783999750652762E-2</v>
      </c>
      <c r="Y96" s="776">
        <f t="shared" si="137"/>
        <v>-8.5788563639541654E-2</v>
      </c>
      <c r="Z96" s="776">
        <f t="shared" si="137"/>
        <v>-8.5796445583986095E-2</v>
      </c>
      <c r="AA96" s="776">
        <f t="shared" si="137"/>
        <v>-8.5804327528430535E-2</v>
      </c>
      <c r="AB96" s="776">
        <f t="shared" si="137"/>
        <v>-8.5819466417319426E-2</v>
      </c>
      <c r="AC96" s="776">
        <f t="shared" si="137"/>
        <v>-8.5828299750652759E-2</v>
      </c>
      <c r="AD96" s="776">
        <f t="shared" si="137"/>
        <v>-8.5861966417319427E-2</v>
      </c>
      <c r="AE96" s="776">
        <f t="shared" si="137"/>
        <v>-8.5876699750652763E-2</v>
      </c>
      <c r="AF96" s="777">
        <f t="shared" si="137"/>
        <v>-8.5897799750652759E-2</v>
      </c>
      <c r="AG96" s="778">
        <f t="shared" si="137"/>
        <v>-8.6034466417319419E-2</v>
      </c>
      <c r="AI96" s="773">
        <f t="shared" si="65"/>
        <v>66.375</v>
      </c>
      <c r="AJ96" s="747">
        <f t="shared" si="147"/>
        <v>1.9837063609050851</v>
      </c>
      <c r="AK96" s="751">
        <f t="shared" si="147"/>
        <v>1.9794192232457042</v>
      </c>
      <c r="AL96" s="751">
        <f t="shared" si="147"/>
        <v>1.9720152347438826</v>
      </c>
      <c r="AM96" s="751">
        <f t="shared" si="147"/>
        <v>1.9646112462420611</v>
      </c>
      <c r="AN96" s="751">
        <f t="shared" si="147"/>
        <v>1.9503903696482545</v>
      </c>
      <c r="AO96" s="751">
        <f t="shared" si="147"/>
        <v>1.9420926838559047</v>
      </c>
      <c r="AP96" s="751">
        <f t="shared" si="147"/>
        <v>1.9104675417794019</v>
      </c>
      <c r="AQ96" s="751">
        <f t="shared" si="147"/>
        <v>1.8966276281181997</v>
      </c>
      <c r="AR96" s="752">
        <f t="shared" si="147"/>
        <v>1.8768071182821342</v>
      </c>
      <c r="AS96" s="751">
        <f t="shared" si="147"/>
        <v>1.748427828664648</v>
      </c>
      <c r="AT96" s="674">
        <f t="shared" si="66"/>
        <v>1.75</v>
      </c>
      <c r="AU96" s="712">
        <f t="shared" si="67"/>
        <v>1.8</v>
      </c>
      <c r="AV96" s="712">
        <f t="shared" si="68"/>
        <v>1.81</v>
      </c>
      <c r="AW96" s="712">
        <f t="shared" si="69"/>
        <v>1.83</v>
      </c>
      <c r="AX96" s="712">
        <f t="shared" si="70"/>
        <v>1.84</v>
      </c>
      <c r="AY96" s="712">
        <f t="shared" si="71"/>
        <v>1.86</v>
      </c>
      <c r="AZ96" s="712">
        <f t="shared" si="72"/>
        <v>1.88</v>
      </c>
      <c r="BA96" s="712">
        <f t="shared" si="73"/>
        <v>1.9</v>
      </c>
      <c r="BB96" s="712">
        <f t="shared" si="74"/>
        <v>1.92</v>
      </c>
      <c r="BC96" s="779">
        <f t="shared" si="75"/>
        <v>1000000</v>
      </c>
      <c r="BD96" s="780">
        <f t="shared" si="76"/>
        <v>-1000000</v>
      </c>
      <c r="BF96" s="781">
        <f t="shared" si="138"/>
        <v>1.9839290413716835</v>
      </c>
      <c r="BG96" s="767">
        <f t="shared" si="138"/>
        <v>1.9607978913032931</v>
      </c>
      <c r="BH96" s="767">
        <f t="shared" si="138"/>
        <v>2.3191045586030765</v>
      </c>
      <c r="BI96" s="767">
        <f t="shared" si="138"/>
        <v>2.020887278309468</v>
      </c>
      <c r="BJ96" s="767">
        <f t="shared" si="138"/>
        <v>2.0024322945778144</v>
      </c>
      <c r="BK96" s="767">
        <f t="shared" si="138"/>
        <v>1.9995792069261293</v>
      </c>
      <c r="BL96" s="767">
        <f t="shared" si="138"/>
        <v>1.9956567982906244</v>
      </c>
      <c r="BM96" s="767">
        <f t="shared" si="138"/>
        <v>1.9949569228687656</v>
      </c>
      <c r="BN96" s="767">
        <f t="shared" si="138"/>
        <v>1.9942989183384392</v>
      </c>
      <c r="BO96" s="782">
        <f t="shared" si="138"/>
        <v>1.9927625617092601</v>
      </c>
      <c r="BP96" s="781">
        <f t="shared" si="148"/>
        <v>1.9839290413716835</v>
      </c>
      <c r="BQ96" s="767">
        <f t="shared" si="148"/>
        <v>1.9607978913032931</v>
      </c>
      <c r="BR96" s="767">
        <f t="shared" si="148"/>
        <v>-1000000</v>
      </c>
      <c r="BS96" s="767">
        <f t="shared" si="148"/>
        <v>-1000000</v>
      </c>
      <c r="BT96" s="767">
        <f t="shared" si="148"/>
        <v>-1000000</v>
      </c>
      <c r="BU96" s="767">
        <f t="shared" si="148"/>
        <v>-1000000</v>
      </c>
      <c r="BV96" s="767">
        <f t="shared" si="148"/>
        <v>-1000000</v>
      </c>
      <c r="BW96" s="767">
        <f t="shared" si="148"/>
        <v>-1000000</v>
      </c>
      <c r="BX96" s="767">
        <f t="shared" si="148"/>
        <v>-1000000</v>
      </c>
      <c r="BY96" s="767">
        <f t="shared" si="148"/>
        <v>-1000000</v>
      </c>
      <c r="BZ96" s="648">
        <f t="shared" si="56"/>
        <v>59</v>
      </c>
      <c r="CA96" s="767">
        <f t="shared" si="135"/>
        <v>1.9839290413716835</v>
      </c>
      <c r="CB96" s="767">
        <f t="shared" si="135"/>
        <v>1.9607978913032931</v>
      </c>
      <c r="CC96" s="767"/>
      <c r="CD96" s="767"/>
      <c r="CE96" s="767"/>
      <c r="CF96" s="767"/>
      <c r="CG96" s="767"/>
      <c r="CH96" s="767"/>
      <c r="CI96" s="767"/>
      <c r="CJ96" s="767"/>
      <c r="CK96" s="781">
        <f t="shared" si="58"/>
        <v>1.75</v>
      </c>
      <c r="CL96" s="783">
        <f t="shared" si="78"/>
        <v>1000000</v>
      </c>
      <c r="CM96" s="552"/>
      <c r="CN96" s="552"/>
      <c r="CO96" s="552"/>
      <c r="CP96" s="552"/>
      <c r="CQ96" s="552"/>
      <c r="CR96" s="552"/>
      <c r="CS96" s="552"/>
      <c r="CT96" s="552"/>
      <c r="CU96" s="552"/>
      <c r="CV96" s="552"/>
      <c r="CW96" s="552"/>
      <c r="CX96" s="552"/>
      <c r="CY96" s="552"/>
      <c r="CZ96" s="642">
        <f t="shared" si="133"/>
        <v>89</v>
      </c>
      <c r="DA96" s="609">
        <f t="shared" si="110"/>
        <v>100.125</v>
      </c>
      <c r="DB96" s="609">
        <f t="shared" si="121"/>
        <v>35.6</v>
      </c>
      <c r="DC96" s="610">
        <f t="shared" si="139"/>
        <v>134.96560850725402</v>
      </c>
      <c r="DD96" s="611">
        <f t="shared" si="139"/>
        <v>134.98859049873136</v>
      </c>
      <c r="DE96" s="612">
        <f t="shared" si="139"/>
        <v>134.99927672118116</v>
      </c>
      <c r="DF96" s="610">
        <f t="shared" si="140"/>
        <v>19.411764705882348</v>
      </c>
      <c r="DG96" s="611">
        <f t="shared" si="140"/>
        <v>22</v>
      </c>
      <c r="DH96" s="612">
        <f t="shared" si="140"/>
        <v>28.470588235294098</v>
      </c>
      <c r="DI96" s="610">
        <f t="shared" si="111"/>
        <v>154.37737321313637</v>
      </c>
      <c r="DJ96" s="611">
        <f t="shared" si="111"/>
        <v>156.98859049873136</v>
      </c>
      <c r="DK96" s="612">
        <f t="shared" si="111"/>
        <v>163.46986495647525</v>
      </c>
      <c r="DL96" s="613">
        <f t="shared" si="144"/>
        <v>154.37737321313637</v>
      </c>
      <c r="DM96" s="613">
        <f t="shared" si="144"/>
        <v>156.98859049873136</v>
      </c>
      <c r="DN96" s="613">
        <f t="shared" si="144"/>
        <v>163.46986495647525</v>
      </c>
      <c r="DO96" s="609">
        <f t="shared" si="112"/>
        <v>135</v>
      </c>
      <c r="DP96" s="609"/>
      <c r="DQ96" s="609">
        <f t="shared" si="123"/>
        <v>35.6</v>
      </c>
      <c r="DR96" s="610">
        <f t="shared" si="113"/>
        <v>7.9943032882311103E-3</v>
      </c>
      <c r="DS96" s="611">
        <f t="shared" si="113"/>
        <v>3.0057573464561155E-3</v>
      </c>
      <c r="DT96" s="612">
        <f t="shared" si="113"/>
        <v>2.465850614369836E-4</v>
      </c>
      <c r="DU96" s="611">
        <f t="shared" si="145"/>
        <v>8.3777501325242778E-3</v>
      </c>
      <c r="DV96" s="611">
        <f t="shared" si="145"/>
        <v>3.1698392499634569E-3</v>
      </c>
      <c r="DW96" s="611">
        <f t="shared" si="145"/>
        <v>2.6418962036700203E-4</v>
      </c>
      <c r="DX96" s="614">
        <f t="shared" si="114"/>
        <v>12.5</v>
      </c>
      <c r="DY96" s="615"/>
      <c r="DZ96" s="609">
        <f t="shared" si="124"/>
        <v>35.6</v>
      </c>
      <c r="EA96" s="611">
        <f t="shared" si="141"/>
        <v>2.1485053191489363</v>
      </c>
      <c r="EB96" s="611">
        <f t="shared" si="141"/>
        <v>1000000</v>
      </c>
      <c r="EC96" s="611">
        <f t="shared" si="141"/>
        <v>1000000</v>
      </c>
      <c r="ED96" s="610">
        <f t="shared" si="142"/>
        <v>0.22002999999999975</v>
      </c>
      <c r="EE96" s="611">
        <f t="shared" si="142"/>
        <v>0.22005999999999976</v>
      </c>
      <c r="EF96" s="612">
        <f t="shared" si="142"/>
        <v>0.22012499999999974</v>
      </c>
      <c r="EG96" s="611">
        <f t="shared" si="115"/>
        <v>2.3685353191489362</v>
      </c>
      <c r="EH96" s="611">
        <f t="shared" si="115"/>
        <v>1000000.22006</v>
      </c>
      <c r="EI96" s="611">
        <f t="shared" si="115"/>
        <v>1000000.220125</v>
      </c>
      <c r="EJ96" s="610">
        <f t="shared" si="125"/>
        <v>2.2999999999999998</v>
      </c>
      <c r="EK96" s="643">
        <f t="shared" si="126"/>
        <v>2.25</v>
      </c>
      <c r="EL96" s="644">
        <f t="shared" si="127"/>
        <v>2.83</v>
      </c>
      <c r="EN96" s="620">
        <f t="shared" si="128"/>
        <v>19.406944444444445</v>
      </c>
      <c r="EO96" s="621">
        <f t="shared" si="143"/>
        <v>65.501035419142681</v>
      </c>
      <c r="EP96" s="621">
        <f t="shared" si="143"/>
        <v>82.861738306171745</v>
      </c>
      <c r="EQ96" s="621">
        <f t="shared" si="143"/>
        <v>97.072906787603415</v>
      </c>
      <c r="ER96" s="610">
        <f t="shared" si="116"/>
        <v>27.62484598304659</v>
      </c>
      <c r="ES96" s="611">
        <f t="shared" si="116"/>
        <v>54.321216295840635</v>
      </c>
      <c r="ET96" s="612">
        <f t="shared" si="116"/>
        <v>78.460982918978033</v>
      </c>
      <c r="EU96" s="610">
        <f t="shared" si="129"/>
        <v>100</v>
      </c>
      <c r="EV96" s="611">
        <f t="shared" si="130"/>
        <v>135</v>
      </c>
      <c r="EW96" s="645">
        <f t="shared" si="131"/>
        <v>-1000000</v>
      </c>
      <c r="EX96" s="610">
        <f t="shared" si="117"/>
        <v>-37.876189436096091</v>
      </c>
      <c r="EY96" s="621">
        <f t="shared" si="118"/>
        <v>-28.540522010331109</v>
      </c>
      <c r="EZ96" s="612">
        <f t="shared" si="119"/>
        <v>-18.611923868625389</v>
      </c>
      <c r="FA96" s="646">
        <f t="shared" si="120"/>
        <v>19.406944444444445</v>
      </c>
      <c r="FB96" s="317"/>
      <c r="FC96" s="552"/>
      <c r="FD96" s="552"/>
      <c r="FE96" s="552"/>
      <c r="FF96" s="552"/>
      <c r="FG96" s="552"/>
      <c r="FH96" s="552"/>
      <c r="FI96" s="552"/>
      <c r="FJ96" s="552"/>
      <c r="FK96" s="552"/>
      <c r="FL96" s="552"/>
      <c r="FM96" s="552"/>
      <c r="FN96" s="552"/>
      <c r="FO96" s="552"/>
      <c r="FP96" s="552"/>
      <c r="FQ96" s="552"/>
      <c r="FR96" s="552"/>
      <c r="FS96" s="552"/>
      <c r="FT96" s="552"/>
    </row>
    <row r="97" spans="2:176" s="564" customFormat="1" ht="15" customHeight="1" x14ac:dyDescent="0.2">
      <c r="B97" s="647">
        <f t="shared" si="146"/>
        <v>20</v>
      </c>
      <c r="C97" s="652">
        <f>$H$12</f>
        <v>108</v>
      </c>
      <c r="D97" s="771">
        <f>$B$12</f>
        <v>1.86</v>
      </c>
      <c r="E97" s="772">
        <f t="shared" si="49"/>
        <v>5.4</v>
      </c>
      <c r="F97" s="689"/>
      <c r="G97" s="747">
        <f t="shared" si="50"/>
        <v>1.8542044909496278</v>
      </c>
      <c r="H97" s="748">
        <f t="shared" si="60"/>
        <v>3.3587925152947166E-5</v>
      </c>
      <c r="I97" s="689"/>
      <c r="J97" s="773">
        <f t="shared" si="82"/>
        <v>60</v>
      </c>
      <c r="K97" s="774">
        <f t="shared" si="61"/>
        <v>67.5</v>
      </c>
      <c r="L97" s="747">
        <f t="shared" si="136"/>
        <v>2.0693152000000001</v>
      </c>
      <c r="M97" s="751">
        <f t="shared" si="136"/>
        <v>2.0649612500000001</v>
      </c>
      <c r="N97" s="751">
        <f t="shared" si="136"/>
        <v>2.0574418749999999</v>
      </c>
      <c r="O97" s="751">
        <f t="shared" si="136"/>
        <v>2.0499225000000001</v>
      </c>
      <c r="P97" s="751">
        <f t="shared" si="136"/>
        <v>2.0354800000000002</v>
      </c>
      <c r="Q97" s="751">
        <f t="shared" si="136"/>
        <v>2.027053</v>
      </c>
      <c r="R97" s="751">
        <f t="shared" si="136"/>
        <v>1.9949350000000001</v>
      </c>
      <c r="S97" s="751">
        <f t="shared" si="136"/>
        <v>1.9808794000000001</v>
      </c>
      <c r="T97" s="752">
        <f t="shared" si="136"/>
        <v>1.96075</v>
      </c>
      <c r="U97" s="753">
        <f t="shared" si="136"/>
        <v>1.8303700000000001</v>
      </c>
      <c r="W97" s="773">
        <f t="shared" si="63"/>
        <v>67.5</v>
      </c>
      <c r="X97" s="775">
        <f t="shared" si="137"/>
        <v>-8.6440199186172045E-2</v>
      </c>
      <c r="Y97" s="776">
        <f t="shared" si="137"/>
        <v>-8.6444763075060937E-2</v>
      </c>
      <c r="Z97" s="776">
        <f t="shared" si="137"/>
        <v>-8.6452645019505378E-2</v>
      </c>
      <c r="AA97" s="776">
        <f t="shared" si="137"/>
        <v>-8.6460526963949819E-2</v>
      </c>
      <c r="AB97" s="776">
        <f t="shared" si="137"/>
        <v>-8.647566585283871E-2</v>
      </c>
      <c r="AC97" s="776">
        <f t="shared" si="137"/>
        <v>-8.6484499186172042E-2</v>
      </c>
      <c r="AD97" s="776">
        <f t="shared" si="137"/>
        <v>-8.651816585283871E-2</v>
      </c>
      <c r="AE97" s="776">
        <f t="shared" si="137"/>
        <v>-8.6532899186172046E-2</v>
      </c>
      <c r="AF97" s="777">
        <f t="shared" si="137"/>
        <v>-8.6553999186172043E-2</v>
      </c>
      <c r="AG97" s="778">
        <f t="shared" si="137"/>
        <v>-8.6690665852838703E-2</v>
      </c>
      <c r="AI97" s="773">
        <f t="shared" si="65"/>
        <v>67.5</v>
      </c>
      <c r="AJ97" s="747">
        <f t="shared" si="147"/>
        <v>1.9828750008138281</v>
      </c>
      <c r="AK97" s="751">
        <f t="shared" si="147"/>
        <v>1.9785164869249392</v>
      </c>
      <c r="AL97" s="751">
        <f t="shared" si="147"/>
        <v>1.9709892299804945</v>
      </c>
      <c r="AM97" s="751">
        <f t="shared" si="147"/>
        <v>1.9634619730360503</v>
      </c>
      <c r="AN97" s="751">
        <f t="shared" si="147"/>
        <v>1.9490043341471615</v>
      </c>
      <c r="AO97" s="751">
        <f t="shared" si="147"/>
        <v>1.940568500813828</v>
      </c>
      <c r="AP97" s="751">
        <f t="shared" si="147"/>
        <v>1.9084168341471615</v>
      </c>
      <c r="AQ97" s="751">
        <f t="shared" si="147"/>
        <v>1.894346500813828</v>
      </c>
      <c r="AR97" s="752">
        <f t="shared" si="147"/>
        <v>1.8741960008138279</v>
      </c>
      <c r="AS97" s="751">
        <f t="shared" si="147"/>
        <v>1.7436793341471613</v>
      </c>
      <c r="AT97" s="674">
        <f t="shared" si="66"/>
        <v>1.75</v>
      </c>
      <c r="AU97" s="712">
        <f t="shared" si="67"/>
        <v>1.8</v>
      </c>
      <c r="AV97" s="712">
        <f t="shared" si="68"/>
        <v>1.81</v>
      </c>
      <c r="AW97" s="712">
        <f t="shared" si="69"/>
        <v>1.83</v>
      </c>
      <c r="AX97" s="712">
        <f t="shared" si="70"/>
        <v>1.84</v>
      </c>
      <c r="AY97" s="712">
        <f t="shared" si="71"/>
        <v>1.86</v>
      </c>
      <c r="AZ97" s="712">
        <f t="shared" si="72"/>
        <v>1.88</v>
      </c>
      <c r="BA97" s="712">
        <f t="shared" si="73"/>
        <v>1.9</v>
      </c>
      <c r="BB97" s="712">
        <f t="shared" si="74"/>
        <v>1.92</v>
      </c>
      <c r="BC97" s="779">
        <f t="shared" si="75"/>
        <v>1000000</v>
      </c>
      <c r="BD97" s="780">
        <f t="shared" si="76"/>
        <v>-1000000</v>
      </c>
      <c r="BF97" s="781">
        <f t="shared" si="138"/>
        <v>1.9830939973972201</v>
      </c>
      <c r="BG97" s="767">
        <f t="shared" si="138"/>
        <v>1.9595837730860595</v>
      </c>
      <c r="BH97" s="767">
        <f t="shared" si="138"/>
        <v>2.2029456293961753</v>
      </c>
      <c r="BI97" s="767">
        <f t="shared" si="138"/>
        <v>2.0185632121213284</v>
      </c>
      <c r="BJ97" s="767">
        <f t="shared" si="138"/>
        <v>2.0017429192329468</v>
      </c>
      <c r="BK97" s="767">
        <f t="shared" si="138"/>
        <v>1.9990586452496277</v>
      </c>
      <c r="BL97" s="767">
        <f t="shared" si="138"/>
        <v>1.9953295119229337</v>
      </c>
      <c r="BM97" s="767">
        <f t="shared" si="138"/>
        <v>1.9946591599551977</v>
      </c>
      <c r="BN97" s="767">
        <f t="shared" si="138"/>
        <v>1.9940273744663612</v>
      </c>
      <c r="BO97" s="782">
        <f t="shared" si="138"/>
        <v>1.9925444708658964</v>
      </c>
      <c r="BP97" s="781">
        <f t="shared" si="148"/>
        <v>1.9830939973972201</v>
      </c>
      <c r="BQ97" s="767">
        <f t="shared" si="148"/>
        <v>1.9595837730860595</v>
      </c>
      <c r="BR97" s="767">
        <f t="shared" si="148"/>
        <v>-1000000</v>
      </c>
      <c r="BS97" s="767">
        <f t="shared" si="148"/>
        <v>-1000000</v>
      </c>
      <c r="BT97" s="767">
        <f t="shared" si="148"/>
        <v>-1000000</v>
      </c>
      <c r="BU97" s="767">
        <f t="shared" si="148"/>
        <v>-1000000</v>
      </c>
      <c r="BV97" s="767">
        <f t="shared" si="148"/>
        <v>-1000000</v>
      </c>
      <c r="BW97" s="767">
        <f t="shared" si="148"/>
        <v>-1000000</v>
      </c>
      <c r="BX97" s="767">
        <f t="shared" si="148"/>
        <v>-1000000</v>
      </c>
      <c r="BY97" s="767">
        <f t="shared" si="148"/>
        <v>-1000000</v>
      </c>
      <c r="BZ97" s="648">
        <f t="shared" si="56"/>
        <v>60</v>
      </c>
      <c r="CA97" s="767">
        <f t="shared" si="135"/>
        <v>1.9830939973972201</v>
      </c>
      <c r="CB97" s="767">
        <f t="shared" si="135"/>
        <v>1.9595837730860595</v>
      </c>
      <c r="CC97" s="767"/>
      <c r="CD97" s="767"/>
      <c r="CE97" s="767"/>
      <c r="CF97" s="767"/>
      <c r="CG97" s="767"/>
      <c r="CH97" s="767"/>
      <c r="CI97" s="767"/>
      <c r="CJ97" s="767"/>
      <c r="CK97" s="781">
        <f t="shared" si="58"/>
        <v>1.75</v>
      </c>
      <c r="CL97" s="783">
        <f t="shared" si="78"/>
        <v>1000000</v>
      </c>
      <c r="CM97" s="552"/>
      <c r="CN97" s="552"/>
      <c r="CO97" s="552"/>
      <c r="CP97" s="552"/>
      <c r="CQ97" s="552"/>
      <c r="CR97" s="552"/>
      <c r="CS97" s="552"/>
      <c r="CT97" s="552"/>
      <c r="CU97" s="552"/>
      <c r="CV97" s="552"/>
      <c r="CW97" s="552"/>
      <c r="CX97" s="552"/>
      <c r="CY97" s="552"/>
      <c r="CZ97" s="642">
        <f t="shared" si="133"/>
        <v>90</v>
      </c>
      <c r="DA97" s="609">
        <f t="shared" si="110"/>
        <v>101.25</v>
      </c>
      <c r="DB97" s="609">
        <f t="shared" si="121"/>
        <v>36</v>
      </c>
      <c r="DC97" s="610">
        <f t="shared" si="139"/>
        <v>134.96866206888342</v>
      </c>
      <c r="DD97" s="611">
        <f t="shared" si="139"/>
        <v>134.98973162165814</v>
      </c>
      <c r="DE97" s="612">
        <f t="shared" si="139"/>
        <v>134.99936892538204</v>
      </c>
      <c r="DF97" s="610">
        <f t="shared" si="140"/>
        <v>19.411764705882348</v>
      </c>
      <c r="DG97" s="611">
        <f t="shared" si="140"/>
        <v>22</v>
      </c>
      <c r="DH97" s="612">
        <f t="shared" si="140"/>
        <v>28.470588235294098</v>
      </c>
      <c r="DI97" s="610">
        <f t="shared" si="111"/>
        <v>154.38042677476577</v>
      </c>
      <c r="DJ97" s="611">
        <f t="shared" si="111"/>
        <v>156.98973162165814</v>
      </c>
      <c r="DK97" s="612">
        <f t="shared" si="111"/>
        <v>163.46995716067613</v>
      </c>
      <c r="DL97" s="613">
        <f t="shared" si="144"/>
        <v>154.38042677476577</v>
      </c>
      <c r="DM97" s="613">
        <f t="shared" si="144"/>
        <v>156.98973162165814</v>
      </c>
      <c r="DN97" s="613">
        <f t="shared" si="144"/>
        <v>163.46995716067613</v>
      </c>
      <c r="DO97" s="609">
        <f t="shared" si="112"/>
        <v>135</v>
      </c>
      <c r="DP97" s="609"/>
      <c r="DQ97" s="609">
        <f t="shared" si="123"/>
        <v>36</v>
      </c>
      <c r="DR97" s="610">
        <f t="shared" si="113"/>
        <v>7.2845028165017291E-3</v>
      </c>
      <c r="DS97" s="611">
        <f t="shared" si="113"/>
        <v>2.7051360888205207E-3</v>
      </c>
      <c r="DT97" s="612">
        <f t="shared" si="113"/>
        <v>2.1515018743715897E-4</v>
      </c>
      <c r="DU97" s="611">
        <f t="shared" si="145"/>
        <v>7.6339040735007571E-3</v>
      </c>
      <c r="DV97" s="611">
        <f t="shared" si="145"/>
        <v>2.8528073169553736E-3</v>
      </c>
      <c r="DW97" s="611">
        <f t="shared" si="145"/>
        <v>2.3051050220601691E-4</v>
      </c>
      <c r="DX97" s="614">
        <f t="shared" si="114"/>
        <v>12.5</v>
      </c>
      <c r="DY97" s="615"/>
      <c r="DZ97" s="609">
        <f t="shared" si="124"/>
        <v>36</v>
      </c>
      <c r="EA97" s="611">
        <f t="shared" si="141"/>
        <v>2.1515500000000003</v>
      </c>
      <c r="EB97" s="611">
        <f t="shared" si="141"/>
        <v>1000000</v>
      </c>
      <c r="EC97" s="611">
        <f t="shared" si="141"/>
        <v>1000000</v>
      </c>
      <c r="ED97" s="610">
        <f t="shared" si="142"/>
        <v>0.22002999999999975</v>
      </c>
      <c r="EE97" s="611">
        <f t="shared" si="142"/>
        <v>0.22005999999999976</v>
      </c>
      <c r="EF97" s="612">
        <f t="shared" si="142"/>
        <v>0.22012499999999974</v>
      </c>
      <c r="EG97" s="611">
        <f t="shared" si="115"/>
        <v>2.3715800000000002</v>
      </c>
      <c r="EH97" s="611">
        <f t="shared" si="115"/>
        <v>1000000.22006</v>
      </c>
      <c r="EI97" s="611">
        <f t="shared" si="115"/>
        <v>1000000.220125</v>
      </c>
      <c r="EJ97" s="610">
        <f t="shared" si="125"/>
        <v>2.2999999999999998</v>
      </c>
      <c r="EK97" s="643">
        <f t="shared" si="126"/>
        <v>2.25</v>
      </c>
      <c r="EL97" s="644">
        <f t="shared" si="127"/>
        <v>2.83</v>
      </c>
      <c r="EN97" s="620">
        <f t="shared" si="128"/>
        <v>19.625</v>
      </c>
      <c r="EO97" s="621">
        <f t="shared" si="143"/>
        <v>64.720998633434448</v>
      </c>
      <c r="EP97" s="621">
        <f t="shared" si="143"/>
        <v>82.276393782167716</v>
      </c>
      <c r="EQ97" s="621">
        <f t="shared" si="143"/>
        <v>96.647012950631634</v>
      </c>
      <c r="ER97" s="610">
        <f t="shared" si="116"/>
        <v>26.84477437452351</v>
      </c>
      <c r="ES97" s="611">
        <f t="shared" si="116"/>
        <v>53.6992395018857</v>
      </c>
      <c r="ET97" s="612">
        <f t="shared" si="116"/>
        <v>77.846475132654845</v>
      </c>
      <c r="EU97" s="610">
        <f t="shared" si="129"/>
        <v>100</v>
      </c>
      <c r="EV97" s="611">
        <f t="shared" si="130"/>
        <v>135</v>
      </c>
      <c r="EW97" s="645">
        <f t="shared" si="131"/>
        <v>-1000000</v>
      </c>
      <c r="EX97" s="610">
        <f t="shared" si="117"/>
        <v>-37.876224258910938</v>
      </c>
      <c r="EY97" s="621">
        <f t="shared" si="118"/>
        <v>-28.577154280282016</v>
      </c>
      <c r="EZ97" s="612">
        <f t="shared" si="119"/>
        <v>-18.800537817976789</v>
      </c>
      <c r="FA97" s="646">
        <f t="shared" si="120"/>
        <v>19.625</v>
      </c>
      <c r="FB97" s="317"/>
      <c r="FC97" s="552"/>
      <c r="FD97" s="552"/>
      <c r="FE97" s="552"/>
      <c r="FF97" s="552"/>
      <c r="FG97" s="552"/>
      <c r="FH97" s="552"/>
      <c r="FI97" s="552"/>
      <c r="FJ97" s="552"/>
      <c r="FK97" s="552"/>
      <c r="FL97" s="552"/>
      <c r="FM97" s="552"/>
      <c r="FN97" s="552"/>
      <c r="FO97" s="552"/>
      <c r="FP97" s="552"/>
      <c r="FQ97" s="552"/>
      <c r="FR97" s="552"/>
      <c r="FS97" s="552"/>
      <c r="FT97" s="552"/>
    </row>
    <row r="98" spans="2:176" s="564" customFormat="1" ht="15" customHeight="1" x14ac:dyDescent="0.2">
      <c r="B98" s="647">
        <f t="shared" si="146"/>
        <v>20</v>
      </c>
      <c r="C98" s="652">
        <f>$H$13</f>
        <v>104.5</v>
      </c>
      <c r="D98" s="771">
        <f>$B$13</f>
        <v>1.88</v>
      </c>
      <c r="E98" s="772">
        <f t="shared" si="49"/>
        <v>5.2249999999999996</v>
      </c>
      <c r="F98" s="689"/>
      <c r="G98" s="747">
        <f t="shared" si="50"/>
        <v>1.8730224378907165</v>
      </c>
      <c r="H98" s="748">
        <f t="shared" si="60"/>
        <v>4.868637298890675E-5</v>
      </c>
      <c r="I98" s="689"/>
      <c r="J98" s="773">
        <f t="shared" si="82"/>
        <v>61</v>
      </c>
      <c r="K98" s="774">
        <f t="shared" si="61"/>
        <v>68.625</v>
      </c>
      <c r="L98" s="747">
        <f t="shared" si="136"/>
        <v>2.0691341016949152</v>
      </c>
      <c r="M98" s="751">
        <f t="shared" si="136"/>
        <v>2.0647063559322034</v>
      </c>
      <c r="N98" s="751">
        <f t="shared" si="136"/>
        <v>2.0570595338983053</v>
      </c>
      <c r="O98" s="751">
        <f t="shared" si="136"/>
        <v>2.0494127118644068</v>
      </c>
      <c r="P98" s="751">
        <f t="shared" si="136"/>
        <v>2.0347254237288137</v>
      </c>
      <c r="Q98" s="751">
        <f t="shared" si="136"/>
        <v>2.0261555932203392</v>
      </c>
      <c r="R98" s="751">
        <f t="shared" si="136"/>
        <v>1.9934932203389832</v>
      </c>
      <c r="S98" s="751">
        <f t="shared" si="136"/>
        <v>1.9791993898305085</v>
      </c>
      <c r="T98" s="752">
        <f t="shared" si="136"/>
        <v>1.9587288135593222</v>
      </c>
      <c r="U98" s="753">
        <f t="shared" si="136"/>
        <v>1.8261389830508477</v>
      </c>
      <c r="W98" s="773">
        <f t="shared" si="63"/>
        <v>68.625</v>
      </c>
      <c r="X98" s="775">
        <f t="shared" si="137"/>
        <v>-8.70636864865688E-2</v>
      </c>
      <c r="Y98" s="776">
        <f t="shared" si="137"/>
        <v>-8.7068250375457693E-2</v>
      </c>
      <c r="Z98" s="776">
        <f t="shared" si="137"/>
        <v>-8.7076132319902133E-2</v>
      </c>
      <c r="AA98" s="776">
        <f t="shared" si="137"/>
        <v>-8.7084014264346574E-2</v>
      </c>
      <c r="AB98" s="776">
        <f t="shared" si="137"/>
        <v>-8.7099153153235465E-2</v>
      </c>
      <c r="AC98" s="776">
        <f t="shared" si="137"/>
        <v>-8.7107986486568798E-2</v>
      </c>
      <c r="AD98" s="776">
        <f t="shared" si="137"/>
        <v>-8.7141653153235465E-2</v>
      </c>
      <c r="AE98" s="776">
        <f t="shared" si="137"/>
        <v>-8.7156386486568801E-2</v>
      </c>
      <c r="AF98" s="777">
        <f t="shared" si="137"/>
        <v>-8.7177486486568798E-2</v>
      </c>
      <c r="AG98" s="778">
        <f t="shared" si="137"/>
        <v>-8.7314153153235458E-2</v>
      </c>
      <c r="AI98" s="773">
        <f t="shared" si="65"/>
        <v>68.625</v>
      </c>
      <c r="AJ98" s="747">
        <f t="shared" si="147"/>
        <v>1.9820704152083464</v>
      </c>
      <c r="AK98" s="751">
        <f t="shared" si="147"/>
        <v>1.9776381055567458</v>
      </c>
      <c r="AL98" s="751">
        <f t="shared" si="147"/>
        <v>1.9699834015784032</v>
      </c>
      <c r="AM98" s="751">
        <f t="shared" si="147"/>
        <v>1.9623286976000602</v>
      </c>
      <c r="AN98" s="751">
        <f t="shared" si="147"/>
        <v>1.9476262705755782</v>
      </c>
      <c r="AO98" s="751">
        <f t="shared" si="147"/>
        <v>1.9390476067337705</v>
      </c>
      <c r="AP98" s="751">
        <f t="shared" si="147"/>
        <v>1.9063515671857478</v>
      </c>
      <c r="AQ98" s="751">
        <f t="shared" si="147"/>
        <v>1.8920430033439397</v>
      </c>
      <c r="AR98" s="752">
        <f t="shared" si="147"/>
        <v>1.8715513270727533</v>
      </c>
      <c r="AS98" s="751"/>
      <c r="AT98" s="674">
        <f t="shared" si="66"/>
        <v>1.75</v>
      </c>
      <c r="AU98" s="712">
        <f t="shared" si="67"/>
        <v>1.8</v>
      </c>
      <c r="AV98" s="712">
        <f t="shared" si="68"/>
        <v>1.81</v>
      </c>
      <c r="AW98" s="712">
        <f t="shared" si="69"/>
        <v>1.83</v>
      </c>
      <c r="AX98" s="712">
        <f t="shared" si="70"/>
        <v>1.84</v>
      </c>
      <c r="AY98" s="712">
        <f t="shared" si="71"/>
        <v>1.86</v>
      </c>
      <c r="AZ98" s="712">
        <f t="shared" si="72"/>
        <v>1.88</v>
      </c>
      <c r="BA98" s="712">
        <f t="shared" si="73"/>
        <v>1.9</v>
      </c>
      <c r="BB98" s="712">
        <f t="shared" si="74"/>
        <v>1.92</v>
      </c>
      <c r="BC98" s="779">
        <f t="shared" si="75"/>
        <v>1000000</v>
      </c>
      <c r="BD98" s="780">
        <f t="shared" si="76"/>
        <v>-1000000</v>
      </c>
      <c r="BF98" s="781">
        <f t="shared" si="138"/>
        <v>1.9822860133275133</v>
      </c>
      <c r="BG98" s="767">
        <f t="shared" si="138"/>
        <v>1.9583118789754081</v>
      </c>
      <c r="BH98" s="767">
        <f t="shared" si="138"/>
        <v>2.1462214200923322</v>
      </c>
      <c r="BI98" s="767">
        <f t="shared" si="138"/>
        <v>2.0164949897086704</v>
      </c>
      <c r="BJ98" s="767">
        <f t="shared" si="138"/>
        <v>2.0010965581840274</v>
      </c>
      <c r="BK98" s="767">
        <f t="shared" si="138"/>
        <v>1.9985664743409419</v>
      </c>
      <c r="BL98" s="767">
        <f t="shared" si="138"/>
        <v>1.9950164988969856</v>
      </c>
      <c r="BM98" s="767">
        <f t="shared" si="138"/>
        <v>1.9943738020885577</v>
      </c>
      <c r="BN98" s="767">
        <f t="shared" si="138"/>
        <v>1.9937666490752428</v>
      </c>
      <c r="BO98" s="782">
        <f t="shared" si="138"/>
        <v>1.9923341911922388</v>
      </c>
      <c r="BP98" s="781">
        <f t="shared" si="148"/>
        <v>1.9822860133275133</v>
      </c>
      <c r="BQ98" s="767">
        <f t="shared" si="148"/>
        <v>1.9583118789754081</v>
      </c>
      <c r="BR98" s="767">
        <f t="shared" si="148"/>
        <v>-1000000</v>
      </c>
      <c r="BS98" s="767">
        <f t="shared" si="148"/>
        <v>-1000000</v>
      </c>
      <c r="BT98" s="767">
        <f t="shared" si="148"/>
        <v>-1000000</v>
      </c>
      <c r="BU98" s="767">
        <f t="shared" si="148"/>
        <v>-1000000</v>
      </c>
      <c r="BV98" s="767">
        <f t="shared" si="148"/>
        <v>-1000000</v>
      </c>
      <c r="BW98" s="767">
        <f t="shared" si="148"/>
        <v>-1000000</v>
      </c>
      <c r="BX98" s="767">
        <f t="shared" si="148"/>
        <v>-1000000</v>
      </c>
      <c r="BY98" s="767">
        <f t="shared" si="148"/>
        <v>-1000000</v>
      </c>
      <c r="BZ98" s="648">
        <f t="shared" si="56"/>
        <v>61</v>
      </c>
      <c r="CA98" s="767">
        <f t="shared" si="135"/>
        <v>1.9822860133275133</v>
      </c>
      <c r="CB98" s="767">
        <f t="shared" si="135"/>
        <v>1.9583118789754081</v>
      </c>
      <c r="CC98" s="767"/>
      <c r="CD98" s="767"/>
      <c r="CE98" s="767"/>
      <c r="CF98" s="767"/>
      <c r="CG98" s="767"/>
      <c r="CH98" s="767"/>
      <c r="CI98" s="767"/>
      <c r="CJ98" s="767"/>
      <c r="CK98" s="781">
        <f t="shared" si="58"/>
        <v>1.75</v>
      </c>
      <c r="CL98" s="783">
        <f t="shared" si="78"/>
        <v>1000000</v>
      </c>
      <c r="CM98" s="552"/>
      <c r="CN98" s="552"/>
      <c r="CO98" s="552"/>
      <c r="CP98" s="552"/>
      <c r="CQ98" s="552"/>
      <c r="CR98" s="552"/>
      <c r="CS98" s="552"/>
      <c r="CT98" s="552"/>
      <c r="CU98" s="552"/>
      <c r="CV98" s="552"/>
      <c r="CW98" s="552"/>
      <c r="CX98" s="552"/>
      <c r="CY98" s="552"/>
      <c r="CZ98" s="642">
        <f t="shared" si="133"/>
        <v>91</v>
      </c>
      <c r="DA98" s="609">
        <f t="shared" si="110"/>
        <v>102.375</v>
      </c>
      <c r="DB98" s="609">
        <f t="shared" si="121"/>
        <v>36.4</v>
      </c>
      <c r="DC98" s="610">
        <f t="shared" si="139"/>
        <v>134.97144451001526</v>
      </c>
      <c r="DD98" s="611">
        <f t="shared" si="139"/>
        <v>134.99075861500964</v>
      </c>
      <c r="DE98" s="612">
        <f t="shared" si="139"/>
        <v>134.99944937531271</v>
      </c>
      <c r="DF98" s="610">
        <f t="shared" si="140"/>
        <v>19.411764705882348</v>
      </c>
      <c r="DG98" s="611">
        <f t="shared" si="140"/>
        <v>22</v>
      </c>
      <c r="DH98" s="612">
        <f t="shared" si="140"/>
        <v>28.470588235294098</v>
      </c>
      <c r="DI98" s="610">
        <f t="shared" si="111"/>
        <v>154.38320921589761</v>
      </c>
      <c r="DJ98" s="611">
        <f t="shared" si="111"/>
        <v>156.99075861500964</v>
      </c>
      <c r="DK98" s="612">
        <f t="shared" si="111"/>
        <v>163.47003761060679</v>
      </c>
      <c r="DL98" s="613">
        <f t="shared" si="144"/>
        <v>154.38320921589761</v>
      </c>
      <c r="DM98" s="613">
        <f t="shared" si="144"/>
        <v>156.99075861500964</v>
      </c>
      <c r="DN98" s="613">
        <f t="shared" si="144"/>
        <v>163.47003761060679</v>
      </c>
      <c r="DO98" s="609">
        <f t="shared" si="112"/>
        <v>135</v>
      </c>
      <c r="DP98" s="609"/>
      <c r="DQ98" s="609">
        <f t="shared" si="123"/>
        <v>36.4</v>
      </c>
      <c r="DR98" s="610">
        <f t="shared" si="113"/>
        <v>6.63772431072766E-3</v>
      </c>
      <c r="DS98" s="611">
        <f t="shared" si="113"/>
        <v>2.4345815099369415E-3</v>
      </c>
      <c r="DT98" s="612">
        <f t="shared" si="113"/>
        <v>1.8772265799270346E-4</v>
      </c>
      <c r="DU98" s="611">
        <f t="shared" si="145"/>
        <v>6.9561028296050396E-3</v>
      </c>
      <c r="DV98" s="611">
        <f t="shared" si="145"/>
        <v>2.5674833787547959E-3</v>
      </c>
      <c r="DW98" s="611">
        <f t="shared" si="145"/>
        <v>2.0112482665979385E-4</v>
      </c>
      <c r="DX98" s="614">
        <f t="shared" si="114"/>
        <v>12.5</v>
      </c>
      <c r="DY98" s="615"/>
      <c r="DZ98" s="609">
        <f t="shared" si="124"/>
        <v>36.4</v>
      </c>
      <c r="EA98" s="611">
        <f t="shared" si="141"/>
        <v>2.1548779069767443</v>
      </c>
      <c r="EB98" s="611">
        <f t="shared" si="141"/>
        <v>1000000</v>
      </c>
      <c r="EC98" s="611">
        <f t="shared" si="141"/>
        <v>1000000</v>
      </c>
      <c r="ED98" s="610">
        <f t="shared" si="142"/>
        <v>0.22002999999999975</v>
      </c>
      <c r="EE98" s="611">
        <f t="shared" si="142"/>
        <v>0.22005999999999976</v>
      </c>
      <c r="EF98" s="612">
        <f t="shared" si="142"/>
        <v>0.22012499999999974</v>
      </c>
      <c r="EG98" s="611">
        <f t="shared" si="115"/>
        <v>2.3749079069767443</v>
      </c>
      <c r="EH98" s="611">
        <f t="shared" si="115"/>
        <v>1000000.22006</v>
      </c>
      <c r="EI98" s="611">
        <f t="shared" si="115"/>
        <v>1000000.220125</v>
      </c>
      <c r="EJ98" s="610">
        <f t="shared" si="125"/>
        <v>2.2999999999999998</v>
      </c>
      <c r="EK98" s="643">
        <f t="shared" si="126"/>
        <v>2.25</v>
      </c>
      <c r="EL98" s="644">
        <f t="shared" si="127"/>
        <v>2.83</v>
      </c>
      <c r="EN98" s="620">
        <f t="shared" si="128"/>
        <v>19.843055555555555</v>
      </c>
      <c r="EO98" s="621">
        <f t="shared" si="143"/>
        <v>63.940980725954411</v>
      </c>
      <c r="EP98" s="621">
        <f t="shared" si="143"/>
        <v>81.691059885845533</v>
      </c>
      <c r="EQ98" s="621">
        <f t="shared" si="143"/>
        <v>96.221124738672501</v>
      </c>
      <c r="ER98" s="610">
        <f t="shared" si="116"/>
        <v>26.064726142822053</v>
      </c>
      <c r="ES98" s="611">
        <f t="shared" si="116"/>
        <v>53.078945647399109</v>
      </c>
      <c r="ET98" s="612">
        <f t="shared" si="116"/>
        <v>77.235234704628652</v>
      </c>
      <c r="EU98" s="610">
        <f t="shared" si="129"/>
        <v>100</v>
      </c>
      <c r="EV98" s="611">
        <f t="shared" si="130"/>
        <v>135</v>
      </c>
      <c r="EW98" s="645">
        <f t="shared" si="131"/>
        <v>-1000000</v>
      </c>
      <c r="EX98" s="610">
        <f t="shared" si="117"/>
        <v>-37.876254583132358</v>
      </c>
      <c r="EY98" s="621">
        <f t="shared" si="118"/>
        <v>-28.612114238446424</v>
      </c>
      <c r="EZ98" s="612">
        <f t="shared" si="119"/>
        <v>-18.985890034043848</v>
      </c>
      <c r="FA98" s="646">
        <f t="shared" si="120"/>
        <v>19.843055555555555</v>
      </c>
      <c r="FB98" s="317"/>
      <c r="FC98" s="552"/>
      <c r="FD98" s="552"/>
      <c r="FE98" s="552"/>
      <c r="FF98" s="552"/>
      <c r="FG98" s="552"/>
      <c r="FH98" s="552"/>
      <c r="FI98" s="552"/>
      <c r="FJ98" s="552"/>
      <c r="FK98" s="552"/>
      <c r="FL98" s="552"/>
      <c r="FM98" s="552"/>
      <c r="FN98" s="552"/>
      <c r="FO98" s="552"/>
      <c r="FP98" s="552"/>
      <c r="FQ98" s="552"/>
      <c r="FR98" s="552"/>
      <c r="FS98" s="552"/>
      <c r="FT98" s="552"/>
    </row>
    <row r="99" spans="2:176" s="564" customFormat="1" ht="15" customHeight="1" x14ac:dyDescent="0.2">
      <c r="B99" s="647">
        <f t="shared" si="146"/>
        <v>20</v>
      </c>
      <c r="C99" s="652">
        <f>$H$14</f>
        <v>100</v>
      </c>
      <c r="D99" s="771">
        <f>$B$14</f>
        <v>1.9</v>
      </c>
      <c r="E99" s="772">
        <f t="shared" si="49"/>
        <v>5</v>
      </c>
      <c r="F99" s="689"/>
      <c r="G99" s="747">
        <f t="shared" si="50"/>
        <v>1.8918759519318507</v>
      </c>
      <c r="H99" s="748">
        <f t="shared" si="60"/>
        <v>6.6000157013599705E-5</v>
      </c>
      <c r="I99" s="689"/>
      <c r="J99" s="773">
        <f t="shared" si="82"/>
        <v>62</v>
      </c>
      <c r="K99" s="774">
        <f t="shared" si="61"/>
        <v>69.75</v>
      </c>
      <c r="L99" s="747">
        <f t="shared" si="136"/>
        <v>2.0689467586206898</v>
      </c>
      <c r="M99" s="751">
        <f t="shared" si="136"/>
        <v>2.0644426724137932</v>
      </c>
      <c r="N99" s="751">
        <f t="shared" si="136"/>
        <v>2.0566640086206895</v>
      </c>
      <c r="O99" s="751">
        <f t="shared" si="136"/>
        <v>2.0488853448275863</v>
      </c>
      <c r="P99" s="751">
        <f t="shared" si="136"/>
        <v>2.0339448275862071</v>
      </c>
      <c r="Q99" s="751">
        <f t="shared" si="136"/>
        <v>2.0252272413793104</v>
      </c>
      <c r="R99" s="751">
        <f t="shared" si="136"/>
        <v>1.9920017241379311</v>
      </c>
      <c r="S99" s="751">
        <f t="shared" si="136"/>
        <v>1.9774614482758621</v>
      </c>
      <c r="T99" s="752">
        <f t="shared" si="136"/>
        <v>1.9566379310344828</v>
      </c>
      <c r="U99" s="753">
        <f t="shared" si="136"/>
        <v>1.8217620689655174</v>
      </c>
      <c r="W99" s="773">
        <f t="shared" si="63"/>
        <v>69.75</v>
      </c>
      <c r="X99" s="775">
        <f t="shared" si="137"/>
        <v>-8.7656092381353509E-2</v>
      </c>
      <c r="Y99" s="776">
        <f t="shared" si="137"/>
        <v>-8.7660656270242401E-2</v>
      </c>
      <c r="Z99" s="776">
        <f t="shared" si="137"/>
        <v>-8.7668538214686842E-2</v>
      </c>
      <c r="AA99" s="776">
        <f t="shared" si="137"/>
        <v>-8.7676420159131283E-2</v>
      </c>
      <c r="AB99" s="776">
        <f t="shared" si="137"/>
        <v>-8.7691559048020173E-2</v>
      </c>
      <c r="AC99" s="776">
        <f t="shared" si="137"/>
        <v>-8.7700392381353506E-2</v>
      </c>
      <c r="AD99" s="776">
        <f t="shared" si="137"/>
        <v>-8.7734059048020174E-2</v>
      </c>
      <c r="AE99" s="776">
        <f t="shared" si="137"/>
        <v>-8.774879238135351E-2</v>
      </c>
      <c r="AF99" s="777">
        <f t="shared" si="137"/>
        <v>-8.7769892381353506E-2</v>
      </c>
      <c r="AG99" s="778">
        <f t="shared" si="137"/>
        <v>-8.7906559048020166E-2</v>
      </c>
      <c r="AI99" s="773">
        <f t="shared" si="65"/>
        <v>69.75</v>
      </c>
      <c r="AJ99" s="747">
        <f t="shared" si="147"/>
        <v>1.9812906662393364</v>
      </c>
      <c r="AK99" s="751">
        <f t="shared" si="147"/>
        <v>1.9767820161435508</v>
      </c>
      <c r="AL99" s="751">
        <f t="shared" si="147"/>
        <v>1.9689954704060026</v>
      </c>
      <c r="AM99" s="751">
        <f t="shared" si="147"/>
        <v>1.961208924668455</v>
      </c>
      <c r="AN99" s="751">
        <f t="shared" si="147"/>
        <v>1.9462532685381868</v>
      </c>
      <c r="AO99" s="751">
        <f t="shared" si="147"/>
        <v>1.9375268489979569</v>
      </c>
      <c r="AP99" s="751">
        <f t="shared" si="147"/>
        <v>1.9042676650899109</v>
      </c>
      <c r="AQ99" s="751">
        <f t="shared" si="147"/>
        <v>1.8897126558945085</v>
      </c>
      <c r="AR99" s="752">
        <f t="shared" si="147"/>
        <v>1.8688680386531293</v>
      </c>
      <c r="AS99" s="751"/>
      <c r="AT99" s="674">
        <f t="shared" si="66"/>
        <v>1.75</v>
      </c>
      <c r="AU99" s="712">
        <f t="shared" si="67"/>
        <v>1.8</v>
      </c>
      <c r="AV99" s="712">
        <f t="shared" si="68"/>
        <v>1.81</v>
      </c>
      <c r="AW99" s="712">
        <f t="shared" si="69"/>
        <v>1.83</v>
      </c>
      <c r="AX99" s="712">
        <f t="shared" si="70"/>
        <v>1.84</v>
      </c>
      <c r="AY99" s="712">
        <f t="shared" si="71"/>
        <v>1.86</v>
      </c>
      <c r="AZ99" s="712">
        <f t="shared" si="72"/>
        <v>1.88</v>
      </c>
      <c r="BA99" s="712">
        <f t="shared" si="73"/>
        <v>1.9</v>
      </c>
      <c r="BB99" s="712">
        <f t="shared" si="74"/>
        <v>1.92</v>
      </c>
      <c r="BC99" s="779">
        <f t="shared" si="75"/>
        <v>1000000</v>
      </c>
      <c r="BD99" s="780">
        <f t="shared" si="76"/>
        <v>-1000000</v>
      </c>
      <c r="BF99" s="781">
        <f t="shared" si="138"/>
        <v>1.9815031601839932</v>
      </c>
      <c r="BG99" s="767">
        <f t="shared" si="138"/>
        <v>1.9569711990442336</v>
      </c>
      <c r="BH99" s="767">
        <f t="shared" si="138"/>
        <v>2.1126013634691909</v>
      </c>
      <c r="BI99" s="767">
        <f t="shared" si="138"/>
        <v>2.0146426184396868</v>
      </c>
      <c r="BJ99" s="767">
        <f t="shared" si="138"/>
        <v>2.0004893058648245</v>
      </c>
      <c r="BK99" s="767">
        <f t="shared" si="138"/>
        <v>1.9981004328708822</v>
      </c>
      <c r="BL99" s="767">
        <f t="shared" si="138"/>
        <v>1.994716845422521</v>
      </c>
      <c r="BM99" s="767">
        <f t="shared" si="138"/>
        <v>1.9941000898805794</v>
      </c>
      <c r="BN99" s="767">
        <f t="shared" si="138"/>
        <v>1.993516108269715</v>
      </c>
      <c r="BO99" s="782">
        <f t="shared" si="138"/>
        <v>1.9921313104223832</v>
      </c>
      <c r="BP99" s="781">
        <f t="shared" si="148"/>
        <v>1.9815031601839932</v>
      </c>
      <c r="BQ99" s="767">
        <f t="shared" si="148"/>
        <v>1.9569711990442336</v>
      </c>
      <c r="BR99" s="767">
        <f t="shared" si="148"/>
        <v>-1000000</v>
      </c>
      <c r="BS99" s="767">
        <f t="shared" si="148"/>
        <v>-1000000</v>
      </c>
      <c r="BT99" s="767">
        <f t="shared" si="148"/>
        <v>-1000000</v>
      </c>
      <c r="BU99" s="767">
        <f t="shared" si="148"/>
        <v>-1000000</v>
      </c>
      <c r="BV99" s="767">
        <f t="shared" si="148"/>
        <v>-1000000</v>
      </c>
      <c r="BW99" s="767">
        <f t="shared" si="148"/>
        <v>-1000000</v>
      </c>
      <c r="BX99" s="767">
        <f t="shared" si="148"/>
        <v>-1000000</v>
      </c>
      <c r="BY99" s="767">
        <f t="shared" si="148"/>
        <v>-1000000</v>
      </c>
      <c r="BZ99" s="648">
        <f t="shared" si="56"/>
        <v>62.000000000000007</v>
      </c>
      <c r="CA99" s="767">
        <f t="shared" si="135"/>
        <v>1.9815031601839932</v>
      </c>
      <c r="CB99" s="767">
        <f t="shared" si="135"/>
        <v>1.9569711990442336</v>
      </c>
      <c r="CC99" s="767"/>
      <c r="CD99" s="767"/>
      <c r="CE99" s="767"/>
      <c r="CF99" s="767"/>
      <c r="CG99" s="767"/>
      <c r="CH99" s="767"/>
      <c r="CI99" s="767"/>
      <c r="CJ99" s="767"/>
      <c r="CK99" s="781">
        <f t="shared" si="58"/>
        <v>1.75</v>
      </c>
      <c r="CL99" s="783">
        <f t="shared" si="78"/>
        <v>1000000</v>
      </c>
      <c r="CM99" s="552"/>
      <c r="CN99" s="552"/>
      <c r="CO99" s="552"/>
      <c r="CP99" s="552"/>
      <c r="CQ99" s="552"/>
      <c r="CR99" s="552"/>
      <c r="CS99" s="552"/>
      <c r="CT99" s="552"/>
      <c r="CU99" s="552"/>
      <c r="CV99" s="552"/>
      <c r="CW99" s="552"/>
      <c r="CX99" s="552"/>
      <c r="CY99" s="552"/>
      <c r="CZ99" s="642">
        <f t="shared" si="133"/>
        <v>92</v>
      </c>
      <c r="DA99" s="609">
        <f t="shared" si="110"/>
        <v>103.5</v>
      </c>
      <c r="DB99" s="609">
        <f t="shared" si="121"/>
        <v>36.800000000000004</v>
      </c>
      <c r="DC99" s="610">
        <f t="shared" si="139"/>
        <v>134.97397990297333</v>
      </c>
      <c r="DD99" s="611">
        <f t="shared" si="139"/>
        <v>134.9916828934719</v>
      </c>
      <c r="DE99" s="612">
        <f t="shared" si="139"/>
        <v>134.9995195694176</v>
      </c>
      <c r="DF99" s="610">
        <f t="shared" si="140"/>
        <v>19.411764705882348</v>
      </c>
      <c r="DG99" s="611">
        <f t="shared" si="140"/>
        <v>22</v>
      </c>
      <c r="DH99" s="612">
        <f t="shared" si="140"/>
        <v>28.470588235294098</v>
      </c>
      <c r="DI99" s="610">
        <f t="shared" si="111"/>
        <v>154.38574460885567</v>
      </c>
      <c r="DJ99" s="611">
        <f t="shared" si="111"/>
        <v>156.9916828934719</v>
      </c>
      <c r="DK99" s="612">
        <f t="shared" si="111"/>
        <v>163.47010780471169</v>
      </c>
      <c r="DL99" s="613">
        <f t="shared" si="144"/>
        <v>154.38574460885567</v>
      </c>
      <c r="DM99" s="613">
        <f t="shared" si="144"/>
        <v>156.9916828934719</v>
      </c>
      <c r="DN99" s="613">
        <f t="shared" si="144"/>
        <v>163.47010780471169</v>
      </c>
      <c r="DO99" s="609">
        <f t="shared" si="112"/>
        <v>135</v>
      </c>
      <c r="DP99" s="609"/>
      <c r="DQ99" s="609">
        <f t="shared" si="123"/>
        <v>36.800000000000004</v>
      </c>
      <c r="DR99" s="610">
        <f t="shared" si="113"/>
        <v>6.0483721586895717E-3</v>
      </c>
      <c r="DS99" s="611">
        <f t="shared" si="113"/>
        <v>2.1910864865623708E-3</v>
      </c>
      <c r="DT99" s="612">
        <f t="shared" si="113"/>
        <v>1.6379161340093315E-4</v>
      </c>
      <c r="DU99" s="611">
        <f t="shared" si="145"/>
        <v>6.3384823951650113E-3</v>
      </c>
      <c r="DV99" s="611">
        <f t="shared" si="145"/>
        <v>2.3106961556606746E-3</v>
      </c>
      <c r="DW99" s="611">
        <f t="shared" si="145"/>
        <v>1.7548526223265277E-4</v>
      </c>
      <c r="DX99" s="614">
        <f t="shared" si="114"/>
        <v>12.5</v>
      </c>
      <c r="DY99" s="615"/>
      <c r="DZ99" s="609">
        <f t="shared" si="124"/>
        <v>36.800000000000004</v>
      </c>
      <c r="EA99" s="611">
        <f t="shared" si="141"/>
        <v>2.1585304878048781</v>
      </c>
      <c r="EB99" s="611">
        <f t="shared" si="141"/>
        <v>1000000</v>
      </c>
      <c r="EC99" s="611">
        <f t="shared" si="141"/>
        <v>1000000</v>
      </c>
      <c r="ED99" s="610">
        <f t="shared" si="142"/>
        <v>0.22002999999999975</v>
      </c>
      <c r="EE99" s="611">
        <f t="shared" si="142"/>
        <v>0.22005999999999976</v>
      </c>
      <c r="EF99" s="612">
        <f t="shared" si="142"/>
        <v>0.22012499999999974</v>
      </c>
      <c r="EG99" s="611">
        <f t="shared" si="115"/>
        <v>2.3785604878048781</v>
      </c>
      <c r="EH99" s="611">
        <f t="shared" si="115"/>
        <v>1000000.22006</v>
      </c>
      <c r="EI99" s="611">
        <f t="shared" si="115"/>
        <v>1000000.220125</v>
      </c>
      <c r="EJ99" s="610">
        <f t="shared" si="125"/>
        <v>2.2999999999999998</v>
      </c>
      <c r="EK99" s="643">
        <f t="shared" si="126"/>
        <v>2.25</v>
      </c>
      <c r="EL99" s="644">
        <f t="shared" si="127"/>
        <v>2.83</v>
      </c>
      <c r="EN99" s="620">
        <f t="shared" si="128"/>
        <v>20.061111111111114</v>
      </c>
      <c r="EO99" s="621">
        <f t="shared" si="143"/>
        <v>63.160981696017238</v>
      </c>
      <c r="EP99" s="621">
        <f t="shared" si="143"/>
        <v>81.105736616915806</v>
      </c>
      <c r="EQ99" s="621">
        <f t="shared" si="143"/>
        <v>95.795242151614573</v>
      </c>
      <c r="ER99" s="610">
        <f t="shared" si="116"/>
        <v>25.284700706105063</v>
      </c>
      <c r="ES99" s="611">
        <f t="shared" si="116"/>
        <v>52.460258388836891</v>
      </c>
      <c r="ET99" s="612">
        <f t="shared" si="116"/>
        <v>76.627205229076452</v>
      </c>
      <c r="EU99" s="610">
        <f t="shared" si="129"/>
        <v>100</v>
      </c>
      <c r="EV99" s="611">
        <f t="shared" si="130"/>
        <v>135</v>
      </c>
      <c r="EW99" s="645">
        <f t="shared" si="131"/>
        <v>-1000000</v>
      </c>
      <c r="EX99" s="610">
        <f t="shared" si="117"/>
        <v>-37.876280989912175</v>
      </c>
      <c r="EY99" s="621">
        <f t="shared" si="118"/>
        <v>-28.645478228078915</v>
      </c>
      <c r="EZ99" s="612">
        <f t="shared" si="119"/>
        <v>-19.168036922538128</v>
      </c>
      <c r="FA99" s="646">
        <f t="shared" si="120"/>
        <v>20.061111111111114</v>
      </c>
      <c r="FB99" s="317"/>
      <c r="FC99" s="552"/>
      <c r="FD99" s="552"/>
      <c r="FE99" s="552"/>
      <c r="FF99" s="552"/>
      <c r="FG99" s="552"/>
      <c r="FH99" s="552"/>
      <c r="FI99" s="552"/>
      <c r="FJ99" s="552"/>
      <c r="FK99" s="552"/>
      <c r="FL99" s="552"/>
      <c r="FM99" s="552"/>
      <c r="FN99" s="552"/>
      <c r="FO99" s="552"/>
      <c r="FP99" s="552"/>
      <c r="FQ99" s="552"/>
      <c r="FR99" s="552"/>
      <c r="FS99" s="552"/>
      <c r="FT99" s="552"/>
    </row>
    <row r="100" spans="2:176" s="564" customFormat="1" ht="15" customHeight="1" x14ac:dyDescent="0.2">
      <c r="B100" s="647">
        <f t="shared" si="146"/>
        <v>20</v>
      </c>
      <c r="C100" s="652">
        <f>$H$15</f>
        <v>95</v>
      </c>
      <c r="D100" s="771">
        <f>$B$15</f>
        <v>1.92</v>
      </c>
      <c r="E100" s="772">
        <f t="shared" ref="E100:E163" si="149">C100/B100</f>
        <v>4.75</v>
      </c>
      <c r="F100" s="689"/>
      <c r="G100" s="747">
        <f t="shared" ref="G100:G163" si="150">$AB$21+$AB$28*(1-(1-EXP(-(C100)/($AB$23)))/(1-EXP(-1)))-($AD$24/(1-(C100)/($AB$22))+$AD$25)*E100</f>
        <v>1.9081307245679739</v>
      </c>
      <c r="H100" s="748">
        <f t="shared" si="60"/>
        <v>1.4087969928129558E-4</v>
      </c>
      <c r="I100" s="689"/>
      <c r="J100" s="773">
        <f t="shared" si="82"/>
        <v>63</v>
      </c>
      <c r="K100" s="774">
        <f t="shared" si="61"/>
        <v>70.875</v>
      </c>
      <c r="L100" s="747">
        <f t="shared" si="136"/>
        <v>2.0687528421052632</v>
      </c>
      <c r="M100" s="751">
        <f t="shared" si="136"/>
        <v>2.0641697368421053</v>
      </c>
      <c r="N100" s="751">
        <f t="shared" si="136"/>
        <v>2.0562546052631578</v>
      </c>
      <c r="O100" s="751">
        <f t="shared" si="136"/>
        <v>2.0483394736842104</v>
      </c>
      <c r="P100" s="751">
        <f t="shared" si="136"/>
        <v>2.0331368421052631</v>
      </c>
      <c r="Q100" s="751">
        <f t="shared" si="136"/>
        <v>2.0242663157894736</v>
      </c>
      <c r="R100" s="751">
        <f t="shared" si="136"/>
        <v>1.9904578947368421</v>
      </c>
      <c r="S100" s="751">
        <f t="shared" si="136"/>
        <v>1.9756625263157894</v>
      </c>
      <c r="T100" s="752">
        <f t="shared" si="136"/>
        <v>1.9544736842105264</v>
      </c>
      <c r="U100" s="753">
        <f t="shared" si="136"/>
        <v>1.8172315789473685</v>
      </c>
      <c r="W100" s="773">
        <f t="shared" si="63"/>
        <v>70.875</v>
      </c>
      <c r="X100" s="775">
        <f t="shared" si="137"/>
        <v>-8.8218966306696192E-2</v>
      </c>
      <c r="Y100" s="776">
        <f t="shared" si="137"/>
        <v>-8.8223530195585084E-2</v>
      </c>
      <c r="Z100" s="776">
        <f t="shared" si="137"/>
        <v>-8.8231412140029525E-2</v>
      </c>
      <c r="AA100" s="776">
        <f t="shared" si="137"/>
        <v>-8.8239294084473965E-2</v>
      </c>
      <c r="AB100" s="776">
        <f t="shared" si="137"/>
        <v>-8.8254432973362856E-2</v>
      </c>
      <c r="AC100" s="776">
        <f t="shared" si="137"/>
        <v>-8.8263266306696189E-2</v>
      </c>
      <c r="AD100" s="776">
        <f t="shared" si="137"/>
        <v>-8.8296932973362857E-2</v>
      </c>
      <c r="AE100" s="776">
        <f t="shared" si="137"/>
        <v>-8.8311666306696193E-2</v>
      </c>
      <c r="AF100" s="777">
        <f t="shared" si="137"/>
        <v>-8.8332766306696189E-2</v>
      </c>
      <c r="AG100" s="778">
        <f t="shared" si="137"/>
        <v>-8.8469432973362849E-2</v>
      </c>
      <c r="AI100" s="773">
        <f t="shared" si="65"/>
        <v>70.875</v>
      </c>
      <c r="AJ100" s="747">
        <f t="shared" si="147"/>
        <v>1.9805338757985671</v>
      </c>
      <c r="AK100" s="751">
        <f t="shared" si="147"/>
        <v>1.9759462066465201</v>
      </c>
      <c r="AL100" s="751">
        <f t="shared" si="147"/>
        <v>1.9680231931231282</v>
      </c>
      <c r="AM100" s="751">
        <f t="shared" si="147"/>
        <v>1.9601001795997364</v>
      </c>
      <c r="AN100" s="751">
        <f t="shared" si="147"/>
        <v>1.9448824091319004</v>
      </c>
      <c r="AO100" s="751">
        <f t="shared" si="147"/>
        <v>1.9360030494827773</v>
      </c>
      <c r="AP100" s="751">
        <f t="shared" si="147"/>
        <v>1.9021609617634792</v>
      </c>
      <c r="AQ100" s="751">
        <f t="shared" si="147"/>
        <v>1.8873508600090931</v>
      </c>
      <c r="AR100" s="752">
        <f t="shared" si="147"/>
        <v>1.8661409179038302</v>
      </c>
      <c r="AS100" s="751"/>
      <c r="AT100" s="674">
        <f t="shared" si="66"/>
        <v>1.75</v>
      </c>
      <c r="AU100" s="712">
        <f t="shared" si="67"/>
        <v>1.8</v>
      </c>
      <c r="AV100" s="712">
        <f t="shared" si="68"/>
        <v>1.81</v>
      </c>
      <c r="AW100" s="712">
        <f t="shared" si="69"/>
        <v>1.83</v>
      </c>
      <c r="AX100" s="712">
        <f t="shared" si="70"/>
        <v>1.84</v>
      </c>
      <c r="AY100" s="712">
        <f t="shared" si="71"/>
        <v>1.86</v>
      </c>
      <c r="AZ100" s="712">
        <f t="shared" si="72"/>
        <v>1.88</v>
      </c>
      <c r="BA100" s="712">
        <f t="shared" si="73"/>
        <v>1.9</v>
      </c>
      <c r="BB100" s="712">
        <f t="shared" si="74"/>
        <v>1.92</v>
      </c>
      <c r="BC100" s="779">
        <f t="shared" si="75"/>
        <v>1000000</v>
      </c>
      <c r="BD100" s="780">
        <f t="shared" si="76"/>
        <v>-1000000</v>
      </c>
      <c r="BF100" s="781">
        <f t="shared" si="138"/>
        <v>1.9807435692690041</v>
      </c>
      <c r="BG100" s="767">
        <f t="shared" si="138"/>
        <v>1.9555490969004756</v>
      </c>
      <c r="BH100" s="767">
        <f t="shared" si="138"/>
        <v>2.0903542720571791</v>
      </c>
      <c r="BI100" s="767">
        <f t="shared" si="138"/>
        <v>2.0129740238101848</v>
      </c>
      <c r="BJ100" s="767">
        <f t="shared" si="138"/>
        <v>1.9999177157324477</v>
      </c>
      <c r="BK100" s="767">
        <f t="shared" si="138"/>
        <v>1.997658493508784</v>
      </c>
      <c r="BL100" s="767">
        <f t="shared" si="138"/>
        <v>1.9944297140816214</v>
      </c>
      <c r="BM100" s="767">
        <f t="shared" si="138"/>
        <v>1.9938373246858756</v>
      </c>
      <c r="BN100" s="767">
        <f t="shared" si="138"/>
        <v>1.9932751667287663</v>
      </c>
      <c r="BO100" s="782">
        <f t="shared" si="138"/>
        <v>1.9919354448008304</v>
      </c>
      <c r="BP100" s="781">
        <f t="shared" si="148"/>
        <v>1.9807435692690041</v>
      </c>
      <c r="BQ100" s="767">
        <f t="shared" si="148"/>
        <v>1.9555490969004756</v>
      </c>
      <c r="BR100" s="767">
        <f t="shared" si="148"/>
        <v>-1000000</v>
      </c>
      <c r="BS100" s="767">
        <f t="shared" si="148"/>
        <v>-1000000</v>
      </c>
      <c r="BT100" s="767">
        <f t="shared" si="148"/>
        <v>-1000000</v>
      </c>
      <c r="BU100" s="767">
        <f t="shared" si="148"/>
        <v>-1000000</v>
      </c>
      <c r="BV100" s="767">
        <f t="shared" si="148"/>
        <v>-1000000</v>
      </c>
      <c r="BW100" s="767">
        <f t="shared" si="148"/>
        <v>-1000000</v>
      </c>
      <c r="BX100" s="767">
        <f t="shared" si="148"/>
        <v>-1000000</v>
      </c>
      <c r="BY100" s="767">
        <f t="shared" si="148"/>
        <v>-1000000</v>
      </c>
      <c r="BZ100" s="648">
        <f t="shared" ref="BZ100:BZ157" si="151">(J100/$J$157)*$BZ$34</f>
        <v>63</v>
      </c>
      <c r="CA100" s="767">
        <f t="shared" ref="CA100:CB127" si="152">IF(BP100&lt;0,-1000000,BP100)</f>
        <v>1.9807435692690041</v>
      </c>
      <c r="CB100" s="767">
        <f t="shared" si="152"/>
        <v>1.9555490969004756</v>
      </c>
      <c r="CC100" s="767"/>
      <c r="CD100" s="767"/>
      <c r="CE100" s="767"/>
      <c r="CF100" s="767"/>
      <c r="CG100" s="767"/>
      <c r="CH100" s="767"/>
      <c r="CI100" s="767"/>
      <c r="CJ100" s="767"/>
      <c r="CK100" s="781">
        <f t="shared" ref="CK100:CK157" si="153">$X$26</f>
        <v>1.75</v>
      </c>
      <c r="CL100" s="783">
        <f t="shared" si="78"/>
        <v>1000000</v>
      </c>
      <c r="CM100" s="552"/>
      <c r="CN100" s="552"/>
      <c r="CO100" s="552"/>
      <c r="CP100" s="552"/>
      <c r="CQ100" s="552"/>
      <c r="CR100" s="552"/>
      <c r="CS100" s="552"/>
      <c r="CT100" s="552"/>
      <c r="CU100" s="552"/>
      <c r="CV100" s="552"/>
      <c r="CW100" s="552"/>
      <c r="CX100" s="552"/>
      <c r="CY100" s="552"/>
      <c r="CZ100" s="642">
        <f t="shared" si="133"/>
        <v>93</v>
      </c>
      <c r="DA100" s="609">
        <f t="shared" si="110"/>
        <v>104.625</v>
      </c>
      <c r="DB100" s="609">
        <f t="shared" si="121"/>
        <v>37.200000000000003</v>
      </c>
      <c r="DC100" s="610">
        <f t="shared" si="139"/>
        <v>134.97629018274105</v>
      </c>
      <c r="DD100" s="611">
        <f t="shared" si="139"/>
        <v>134.99251473008948</v>
      </c>
      <c r="DE100" s="612">
        <f t="shared" si="139"/>
        <v>134.99958081511812</v>
      </c>
      <c r="DF100" s="610">
        <f t="shared" si="140"/>
        <v>19.411764705882348</v>
      </c>
      <c r="DG100" s="611">
        <f t="shared" si="140"/>
        <v>22</v>
      </c>
      <c r="DH100" s="612">
        <f t="shared" si="140"/>
        <v>28.470588235294098</v>
      </c>
      <c r="DI100" s="610">
        <f t="shared" si="111"/>
        <v>154.3880548886234</v>
      </c>
      <c r="DJ100" s="611">
        <f t="shared" si="111"/>
        <v>156.99251473008948</v>
      </c>
      <c r="DK100" s="612">
        <f t="shared" si="111"/>
        <v>163.47016905041221</v>
      </c>
      <c r="DL100" s="613">
        <f t="shared" si="144"/>
        <v>154.3880548886234</v>
      </c>
      <c r="DM100" s="613">
        <f t="shared" si="144"/>
        <v>156.99251473008948</v>
      </c>
      <c r="DN100" s="613">
        <f t="shared" si="144"/>
        <v>163.47016905041221</v>
      </c>
      <c r="DO100" s="609">
        <f t="shared" si="112"/>
        <v>135</v>
      </c>
      <c r="DP100" s="609"/>
      <c r="DQ100" s="609">
        <f t="shared" si="123"/>
        <v>37.200000000000003</v>
      </c>
      <c r="DR100" s="610">
        <f t="shared" si="113"/>
        <v>5.5113475729757899E-3</v>
      </c>
      <c r="DS100" s="611">
        <f t="shared" si="113"/>
        <v>1.9719446533217931E-3</v>
      </c>
      <c r="DT100" s="612">
        <f t="shared" si="113"/>
        <v>1.4291131878989055E-4</v>
      </c>
      <c r="DU100" s="611">
        <f t="shared" si="145"/>
        <v>5.7756994193170139E-3</v>
      </c>
      <c r="DV100" s="611">
        <f t="shared" si="145"/>
        <v>2.0795915439464426E-3</v>
      </c>
      <c r="DW100" s="611">
        <f t="shared" si="145"/>
        <v>1.5311425130448751E-4</v>
      </c>
      <c r="DX100" s="614">
        <f t="shared" si="114"/>
        <v>12.5</v>
      </c>
      <c r="DY100" s="615"/>
      <c r="DZ100" s="609">
        <f t="shared" si="124"/>
        <v>37.200000000000003</v>
      </c>
      <c r="EA100" s="611">
        <f t="shared" si="141"/>
        <v>2.1625576923076926</v>
      </c>
      <c r="EB100" s="611">
        <f t="shared" si="141"/>
        <v>1000000</v>
      </c>
      <c r="EC100" s="611">
        <f t="shared" si="141"/>
        <v>1000000</v>
      </c>
      <c r="ED100" s="610">
        <f t="shared" si="142"/>
        <v>0.22002999999999975</v>
      </c>
      <c r="EE100" s="611">
        <f t="shared" si="142"/>
        <v>0.22005999999999976</v>
      </c>
      <c r="EF100" s="612">
        <f t="shared" si="142"/>
        <v>0.22012499999999974</v>
      </c>
      <c r="EG100" s="611">
        <f t="shared" si="115"/>
        <v>2.3825876923076925</v>
      </c>
      <c r="EH100" s="611">
        <f t="shared" si="115"/>
        <v>1000000.22006</v>
      </c>
      <c r="EI100" s="611">
        <f t="shared" si="115"/>
        <v>1000000.220125</v>
      </c>
      <c r="EJ100" s="610">
        <f t="shared" si="125"/>
        <v>2.2999999999999998</v>
      </c>
      <c r="EK100" s="643">
        <f t="shared" si="126"/>
        <v>2.25</v>
      </c>
      <c r="EL100" s="644">
        <f t="shared" si="127"/>
        <v>2.83</v>
      </c>
      <c r="EN100" s="620">
        <f t="shared" si="128"/>
        <v>20.279166666666669</v>
      </c>
      <c r="EO100" s="621">
        <f t="shared" si="143"/>
        <v>62.381001542937682</v>
      </c>
      <c r="EP100" s="621">
        <f t="shared" si="143"/>
        <v>80.520423975089102</v>
      </c>
      <c r="EQ100" s="621">
        <f t="shared" si="143"/>
        <v>95.369365189346397</v>
      </c>
      <c r="ER100" s="610">
        <f t="shared" si="116"/>
        <v>24.504697557611678</v>
      </c>
      <c r="ES100" s="611">
        <f t="shared" si="116"/>
        <v>51.843104867825986</v>
      </c>
      <c r="ET100" s="612">
        <f t="shared" si="116"/>
        <v>76.022331275608877</v>
      </c>
      <c r="EU100" s="610">
        <f t="shared" si="129"/>
        <v>100</v>
      </c>
      <c r="EV100" s="611">
        <f t="shared" si="130"/>
        <v>135</v>
      </c>
      <c r="EW100" s="645">
        <f t="shared" si="131"/>
        <v>-1000000</v>
      </c>
      <c r="EX100" s="610">
        <f t="shared" si="117"/>
        <v>-37.876303985326004</v>
      </c>
      <c r="EY100" s="621">
        <f t="shared" si="118"/>
        <v>-28.677319107263116</v>
      </c>
      <c r="EZ100" s="612">
        <f t="shared" si="119"/>
        <v>-19.347033913737526</v>
      </c>
      <c r="FA100" s="646">
        <f t="shared" si="120"/>
        <v>20.279166666666669</v>
      </c>
      <c r="FB100" s="317"/>
      <c r="FC100" s="552"/>
      <c r="FD100" s="552"/>
      <c r="FE100" s="552"/>
      <c r="FF100" s="552"/>
      <c r="FG100" s="552"/>
      <c r="FH100" s="552"/>
      <c r="FI100" s="552"/>
      <c r="FJ100" s="552"/>
      <c r="FK100" s="552"/>
      <c r="FL100" s="552"/>
      <c r="FM100" s="552"/>
      <c r="FN100" s="552"/>
      <c r="FO100" s="552"/>
      <c r="FP100" s="552"/>
      <c r="FQ100" s="552"/>
      <c r="FR100" s="552"/>
      <c r="FS100" s="552"/>
      <c r="FT100" s="552"/>
    </row>
    <row r="101" spans="2:176" s="564" customFormat="1" ht="15" customHeight="1" x14ac:dyDescent="0.2">
      <c r="B101" s="647">
        <f t="shared" si="146"/>
        <v>20</v>
      </c>
      <c r="C101" s="652">
        <f>$H$16</f>
        <v>88.5</v>
      </c>
      <c r="D101" s="771">
        <f>$B$16</f>
        <v>1.94</v>
      </c>
      <c r="E101" s="790">
        <f t="shared" si="149"/>
        <v>4.4249999999999998</v>
      </c>
      <c r="F101" s="689"/>
      <c r="G101" s="747">
        <f t="shared" si="150"/>
        <v>1.9245556463526174</v>
      </c>
      <c r="H101" s="748">
        <f t="shared" ref="H101:H164" si="154">(D101-G101)^2</f>
        <v>2.3852805958541722E-4</v>
      </c>
      <c r="I101" s="689"/>
      <c r="J101" s="773">
        <f t="shared" si="82"/>
        <v>64</v>
      </c>
      <c r="K101" s="774">
        <f t="shared" ref="K101:K157" si="155">($J101/$J$157)*$AB$22</f>
        <v>72</v>
      </c>
      <c r="L101" s="747">
        <f t="shared" ref="L101:U116" si="156">$AB$21-($AD$24*L$34)/(1-($K101)/($AB$22))</f>
        <v>2.0685519999999999</v>
      </c>
      <c r="M101" s="751">
        <f t="shared" si="156"/>
        <v>2.0638870535714284</v>
      </c>
      <c r="N101" s="751">
        <f t="shared" si="156"/>
        <v>2.0558305803571431</v>
      </c>
      <c r="O101" s="751">
        <f t="shared" si="156"/>
        <v>2.0477741071428572</v>
      </c>
      <c r="P101" s="751">
        <f t="shared" si="156"/>
        <v>2.0323000000000002</v>
      </c>
      <c r="Q101" s="751">
        <f t="shared" si="156"/>
        <v>2.0232710714285713</v>
      </c>
      <c r="R101" s="751">
        <f t="shared" si="156"/>
        <v>1.9888589285714287</v>
      </c>
      <c r="S101" s="751">
        <f t="shared" si="156"/>
        <v>1.9737993571428571</v>
      </c>
      <c r="T101" s="752">
        <f t="shared" si="156"/>
        <v>1.952232142857143</v>
      </c>
      <c r="U101" s="753">
        <f t="shared" si="156"/>
        <v>1.8125392857142857</v>
      </c>
      <c r="W101" s="773">
        <f t="shared" ref="W101:W157" si="157">($J101/$J$157)*$AB$22</f>
        <v>72</v>
      </c>
      <c r="X101" s="775">
        <f t="shared" ref="X101:AG116" si="158">$AB$28*(1-(1-EXP(-(($W101)/($AB$23))))/(1-EXP(-1)))-$AD$25*X$34</f>
        <v>-8.8753780457973164E-2</v>
      </c>
      <c r="Y101" s="776">
        <f t="shared" si="158"/>
        <v>-8.8758344346862056E-2</v>
      </c>
      <c r="Z101" s="776">
        <f t="shared" si="158"/>
        <v>-8.8766226291306496E-2</v>
      </c>
      <c r="AA101" s="776">
        <f t="shared" si="158"/>
        <v>-8.8774108235750937E-2</v>
      </c>
      <c r="AB101" s="776">
        <f t="shared" si="158"/>
        <v>-8.8789247124639828E-2</v>
      </c>
      <c r="AC101" s="776">
        <f t="shared" si="158"/>
        <v>-8.8798080457973161E-2</v>
      </c>
      <c r="AD101" s="776">
        <f t="shared" si="158"/>
        <v>-8.8831747124639829E-2</v>
      </c>
      <c r="AE101" s="776">
        <f t="shared" si="158"/>
        <v>-8.8846480457973165E-2</v>
      </c>
      <c r="AF101" s="777">
        <f t="shared" si="158"/>
        <v>-8.8867580457973161E-2</v>
      </c>
      <c r="AG101" s="778">
        <f t="shared" si="158"/>
        <v>-8.9004247124639821E-2</v>
      </c>
      <c r="AI101" s="773">
        <f t="shared" ref="AI101:AI157" si="159">($J101/$J$157)*$AB$22</f>
        <v>72</v>
      </c>
      <c r="AJ101" s="747">
        <f t="shared" si="147"/>
        <v>1.9797982195420267</v>
      </c>
      <c r="AK101" s="751">
        <f t="shared" si="147"/>
        <v>1.9751287092245664</v>
      </c>
      <c r="AL101" s="751">
        <f t="shared" si="147"/>
        <v>1.9670643540658366</v>
      </c>
      <c r="AM101" s="751">
        <f t="shared" si="147"/>
        <v>1.9589999989071063</v>
      </c>
      <c r="AN101" s="751">
        <f t="shared" si="147"/>
        <v>1.9435107528753603</v>
      </c>
      <c r="AO101" s="751">
        <f t="shared" si="147"/>
        <v>1.9344729909705982</v>
      </c>
      <c r="AP101" s="751">
        <f t="shared" si="147"/>
        <v>1.9000271814467888</v>
      </c>
      <c r="AQ101" s="751">
        <f t="shared" si="147"/>
        <v>1.884952876684884</v>
      </c>
      <c r="AR101" s="752">
        <f t="shared" si="147"/>
        <v>1.8633645623991697</v>
      </c>
      <c r="AS101" s="751"/>
      <c r="AT101" s="674">
        <f t="shared" ref="AT101:AT157" si="160">$B$6</f>
        <v>1.75</v>
      </c>
      <c r="AU101" s="712">
        <f t="shared" ref="AU101:AU157" si="161">$B$8</f>
        <v>1.8</v>
      </c>
      <c r="AV101" s="712">
        <f t="shared" ref="AV101:AV157" si="162">$B$9</f>
        <v>1.81</v>
      </c>
      <c r="AW101" s="712">
        <f t="shared" ref="AW101:AW157" si="163">$B$10</f>
        <v>1.83</v>
      </c>
      <c r="AX101" s="712">
        <f t="shared" ref="AX101:AX157" si="164">$B$11</f>
        <v>1.84</v>
      </c>
      <c r="AY101" s="712">
        <f t="shared" ref="AY101:AY157" si="165">$B$12</f>
        <v>1.86</v>
      </c>
      <c r="AZ101" s="712">
        <f t="shared" ref="AZ101:AZ157" si="166">$B$13</f>
        <v>1.88</v>
      </c>
      <c r="BA101" s="712">
        <f t="shared" ref="BA101:BA157" si="167">$B$14</f>
        <v>1.9</v>
      </c>
      <c r="BB101" s="712">
        <f t="shared" ref="BB101:BB157" si="168">$B$15</f>
        <v>1.92</v>
      </c>
      <c r="BC101" s="779">
        <f t="shared" ref="BC101:BC157" si="169">IF($AI101&lt;$AB$22,1000000,IF($AI101=$AB$22,0,-1000000))</f>
        <v>1000000</v>
      </c>
      <c r="BD101" s="780">
        <f t="shared" ref="BD101:BD157" si="170">IF($AI101&lt;$X$21,-1000000,IF($AI101=$X$21,0,1000000))</f>
        <v>-1000000</v>
      </c>
      <c r="BF101" s="781">
        <f t="shared" ref="BF101:BO116" si="171">$AB$21-(($AD$24/(1-(BF$34*$BZ101)/($AB$22)))+$AD$25)*BF$34+$AB$28*(1-(1-EXP(-(BF$34*$BZ101)/($AB$23)))/(1-EXP(-1)))</f>
        <v>1.9800054263168176</v>
      </c>
      <c r="BG101" s="767">
        <f t="shared" si="171"/>
        <v>1.9540309069399682</v>
      </c>
      <c r="BH101" s="767">
        <f t="shared" si="171"/>
        <v>2.0745420586846168</v>
      </c>
      <c r="BI101" s="767">
        <f t="shared" si="171"/>
        <v>2.0114631821165254</v>
      </c>
      <c r="BJ101" s="767">
        <f t="shared" si="171"/>
        <v>1.9993787347621534</v>
      </c>
      <c r="BK101" s="767">
        <f t="shared" si="171"/>
        <v>1.9972388334114572</v>
      </c>
      <c r="BL101" s="767">
        <f t="shared" si="171"/>
        <v>1.9941543360132208</v>
      </c>
      <c r="BM101" s="767">
        <f t="shared" si="171"/>
        <v>1.9935848626475414</v>
      </c>
      <c r="BN101" s="767">
        <f t="shared" si="171"/>
        <v>1.9930432831404852</v>
      </c>
      <c r="BO101" s="782">
        <f t="shared" si="171"/>
        <v>1.9917462366598107</v>
      </c>
      <c r="BP101" s="781">
        <f t="shared" si="148"/>
        <v>1.9800054263168176</v>
      </c>
      <c r="BQ101" s="767">
        <f t="shared" si="148"/>
        <v>1.9540309069399682</v>
      </c>
      <c r="BR101" s="767">
        <f t="shared" si="148"/>
        <v>-1000000</v>
      </c>
      <c r="BS101" s="767">
        <f t="shared" si="148"/>
        <v>-1000000</v>
      </c>
      <c r="BT101" s="767">
        <f t="shared" si="148"/>
        <v>-1000000</v>
      </c>
      <c r="BU101" s="767">
        <f t="shared" si="148"/>
        <v>-1000000</v>
      </c>
      <c r="BV101" s="767">
        <f t="shared" si="148"/>
        <v>-1000000</v>
      </c>
      <c r="BW101" s="767">
        <f t="shared" si="148"/>
        <v>-1000000</v>
      </c>
      <c r="BX101" s="767">
        <f t="shared" si="148"/>
        <v>-1000000</v>
      </c>
      <c r="BY101" s="767">
        <f t="shared" si="148"/>
        <v>-1000000</v>
      </c>
      <c r="BZ101" s="648">
        <f t="shared" si="151"/>
        <v>64</v>
      </c>
      <c r="CA101" s="767">
        <f t="shared" si="152"/>
        <v>1.9800054263168176</v>
      </c>
      <c r="CB101" s="767">
        <f t="shared" si="152"/>
        <v>1.9540309069399682</v>
      </c>
      <c r="CC101" s="767"/>
      <c r="CD101" s="767"/>
      <c r="CE101" s="767"/>
      <c r="CF101" s="767"/>
      <c r="CG101" s="767"/>
      <c r="CH101" s="767"/>
      <c r="CI101" s="767"/>
      <c r="CJ101" s="767"/>
      <c r="CK101" s="781">
        <f t="shared" si="153"/>
        <v>1.75</v>
      </c>
      <c r="CL101" s="783">
        <f t="shared" ref="CL101:CL157" si="172">IF(BZ101&lt;$X$22,-1000000,IF(BZ101=$X$22,0,1000000))</f>
        <v>1000000</v>
      </c>
      <c r="CM101" s="552"/>
      <c r="CN101" s="552"/>
      <c r="CO101" s="552"/>
      <c r="CP101" s="552"/>
      <c r="CQ101" s="552"/>
      <c r="CR101" s="552"/>
      <c r="CS101" s="552"/>
      <c r="CT101" s="552"/>
      <c r="CU101" s="552"/>
      <c r="CV101" s="552"/>
      <c r="CW101" s="552"/>
      <c r="CX101" s="552"/>
      <c r="CY101" s="552"/>
      <c r="CZ101" s="642">
        <f t="shared" si="133"/>
        <v>94</v>
      </c>
      <c r="DA101" s="609">
        <f t="shared" si="110"/>
        <v>105.75</v>
      </c>
      <c r="DB101" s="609">
        <f t="shared" si="121"/>
        <v>37.6</v>
      </c>
      <c r="DC101" s="610">
        <f t="shared" si="139"/>
        <v>134.97839533673238</v>
      </c>
      <c r="DD101" s="611">
        <f t="shared" si="139"/>
        <v>134.99326337044693</v>
      </c>
      <c r="DE101" s="612">
        <f t="shared" si="139"/>
        <v>134.99963425316449</v>
      </c>
      <c r="DF101" s="610">
        <f t="shared" si="140"/>
        <v>19.411764705882348</v>
      </c>
      <c r="DG101" s="611">
        <f t="shared" si="140"/>
        <v>22</v>
      </c>
      <c r="DH101" s="612">
        <f t="shared" si="140"/>
        <v>28.470588235294098</v>
      </c>
      <c r="DI101" s="610">
        <f t="shared" si="111"/>
        <v>154.39016004261472</v>
      </c>
      <c r="DJ101" s="611">
        <f t="shared" si="111"/>
        <v>156.99326337044693</v>
      </c>
      <c r="DK101" s="612">
        <f t="shared" si="111"/>
        <v>163.47022248845857</v>
      </c>
      <c r="DL101" s="613">
        <f t="shared" si="144"/>
        <v>154.39016004261472</v>
      </c>
      <c r="DM101" s="613">
        <f t="shared" si="144"/>
        <v>156.99326337044693</v>
      </c>
      <c r="DN101" s="613">
        <f t="shared" si="144"/>
        <v>163.47022248845857</v>
      </c>
      <c r="DO101" s="609">
        <f t="shared" si="112"/>
        <v>135</v>
      </c>
      <c r="DP101" s="609"/>
      <c r="DQ101" s="609">
        <f t="shared" si="123"/>
        <v>37.6</v>
      </c>
      <c r="DR101" s="610">
        <f t="shared" si="113"/>
        <v>5.0220044787599588E-3</v>
      </c>
      <c r="DS101" s="611">
        <f t="shared" si="113"/>
        <v>1.7747203223662941E-3</v>
      </c>
      <c r="DT101" s="612">
        <f t="shared" si="113"/>
        <v>1.2469286194936115E-4</v>
      </c>
      <c r="DU101" s="611">
        <f t="shared" si="145"/>
        <v>5.2628849783076439E-3</v>
      </c>
      <c r="DV101" s="611">
        <f t="shared" si="145"/>
        <v>1.8716008936081675E-3</v>
      </c>
      <c r="DW101" s="611">
        <f t="shared" si="145"/>
        <v>1.3359511591204458E-4</v>
      </c>
      <c r="DX101" s="614">
        <f t="shared" si="114"/>
        <v>12.5</v>
      </c>
      <c r="DY101" s="615"/>
      <c r="DZ101" s="609">
        <f t="shared" si="124"/>
        <v>37.6</v>
      </c>
      <c r="EA101" s="611">
        <f t="shared" si="141"/>
        <v>2.1670202702702706</v>
      </c>
      <c r="EB101" s="611">
        <f t="shared" si="141"/>
        <v>1000000</v>
      </c>
      <c r="EC101" s="611">
        <f t="shared" si="141"/>
        <v>1000000</v>
      </c>
      <c r="ED101" s="610">
        <f t="shared" si="142"/>
        <v>0.22002999999999975</v>
      </c>
      <c r="EE101" s="611">
        <f t="shared" si="142"/>
        <v>0.22005999999999976</v>
      </c>
      <c r="EF101" s="612">
        <f t="shared" si="142"/>
        <v>0.22012499999999974</v>
      </c>
      <c r="EG101" s="611">
        <f t="shared" si="115"/>
        <v>2.3870502702702705</v>
      </c>
      <c r="EH101" s="611">
        <f t="shared" si="115"/>
        <v>1000000.22006</v>
      </c>
      <c r="EI101" s="611">
        <f t="shared" si="115"/>
        <v>1000000.220125</v>
      </c>
      <c r="EJ101" s="610">
        <f t="shared" si="125"/>
        <v>2.2999999999999998</v>
      </c>
      <c r="EK101" s="643">
        <f t="shared" si="126"/>
        <v>2.25</v>
      </c>
      <c r="EL101" s="644">
        <f t="shared" si="127"/>
        <v>2.83</v>
      </c>
      <c r="EN101" s="620">
        <f t="shared" si="128"/>
        <v>20.497222222222224</v>
      </c>
      <c r="EO101" s="621">
        <f t="shared" si="143"/>
        <v>61.601040266030459</v>
      </c>
      <c r="EP101" s="621">
        <f t="shared" si="143"/>
        <v>79.935121960076003</v>
      </c>
      <c r="EQ101" s="621">
        <f t="shared" si="143"/>
        <v>94.943493851756571</v>
      </c>
      <c r="ER101" s="610">
        <f t="shared" si="116"/>
        <v>23.724716255958505</v>
      </c>
      <c r="ES101" s="611">
        <f t="shared" si="116"/>
        <v>51.227415552061693</v>
      </c>
      <c r="ET101" s="612">
        <f t="shared" si="116"/>
        <v>75.420558372401871</v>
      </c>
      <c r="EU101" s="610">
        <f t="shared" si="129"/>
        <v>100</v>
      </c>
      <c r="EV101" s="611">
        <f t="shared" si="130"/>
        <v>135</v>
      </c>
      <c r="EW101" s="645">
        <f t="shared" si="131"/>
        <v>-1000000</v>
      </c>
      <c r="EX101" s="610">
        <f t="shared" si="117"/>
        <v>-37.876324010071954</v>
      </c>
      <c r="EY101" s="621">
        <f t="shared" si="118"/>
        <v>-28.70770640801431</v>
      </c>
      <c r="EZ101" s="612">
        <f t="shared" si="119"/>
        <v>-19.522935479354693</v>
      </c>
      <c r="FA101" s="646">
        <f t="shared" si="120"/>
        <v>20.497222222222224</v>
      </c>
      <c r="FB101" s="317"/>
      <c r="FC101" s="552"/>
      <c r="FD101" s="552"/>
      <c r="FE101" s="552"/>
      <c r="FF101" s="552"/>
      <c r="FG101" s="552"/>
      <c r="FH101" s="552"/>
      <c r="FI101" s="552"/>
      <c r="FJ101" s="552"/>
      <c r="FK101" s="552"/>
      <c r="FL101" s="552"/>
      <c r="FM101" s="552"/>
      <c r="FN101" s="552"/>
      <c r="FO101" s="552"/>
      <c r="FP101" s="552"/>
      <c r="FQ101" s="552"/>
      <c r="FR101" s="552"/>
      <c r="FS101" s="552"/>
      <c r="FT101" s="552"/>
    </row>
    <row r="102" spans="2:176" s="564" customFormat="1" ht="15" customHeight="1" x14ac:dyDescent="0.2">
      <c r="B102" s="626">
        <f>$I$4</f>
        <v>12</v>
      </c>
      <c r="C102" s="631">
        <f>$I$6</f>
        <v>109</v>
      </c>
      <c r="D102" s="744">
        <f>$B$6</f>
        <v>1.75</v>
      </c>
      <c r="E102" s="745">
        <f t="shared" si="149"/>
        <v>9.0833333333333339</v>
      </c>
      <c r="F102" s="689"/>
      <c r="G102" s="747">
        <f t="shared" si="150"/>
        <v>1.7578997595405439</v>
      </c>
      <c r="H102" s="748">
        <f t="shared" si="154"/>
        <v>6.2406200798414271E-5</v>
      </c>
      <c r="I102" s="689"/>
      <c r="J102" s="773">
        <f t="shared" si="82"/>
        <v>65</v>
      </c>
      <c r="K102" s="774">
        <f t="shared" si="155"/>
        <v>73.125</v>
      </c>
      <c r="L102" s="747">
        <f t="shared" si="156"/>
        <v>2.0683438545454544</v>
      </c>
      <c r="M102" s="751">
        <f t="shared" si="156"/>
        <v>2.0635940909090911</v>
      </c>
      <c r="N102" s="751">
        <f t="shared" si="156"/>
        <v>2.0553911363636366</v>
      </c>
      <c r="O102" s="751">
        <f t="shared" si="156"/>
        <v>2.0471881818181821</v>
      </c>
      <c r="P102" s="751">
        <f t="shared" si="156"/>
        <v>2.0314327272727275</v>
      </c>
      <c r="Q102" s="751">
        <f t="shared" si="156"/>
        <v>2.0222396363636364</v>
      </c>
      <c r="R102" s="751">
        <f t="shared" si="156"/>
        <v>1.9872018181818183</v>
      </c>
      <c r="S102" s="751">
        <f t="shared" si="156"/>
        <v>1.9718684363636365</v>
      </c>
      <c r="T102" s="752">
        <f t="shared" si="156"/>
        <v>1.949909090909091</v>
      </c>
      <c r="U102" s="753">
        <f t="shared" si="156"/>
        <v>1.8076763636363637</v>
      </c>
      <c r="W102" s="773">
        <f t="shared" si="157"/>
        <v>73.125</v>
      </c>
      <c r="X102" s="775">
        <f t="shared" si="158"/>
        <v>-8.9261933640289975E-2</v>
      </c>
      <c r="Y102" s="776">
        <f t="shared" si="158"/>
        <v>-8.9266497529178868E-2</v>
      </c>
      <c r="Z102" s="776">
        <f t="shared" si="158"/>
        <v>-8.9274379473623308E-2</v>
      </c>
      <c r="AA102" s="776">
        <f t="shared" si="158"/>
        <v>-8.9282261418067749E-2</v>
      </c>
      <c r="AB102" s="776">
        <f t="shared" si="158"/>
        <v>-8.929740030695664E-2</v>
      </c>
      <c r="AC102" s="776">
        <f t="shared" si="158"/>
        <v>-8.9306233640289973E-2</v>
      </c>
      <c r="AD102" s="776">
        <f t="shared" si="158"/>
        <v>-8.9339900306956641E-2</v>
      </c>
      <c r="AE102" s="776">
        <f t="shared" si="158"/>
        <v>-8.9354633640289977E-2</v>
      </c>
      <c r="AF102" s="777">
        <f t="shared" si="158"/>
        <v>-8.9375733640289973E-2</v>
      </c>
      <c r="AG102" s="778">
        <f t="shared" si="158"/>
        <v>-8.9512400306956633E-2</v>
      </c>
      <c r="AI102" s="773">
        <f t="shared" si="159"/>
        <v>73.125</v>
      </c>
      <c r="AJ102" s="747">
        <f t="shared" si="147"/>
        <v>1.9790819209051644</v>
      </c>
      <c r="AK102" s="751">
        <f t="shared" si="147"/>
        <v>1.9743275933799123</v>
      </c>
      <c r="AL102" s="751">
        <f t="shared" si="147"/>
        <v>1.9661167568900133</v>
      </c>
      <c r="AM102" s="751">
        <f t="shared" si="147"/>
        <v>1.9579059204001144</v>
      </c>
      <c r="AN102" s="751">
        <f t="shared" si="147"/>
        <v>1.9421353269657708</v>
      </c>
      <c r="AO102" s="751">
        <f t="shared" si="147"/>
        <v>1.9329334027233465</v>
      </c>
      <c r="AP102" s="751">
        <f t="shared" si="147"/>
        <v>1.8978619178748617</v>
      </c>
      <c r="AQ102" s="751">
        <f t="shared" si="147"/>
        <v>1.8825138027233466</v>
      </c>
      <c r="AR102" s="752">
        <f t="shared" si="147"/>
        <v>1.860533357268801</v>
      </c>
      <c r="AS102" s="751"/>
      <c r="AT102" s="674">
        <f t="shared" si="160"/>
        <v>1.75</v>
      </c>
      <c r="AU102" s="712">
        <f t="shared" si="161"/>
        <v>1.8</v>
      </c>
      <c r="AV102" s="712">
        <f t="shared" si="162"/>
        <v>1.81</v>
      </c>
      <c r="AW102" s="712">
        <f t="shared" si="163"/>
        <v>1.83</v>
      </c>
      <c r="AX102" s="712">
        <f t="shared" si="164"/>
        <v>1.84</v>
      </c>
      <c r="AY102" s="712">
        <f t="shared" si="165"/>
        <v>1.86</v>
      </c>
      <c r="AZ102" s="712">
        <f t="shared" si="166"/>
        <v>1.88</v>
      </c>
      <c r="BA102" s="712">
        <f t="shared" si="167"/>
        <v>1.9</v>
      </c>
      <c r="BB102" s="712">
        <f t="shared" si="168"/>
        <v>1.92</v>
      </c>
      <c r="BC102" s="779">
        <f t="shared" si="169"/>
        <v>1000000</v>
      </c>
      <c r="BD102" s="780">
        <f t="shared" si="170"/>
        <v>-1000000</v>
      </c>
      <c r="BF102" s="781">
        <f t="shared" si="171"/>
        <v>1.9792869656464271</v>
      </c>
      <c r="BG102" s="767">
        <f t="shared" si="171"/>
        <v>1.9523994167463392</v>
      </c>
      <c r="BH102" s="767">
        <f t="shared" si="171"/>
        <v>2.0627244021356428</v>
      </c>
      <c r="BI102" s="767">
        <f t="shared" si="171"/>
        <v>2.0100887579199727</v>
      </c>
      <c r="BJ102" s="767">
        <f t="shared" si="171"/>
        <v>1.9988696488443083</v>
      </c>
      <c r="BK102" s="767">
        <f t="shared" si="171"/>
        <v>1.9968398090691069</v>
      </c>
      <c r="BL102" s="767">
        <f t="shared" si="171"/>
        <v>1.9938900040381242</v>
      </c>
      <c r="BM102" s="767">
        <f t="shared" si="171"/>
        <v>1.9933421094297101</v>
      </c>
      <c r="BN102" s="767">
        <f t="shared" si="171"/>
        <v>1.9928199561421776</v>
      </c>
      <c r="BO102" s="782">
        <f t="shared" si="171"/>
        <v>1.9915633522395233</v>
      </c>
      <c r="BP102" s="781">
        <f t="shared" si="148"/>
        <v>1.9792869656464271</v>
      </c>
      <c r="BQ102" s="767">
        <f t="shared" si="148"/>
        <v>1.9523994167463392</v>
      </c>
      <c r="BR102" s="767">
        <f t="shared" si="148"/>
        <v>-1000000</v>
      </c>
      <c r="BS102" s="767">
        <f t="shared" si="148"/>
        <v>-1000000</v>
      </c>
      <c r="BT102" s="767">
        <f t="shared" si="148"/>
        <v>-1000000</v>
      </c>
      <c r="BU102" s="767">
        <f t="shared" si="148"/>
        <v>-1000000</v>
      </c>
      <c r="BV102" s="767">
        <f t="shared" si="148"/>
        <v>-1000000</v>
      </c>
      <c r="BW102" s="767">
        <f t="shared" si="148"/>
        <v>-1000000</v>
      </c>
      <c r="BX102" s="767">
        <f t="shared" si="148"/>
        <v>-1000000</v>
      </c>
      <c r="BY102" s="767">
        <f t="shared" si="148"/>
        <v>-1000000</v>
      </c>
      <c r="BZ102" s="648">
        <f t="shared" si="151"/>
        <v>65</v>
      </c>
      <c r="CA102" s="767">
        <f t="shared" si="152"/>
        <v>1.9792869656464271</v>
      </c>
      <c r="CB102" s="767">
        <f t="shared" si="152"/>
        <v>1.9523994167463392</v>
      </c>
      <c r="CC102" s="767"/>
      <c r="CD102" s="767"/>
      <c r="CE102" s="767"/>
      <c r="CF102" s="767"/>
      <c r="CG102" s="767"/>
      <c r="CH102" s="767"/>
      <c r="CI102" s="767"/>
      <c r="CJ102" s="767"/>
      <c r="CK102" s="781">
        <f t="shared" si="153"/>
        <v>1.75</v>
      </c>
      <c r="CL102" s="783">
        <f t="shared" si="172"/>
        <v>1000000</v>
      </c>
      <c r="CM102" s="552"/>
      <c r="CN102" s="552"/>
      <c r="CO102" s="552"/>
      <c r="CP102" s="552"/>
      <c r="CQ102" s="552"/>
      <c r="CR102" s="552"/>
      <c r="CS102" s="552"/>
      <c r="CT102" s="552"/>
      <c r="CU102" s="552"/>
      <c r="CV102" s="552"/>
      <c r="CW102" s="552"/>
      <c r="CX102" s="552"/>
      <c r="CY102" s="552"/>
      <c r="CZ102" s="642">
        <f t="shared" si="133"/>
        <v>95</v>
      </c>
      <c r="DA102" s="609">
        <f t="shared" si="110"/>
        <v>106.875</v>
      </c>
      <c r="DB102" s="609">
        <f t="shared" si="121"/>
        <v>38</v>
      </c>
      <c r="DC102" s="610">
        <f t="shared" si="139"/>
        <v>134.98031357771299</v>
      </c>
      <c r="DD102" s="611">
        <f t="shared" si="139"/>
        <v>134.99393713543026</v>
      </c>
      <c r="DE102" s="612">
        <f t="shared" si="139"/>
        <v>134.99968087888311</v>
      </c>
      <c r="DF102" s="610">
        <f t="shared" si="140"/>
        <v>19.411764705882348</v>
      </c>
      <c r="DG102" s="611">
        <f t="shared" si="140"/>
        <v>22</v>
      </c>
      <c r="DH102" s="612">
        <f t="shared" si="140"/>
        <v>28.470588235294098</v>
      </c>
      <c r="DI102" s="610">
        <f t="shared" si="111"/>
        <v>154.39207828359534</v>
      </c>
      <c r="DJ102" s="611">
        <f t="shared" si="111"/>
        <v>156.99393713543026</v>
      </c>
      <c r="DK102" s="612">
        <f t="shared" si="111"/>
        <v>163.4702691141772</v>
      </c>
      <c r="DL102" s="613">
        <f t="shared" si="144"/>
        <v>154.39207828359534</v>
      </c>
      <c r="DM102" s="613">
        <f t="shared" si="144"/>
        <v>156.99393713543026</v>
      </c>
      <c r="DN102" s="613">
        <f t="shared" si="144"/>
        <v>163.4702691141772</v>
      </c>
      <c r="DO102" s="609">
        <f t="shared" si="112"/>
        <v>135</v>
      </c>
      <c r="DP102" s="609"/>
      <c r="DQ102" s="609">
        <f t="shared" si="123"/>
        <v>38</v>
      </c>
      <c r="DR102" s="610">
        <f t="shared" ref="DR102:DT127" si="173">((DF$3-$CS$21)/$CS$38)*EXP(-$DB102/DC$4)-(($CS$23-DF$3)/$CS$36)*EXP(-$DB102/DF$4)</f>
        <v>4.5761093182275191E-3</v>
      </c>
      <c r="DS102" s="611">
        <f t="shared" si="173"/>
        <v>1.5972214115209994E-3</v>
      </c>
      <c r="DT102" s="612">
        <f t="shared" si="173"/>
        <v>1.0879690952948026E-4</v>
      </c>
      <c r="DU102" s="611">
        <f t="shared" si="145"/>
        <v>4.7956024515372238E-3</v>
      </c>
      <c r="DV102" s="611">
        <f t="shared" si="145"/>
        <v>1.6844124583315139E-3</v>
      </c>
      <c r="DW102" s="611">
        <f t="shared" si="145"/>
        <v>1.1656429656170573E-4</v>
      </c>
      <c r="DX102" s="614">
        <f t="shared" si="114"/>
        <v>12.5</v>
      </c>
      <c r="DY102" s="615"/>
      <c r="DZ102" s="609">
        <f t="shared" si="124"/>
        <v>38</v>
      </c>
      <c r="EA102" s="611">
        <f t="shared" si="141"/>
        <v>2.1719928571428571</v>
      </c>
      <c r="EB102" s="611">
        <f t="shared" si="141"/>
        <v>1000000</v>
      </c>
      <c r="EC102" s="611">
        <f t="shared" si="141"/>
        <v>1000000</v>
      </c>
      <c r="ED102" s="610">
        <f t="shared" si="142"/>
        <v>0.22002999999999975</v>
      </c>
      <c r="EE102" s="611">
        <f t="shared" si="142"/>
        <v>0.22005999999999976</v>
      </c>
      <c r="EF102" s="612">
        <f t="shared" si="142"/>
        <v>0.22012499999999974</v>
      </c>
      <c r="EG102" s="611">
        <f t="shared" si="115"/>
        <v>2.392022857142857</v>
      </c>
      <c r="EH102" s="611">
        <f t="shared" si="115"/>
        <v>1000000.22006</v>
      </c>
      <c r="EI102" s="611">
        <f t="shared" si="115"/>
        <v>1000000.220125</v>
      </c>
      <c r="EJ102" s="610">
        <f t="shared" si="125"/>
        <v>2.2999999999999998</v>
      </c>
      <c r="EK102" s="643">
        <f t="shared" si="126"/>
        <v>2.25</v>
      </c>
      <c r="EL102" s="644">
        <f t="shared" si="127"/>
        <v>2.83</v>
      </c>
      <c r="EN102" s="620">
        <f t="shared" si="128"/>
        <v>20.715277777777779</v>
      </c>
      <c r="EO102" s="621">
        <f t="shared" si="143"/>
        <v>60.821097864610337</v>
      </c>
      <c r="EP102" s="621">
        <f t="shared" si="143"/>
        <v>79.349830571587063</v>
      </c>
      <c r="EQ102" s="621">
        <f t="shared" si="143"/>
        <v>94.517628138733613</v>
      </c>
      <c r="ER102" s="610">
        <f t="shared" ref="ER102:ET127" si="174">EO102+EX102</f>
        <v>22.944756416693885</v>
      </c>
      <c r="ES102" s="611">
        <f t="shared" si="174"/>
        <v>50.613124083468115</v>
      </c>
      <c r="ET102" s="612">
        <f t="shared" si="174"/>
        <v>74.821832989619992</v>
      </c>
      <c r="EU102" s="610">
        <f t="shared" si="129"/>
        <v>100</v>
      </c>
      <c r="EV102" s="611">
        <f t="shared" si="130"/>
        <v>135</v>
      </c>
      <c r="EW102" s="645">
        <f t="shared" si="131"/>
        <v>-1000000</v>
      </c>
      <c r="EX102" s="610">
        <f t="shared" si="117"/>
        <v>-37.876341447916452</v>
      </c>
      <c r="EY102" s="621">
        <f t="shared" si="118"/>
        <v>-28.736706488118948</v>
      </c>
      <c r="EZ102" s="612">
        <f t="shared" si="119"/>
        <v>-19.695795149113614</v>
      </c>
      <c r="FA102" s="646">
        <f t="shared" si="120"/>
        <v>20.715277777777779</v>
      </c>
      <c r="FB102" s="317"/>
      <c r="FC102" s="552"/>
      <c r="FD102" s="552"/>
      <c r="FE102" s="552"/>
      <c r="FF102" s="552"/>
      <c r="FG102" s="552"/>
      <c r="FH102" s="552"/>
      <c r="FI102" s="552"/>
      <c r="FJ102" s="552"/>
      <c r="FK102" s="552"/>
      <c r="FL102" s="552"/>
      <c r="FM102" s="552"/>
      <c r="FN102" s="552"/>
      <c r="FO102" s="552"/>
      <c r="FP102" s="552"/>
      <c r="FQ102" s="552"/>
      <c r="FR102" s="552"/>
      <c r="FS102" s="552"/>
      <c r="FT102" s="552"/>
    </row>
    <row r="103" spans="2:176" s="564" customFormat="1" ht="15" customHeight="1" x14ac:dyDescent="0.2">
      <c r="B103" s="647">
        <f t="shared" ref="B103:B112" si="175">$I$4</f>
        <v>12</v>
      </c>
      <c r="C103" s="652">
        <f>$I$7</f>
        <v>108.5</v>
      </c>
      <c r="D103" s="771">
        <f>$B$7</f>
        <v>1.78</v>
      </c>
      <c r="E103" s="772">
        <f t="shared" si="149"/>
        <v>9.0416666666666661</v>
      </c>
      <c r="F103" s="689"/>
      <c r="G103" s="747">
        <f t="shared" si="150"/>
        <v>1.7632009799760122</v>
      </c>
      <c r="H103" s="748">
        <f t="shared" si="154"/>
        <v>2.8220707376634338E-4</v>
      </c>
      <c r="I103" s="689"/>
      <c r="J103" s="773">
        <f t="shared" ref="J103:J157" si="176">1+J102</f>
        <v>66</v>
      </c>
      <c r="K103" s="774">
        <f t="shared" si="155"/>
        <v>74.25</v>
      </c>
      <c r="L103" s="747">
        <f t="shared" si="156"/>
        <v>2.0681280000000002</v>
      </c>
      <c r="M103" s="751">
        <f t="shared" si="156"/>
        <v>2.063290277777778</v>
      </c>
      <c r="N103" s="751">
        <f t="shared" si="156"/>
        <v>2.0549354166666669</v>
      </c>
      <c r="O103" s="751">
        <f t="shared" si="156"/>
        <v>2.0465805555555558</v>
      </c>
      <c r="P103" s="751">
        <f t="shared" si="156"/>
        <v>2.0305333333333335</v>
      </c>
      <c r="Q103" s="751">
        <f t="shared" si="156"/>
        <v>2.0211700000000001</v>
      </c>
      <c r="R103" s="751">
        <f t="shared" si="156"/>
        <v>1.9854833333333335</v>
      </c>
      <c r="S103" s="751">
        <f t="shared" si="156"/>
        <v>1.9698660000000001</v>
      </c>
      <c r="T103" s="752">
        <f t="shared" si="156"/>
        <v>1.9475</v>
      </c>
      <c r="U103" s="753">
        <f t="shared" si="156"/>
        <v>1.8026333333333333</v>
      </c>
      <c r="W103" s="773">
        <f t="shared" si="157"/>
        <v>74.25</v>
      </c>
      <c r="X103" s="775">
        <f t="shared" si="158"/>
        <v>-8.9744754927053222E-2</v>
      </c>
      <c r="Y103" s="776">
        <f t="shared" si="158"/>
        <v>-8.9749318815942114E-2</v>
      </c>
      <c r="Z103" s="776">
        <f t="shared" si="158"/>
        <v>-8.9757200760386555E-2</v>
      </c>
      <c r="AA103" s="776">
        <f t="shared" si="158"/>
        <v>-8.9765082704830995E-2</v>
      </c>
      <c r="AB103" s="776">
        <f t="shared" si="158"/>
        <v>-8.9780221593719886E-2</v>
      </c>
      <c r="AC103" s="776">
        <f t="shared" si="158"/>
        <v>-8.9789054927053219E-2</v>
      </c>
      <c r="AD103" s="776">
        <f t="shared" si="158"/>
        <v>-8.9822721593719887E-2</v>
      </c>
      <c r="AE103" s="776">
        <f t="shared" si="158"/>
        <v>-8.9837454927053223E-2</v>
      </c>
      <c r="AF103" s="777">
        <f t="shared" si="158"/>
        <v>-8.9858554927053219E-2</v>
      </c>
      <c r="AG103" s="778">
        <f t="shared" si="158"/>
        <v>-8.9995221593719879E-2</v>
      </c>
      <c r="AI103" s="773">
        <f t="shared" si="159"/>
        <v>74.25</v>
      </c>
      <c r="AJ103" s="747">
        <f t="shared" si="147"/>
        <v>1.978383245072947</v>
      </c>
      <c r="AK103" s="751">
        <f t="shared" si="147"/>
        <v>1.9735409589618358</v>
      </c>
      <c r="AL103" s="751">
        <f t="shared" si="147"/>
        <v>1.9651782159062803</v>
      </c>
      <c r="AM103" s="751">
        <f t="shared" si="147"/>
        <v>1.9568154728507248</v>
      </c>
      <c r="AN103" s="751">
        <f t="shared" si="147"/>
        <v>1.9407531117396137</v>
      </c>
      <c r="AO103" s="751">
        <f t="shared" si="147"/>
        <v>1.9313809450729469</v>
      </c>
      <c r="AP103" s="751">
        <f t="shared" si="147"/>
        <v>1.8956606117396135</v>
      </c>
      <c r="AQ103" s="751">
        <f t="shared" si="147"/>
        <v>1.8800285450729468</v>
      </c>
      <c r="AR103" s="752">
        <f t="shared" si="147"/>
        <v>1.8576414450729468</v>
      </c>
      <c r="AS103" s="751"/>
      <c r="AT103" s="674">
        <f t="shared" si="160"/>
        <v>1.75</v>
      </c>
      <c r="AU103" s="712">
        <f t="shared" si="161"/>
        <v>1.8</v>
      </c>
      <c r="AV103" s="712">
        <f t="shared" si="162"/>
        <v>1.81</v>
      </c>
      <c r="AW103" s="712">
        <f t="shared" si="163"/>
        <v>1.83</v>
      </c>
      <c r="AX103" s="712">
        <f t="shared" si="164"/>
        <v>1.84</v>
      </c>
      <c r="AY103" s="712">
        <f t="shared" si="165"/>
        <v>1.86</v>
      </c>
      <c r="AZ103" s="712">
        <f t="shared" si="166"/>
        <v>1.88</v>
      </c>
      <c r="BA103" s="712">
        <f t="shared" si="167"/>
        <v>1.9</v>
      </c>
      <c r="BB103" s="712">
        <f t="shared" si="168"/>
        <v>1.92</v>
      </c>
      <c r="BC103" s="779">
        <f t="shared" si="169"/>
        <v>1000000</v>
      </c>
      <c r="BD103" s="780">
        <f t="shared" si="170"/>
        <v>-1000000</v>
      </c>
      <c r="BF103" s="781">
        <f t="shared" si="171"/>
        <v>1.9785864642808464</v>
      </c>
      <c r="BG103" s="767">
        <f t="shared" si="171"/>
        <v>1.950634193517526</v>
      </c>
      <c r="BH103" s="767">
        <f t="shared" si="171"/>
        <v>2.053556706560729</v>
      </c>
      <c r="BI103" s="767">
        <f t="shared" si="171"/>
        <v>2.0088330939219663</v>
      </c>
      <c r="BJ103" s="767">
        <f t="shared" si="171"/>
        <v>1.9983880370248028</v>
      </c>
      <c r="BK103" s="767">
        <f t="shared" si="171"/>
        <v>1.9964599347757759</v>
      </c>
      <c r="BL103" s="767">
        <f t="shared" si="171"/>
        <v>1.9936360665950836</v>
      </c>
      <c r="BM103" s="767">
        <f t="shared" si="171"/>
        <v>1.9931085155463526</v>
      </c>
      <c r="BN103" s="767">
        <f t="shared" si="171"/>
        <v>1.9926047207017799</v>
      </c>
      <c r="BO103" s="782">
        <f t="shared" si="171"/>
        <v>1.9913864797233367</v>
      </c>
      <c r="BP103" s="781">
        <f t="shared" si="148"/>
        <v>1.9785864642808464</v>
      </c>
      <c r="BQ103" s="767">
        <f t="shared" si="148"/>
        <v>1.950634193517526</v>
      </c>
      <c r="BR103" s="767">
        <f t="shared" si="148"/>
        <v>-1000000</v>
      </c>
      <c r="BS103" s="767">
        <f t="shared" si="148"/>
        <v>-1000000</v>
      </c>
      <c r="BT103" s="767">
        <f t="shared" si="148"/>
        <v>-1000000</v>
      </c>
      <c r="BU103" s="767">
        <f t="shared" si="148"/>
        <v>-1000000</v>
      </c>
      <c r="BV103" s="767">
        <f t="shared" si="148"/>
        <v>-1000000</v>
      </c>
      <c r="BW103" s="767">
        <f t="shared" si="148"/>
        <v>-1000000</v>
      </c>
      <c r="BX103" s="767">
        <f t="shared" si="148"/>
        <v>-1000000</v>
      </c>
      <c r="BY103" s="767">
        <f t="shared" si="148"/>
        <v>-1000000</v>
      </c>
      <c r="BZ103" s="648">
        <f t="shared" si="151"/>
        <v>66</v>
      </c>
      <c r="CA103" s="767">
        <f t="shared" si="152"/>
        <v>1.9785864642808464</v>
      </c>
      <c r="CB103" s="767">
        <f t="shared" si="152"/>
        <v>1.950634193517526</v>
      </c>
      <c r="CC103" s="767"/>
      <c r="CD103" s="767"/>
      <c r="CE103" s="767"/>
      <c r="CF103" s="767"/>
      <c r="CG103" s="767"/>
      <c r="CH103" s="767"/>
      <c r="CI103" s="767"/>
      <c r="CJ103" s="767"/>
      <c r="CK103" s="781">
        <f t="shared" si="153"/>
        <v>1.75</v>
      </c>
      <c r="CL103" s="783">
        <f t="shared" si="172"/>
        <v>1000000</v>
      </c>
      <c r="CM103" s="552"/>
      <c r="CN103" s="552"/>
      <c r="CO103" s="552"/>
      <c r="CP103" s="552"/>
      <c r="CQ103" s="552"/>
      <c r="CR103" s="552"/>
      <c r="CS103" s="552"/>
      <c r="CT103" s="552"/>
      <c r="CU103" s="552"/>
      <c r="CV103" s="552"/>
      <c r="CW103" s="552"/>
      <c r="CX103" s="552"/>
      <c r="CY103" s="552"/>
      <c r="CZ103" s="642">
        <f t="shared" si="133"/>
        <v>96</v>
      </c>
      <c r="DA103" s="609">
        <f t="shared" si="110"/>
        <v>108</v>
      </c>
      <c r="DB103" s="609">
        <f t="shared" si="121"/>
        <v>38.400000000000006</v>
      </c>
      <c r="DC103" s="610">
        <f t="shared" si="139"/>
        <v>134.98206150136838</v>
      </c>
      <c r="DD103" s="611">
        <f t="shared" si="139"/>
        <v>134.99454351371094</v>
      </c>
      <c r="DE103" s="612">
        <f t="shared" si="139"/>
        <v>134.99972156071533</v>
      </c>
      <c r="DF103" s="610">
        <f t="shared" si="140"/>
        <v>19.411764705882348</v>
      </c>
      <c r="DG103" s="611">
        <f t="shared" si="140"/>
        <v>22</v>
      </c>
      <c r="DH103" s="612">
        <f t="shared" si="140"/>
        <v>28.470588235294098</v>
      </c>
      <c r="DI103" s="610">
        <f t="shared" si="111"/>
        <v>154.39382620725073</v>
      </c>
      <c r="DJ103" s="611">
        <f t="shared" si="111"/>
        <v>156.99454351371094</v>
      </c>
      <c r="DK103" s="612">
        <f t="shared" si="111"/>
        <v>163.47030979600942</v>
      </c>
      <c r="DL103" s="613">
        <f t="shared" ref="DL103:DN118" si="177">IF((DL102+$CS$33*($DB103-$DB102))&lt;DI103,(DL102+$CS$33*($DB103-$DB102)),DI103)</f>
        <v>154.39382620725073</v>
      </c>
      <c r="DM103" s="613">
        <f t="shared" si="177"/>
        <v>156.99454351371094</v>
      </c>
      <c r="DN103" s="613">
        <f t="shared" si="177"/>
        <v>163.47030979600942</v>
      </c>
      <c r="DO103" s="609">
        <f t="shared" si="112"/>
        <v>135</v>
      </c>
      <c r="DP103" s="609"/>
      <c r="DQ103" s="609">
        <f t="shared" si="123"/>
        <v>38.400000000000006</v>
      </c>
      <c r="DR103" s="610">
        <f t="shared" si="173"/>
        <v>4.1698044238979628E-3</v>
      </c>
      <c r="DS103" s="611">
        <f t="shared" si="173"/>
        <v>1.4374750800281817E-3</v>
      </c>
      <c r="DT103" s="612">
        <f t="shared" si="173"/>
        <v>9.4927386685317292E-5</v>
      </c>
      <c r="DU103" s="611">
        <f t="shared" si="145"/>
        <v>4.3698091384668999E-3</v>
      </c>
      <c r="DV103" s="611">
        <f t="shared" si="145"/>
        <v>1.5159457016977525E-3</v>
      </c>
      <c r="DW103" s="611">
        <f t="shared" si="145"/>
        <v>1.0170458054403608E-4</v>
      </c>
      <c r="DX103" s="614">
        <f t="shared" si="114"/>
        <v>12.5</v>
      </c>
      <c r="DY103" s="615"/>
      <c r="DZ103" s="609">
        <f t="shared" si="124"/>
        <v>38.400000000000006</v>
      </c>
      <c r="EA103" s="611">
        <f t="shared" si="141"/>
        <v>2.1775681818181818</v>
      </c>
      <c r="EB103" s="611">
        <f t="shared" si="141"/>
        <v>1000000</v>
      </c>
      <c r="EC103" s="611">
        <f t="shared" si="141"/>
        <v>1000000</v>
      </c>
      <c r="ED103" s="610">
        <f t="shared" si="142"/>
        <v>0.22002999999999975</v>
      </c>
      <c r="EE103" s="611">
        <f t="shared" si="142"/>
        <v>0.22005999999999976</v>
      </c>
      <c r="EF103" s="612">
        <f t="shared" si="142"/>
        <v>0.22012499999999974</v>
      </c>
      <c r="EG103" s="611">
        <f t="shared" si="115"/>
        <v>2.3975981818181817</v>
      </c>
      <c r="EH103" s="611">
        <f t="shared" si="115"/>
        <v>1000000.22006</v>
      </c>
      <c r="EI103" s="611">
        <f t="shared" si="115"/>
        <v>1000000.220125</v>
      </c>
      <c r="EJ103" s="610">
        <f t="shared" si="125"/>
        <v>2.2999999999999998</v>
      </c>
      <c r="EK103" s="643">
        <f t="shared" si="126"/>
        <v>2.25</v>
      </c>
      <c r="EL103" s="644">
        <f t="shared" si="127"/>
        <v>2.83</v>
      </c>
      <c r="EN103" s="620">
        <f t="shared" si="128"/>
        <v>20.933333333333337</v>
      </c>
      <c r="EO103" s="621">
        <f t="shared" si="143"/>
        <v>60.041174337992167</v>
      </c>
      <c r="EP103" s="621">
        <f t="shared" si="143"/>
        <v>78.764549809332962</v>
      </c>
      <c r="EQ103" s="621">
        <f t="shared" si="143"/>
        <v>94.091768050166152</v>
      </c>
      <c r="ER103" s="610">
        <f t="shared" si="174"/>
        <v>22.164817704943232</v>
      </c>
      <c r="ES103" s="611">
        <f t="shared" si="174"/>
        <v>50.000167133290603</v>
      </c>
      <c r="ET103" s="612">
        <f t="shared" si="174"/>
        <v>74.226102523126514</v>
      </c>
      <c r="EU103" s="610">
        <f t="shared" si="129"/>
        <v>100</v>
      </c>
      <c r="EV103" s="611">
        <f t="shared" si="130"/>
        <v>135</v>
      </c>
      <c r="EW103" s="645">
        <f t="shared" si="131"/>
        <v>-1000000</v>
      </c>
      <c r="EX103" s="610">
        <f t="shared" si="117"/>
        <v>-37.876356633048935</v>
      </c>
      <c r="EY103" s="621">
        <f t="shared" si="118"/>
        <v>-28.764382676042359</v>
      </c>
      <c r="EZ103" s="612">
        <f t="shared" si="119"/>
        <v>-19.865665527039631</v>
      </c>
      <c r="FA103" s="646">
        <f t="shared" si="120"/>
        <v>20.933333333333337</v>
      </c>
      <c r="FB103" s="317"/>
      <c r="FC103" s="552"/>
      <c r="FD103" s="552"/>
      <c r="FE103" s="552"/>
      <c r="FF103" s="552"/>
      <c r="FG103" s="552"/>
      <c r="FH103" s="552"/>
      <c r="FI103" s="552"/>
      <c r="FJ103" s="552"/>
      <c r="FK103" s="552"/>
      <c r="FL103" s="552"/>
      <c r="FM103" s="552"/>
      <c r="FN103" s="552"/>
      <c r="FO103" s="552"/>
      <c r="FP103" s="552"/>
      <c r="FQ103" s="552"/>
      <c r="FR103" s="552"/>
      <c r="FS103" s="552"/>
      <c r="FT103" s="552"/>
    </row>
    <row r="104" spans="2:176" s="564" customFormat="1" ht="15" customHeight="1" x14ac:dyDescent="0.2">
      <c r="B104" s="647">
        <f t="shared" si="175"/>
        <v>12</v>
      </c>
      <c r="C104" s="652">
        <f>$I$8</f>
        <v>107.5</v>
      </c>
      <c r="D104" s="771">
        <f>$B$8</f>
        <v>1.8</v>
      </c>
      <c r="E104" s="772">
        <f t="shared" si="149"/>
        <v>8.9583333333333339</v>
      </c>
      <c r="F104" s="689"/>
      <c r="G104" s="747">
        <f t="shared" si="150"/>
        <v>1.7732329361260022</v>
      </c>
      <c r="H104" s="748">
        <f t="shared" si="154"/>
        <v>7.1647570843468098E-4</v>
      </c>
      <c r="I104" s="689"/>
      <c r="J104" s="773">
        <f t="shared" si="176"/>
        <v>67</v>
      </c>
      <c r="K104" s="774">
        <f t="shared" si="155"/>
        <v>75.375</v>
      </c>
      <c r="L104" s="747">
        <f t="shared" si="156"/>
        <v>2.067904</v>
      </c>
      <c r="M104" s="751">
        <f t="shared" si="156"/>
        <v>2.0629750000000002</v>
      </c>
      <c r="N104" s="751">
        <f t="shared" si="156"/>
        <v>2.0544625000000001</v>
      </c>
      <c r="O104" s="751">
        <f t="shared" si="156"/>
        <v>2.0459499999999999</v>
      </c>
      <c r="P104" s="751">
        <f t="shared" si="156"/>
        <v>2.0295999999999998</v>
      </c>
      <c r="Q104" s="751">
        <f t="shared" si="156"/>
        <v>2.02006</v>
      </c>
      <c r="R104" s="751">
        <f t="shared" si="156"/>
        <v>1.9837</v>
      </c>
      <c r="S104" s="751">
        <f t="shared" si="156"/>
        <v>1.9677880000000001</v>
      </c>
      <c r="T104" s="752">
        <f t="shared" si="156"/>
        <v>1.9450000000000001</v>
      </c>
      <c r="U104" s="753">
        <f t="shared" si="156"/>
        <v>1.7974000000000001</v>
      </c>
      <c r="W104" s="773">
        <f t="shared" si="157"/>
        <v>75.375</v>
      </c>
      <c r="X104" s="775">
        <f t="shared" si="158"/>
        <v>-9.0203507136158462E-2</v>
      </c>
      <c r="Y104" s="776">
        <f t="shared" si="158"/>
        <v>-9.0208071025047354E-2</v>
      </c>
      <c r="Z104" s="776">
        <f t="shared" si="158"/>
        <v>-9.0215952969491794E-2</v>
      </c>
      <c r="AA104" s="776">
        <f t="shared" si="158"/>
        <v>-9.0223834913936235E-2</v>
      </c>
      <c r="AB104" s="776">
        <f t="shared" si="158"/>
        <v>-9.0238973802825126E-2</v>
      </c>
      <c r="AC104" s="776">
        <f t="shared" si="158"/>
        <v>-9.0247807136158459E-2</v>
      </c>
      <c r="AD104" s="776">
        <f t="shared" si="158"/>
        <v>-9.0281473802825127E-2</v>
      </c>
      <c r="AE104" s="776">
        <f t="shared" si="158"/>
        <v>-9.0296207136158463E-2</v>
      </c>
      <c r="AF104" s="777">
        <f t="shared" si="158"/>
        <v>-9.0317307136158459E-2</v>
      </c>
      <c r="AG104" s="778">
        <f t="shared" si="158"/>
        <v>-9.0453973802825119E-2</v>
      </c>
      <c r="AI104" s="773">
        <f t="shared" si="159"/>
        <v>75.375</v>
      </c>
      <c r="AJ104" s="747">
        <f t="shared" si="147"/>
        <v>1.9777004928638415</v>
      </c>
      <c r="AK104" s="751">
        <f t="shared" si="147"/>
        <v>1.972766928974953</v>
      </c>
      <c r="AL104" s="751">
        <f t="shared" si="147"/>
        <v>1.9642465470305084</v>
      </c>
      <c r="AM104" s="751">
        <f t="shared" si="147"/>
        <v>1.9557261650860638</v>
      </c>
      <c r="AN104" s="751">
        <f t="shared" si="147"/>
        <v>1.9393610261971748</v>
      </c>
      <c r="AO104" s="751">
        <f t="shared" si="147"/>
        <v>1.9298121928638414</v>
      </c>
      <c r="AP104" s="751">
        <f t="shared" si="147"/>
        <v>1.893418526197175</v>
      </c>
      <c r="AQ104" s="751">
        <f t="shared" si="147"/>
        <v>1.8774917928638417</v>
      </c>
      <c r="AR104" s="752">
        <f t="shared" si="147"/>
        <v>1.8546826928638416</v>
      </c>
      <c r="AS104" s="751"/>
      <c r="AT104" s="674">
        <f t="shared" si="160"/>
        <v>1.75</v>
      </c>
      <c r="AU104" s="712">
        <f t="shared" si="161"/>
        <v>1.8</v>
      </c>
      <c r="AV104" s="712">
        <f t="shared" si="162"/>
        <v>1.81</v>
      </c>
      <c r="AW104" s="712">
        <f t="shared" si="163"/>
        <v>1.83</v>
      </c>
      <c r="AX104" s="712">
        <f t="shared" si="164"/>
        <v>1.84</v>
      </c>
      <c r="AY104" s="712">
        <f t="shared" si="165"/>
        <v>1.86</v>
      </c>
      <c r="AZ104" s="712">
        <f t="shared" si="166"/>
        <v>1.88</v>
      </c>
      <c r="BA104" s="712">
        <f t="shared" si="167"/>
        <v>1.9</v>
      </c>
      <c r="BB104" s="712">
        <f t="shared" si="168"/>
        <v>1.92</v>
      </c>
      <c r="BC104" s="779">
        <f t="shared" si="169"/>
        <v>1000000</v>
      </c>
      <c r="BD104" s="780">
        <f t="shared" si="170"/>
        <v>-1000000</v>
      </c>
      <c r="BF104" s="781">
        <f t="shared" si="171"/>
        <v>1.9779022359943337</v>
      </c>
      <c r="BG104" s="767">
        <f t="shared" si="171"/>
        <v>1.9487106957638101</v>
      </c>
      <c r="BH104" s="767">
        <f t="shared" si="171"/>
        <v>2.0462371380436224</v>
      </c>
      <c r="BI104" s="767">
        <f t="shared" si="171"/>
        <v>2.00768145127536</v>
      </c>
      <c r="BJ104" s="767">
        <f t="shared" si="171"/>
        <v>1.9979317329626316</v>
      </c>
      <c r="BK104" s="767">
        <f t="shared" si="171"/>
        <v>1.9960978641292819</v>
      </c>
      <c r="BL104" s="767">
        <f t="shared" si="171"/>
        <v>1.9933919223784513</v>
      </c>
      <c r="BM104" s="767">
        <f t="shared" si="171"/>
        <v>1.9928835722090306</v>
      </c>
      <c r="BN104" s="767">
        <f t="shared" si="171"/>
        <v>1.9923971448855953</v>
      </c>
      <c r="BO104" s="782">
        <f t="shared" si="171"/>
        <v>1.9912153274636217</v>
      </c>
      <c r="BP104" s="781">
        <f t="shared" si="148"/>
        <v>1.9779022359943337</v>
      </c>
      <c r="BQ104" s="767">
        <f t="shared" si="148"/>
        <v>1.9487106957638101</v>
      </c>
      <c r="BR104" s="767">
        <f t="shared" si="148"/>
        <v>-1000000</v>
      </c>
      <c r="BS104" s="767">
        <f t="shared" si="148"/>
        <v>-1000000</v>
      </c>
      <c r="BT104" s="767">
        <f t="shared" si="148"/>
        <v>-1000000</v>
      </c>
      <c r="BU104" s="767">
        <f t="shared" si="148"/>
        <v>-1000000</v>
      </c>
      <c r="BV104" s="767">
        <f t="shared" si="148"/>
        <v>-1000000</v>
      </c>
      <c r="BW104" s="767">
        <f t="shared" si="148"/>
        <v>-1000000</v>
      </c>
      <c r="BX104" s="767">
        <f t="shared" si="148"/>
        <v>-1000000</v>
      </c>
      <c r="BY104" s="767">
        <f t="shared" si="148"/>
        <v>-1000000</v>
      </c>
      <c r="BZ104" s="648">
        <f t="shared" si="151"/>
        <v>67</v>
      </c>
      <c r="CA104" s="767">
        <f t="shared" si="152"/>
        <v>1.9779022359943337</v>
      </c>
      <c r="CB104" s="767">
        <f t="shared" si="152"/>
        <v>1.9487106957638101</v>
      </c>
      <c r="CC104" s="767"/>
      <c r="CD104" s="767"/>
      <c r="CE104" s="767"/>
      <c r="CF104" s="767"/>
      <c r="CG104" s="767"/>
      <c r="CH104" s="767"/>
      <c r="CI104" s="767"/>
      <c r="CJ104" s="767"/>
      <c r="CK104" s="781">
        <f t="shared" si="153"/>
        <v>1.75</v>
      </c>
      <c r="CL104" s="783">
        <f t="shared" si="172"/>
        <v>1000000</v>
      </c>
      <c r="CM104" s="552"/>
      <c r="CN104" s="552"/>
      <c r="CO104" s="552"/>
      <c r="CP104" s="552"/>
      <c r="CQ104" s="552"/>
      <c r="CR104" s="552"/>
      <c r="CS104" s="552"/>
      <c r="CT104" s="552"/>
      <c r="CU104" s="552"/>
      <c r="CV104" s="552"/>
      <c r="CW104" s="552"/>
      <c r="CX104" s="552"/>
      <c r="CY104" s="552"/>
      <c r="CZ104" s="642">
        <f t="shared" si="133"/>
        <v>97</v>
      </c>
      <c r="DA104" s="609">
        <f t="shared" si="110"/>
        <v>109.125</v>
      </c>
      <c r="DB104" s="609">
        <f t="shared" si="121"/>
        <v>38.799999999999997</v>
      </c>
      <c r="DC104" s="610">
        <f t="shared" si="139"/>
        <v>134.98365422988167</v>
      </c>
      <c r="DD104" s="611">
        <f t="shared" si="139"/>
        <v>134.99508924497977</v>
      </c>
      <c r="DE104" s="612">
        <f t="shared" si="139"/>
        <v>134.99975705639287</v>
      </c>
      <c r="DF104" s="610">
        <f t="shared" si="140"/>
        <v>19.411764705882348</v>
      </c>
      <c r="DG104" s="611">
        <f t="shared" si="140"/>
        <v>22</v>
      </c>
      <c r="DH104" s="612">
        <f t="shared" si="140"/>
        <v>28.470588235294098</v>
      </c>
      <c r="DI104" s="610">
        <f t="shared" si="111"/>
        <v>154.39541893576401</v>
      </c>
      <c r="DJ104" s="611">
        <f t="shared" si="111"/>
        <v>156.99508924497977</v>
      </c>
      <c r="DK104" s="612">
        <f t="shared" si="111"/>
        <v>163.47034529168695</v>
      </c>
      <c r="DL104" s="613">
        <f t="shared" si="177"/>
        <v>154.39541893576401</v>
      </c>
      <c r="DM104" s="613">
        <f t="shared" si="177"/>
        <v>156.99508924497977</v>
      </c>
      <c r="DN104" s="613">
        <f t="shared" si="177"/>
        <v>163.47034529168695</v>
      </c>
      <c r="DO104" s="609">
        <f t="shared" si="112"/>
        <v>135</v>
      </c>
      <c r="DP104" s="609"/>
      <c r="DQ104" s="609">
        <f t="shared" si="123"/>
        <v>38.799999999999997</v>
      </c>
      <c r="DR104" s="610">
        <f t="shared" si="173"/>
        <v>3.7995746439671487E-3</v>
      </c>
      <c r="DS104" s="611">
        <f t="shared" si="173"/>
        <v>1.2937058010850913E-3</v>
      </c>
      <c r="DT104" s="612">
        <f t="shared" si="173"/>
        <v>8.2825962445762973E-5</v>
      </c>
      <c r="DU104" s="611">
        <f t="shared" ref="DU104:DW119" si="178">(DL104-DL103)/($DQ104-$DQ103)</f>
        <v>3.9818212832188633E-3</v>
      </c>
      <c r="DV104" s="611">
        <f t="shared" si="178"/>
        <v>1.3643281720732438E-3</v>
      </c>
      <c r="DW104" s="611">
        <f t="shared" si="178"/>
        <v>8.8739193842004248E-5</v>
      </c>
      <c r="DX104" s="614">
        <f t="shared" si="114"/>
        <v>12.5</v>
      </c>
      <c r="DY104" s="615"/>
      <c r="DZ104" s="609">
        <f t="shared" si="124"/>
        <v>38.799999999999997</v>
      </c>
      <c r="EA104" s="611">
        <f t="shared" si="141"/>
        <v>2.1838629032258066</v>
      </c>
      <c r="EB104" s="611">
        <f t="shared" si="141"/>
        <v>1000000</v>
      </c>
      <c r="EC104" s="611">
        <f t="shared" si="141"/>
        <v>1000000</v>
      </c>
      <c r="ED104" s="610">
        <f t="shared" si="142"/>
        <v>0.22002999999999975</v>
      </c>
      <c r="EE104" s="611">
        <f t="shared" si="142"/>
        <v>0.22005999999999976</v>
      </c>
      <c r="EF104" s="612">
        <f t="shared" si="142"/>
        <v>0.22012499999999974</v>
      </c>
      <c r="EG104" s="611">
        <f t="shared" si="115"/>
        <v>2.4038929032258065</v>
      </c>
      <c r="EH104" s="611">
        <f t="shared" si="115"/>
        <v>1000000.22006</v>
      </c>
      <c r="EI104" s="611">
        <f t="shared" si="115"/>
        <v>1000000.220125</v>
      </c>
      <c r="EJ104" s="610">
        <f t="shared" si="125"/>
        <v>2.2999999999999998</v>
      </c>
      <c r="EK104" s="643">
        <f t="shared" si="126"/>
        <v>2.25</v>
      </c>
      <c r="EL104" s="644">
        <f t="shared" si="127"/>
        <v>2.83</v>
      </c>
      <c r="EN104" s="620">
        <f t="shared" si="128"/>
        <v>21.151388888888889</v>
      </c>
      <c r="EO104" s="621">
        <f t="shared" si="143"/>
        <v>59.261269685490781</v>
      </c>
      <c r="EP104" s="621">
        <f t="shared" si="143"/>
        <v>78.179279673024269</v>
      </c>
      <c r="EQ104" s="621">
        <f t="shared" si="143"/>
        <v>93.665913585942761</v>
      </c>
      <c r="ER104" s="610">
        <f t="shared" si="174"/>
        <v>21.384899829004226</v>
      </c>
      <c r="ES104" s="611">
        <f t="shared" si="174"/>
        <v>49.388484263802965</v>
      </c>
      <c r="ET104" s="612">
        <f t="shared" si="174"/>
        <v>73.633315278475123</v>
      </c>
      <c r="EU104" s="610">
        <f t="shared" si="129"/>
        <v>100</v>
      </c>
      <c r="EV104" s="611">
        <f t="shared" si="130"/>
        <v>135</v>
      </c>
      <c r="EW104" s="645">
        <f t="shared" si="131"/>
        <v>-1000000</v>
      </c>
      <c r="EX104" s="610">
        <f t="shared" si="117"/>
        <v>-37.876369856486555</v>
      </c>
      <c r="EY104" s="621">
        <f t="shared" si="118"/>
        <v>-28.790795409221303</v>
      </c>
      <c r="EZ104" s="612">
        <f t="shared" si="119"/>
        <v>-20.032598307467644</v>
      </c>
      <c r="FA104" s="646">
        <f t="shared" si="120"/>
        <v>21.151388888888889</v>
      </c>
      <c r="FB104" s="317"/>
      <c r="FC104" s="552"/>
      <c r="FD104" s="552"/>
      <c r="FE104" s="552"/>
      <c r="FF104" s="552"/>
      <c r="FG104" s="552"/>
      <c r="FH104" s="552"/>
      <c r="FI104" s="552"/>
      <c r="FJ104" s="552"/>
      <c r="FK104" s="552"/>
      <c r="FL104" s="552"/>
      <c r="FM104" s="552"/>
      <c r="FN104" s="552"/>
      <c r="FO104" s="552"/>
      <c r="FP104" s="552"/>
      <c r="FQ104" s="552"/>
      <c r="FR104" s="552"/>
      <c r="FS104" s="552"/>
      <c r="FT104" s="552"/>
    </row>
    <row r="105" spans="2:176" s="564" customFormat="1" ht="15" customHeight="1" x14ac:dyDescent="0.2">
      <c r="B105" s="785">
        <f t="shared" si="175"/>
        <v>12</v>
      </c>
      <c r="C105" s="786">
        <f>$I$9</f>
        <v>107</v>
      </c>
      <c r="D105" s="787">
        <f>$B$9</f>
        <v>1.81</v>
      </c>
      <c r="E105" s="788">
        <f t="shared" si="149"/>
        <v>8.9166666666666661</v>
      </c>
      <c r="F105" s="791"/>
      <c r="G105" s="747">
        <f t="shared" si="150"/>
        <v>1.7779842010828864</v>
      </c>
      <c r="H105" s="789">
        <f t="shared" si="154"/>
        <v>1.025011380301059E-3</v>
      </c>
      <c r="I105" s="689"/>
      <c r="J105" s="773">
        <f t="shared" si="176"/>
        <v>68</v>
      </c>
      <c r="K105" s="774">
        <f t="shared" si="155"/>
        <v>76.5</v>
      </c>
      <c r="L105" s="747">
        <f t="shared" si="156"/>
        <v>2.0676713846153847</v>
      </c>
      <c r="M105" s="751">
        <f t="shared" si="156"/>
        <v>2.0626475961538464</v>
      </c>
      <c r="N105" s="751">
        <f t="shared" si="156"/>
        <v>2.0539713942307691</v>
      </c>
      <c r="O105" s="751">
        <f t="shared" si="156"/>
        <v>2.0452951923076923</v>
      </c>
      <c r="P105" s="751">
        <f t="shared" si="156"/>
        <v>2.0286307692307695</v>
      </c>
      <c r="Q105" s="751">
        <f t="shared" si="156"/>
        <v>2.0189073076923076</v>
      </c>
      <c r="R105" s="751">
        <f t="shared" si="156"/>
        <v>1.9818480769230771</v>
      </c>
      <c r="S105" s="751">
        <f t="shared" si="156"/>
        <v>1.965630076923077</v>
      </c>
      <c r="T105" s="752">
        <f t="shared" si="156"/>
        <v>1.9424038461538462</v>
      </c>
      <c r="U105" s="753">
        <f t="shared" si="156"/>
        <v>1.7919653846153847</v>
      </c>
      <c r="W105" s="773">
        <f t="shared" si="157"/>
        <v>76.5</v>
      </c>
      <c r="X105" s="775">
        <f t="shared" si="158"/>
        <v>-9.0639390132887535E-2</v>
      </c>
      <c r="Y105" s="776">
        <f t="shared" si="158"/>
        <v>-9.0643954021776427E-2</v>
      </c>
      <c r="Z105" s="776">
        <f t="shared" si="158"/>
        <v>-9.0651835966220867E-2</v>
      </c>
      <c r="AA105" s="776">
        <f t="shared" si="158"/>
        <v>-9.0659717910665308E-2</v>
      </c>
      <c r="AB105" s="776">
        <f t="shared" si="158"/>
        <v>-9.0674856799554199E-2</v>
      </c>
      <c r="AC105" s="776">
        <f t="shared" si="158"/>
        <v>-9.0683690132887532E-2</v>
      </c>
      <c r="AD105" s="776">
        <f t="shared" si="158"/>
        <v>-9.07173567995542E-2</v>
      </c>
      <c r="AE105" s="776">
        <f t="shared" si="158"/>
        <v>-9.0732090132887536E-2</v>
      </c>
      <c r="AF105" s="777">
        <f t="shared" si="158"/>
        <v>-9.0753190132887532E-2</v>
      </c>
      <c r="AG105" s="778">
        <f t="shared" si="158"/>
        <v>-9.0889856799554192E-2</v>
      </c>
      <c r="AI105" s="773">
        <f t="shared" si="159"/>
        <v>76.5</v>
      </c>
      <c r="AJ105" s="747">
        <f t="shared" si="147"/>
        <v>1.9770319944824972</v>
      </c>
      <c r="AK105" s="751">
        <f t="shared" si="147"/>
        <v>1.9720036421320699</v>
      </c>
      <c r="AL105" s="751">
        <f t="shared" si="147"/>
        <v>1.9633195582645482</v>
      </c>
      <c r="AM105" s="751">
        <f t="shared" si="147"/>
        <v>1.9546354743970269</v>
      </c>
      <c r="AN105" s="751">
        <f t="shared" si="147"/>
        <v>1.9379559124312153</v>
      </c>
      <c r="AO105" s="751">
        <f t="shared" si="147"/>
        <v>1.9282236175594201</v>
      </c>
      <c r="AP105" s="751">
        <f t="shared" si="147"/>
        <v>1.8911307201235228</v>
      </c>
      <c r="AQ105" s="751">
        <f t="shared" si="147"/>
        <v>1.8748979867901894</v>
      </c>
      <c r="AR105" s="752">
        <f t="shared" si="147"/>
        <v>1.8516506560209587</v>
      </c>
      <c r="AS105" s="751"/>
      <c r="AT105" s="674">
        <f t="shared" si="160"/>
        <v>1.75</v>
      </c>
      <c r="AU105" s="712">
        <f t="shared" si="161"/>
        <v>1.8</v>
      </c>
      <c r="AV105" s="712">
        <f t="shared" si="162"/>
        <v>1.81</v>
      </c>
      <c r="AW105" s="712">
        <f t="shared" si="163"/>
        <v>1.83</v>
      </c>
      <c r="AX105" s="712">
        <f t="shared" si="164"/>
        <v>1.84</v>
      </c>
      <c r="AY105" s="712">
        <f t="shared" si="165"/>
        <v>1.86</v>
      </c>
      <c r="AZ105" s="712">
        <f t="shared" si="166"/>
        <v>1.88</v>
      </c>
      <c r="BA105" s="712">
        <f t="shared" si="167"/>
        <v>1.9</v>
      </c>
      <c r="BB105" s="712">
        <f t="shared" si="168"/>
        <v>1.92</v>
      </c>
      <c r="BC105" s="779">
        <f t="shared" si="169"/>
        <v>1000000</v>
      </c>
      <c r="BD105" s="780">
        <f t="shared" si="170"/>
        <v>-1000000</v>
      </c>
      <c r="BF105" s="781">
        <f t="shared" si="171"/>
        <v>1.977232625244989</v>
      </c>
      <c r="BG105" s="767">
        <f t="shared" si="171"/>
        <v>1.9465990848885613</v>
      </c>
      <c r="BH105" s="767">
        <f t="shared" si="171"/>
        <v>2.0402578340317321</v>
      </c>
      <c r="BI105" s="767">
        <f t="shared" si="171"/>
        <v>2.0066214307476904</v>
      </c>
      <c r="BJ105" s="767">
        <f t="shared" si="171"/>
        <v>1.9974987923112431</v>
      </c>
      <c r="BK105" s="767">
        <f t="shared" si="171"/>
        <v>1.9957523740746621</v>
      </c>
      <c r="BL105" s="767">
        <f t="shared" si="171"/>
        <v>1.9931570155845066</v>
      </c>
      <c r="BM105" s="767">
        <f t="shared" si="171"/>
        <v>1.9926668076275706</v>
      </c>
      <c r="BN105" s="767">
        <f t="shared" si="171"/>
        <v>1.9921968269650818</v>
      </c>
      <c r="BO105" s="782">
        <f t="shared" si="171"/>
        <v>1.9910496223769811</v>
      </c>
      <c r="BP105" s="781">
        <f t="shared" si="148"/>
        <v>1.977232625244989</v>
      </c>
      <c r="BQ105" s="767">
        <f t="shared" si="148"/>
        <v>1.9465990848885613</v>
      </c>
      <c r="BR105" s="767">
        <f t="shared" si="148"/>
        <v>-1000000</v>
      </c>
      <c r="BS105" s="767">
        <f t="shared" si="148"/>
        <v>-1000000</v>
      </c>
      <c r="BT105" s="767">
        <f t="shared" si="148"/>
        <v>-1000000</v>
      </c>
      <c r="BU105" s="767">
        <f t="shared" si="148"/>
        <v>-1000000</v>
      </c>
      <c r="BV105" s="767">
        <f t="shared" si="148"/>
        <v>-1000000</v>
      </c>
      <c r="BW105" s="767">
        <f t="shared" si="148"/>
        <v>-1000000</v>
      </c>
      <c r="BX105" s="767">
        <f t="shared" si="148"/>
        <v>-1000000</v>
      </c>
      <c r="BY105" s="767">
        <f t="shared" si="148"/>
        <v>-1000000</v>
      </c>
      <c r="BZ105" s="648">
        <f t="shared" si="151"/>
        <v>68</v>
      </c>
      <c r="CA105" s="767">
        <f t="shared" si="152"/>
        <v>1.977232625244989</v>
      </c>
      <c r="CB105" s="767">
        <f t="shared" si="152"/>
        <v>1.9465990848885613</v>
      </c>
      <c r="CC105" s="767"/>
      <c r="CD105" s="767"/>
      <c r="CE105" s="767"/>
      <c r="CF105" s="767"/>
      <c r="CG105" s="767"/>
      <c r="CH105" s="767"/>
      <c r="CI105" s="767"/>
      <c r="CJ105" s="767"/>
      <c r="CK105" s="781">
        <f t="shared" si="153"/>
        <v>1.75</v>
      </c>
      <c r="CL105" s="783">
        <f t="shared" si="172"/>
        <v>1000000</v>
      </c>
      <c r="CM105" s="552"/>
      <c r="CN105" s="552"/>
      <c r="CO105" s="552"/>
      <c r="CP105" s="552"/>
      <c r="CQ105" s="552"/>
      <c r="CR105" s="552"/>
      <c r="CS105" s="552"/>
      <c r="CT105" s="552"/>
      <c r="CU105" s="552"/>
      <c r="CV105" s="552"/>
      <c r="CW105" s="552"/>
      <c r="CX105" s="552"/>
      <c r="CY105" s="552"/>
      <c r="CZ105" s="642">
        <f t="shared" si="133"/>
        <v>98</v>
      </c>
      <c r="DA105" s="609">
        <f t="shared" si="110"/>
        <v>110.25</v>
      </c>
      <c r="DB105" s="609">
        <f t="shared" si="121"/>
        <v>39.200000000000003</v>
      </c>
      <c r="DC105" s="610">
        <f t="shared" si="139"/>
        <v>134.98510554276314</v>
      </c>
      <c r="DD105" s="611">
        <f t="shared" si="139"/>
        <v>134.99558039485646</v>
      </c>
      <c r="DE105" s="612">
        <f t="shared" si="139"/>
        <v>134.99978802705118</v>
      </c>
      <c r="DF105" s="610">
        <f t="shared" si="140"/>
        <v>19.411764705882348</v>
      </c>
      <c r="DG105" s="611">
        <f t="shared" si="140"/>
        <v>22</v>
      </c>
      <c r="DH105" s="612">
        <f t="shared" si="140"/>
        <v>28.470588235294098</v>
      </c>
      <c r="DI105" s="610">
        <f t="shared" si="111"/>
        <v>154.39687024864548</v>
      </c>
      <c r="DJ105" s="611">
        <f t="shared" si="111"/>
        <v>156.99558039485646</v>
      </c>
      <c r="DK105" s="612">
        <f t="shared" si="111"/>
        <v>163.47037626234527</v>
      </c>
      <c r="DL105" s="613">
        <f t="shared" si="177"/>
        <v>154.39687024864548</v>
      </c>
      <c r="DM105" s="613">
        <f t="shared" si="177"/>
        <v>156.99558039485646</v>
      </c>
      <c r="DN105" s="613">
        <f t="shared" si="177"/>
        <v>163.47037626234527</v>
      </c>
      <c r="DO105" s="609">
        <f t="shared" si="112"/>
        <v>135</v>
      </c>
      <c r="DP105" s="609"/>
      <c r="DQ105" s="609">
        <f t="shared" si="123"/>
        <v>39.200000000000003</v>
      </c>
      <c r="DR105" s="610">
        <f t="shared" si="173"/>
        <v>3.4622169309280137E-3</v>
      </c>
      <c r="DS105" s="611">
        <f t="shared" si="173"/>
        <v>1.1643156274600598E-3</v>
      </c>
      <c r="DT105" s="612">
        <f t="shared" si="173"/>
        <v>7.2267238092292062E-5</v>
      </c>
      <c r="DU105" s="611">
        <f t="shared" si="178"/>
        <v>3.6282822036781165E-3</v>
      </c>
      <c r="DV105" s="611">
        <f t="shared" si="178"/>
        <v>1.2278746917360021E-3</v>
      </c>
      <c r="DW105" s="611">
        <f t="shared" si="178"/>
        <v>7.7426645788135641E-5</v>
      </c>
      <c r="DX105" s="614">
        <f t="shared" si="114"/>
        <v>12.5</v>
      </c>
      <c r="DY105" s="615"/>
      <c r="DZ105" s="609">
        <f t="shared" si="124"/>
        <v>39.200000000000003</v>
      </c>
      <c r="EA105" s="611">
        <f t="shared" si="141"/>
        <v>2.1910258620689658</v>
      </c>
      <c r="EB105" s="611">
        <f t="shared" si="141"/>
        <v>1000000</v>
      </c>
      <c r="EC105" s="611">
        <f t="shared" si="141"/>
        <v>1000000</v>
      </c>
      <c r="ED105" s="610">
        <f t="shared" si="142"/>
        <v>0.22002999999999975</v>
      </c>
      <c r="EE105" s="611">
        <f t="shared" si="142"/>
        <v>0.22005999999999976</v>
      </c>
      <c r="EF105" s="612">
        <f t="shared" si="142"/>
        <v>0.22012499999999974</v>
      </c>
      <c r="EG105" s="611">
        <f t="shared" si="115"/>
        <v>2.4110558620689657</v>
      </c>
      <c r="EH105" s="611">
        <f t="shared" si="115"/>
        <v>1000000.22006</v>
      </c>
      <c r="EI105" s="611">
        <f t="shared" si="115"/>
        <v>1000000.220125</v>
      </c>
      <c r="EJ105" s="610">
        <f t="shared" si="125"/>
        <v>2.2999999999999998</v>
      </c>
      <c r="EK105" s="643">
        <f t="shared" si="126"/>
        <v>2.25</v>
      </c>
      <c r="EL105" s="644">
        <f t="shared" si="127"/>
        <v>2.83</v>
      </c>
      <c r="EN105" s="620">
        <f t="shared" si="128"/>
        <v>21.369444444444444</v>
      </c>
      <c r="EO105" s="621">
        <f t="shared" si="143"/>
        <v>58.481383906421058</v>
      </c>
      <c r="EP105" s="621">
        <f t="shared" si="143"/>
        <v>77.594020162371635</v>
      </c>
      <c r="EQ105" s="621">
        <f t="shared" si="143"/>
        <v>93.240064745951969</v>
      </c>
      <c r="ER105" s="610">
        <f t="shared" si="174"/>
        <v>20.605002534769739</v>
      </c>
      <c r="ES105" s="611">
        <f t="shared" si="174"/>
        <v>48.778017796328349</v>
      </c>
      <c r="ET105" s="612">
        <f t="shared" si="174"/>
        <v>73.043420455178364</v>
      </c>
      <c r="EU105" s="610">
        <f t="shared" si="129"/>
        <v>100</v>
      </c>
      <c r="EV105" s="611">
        <f t="shared" si="130"/>
        <v>135</v>
      </c>
      <c r="EW105" s="645">
        <f t="shared" si="131"/>
        <v>-1000000</v>
      </c>
      <c r="EX105" s="610">
        <f t="shared" si="117"/>
        <v>-37.87638137165132</v>
      </c>
      <c r="EY105" s="621">
        <f t="shared" si="118"/>
        <v>-28.816002366043286</v>
      </c>
      <c r="EZ105" s="612">
        <f t="shared" si="119"/>
        <v>-20.196644290773605</v>
      </c>
      <c r="FA105" s="646">
        <f t="shared" si="120"/>
        <v>21.369444444444444</v>
      </c>
      <c r="FB105" s="317"/>
      <c r="FC105" s="552"/>
      <c r="FD105" s="552"/>
      <c r="FE105" s="552"/>
      <c r="FF105" s="552"/>
      <c r="FG105" s="552"/>
      <c r="FH105" s="552"/>
      <c r="FI105" s="552"/>
      <c r="FJ105" s="552"/>
      <c r="FK105" s="552"/>
      <c r="FL105" s="552"/>
      <c r="FM105" s="552"/>
      <c r="FN105" s="552"/>
      <c r="FO105" s="552"/>
      <c r="FP105" s="552"/>
      <c r="FQ105" s="552"/>
      <c r="FR105" s="552"/>
      <c r="FS105" s="552"/>
      <c r="FT105" s="552"/>
    </row>
    <row r="106" spans="2:176" s="564" customFormat="1" ht="15" customHeight="1" x14ac:dyDescent="0.2">
      <c r="B106" s="647">
        <f t="shared" si="175"/>
        <v>12</v>
      </c>
      <c r="C106" s="652">
        <f>$I$10</f>
        <v>106</v>
      </c>
      <c r="D106" s="771">
        <f>$B$10</f>
        <v>1.83</v>
      </c>
      <c r="E106" s="772">
        <f t="shared" si="149"/>
        <v>8.8333333333333339</v>
      </c>
      <c r="F106" s="689"/>
      <c r="G106" s="747">
        <f t="shared" si="150"/>
        <v>1.7870033346759802</v>
      </c>
      <c r="H106" s="748">
        <f t="shared" si="154"/>
        <v>1.8487132289857762E-3</v>
      </c>
      <c r="I106" s="689"/>
      <c r="J106" s="773">
        <f t="shared" si="176"/>
        <v>69</v>
      </c>
      <c r="K106" s="774">
        <f t="shared" si="155"/>
        <v>77.625</v>
      </c>
      <c r="L106" s="747">
        <f t="shared" si="156"/>
        <v>2.0674296470588236</v>
      </c>
      <c r="M106" s="751">
        <f t="shared" si="156"/>
        <v>2.0623073529411764</v>
      </c>
      <c r="N106" s="751">
        <f t="shared" si="156"/>
        <v>2.0534610294117646</v>
      </c>
      <c r="O106" s="751">
        <f t="shared" si="156"/>
        <v>2.0446147058823532</v>
      </c>
      <c r="P106" s="751">
        <f t="shared" si="156"/>
        <v>2.0276235294117648</v>
      </c>
      <c r="Q106" s="751">
        <f t="shared" si="156"/>
        <v>2.0177094117647059</v>
      </c>
      <c r="R106" s="751">
        <f t="shared" si="156"/>
        <v>1.9799235294117647</v>
      </c>
      <c r="S106" s="751">
        <f t="shared" si="156"/>
        <v>1.9633875294117649</v>
      </c>
      <c r="T106" s="752">
        <f t="shared" si="156"/>
        <v>1.9397058823529414</v>
      </c>
      <c r="U106" s="753">
        <f t="shared" si="156"/>
        <v>1.7863176470588236</v>
      </c>
      <c r="W106" s="773">
        <f t="shared" si="157"/>
        <v>77.625</v>
      </c>
      <c r="X106" s="775">
        <f t="shared" si="158"/>
        <v>-9.1053543968153156E-2</v>
      </c>
      <c r="Y106" s="776">
        <f t="shared" si="158"/>
        <v>-9.1058107857042048E-2</v>
      </c>
      <c r="Z106" s="776">
        <f t="shared" si="158"/>
        <v>-9.1065989801486488E-2</v>
      </c>
      <c r="AA106" s="776">
        <f t="shared" si="158"/>
        <v>-9.1073871745930929E-2</v>
      </c>
      <c r="AB106" s="776">
        <f t="shared" si="158"/>
        <v>-9.108901063481982E-2</v>
      </c>
      <c r="AC106" s="776">
        <f t="shared" si="158"/>
        <v>-9.1097843968153153E-2</v>
      </c>
      <c r="AD106" s="776">
        <f t="shared" si="158"/>
        <v>-9.1131510634819821E-2</v>
      </c>
      <c r="AE106" s="776">
        <f t="shared" si="158"/>
        <v>-9.1146243968153157E-2</v>
      </c>
      <c r="AF106" s="777">
        <f t="shared" si="158"/>
        <v>-9.1167343968153153E-2</v>
      </c>
      <c r="AG106" s="778">
        <f t="shared" si="158"/>
        <v>-9.1304010634819813E-2</v>
      </c>
      <c r="AI106" s="773">
        <f t="shared" si="159"/>
        <v>77.625</v>
      </c>
      <c r="AJ106" s="747">
        <f t="shared" si="147"/>
        <v>1.9763761030906704</v>
      </c>
      <c r="AK106" s="751">
        <f t="shared" si="147"/>
        <v>1.9712492450841343</v>
      </c>
      <c r="AL106" s="751">
        <f t="shared" si="147"/>
        <v>1.9623950396102781</v>
      </c>
      <c r="AM106" s="751">
        <f t="shared" si="147"/>
        <v>1.9535408341364222</v>
      </c>
      <c r="AN106" s="751">
        <f t="shared" si="147"/>
        <v>1.9365345187769449</v>
      </c>
      <c r="AO106" s="751">
        <f t="shared" si="147"/>
        <v>1.9266115677965527</v>
      </c>
      <c r="AP106" s="751">
        <f t="shared" si="147"/>
        <v>1.8887920187769449</v>
      </c>
      <c r="AQ106" s="751">
        <f t="shared" si="147"/>
        <v>1.8722412854436117</v>
      </c>
      <c r="AR106" s="752">
        <f t="shared" si="147"/>
        <v>1.8485385383847883</v>
      </c>
      <c r="AS106" s="751"/>
      <c r="AT106" s="674">
        <f t="shared" si="160"/>
        <v>1.75</v>
      </c>
      <c r="AU106" s="712">
        <f t="shared" si="161"/>
        <v>1.8</v>
      </c>
      <c r="AV106" s="712">
        <f t="shared" si="162"/>
        <v>1.81</v>
      </c>
      <c r="AW106" s="712">
        <f t="shared" si="163"/>
        <v>1.83</v>
      </c>
      <c r="AX106" s="712">
        <f t="shared" si="164"/>
        <v>1.84</v>
      </c>
      <c r="AY106" s="712">
        <f t="shared" si="165"/>
        <v>1.86</v>
      </c>
      <c r="AZ106" s="712">
        <f t="shared" si="166"/>
        <v>1.88</v>
      </c>
      <c r="BA106" s="712">
        <f t="shared" si="167"/>
        <v>1.9</v>
      </c>
      <c r="BB106" s="712">
        <f t="shared" si="168"/>
        <v>1.92</v>
      </c>
      <c r="BC106" s="779">
        <f t="shared" si="169"/>
        <v>1000000</v>
      </c>
      <c r="BD106" s="780">
        <f t="shared" si="170"/>
        <v>-1000000</v>
      </c>
      <c r="BF106" s="781">
        <f t="shared" si="171"/>
        <v>1.9765760009453943</v>
      </c>
      <c r="BG106" s="767">
        <f t="shared" si="171"/>
        <v>1.9442626102216252</v>
      </c>
      <c r="BH106" s="767">
        <f t="shared" si="171"/>
        <v>2.0352814731345594</v>
      </c>
      <c r="BI106" s="767">
        <f t="shared" si="171"/>
        <v>2.0056425264097002</v>
      </c>
      <c r="BJ106" s="767">
        <f t="shared" si="171"/>
        <v>1.9970874649884267</v>
      </c>
      <c r="BK106" s="767">
        <f t="shared" si="171"/>
        <v>1.9954223510922511</v>
      </c>
      <c r="BL106" s="767">
        <f t="shared" si="171"/>
        <v>1.9929308316873438</v>
      </c>
      <c r="BM106" s="767">
        <f t="shared" si="171"/>
        <v>1.9924577837070427</v>
      </c>
      <c r="BN106" s="767">
        <f t="shared" si="171"/>
        <v>1.9920033928219054</v>
      </c>
      <c r="BO106" s="782">
        <f t="shared" si="171"/>
        <v>1.9908891084903011</v>
      </c>
      <c r="BP106" s="781">
        <f t="shared" si="148"/>
        <v>1.9765760009453943</v>
      </c>
      <c r="BQ106" s="767">
        <f t="shared" si="148"/>
        <v>1.9442626102216252</v>
      </c>
      <c r="BR106" s="767">
        <f t="shared" si="148"/>
        <v>-1000000</v>
      </c>
      <c r="BS106" s="767">
        <f t="shared" si="148"/>
        <v>-1000000</v>
      </c>
      <c r="BT106" s="767">
        <f t="shared" si="148"/>
        <v>-1000000</v>
      </c>
      <c r="BU106" s="767">
        <f t="shared" si="148"/>
        <v>-1000000</v>
      </c>
      <c r="BV106" s="767">
        <f t="shared" si="148"/>
        <v>-1000000</v>
      </c>
      <c r="BW106" s="767">
        <f t="shared" si="148"/>
        <v>-1000000</v>
      </c>
      <c r="BX106" s="767">
        <f t="shared" si="148"/>
        <v>-1000000</v>
      </c>
      <c r="BY106" s="767">
        <f t="shared" si="148"/>
        <v>-1000000</v>
      </c>
      <c r="BZ106" s="648">
        <f t="shared" si="151"/>
        <v>69</v>
      </c>
      <c r="CA106" s="767">
        <f t="shared" si="152"/>
        <v>1.9765760009453943</v>
      </c>
      <c r="CB106" s="767">
        <f t="shared" si="152"/>
        <v>1.9442626102216252</v>
      </c>
      <c r="CC106" s="767"/>
      <c r="CD106" s="767"/>
      <c r="CE106" s="767"/>
      <c r="CF106" s="767"/>
      <c r="CG106" s="767"/>
      <c r="CH106" s="767"/>
      <c r="CI106" s="767"/>
      <c r="CJ106" s="767"/>
      <c r="CK106" s="781">
        <f t="shared" si="153"/>
        <v>1.75</v>
      </c>
      <c r="CL106" s="783">
        <f t="shared" si="172"/>
        <v>1000000</v>
      </c>
      <c r="CM106" s="552"/>
      <c r="CN106" s="552"/>
      <c r="CO106" s="552"/>
      <c r="CP106" s="552"/>
      <c r="CQ106" s="552"/>
      <c r="CR106" s="552"/>
      <c r="CS106" s="552"/>
      <c r="CT106" s="552"/>
      <c r="CU106" s="552"/>
      <c r="CV106" s="552"/>
      <c r="CW106" s="552"/>
      <c r="CX106" s="552"/>
      <c r="CY106" s="552"/>
      <c r="CZ106" s="642">
        <f t="shared" si="133"/>
        <v>99</v>
      </c>
      <c r="DA106" s="609">
        <f t="shared" si="110"/>
        <v>111.375</v>
      </c>
      <c r="DB106" s="609">
        <f t="shared" si="121"/>
        <v>39.599999999999994</v>
      </c>
      <c r="DC106" s="610">
        <f t="shared" ref="DC106:DE127" si="179">$CS$28*(1-EXP(-$DB106/DC$4))</f>
        <v>134.98642799606418</v>
      </c>
      <c r="DD106" s="611">
        <f t="shared" si="179"/>
        <v>134.99602242230691</v>
      </c>
      <c r="DE106" s="612">
        <f t="shared" si="179"/>
        <v>134.99981504954354</v>
      </c>
      <c r="DF106" s="610">
        <f t="shared" ref="DF106:DH127" si="180">$CS$31*((DF$3-$CS$21)+($CS$23-DF$3)*EXP(-$DB106/DF$4))</f>
        <v>19.411764705882348</v>
      </c>
      <c r="DG106" s="611">
        <f t="shared" si="180"/>
        <v>22</v>
      </c>
      <c r="DH106" s="612">
        <f t="shared" si="180"/>
        <v>28.470588235294098</v>
      </c>
      <c r="DI106" s="610">
        <f t="shared" si="111"/>
        <v>154.39819270194653</v>
      </c>
      <c r="DJ106" s="611">
        <f t="shared" si="111"/>
        <v>156.99602242230691</v>
      </c>
      <c r="DK106" s="612">
        <f t="shared" si="111"/>
        <v>163.47040328483763</v>
      </c>
      <c r="DL106" s="613">
        <f t="shared" si="177"/>
        <v>154.39819270194653</v>
      </c>
      <c r="DM106" s="613">
        <f t="shared" si="177"/>
        <v>156.99602242230691</v>
      </c>
      <c r="DN106" s="613">
        <f t="shared" si="177"/>
        <v>163.47040328483763</v>
      </c>
      <c r="DO106" s="609">
        <f t="shared" si="112"/>
        <v>135</v>
      </c>
      <c r="DP106" s="609"/>
      <c r="DQ106" s="609">
        <f t="shared" si="123"/>
        <v>39.599999999999994</v>
      </c>
      <c r="DR106" s="610">
        <f t="shared" si="173"/>
        <v>3.1548126303656472E-3</v>
      </c>
      <c r="DS106" s="611">
        <f t="shared" si="173"/>
        <v>1.0478664308459363E-3</v>
      </c>
      <c r="DT106" s="612">
        <f t="shared" si="173"/>
        <v>6.3054548927311764E-5</v>
      </c>
      <c r="DU106" s="611">
        <f t="shared" si="178"/>
        <v>3.3061332526074945E-3</v>
      </c>
      <c r="DV106" s="611">
        <f t="shared" si="178"/>
        <v>1.1050686261171686E-3</v>
      </c>
      <c r="DW106" s="611">
        <f t="shared" si="178"/>
        <v>6.7556230902711449E-5</v>
      </c>
      <c r="DX106" s="614">
        <f t="shared" si="114"/>
        <v>12.5</v>
      </c>
      <c r="DY106" s="615"/>
      <c r="DZ106" s="609">
        <f t="shared" si="124"/>
        <v>39.599999999999994</v>
      </c>
      <c r="EA106" s="611">
        <f t="shared" ref="EA106:EC127" si="181">IF((EA$4*$DZ106)&gt;=$CS$28,1000000,($CS$21+($CS$36*EA$4)/(1-(EA$4*$DZ106)/($CS$28))))</f>
        <v>2.1992500000000001</v>
      </c>
      <c r="EB106" s="611">
        <f t="shared" si="181"/>
        <v>1000000</v>
      </c>
      <c r="EC106" s="611">
        <f t="shared" si="181"/>
        <v>1000000</v>
      </c>
      <c r="ED106" s="610">
        <f t="shared" ref="ED106:EF127" si="182">($CS$25-$CS$21)+($CS$23-$CS$25)*EXP(-$DZ106/$CX$14)+$CS$37*ED$4</f>
        <v>0.22002999999999975</v>
      </c>
      <c r="EE106" s="611">
        <f t="shared" si="182"/>
        <v>0.22005999999999976</v>
      </c>
      <c r="EF106" s="612">
        <f t="shared" si="182"/>
        <v>0.22012499999999974</v>
      </c>
      <c r="EG106" s="611">
        <f t="shared" si="115"/>
        <v>2.4192800000000001</v>
      </c>
      <c r="EH106" s="611">
        <f t="shared" si="115"/>
        <v>1000000.22006</v>
      </c>
      <c r="EI106" s="611">
        <f t="shared" si="115"/>
        <v>1000000.220125</v>
      </c>
      <c r="EJ106" s="610">
        <f t="shared" si="125"/>
        <v>2.2999999999999998</v>
      </c>
      <c r="EK106" s="643">
        <f t="shared" si="126"/>
        <v>2.25</v>
      </c>
      <c r="EL106" s="644">
        <f t="shared" si="127"/>
        <v>2.83</v>
      </c>
      <c r="EN106" s="620">
        <f t="shared" si="128"/>
        <v>21.587499999999999</v>
      </c>
      <c r="EO106" s="621">
        <f t="shared" si="143"/>
        <v>57.70151700009788</v>
      </c>
      <c r="EP106" s="621">
        <f t="shared" si="143"/>
        <v>77.008771277085657</v>
      </c>
      <c r="EQ106" s="621">
        <f t="shared" si="143"/>
        <v>92.814221530082406</v>
      </c>
      <c r="ER106" s="610">
        <f t="shared" si="174"/>
        <v>19.825125600871033</v>
      </c>
      <c r="ES106" s="611">
        <f t="shared" si="174"/>
        <v>48.168712685284881</v>
      </c>
      <c r="ET106" s="612">
        <f t="shared" si="174"/>
        <v>72.456368131248524</v>
      </c>
      <c r="EU106" s="610">
        <f t="shared" si="129"/>
        <v>100</v>
      </c>
      <c r="EV106" s="611">
        <f t="shared" si="130"/>
        <v>135</v>
      </c>
      <c r="EW106" s="645">
        <f t="shared" si="131"/>
        <v>-1000000</v>
      </c>
      <c r="EX106" s="610">
        <f t="shared" si="117"/>
        <v>-37.876391399226847</v>
      </c>
      <c r="EY106" s="621">
        <f t="shared" si="118"/>
        <v>-28.840058591800776</v>
      </c>
      <c r="EZ106" s="612">
        <f t="shared" si="119"/>
        <v>-20.357853398833875</v>
      </c>
      <c r="FA106" s="646">
        <f t="shared" si="120"/>
        <v>21.587499999999999</v>
      </c>
      <c r="FB106" s="317"/>
      <c r="FC106" s="552"/>
      <c r="FD106" s="552"/>
      <c r="FE106" s="552"/>
      <c r="FF106" s="552"/>
      <c r="FG106" s="552"/>
      <c r="FH106" s="552"/>
      <c r="FI106" s="552"/>
      <c r="FJ106" s="552"/>
      <c r="FK106" s="552"/>
      <c r="FL106" s="552"/>
      <c r="FM106" s="552"/>
      <c r="FN106" s="552"/>
      <c r="FO106" s="552"/>
      <c r="FP106" s="552"/>
      <c r="FQ106" s="552"/>
      <c r="FR106" s="552"/>
      <c r="FS106" s="552"/>
      <c r="FT106" s="552"/>
    </row>
    <row r="107" spans="2:176" s="564" customFormat="1" ht="15" customHeight="1" x14ac:dyDescent="0.2">
      <c r="B107" s="647">
        <f t="shared" si="175"/>
        <v>12</v>
      </c>
      <c r="C107" s="652">
        <f>$I$11</f>
        <v>105.5</v>
      </c>
      <c r="D107" s="771">
        <f>$B$11</f>
        <v>1.84</v>
      </c>
      <c r="E107" s="772">
        <f t="shared" si="149"/>
        <v>8.7916666666666661</v>
      </c>
      <c r="F107" s="689"/>
      <c r="G107" s="747">
        <f t="shared" si="150"/>
        <v>1.7912877494487796</v>
      </c>
      <c r="H107" s="748">
        <f t="shared" si="154"/>
        <v>2.3728833537648843E-3</v>
      </c>
      <c r="I107" s="689"/>
      <c r="J107" s="773">
        <f t="shared" si="176"/>
        <v>70</v>
      </c>
      <c r="K107" s="774">
        <f t="shared" si="155"/>
        <v>78.75</v>
      </c>
      <c r="L107" s="747">
        <f t="shared" si="156"/>
        <v>2.0671782400000001</v>
      </c>
      <c r="M107" s="751">
        <f t="shared" si="156"/>
        <v>2.0619535</v>
      </c>
      <c r="N107" s="751">
        <f t="shared" si="156"/>
        <v>2.0529302500000002</v>
      </c>
      <c r="O107" s="751">
        <f t="shared" si="156"/>
        <v>2.0439069999999999</v>
      </c>
      <c r="P107" s="751">
        <f t="shared" si="156"/>
        <v>2.0265759999999999</v>
      </c>
      <c r="Q107" s="751">
        <f t="shared" si="156"/>
        <v>2.0164636000000002</v>
      </c>
      <c r="R107" s="751">
        <f t="shared" si="156"/>
        <v>1.9779220000000002</v>
      </c>
      <c r="S107" s="751">
        <f t="shared" si="156"/>
        <v>1.9610552800000001</v>
      </c>
      <c r="T107" s="752">
        <f t="shared" si="156"/>
        <v>1.9369000000000001</v>
      </c>
      <c r="U107" s="753">
        <f t="shared" si="156"/>
        <v>1.7804440000000001</v>
      </c>
      <c r="W107" s="773">
        <f t="shared" si="157"/>
        <v>78.75</v>
      </c>
      <c r="X107" s="775">
        <f t="shared" si="158"/>
        <v>-9.1447051860299333E-2</v>
      </c>
      <c r="Y107" s="776">
        <f t="shared" si="158"/>
        <v>-9.1451615749188225E-2</v>
      </c>
      <c r="Z107" s="776">
        <f t="shared" si="158"/>
        <v>-9.1459497693632666E-2</v>
      </c>
      <c r="AA107" s="776">
        <f t="shared" si="158"/>
        <v>-9.1467379638077106E-2</v>
      </c>
      <c r="AB107" s="776">
        <f t="shared" si="158"/>
        <v>-9.1482518526965997E-2</v>
      </c>
      <c r="AC107" s="776">
        <f t="shared" si="158"/>
        <v>-9.149135186029933E-2</v>
      </c>
      <c r="AD107" s="776">
        <f t="shared" si="158"/>
        <v>-9.1525018526965998E-2</v>
      </c>
      <c r="AE107" s="776">
        <f t="shared" si="158"/>
        <v>-9.1539751860299334E-2</v>
      </c>
      <c r="AF107" s="777">
        <f t="shared" si="158"/>
        <v>-9.156085186029933E-2</v>
      </c>
      <c r="AG107" s="778">
        <f t="shared" si="158"/>
        <v>-9.169751852696599E-2</v>
      </c>
      <c r="AI107" s="773">
        <f t="shared" si="159"/>
        <v>78.75</v>
      </c>
      <c r="AJ107" s="747">
        <f t="shared" si="147"/>
        <v>1.9757311881397008</v>
      </c>
      <c r="AK107" s="751">
        <f t="shared" si="147"/>
        <v>1.9705018842508117</v>
      </c>
      <c r="AL107" s="751">
        <f t="shared" si="147"/>
        <v>1.9614707523063675</v>
      </c>
      <c r="AM107" s="751">
        <f t="shared" si="147"/>
        <v>1.9524396203619228</v>
      </c>
      <c r="AN107" s="751">
        <f t="shared" si="147"/>
        <v>1.9350934814730338</v>
      </c>
      <c r="AO107" s="751">
        <f t="shared" si="147"/>
        <v>1.9249722481397009</v>
      </c>
      <c r="AP107" s="751">
        <f t="shared" si="147"/>
        <v>1.8863969814730341</v>
      </c>
      <c r="AQ107" s="751">
        <f t="shared" si="147"/>
        <v>1.8695155281397007</v>
      </c>
      <c r="AR107" s="752">
        <f t="shared" si="147"/>
        <v>1.8453391481397008</v>
      </c>
      <c r="AS107" s="751"/>
      <c r="AT107" s="674">
        <f t="shared" si="160"/>
        <v>1.75</v>
      </c>
      <c r="AU107" s="712">
        <f t="shared" si="161"/>
        <v>1.8</v>
      </c>
      <c r="AV107" s="712">
        <f t="shared" si="162"/>
        <v>1.81</v>
      </c>
      <c r="AW107" s="712">
        <f t="shared" si="163"/>
        <v>1.83</v>
      </c>
      <c r="AX107" s="712">
        <f t="shared" si="164"/>
        <v>1.84</v>
      </c>
      <c r="AY107" s="712">
        <f t="shared" si="165"/>
        <v>1.86</v>
      </c>
      <c r="AZ107" s="712">
        <f t="shared" si="166"/>
        <v>1.88</v>
      </c>
      <c r="BA107" s="712">
        <f t="shared" si="167"/>
        <v>1.9</v>
      </c>
      <c r="BB107" s="712">
        <f t="shared" si="168"/>
        <v>1.92</v>
      </c>
      <c r="BC107" s="779">
        <f t="shared" si="169"/>
        <v>1000000</v>
      </c>
      <c r="BD107" s="780">
        <f t="shared" si="170"/>
        <v>-1000000</v>
      </c>
      <c r="BF107" s="781">
        <f t="shared" si="171"/>
        <v>1.9759307500182492</v>
      </c>
      <c r="BG107" s="767">
        <f t="shared" si="171"/>
        <v>1.9416553764139983</v>
      </c>
      <c r="BH107" s="767">
        <f t="shared" si="171"/>
        <v>2.0310752199047362</v>
      </c>
      <c r="BI107" s="767">
        <f t="shared" si="171"/>
        <v>2.0047357777416757</v>
      </c>
      <c r="BJ107" s="767">
        <f t="shared" si="171"/>
        <v>1.9966961715011384</v>
      </c>
      <c r="BK107" s="767">
        <f t="shared" si="171"/>
        <v>1.995106779201427</v>
      </c>
      <c r="BL107" s="767">
        <f t="shared" si="171"/>
        <v>1.9927128936767498</v>
      </c>
      <c r="BM107" s="767">
        <f t="shared" si="171"/>
        <v>1.9922560930923878</v>
      </c>
      <c r="BN107" s="767">
        <f t="shared" si="171"/>
        <v>1.9918164936159986</v>
      </c>
      <c r="BO107" s="782">
        <f t="shared" si="171"/>
        <v>1.9907335456213435</v>
      </c>
      <c r="BP107" s="781">
        <f t="shared" si="148"/>
        <v>1.9759307500182492</v>
      </c>
      <c r="BQ107" s="767">
        <f t="shared" si="148"/>
        <v>1.9416553764139983</v>
      </c>
      <c r="BR107" s="767">
        <f t="shared" si="148"/>
        <v>-1000000</v>
      </c>
      <c r="BS107" s="767">
        <f t="shared" si="148"/>
        <v>-1000000</v>
      </c>
      <c r="BT107" s="767">
        <f t="shared" si="148"/>
        <v>-1000000</v>
      </c>
      <c r="BU107" s="767">
        <f t="shared" si="148"/>
        <v>-1000000</v>
      </c>
      <c r="BV107" s="767">
        <f t="shared" si="148"/>
        <v>-1000000</v>
      </c>
      <c r="BW107" s="767">
        <f t="shared" si="148"/>
        <v>-1000000</v>
      </c>
      <c r="BX107" s="767">
        <f t="shared" si="148"/>
        <v>-1000000</v>
      </c>
      <c r="BY107" s="767">
        <f t="shared" si="148"/>
        <v>-1000000</v>
      </c>
      <c r="BZ107" s="648">
        <f t="shared" si="151"/>
        <v>70</v>
      </c>
      <c r="CA107" s="767">
        <f t="shared" si="152"/>
        <v>1.9759307500182492</v>
      </c>
      <c r="CB107" s="767">
        <f t="shared" si="152"/>
        <v>1.9416553764139983</v>
      </c>
      <c r="CC107" s="767"/>
      <c r="CD107" s="767"/>
      <c r="CE107" s="767"/>
      <c r="CF107" s="767"/>
      <c r="CG107" s="767"/>
      <c r="CH107" s="767"/>
      <c r="CI107" s="767"/>
      <c r="CJ107" s="767"/>
      <c r="CK107" s="781">
        <f t="shared" si="153"/>
        <v>1.75</v>
      </c>
      <c r="CL107" s="783">
        <f t="shared" si="172"/>
        <v>1000000</v>
      </c>
      <c r="CM107" s="552"/>
      <c r="CN107" s="552"/>
      <c r="CO107" s="552"/>
      <c r="CP107" s="552"/>
      <c r="CQ107" s="552"/>
      <c r="CR107" s="552"/>
      <c r="CS107" s="552"/>
      <c r="CT107" s="552"/>
      <c r="CU107" s="552"/>
      <c r="CV107" s="552"/>
      <c r="CW107" s="552"/>
      <c r="CX107" s="552"/>
      <c r="CY107" s="552"/>
      <c r="CZ107" s="642">
        <f t="shared" si="133"/>
        <v>100</v>
      </c>
      <c r="DA107" s="609">
        <f t="shared" si="110"/>
        <v>112.5</v>
      </c>
      <c r="DB107" s="609">
        <f t="shared" si="121"/>
        <v>40</v>
      </c>
      <c r="DC107" s="610">
        <f t="shared" si="179"/>
        <v>134.98763303100574</v>
      </c>
      <c r="DD107" s="611">
        <f t="shared" si="179"/>
        <v>134.99642024031769</v>
      </c>
      <c r="DE107" s="612">
        <f t="shared" si="179"/>
        <v>134.99983862718551</v>
      </c>
      <c r="DF107" s="610">
        <f t="shared" si="180"/>
        <v>19.411764705882348</v>
      </c>
      <c r="DG107" s="611">
        <f t="shared" si="180"/>
        <v>22</v>
      </c>
      <c r="DH107" s="612">
        <f t="shared" si="180"/>
        <v>28.470588235294098</v>
      </c>
      <c r="DI107" s="610">
        <f t="shared" si="111"/>
        <v>154.39939773688809</v>
      </c>
      <c r="DJ107" s="611">
        <f t="shared" si="111"/>
        <v>156.99642024031769</v>
      </c>
      <c r="DK107" s="612">
        <f t="shared" si="111"/>
        <v>163.4704268624796</v>
      </c>
      <c r="DL107" s="613">
        <f t="shared" si="177"/>
        <v>154.39939773688809</v>
      </c>
      <c r="DM107" s="613">
        <f t="shared" si="177"/>
        <v>156.99642024031769</v>
      </c>
      <c r="DN107" s="613">
        <f t="shared" si="177"/>
        <v>163.4704268624796</v>
      </c>
      <c r="DO107" s="609">
        <f t="shared" si="112"/>
        <v>135</v>
      </c>
      <c r="DP107" s="609"/>
      <c r="DQ107" s="609">
        <f t="shared" si="123"/>
        <v>40</v>
      </c>
      <c r="DR107" s="610">
        <f t="shared" si="173"/>
        <v>2.8747022301825647E-3</v>
      </c>
      <c r="DS107" s="611">
        <f t="shared" si="173"/>
        <v>9.4306391754710314E-4</v>
      </c>
      <c r="DT107" s="612">
        <f t="shared" si="173"/>
        <v>5.5016301236656804E-5</v>
      </c>
      <c r="DU107" s="611">
        <f t="shared" si="178"/>
        <v>3.0125873539077045E-3</v>
      </c>
      <c r="DV107" s="611">
        <f t="shared" si="178"/>
        <v>9.9454502695549263E-4</v>
      </c>
      <c r="DW107" s="611">
        <f t="shared" si="178"/>
        <v>5.8944104921464783E-5</v>
      </c>
      <c r="DX107" s="614">
        <f t="shared" si="114"/>
        <v>12.5</v>
      </c>
      <c r="DY107" s="615"/>
      <c r="DZ107" s="609">
        <f t="shared" si="124"/>
        <v>40</v>
      </c>
      <c r="EA107" s="611">
        <f t="shared" si="181"/>
        <v>2.20879</v>
      </c>
      <c r="EB107" s="611">
        <f t="shared" si="181"/>
        <v>1000000</v>
      </c>
      <c r="EC107" s="611">
        <f t="shared" si="181"/>
        <v>1000000</v>
      </c>
      <c r="ED107" s="610">
        <f t="shared" si="182"/>
        <v>0.22002999999999975</v>
      </c>
      <c r="EE107" s="611">
        <f t="shared" si="182"/>
        <v>0.22005999999999976</v>
      </c>
      <c r="EF107" s="612">
        <f t="shared" si="182"/>
        <v>0.22012499999999974</v>
      </c>
      <c r="EG107" s="611">
        <f t="shared" si="115"/>
        <v>2.42882</v>
      </c>
      <c r="EH107" s="611">
        <f t="shared" si="115"/>
        <v>1000000.22006</v>
      </c>
      <c r="EI107" s="611">
        <f t="shared" si="115"/>
        <v>1000000.220125</v>
      </c>
      <c r="EJ107" s="610">
        <f t="shared" si="125"/>
        <v>2.2999999999999998</v>
      </c>
      <c r="EK107" s="643">
        <f t="shared" si="126"/>
        <v>2.25</v>
      </c>
      <c r="EL107" s="644">
        <f t="shared" si="127"/>
        <v>2.83</v>
      </c>
      <c r="EN107" s="620">
        <f t="shared" si="128"/>
        <v>21.805555555555557</v>
      </c>
      <c r="EO107" s="621">
        <f t="shared" si="143"/>
        <v>56.921668965836211</v>
      </c>
      <c r="EP107" s="621">
        <f t="shared" si="143"/>
        <v>76.42353301687703</v>
      </c>
      <c r="EQ107" s="621">
        <f t="shared" si="143"/>
        <v>92.388383938222631</v>
      </c>
      <c r="ER107" s="610">
        <f t="shared" si="174"/>
        <v>19.045268834448514</v>
      </c>
      <c r="ES107" s="611">
        <f t="shared" si="174"/>
        <v>47.560516397981502</v>
      </c>
      <c r="ET107" s="612">
        <f t="shared" si="174"/>
        <v>71.872109248005387</v>
      </c>
      <c r="EU107" s="610">
        <f t="shared" si="129"/>
        <v>100</v>
      </c>
      <c r="EV107" s="611">
        <f t="shared" si="130"/>
        <v>135</v>
      </c>
      <c r="EW107" s="645">
        <f t="shared" si="131"/>
        <v>-1000000</v>
      </c>
      <c r="EX107" s="610">
        <f t="shared" si="117"/>
        <v>-37.876400131387697</v>
      </c>
      <c r="EY107" s="621">
        <f t="shared" si="118"/>
        <v>-28.863016618895529</v>
      </c>
      <c r="EZ107" s="612">
        <f t="shared" si="119"/>
        <v>-20.516274690217244</v>
      </c>
      <c r="FA107" s="646">
        <f t="shared" si="120"/>
        <v>21.805555555555557</v>
      </c>
      <c r="FB107" s="317"/>
      <c r="FC107" s="552"/>
      <c r="FD107" s="552"/>
      <c r="FE107" s="552"/>
      <c r="FF107" s="552"/>
      <c r="FG107" s="552"/>
      <c r="FH107" s="552"/>
      <c r="FI107" s="552"/>
      <c r="FJ107" s="552"/>
      <c r="FK107" s="552"/>
      <c r="FL107" s="552"/>
      <c r="FM107" s="552"/>
      <c r="FN107" s="552"/>
      <c r="FO107" s="552"/>
      <c r="FP107" s="552"/>
      <c r="FQ107" s="552"/>
      <c r="FR107" s="552"/>
      <c r="FS107" s="552"/>
      <c r="FT107" s="552"/>
    </row>
    <row r="108" spans="2:176" s="564" customFormat="1" ht="15" customHeight="1" x14ac:dyDescent="0.2">
      <c r="B108" s="647">
        <f t="shared" si="175"/>
        <v>12</v>
      </c>
      <c r="C108" s="652">
        <f>$I$12</f>
        <v>103.5</v>
      </c>
      <c r="D108" s="771">
        <f>$B$12</f>
        <v>1.86</v>
      </c>
      <c r="E108" s="772">
        <f t="shared" si="149"/>
        <v>8.625</v>
      </c>
      <c r="F108" s="689"/>
      <c r="G108" s="747">
        <f t="shared" si="150"/>
        <v>1.8070930216147494</v>
      </c>
      <c r="H108" s="748">
        <f t="shared" si="154"/>
        <v>2.7991483618573861E-3</v>
      </c>
      <c r="I108" s="689"/>
      <c r="J108" s="773">
        <f t="shared" si="176"/>
        <v>71</v>
      </c>
      <c r="K108" s="774">
        <f t="shared" si="155"/>
        <v>79.875</v>
      </c>
      <c r="L108" s="747">
        <f t="shared" si="156"/>
        <v>2.0669165714285715</v>
      </c>
      <c r="M108" s="751">
        <f t="shared" si="156"/>
        <v>2.0615852040816329</v>
      </c>
      <c r="N108" s="751">
        <f t="shared" si="156"/>
        <v>2.0523778061224491</v>
      </c>
      <c r="O108" s="751">
        <f t="shared" si="156"/>
        <v>2.0431704081632653</v>
      </c>
      <c r="P108" s="751">
        <f t="shared" si="156"/>
        <v>2.0254857142857143</v>
      </c>
      <c r="Q108" s="751">
        <f t="shared" si="156"/>
        <v>2.0151669387755105</v>
      </c>
      <c r="R108" s="751">
        <f t="shared" si="156"/>
        <v>1.9758387755102043</v>
      </c>
      <c r="S108" s="751">
        <f t="shared" si="156"/>
        <v>1.9586278367346939</v>
      </c>
      <c r="T108" s="752">
        <f t="shared" si="156"/>
        <v>1.9339795918367348</v>
      </c>
      <c r="U108" s="753">
        <f t="shared" si="156"/>
        <v>1.7743306122448981</v>
      </c>
      <c r="W108" s="773">
        <f t="shared" si="157"/>
        <v>79.875</v>
      </c>
      <c r="X108" s="775">
        <f t="shared" si="158"/>
        <v>-9.1820943028256358E-2</v>
      </c>
      <c r="Y108" s="776">
        <f t="shared" si="158"/>
        <v>-9.182550691714525E-2</v>
      </c>
      <c r="Z108" s="776">
        <f t="shared" si="158"/>
        <v>-9.183338886158969E-2</v>
      </c>
      <c r="AA108" s="776">
        <f t="shared" si="158"/>
        <v>-9.1841270806034131E-2</v>
      </c>
      <c r="AB108" s="776">
        <f t="shared" si="158"/>
        <v>-9.1856409694923022E-2</v>
      </c>
      <c r="AC108" s="776">
        <f t="shared" si="158"/>
        <v>-9.1865243028256355E-2</v>
      </c>
      <c r="AD108" s="776">
        <f t="shared" si="158"/>
        <v>-9.1898909694923023E-2</v>
      </c>
      <c r="AE108" s="776">
        <f t="shared" si="158"/>
        <v>-9.1913643028256359E-2</v>
      </c>
      <c r="AF108" s="777">
        <f t="shared" si="158"/>
        <v>-9.1934743028256355E-2</v>
      </c>
      <c r="AG108" s="778">
        <f t="shared" si="158"/>
        <v>-9.2071409694923015E-2</v>
      </c>
      <c r="AI108" s="773">
        <f t="shared" si="159"/>
        <v>79.875</v>
      </c>
      <c r="AJ108" s="747">
        <f t="shared" si="147"/>
        <v>1.9750956284003152</v>
      </c>
      <c r="AK108" s="751">
        <f t="shared" si="147"/>
        <v>1.9697596971644877</v>
      </c>
      <c r="AL108" s="751">
        <f t="shared" si="147"/>
        <v>1.9605444172608595</v>
      </c>
      <c r="AM108" s="751">
        <f t="shared" si="147"/>
        <v>1.9513291373572312</v>
      </c>
      <c r="AN108" s="751">
        <f t="shared" si="147"/>
        <v>1.9336293045907913</v>
      </c>
      <c r="AO108" s="751">
        <f t="shared" si="147"/>
        <v>1.9233016957472542</v>
      </c>
      <c r="AP108" s="751">
        <f t="shared" si="147"/>
        <v>1.8839398658152813</v>
      </c>
      <c r="AQ108" s="751">
        <f t="shared" si="147"/>
        <v>1.8667141937064375</v>
      </c>
      <c r="AR108" s="752">
        <f t="shared" si="147"/>
        <v>1.8420448488084784</v>
      </c>
      <c r="AS108" s="751"/>
      <c r="AT108" s="674">
        <f t="shared" si="160"/>
        <v>1.75</v>
      </c>
      <c r="AU108" s="712">
        <f t="shared" si="161"/>
        <v>1.8</v>
      </c>
      <c r="AV108" s="712">
        <f t="shared" si="162"/>
        <v>1.81</v>
      </c>
      <c r="AW108" s="712">
        <f t="shared" si="163"/>
        <v>1.83</v>
      </c>
      <c r="AX108" s="712">
        <f t="shared" si="164"/>
        <v>1.84</v>
      </c>
      <c r="AY108" s="712">
        <f t="shared" si="165"/>
        <v>1.86</v>
      </c>
      <c r="AZ108" s="712">
        <f t="shared" si="166"/>
        <v>1.88</v>
      </c>
      <c r="BA108" s="712">
        <f t="shared" si="167"/>
        <v>1.9</v>
      </c>
      <c r="BB108" s="712">
        <f t="shared" si="168"/>
        <v>1.92</v>
      </c>
      <c r="BC108" s="779">
        <f t="shared" si="169"/>
        <v>1000000</v>
      </c>
      <c r="BD108" s="780">
        <f t="shared" si="170"/>
        <v>-1000000</v>
      </c>
      <c r="BF108" s="781">
        <f t="shared" si="171"/>
        <v>1.9752952706770883</v>
      </c>
      <c r="BG108" s="767">
        <f t="shared" si="171"/>
        <v>1.938719197685802</v>
      </c>
      <c r="BH108" s="767">
        <f t="shared" si="171"/>
        <v>2.0274731664089458</v>
      </c>
      <c r="BI108" s="767">
        <f t="shared" si="171"/>
        <v>2.0038934957290446</v>
      </c>
      <c r="BJ108" s="767">
        <f t="shared" si="171"/>
        <v>1.9963234826501697</v>
      </c>
      <c r="BK108" s="767">
        <f t="shared" si="171"/>
        <v>1.9948047295074938</v>
      </c>
      <c r="BL108" s="767">
        <f t="shared" si="171"/>
        <v>1.9925027587001827</v>
      </c>
      <c r="BM108" s="767">
        <f t="shared" si="171"/>
        <v>1.9920613565187373</v>
      </c>
      <c r="BN108" s="767">
        <f t="shared" si="171"/>
        <v>1.9916358036860353</v>
      </c>
      <c r="BO108" s="782">
        <f t="shared" si="171"/>
        <v>1.9905827081795751</v>
      </c>
      <c r="BP108" s="781">
        <f t="shared" si="148"/>
        <v>1.9752952706770883</v>
      </c>
      <c r="BQ108" s="767">
        <f t="shared" si="148"/>
        <v>1.938719197685802</v>
      </c>
      <c r="BR108" s="767">
        <f t="shared" si="148"/>
        <v>-1000000</v>
      </c>
      <c r="BS108" s="767">
        <f t="shared" si="148"/>
        <v>-1000000</v>
      </c>
      <c r="BT108" s="767">
        <f t="shared" si="148"/>
        <v>-1000000</v>
      </c>
      <c r="BU108" s="767">
        <f t="shared" si="148"/>
        <v>-1000000</v>
      </c>
      <c r="BV108" s="767">
        <f t="shared" si="148"/>
        <v>-1000000</v>
      </c>
      <c r="BW108" s="767">
        <f t="shared" si="148"/>
        <v>-1000000</v>
      </c>
      <c r="BX108" s="767">
        <f t="shared" si="148"/>
        <v>-1000000</v>
      </c>
      <c r="BY108" s="767">
        <f t="shared" si="148"/>
        <v>-1000000</v>
      </c>
      <c r="BZ108" s="648">
        <f t="shared" si="151"/>
        <v>71</v>
      </c>
      <c r="CA108" s="767">
        <f t="shared" si="152"/>
        <v>1.9752952706770883</v>
      </c>
      <c r="CB108" s="767">
        <f t="shared" si="152"/>
        <v>1.938719197685802</v>
      </c>
      <c r="CC108" s="767"/>
      <c r="CD108" s="767"/>
      <c r="CE108" s="767"/>
      <c r="CF108" s="767"/>
      <c r="CG108" s="767"/>
      <c r="CH108" s="767"/>
      <c r="CI108" s="767"/>
      <c r="CJ108" s="767"/>
      <c r="CK108" s="781">
        <f t="shared" si="153"/>
        <v>1.75</v>
      </c>
      <c r="CL108" s="783">
        <f t="shared" si="172"/>
        <v>1000000</v>
      </c>
      <c r="CM108" s="552"/>
      <c r="CN108" s="552"/>
      <c r="CO108" s="552"/>
      <c r="CP108" s="552"/>
      <c r="CQ108" s="552"/>
      <c r="CR108" s="552"/>
      <c r="CS108" s="552"/>
      <c r="CT108" s="552"/>
      <c r="CU108" s="552"/>
      <c r="CV108" s="552"/>
      <c r="CW108" s="552"/>
      <c r="CX108" s="552"/>
      <c r="CY108" s="552"/>
      <c r="CZ108" s="642">
        <f t="shared" si="133"/>
        <v>101</v>
      </c>
      <c r="DA108" s="609">
        <f t="shared" si="110"/>
        <v>113.625</v>
      </c>
      <c r="DB108" s="609">
        <f t="shared" si="121"/>
        <v>40.4</v>
      </c>
      <c r="DC108" s="610">
        <f t="shared" si="179"/>
        <v>134.98873107296257</v>
      </c>
      <c r="DD108" s="611">
        <f t="shared" si="179"/>
        <v>134.99677827050235</v>
      </c>
      <c r="DE108" s="612">
        <f t="shared" si="179"/>
        <v>134.99985919912956</v>
      </c>
      <c r="DF108" s="610">
        <f t="shared" si="180"/>
        <v>19.411764705882348</v>
      </c>
      <c r="DG108" s="611">
        <f t="shared" si="180"/>
        <v>22</v>
      </c>
      <c r="DH108" s="612">
        <f t="shared" si="180"/>
        <v>28.470588235294098</v>
      </c>
      <c r="DI108" s="610">
        <f t="shared" si="111"/>
        <v>154.40049577884491</v>
      </c>
      <c r="DJ108" s="611">
        <f t="shared" si="111"/>
        <v>156.99677827050235</v>
      </c>
      <c r="DK108" s="612">
        <f t="shared" si="111"/>
        <v>163.47044743442365</v>
      </c>
      <c r="DL108" s="613">
        <f t="shared" si="177"/>
        <v>154.40049577884491</v>
      </c>
      <c r="DM108" s="613">
        <f t="shared" si="177"/>
        <v>156.99677827050235</v>
      </c>
      <c r="DN108" s="613">
        <f t="shared" si="177"/>
        <v>163.47044743442365</v>
      </c>
      <c r="DO108" s="609">
        <f t="shared" si="112"/>
        <v>135</v>
      </c>
      <c r="DP108" s="609"/>
      <c r="DQ108" s="609">
        <f t="shared" si="123"/>
        <v>40.4</v>
      </c>
      <c r="DR108" s="610">
        <f t="shared" si="173"/>
        <v>2.6194623517970424E-3</v>
      </c>
      <c r="DS108" s="611">
        <f t="shared" si="173"/>
        <v>8.487432428399374E-4</v>
      </c>
      <c r="DT108" s="612">
        <f t="shared" si="173"/>
        <v>4.8002776219235303E-5</v>
      </c>
      <c r="DU108" s="611">
        <f t="shared" si="178"/>
        <v>2.7451048920568251E-3</v>
      </c>
      <c r="DV108" s="611">
        <f t="shared" si="178"/>
        <v>8.950754616421395E-4</v>
      </c>
      <c r="DW108" s="611">
        <f t="shared" si="178"/>
        <v>5.1429860121743515E-5</v>
      </c>
      <c r="DX108" s="614">
        <f t="shared" si="114"/>
        <v>12.5</v>
      </c>
      <c r="DY108" s="615"/>
      <c r="DZ108" s="609">
        <f t="shared" si="124"/>
        <v>40.4</v>
      </c>
      <c r="EA108" s="611">
        <f t="shared" si="181"/>
        <v>2.2199891304347825</v>
      </c>
      <c r="EB108" s="611">
        <f t="shared" si="181"/>
        <v>1000000</v>
      </c>
      <c r="EC108" s="611">
        <f t="shared" si="181"/>
        <v>1000000</v>
      </c>
      <c r="ED108" s="610">
        <f t="shared" si="182"/>
        <v>0.22002999999999975</v>
      </c>
      <c r="EE108" s="611">
        <f t="shared" si="182"/>
        <v>0.22005999999999976</v>
      </c>
      <c r="EF108" s="612">
        <f t="shared" si="182"/>
        <v>0.22012499999999974</v>
      </c>
      <c r="EG108" s="611">
        <f t="shared" si="115"/>
        <v>2.4400191304347825</v>
      </c>
      <c r="EH108" s="611">
        <f t="shared" si="115"/>
        <v>1000000.22006</v>
      </c>
      <c r="EI108" s="611">
        <f t="shared" si="115"/>
        <v>1000000.220125</v>
      </c>
      <c r="EJ108" s="610">
        <f t="shared" si="125"/>
        <v>2.2999999999999998</v>
      </c>
      <c r="EK108" s="643">
        <f t="shared" si="126"/>
        <v>2.25</v>
      </c>
      <c r="EL108" s="644">
        <f t="shared" si="127"/>
        <v>2.83</v>
      </c>
      <c r="EN108" s="620">
        <f t="shared" si="128"/>
        <v>22.023611111111112</v>
      </c>
      <c r="EO108" s="621">
        <f t="shared" si="143"/>
        <v>56.141839802951054</v>
      </c>
      <c r="EP108" s="621">
        <f t="shared" si="143"/>
        <v>75.838305381456394</v>
      </c>
      <c r="EQ108" s="621">
        <f t="shared" si="143"/>
        <v>91.962551970261273</v>
      </c>
      <c r="ER108" s="610">
        <f t="shared" si="174"/>
        <v>18.265432067468744</v>
      </c>
      <c r="ES108" s="611">
        <f t="shared" si="174"/>
        <v>46.953378799901017</v>
      </c>
      <c r="ET108" s="612">
        <f t="shared" si="174"/>
        <v>71.290595595146954</v>
      </c>
      <c r="EU108" s="610">
        <f t="shared" si="129"/>
        <v>100</v>
      </c>
      <c r="EV108" s="611">
        <f t="shared" si="130"/>
        <v>135</v>
      </c>
      <c r="EW108" s="645">
        <f t="shared" si="131"/>
        <v>-1000000</v>
      </c>
      <c r="EX108" s="610">
        <f t="shared" si="117"/>
        <v>-37.87640773548231</v>
      </c>
      <c r="EY108" s="621">
        <f t="shared" si="118"/>
        <v>-28.884926581555376</v>
      </c>
      <c r="EZ108" s="612">
        <f t="shared" si="119"/>
        <v>-20.671956375114313</v>
      </c>
      <c r="FA108" s="646">
        <f t="shared" si="120"/>
        <v>22.023611111111112</v>
      </c>
      <c r="FB108" s="317"/>
      <c r="FC108" s="552"/>
      <c r="FD108" s="552"/>
      <c r="FE108" s="552"/>
      <c r="FF108" s="552"/>
      <c r="FG108" s="552"/>
      <c r="FH108" s="552"/>
      <c r="FI108" s="552"/>
      <c r="FJ108" s="552"/>
      <c r="FK108" s="552"/>
      <c r="FL108" s="552"/>
      <c r="FM108" s="552"/>
      <c r="FN108" s="552"/>
      <c r="FO108" s="552"/>
      <c r="FP108" s="552"/>
      <c r="FQ108" s="552"/>
      <c r="FR108" s="552"/>
      <c r="FS108" s="552"/>
      <c r="FT108" s="552"/>
    </row>
    <row r="109" spans="2:176" s="564" customFormat="1" ht="15" customHeight="1" x14ac:dyDescent="0.2">
      <c r="B109" s="647">
        <f t="shared" si="175"/>
        <v>12</v>
      </c>
      <c r="C109" s="652">
        <f>$I$13</f>
        <v>99.5</v>
      </c>
      <c r="D109" s="771">
        <f>$B$13</f>
        <v>1.88</v>
      </c>
      <c r="E109" s="772">
        <f t="shared" si="149"/>
        <v>8.2916666666666661</v>
      </c>
      <c r="F109" s="689"/>
      <c r="G109" s="747">
        <f t="shared" si="150"/>
        <v>1.8334953562971794</v>
      </c>
      <c r="H109" s="748">
        <f t="shared" si="154"/>
        <v>2.1626818859262808E-3</v>
      </c>
      <c r="I109" s="689"/>
      <c r="J109" s="773">
        <f t="shared" si="176"/>
        <v>72</v>
      </c>
      <c r="K109" s="774">
        <f t="shared" si="155"/>
        <v>81</v>
      </c>
      <c r="L109" s="747">
        <f t="shared" si="156"/>
        <v>2.0666440000000001</v>
      </c>
      <c r="M109" s="751">
        <f t="shared" si="156"/>
        <v>2.0612015625</v>
      </c>
      <c r="N109" s="751">
        <f t="shared" si="156"/>
        <v>2.0518023437499999</v>
      </c>
      <c r="O109" s="751">
        <f t="shared" si="156"/>
        <v>2.0424031249999999</v>
      </c>
      <c r="P109" s="751">
        <f t="shared" si="156"/>
        <v>2.0243500000000001</v>
      </c>
      <c r="Q109" s="751">
        <f t="shared" si="156"/>
        <v>2.0138162500000001</v>
      </c>
      <c r="R109" s="751">
        <f t="shared" si="156"/>
        <v>1.9736687500000001</v>
      </c>
      <c r="S109" s="751">
        <f t="shared" si="156"/>
        <v>1.9560992500000001</v>
      </c>
      <c r="T109" s="752">
        <f t="shared" si="156"/>
        <v>1.9309375000000002</v>
      </c>
      <c r="U109" s="753">
        <f t="shared" si="156"/>
        <v>1.7679625000000001</v>
      </c>
      <c r="W109" s="773">
        <f t="shared" si="157"/>
        <v>81</v>
      </c>
      <c r="X109" s="775">
        <f t="shared" si="158"/>
        <v>-9.2176195383460266E-2</v>
      </c>
      <c r="Y109" s="776">
        <f t="shared" si="158"/>
        <v>-9.2180759272349158E-2</v>
      </c>
      <c r="Z109" s="776">
        <f t="shared" si="158"/>
        <v>-9.2188641216793599E-2</v>
      </c>
      <c r="AA109" s="776">
        <f t="shared" si="158"/>
        <v>-9.2196523161238039E-2</v>
      </c>
      <c r="AB109" s="776">
        <f t="shared" si="158"/>
        <v>-9.221166205012693E-2</v>
      </c>
      <c r="AC109" s="776">
        <f t="shared" si="158"/>
        <v>-9.2220495383460263E-2</v>
      </c>
      <c r="AD109" s="776">
        <f t="shared" si="158"/>
        <v>-9.2254162050126931E-2</v>
      </c>
      <c r="AE109" s="776">
        <f t="shared" si="158"/>
        <v>-9.2268895383460267E-2</v>
      </c>
      <c r="AF109" s="777">
        <f t="shared" si="158"/>
        <v>-9.2289995383460263E-2</v>
      </c>
      <c r="AG109" s="778">
        <f t="shared" si="158"/>
        <v>-9.2426662050126923E-2</v>
      </c>
      <c r="AI109" s="773">
        <f t="shared" si="159"/>
        <v>81</v>
      </c>
      <c r="AJ109" s="747">
        <f t="shared" si="147"/>
        <v>1.9744678046165398</v>
      </c>
      <c r="AK109" s="751">
        <f t="shared" si="147"/>
        <v>1.9690208032276508</v>
      </c>
      <c r="AL109" s="751">
        <f t="shared" si="147"/>
        <v>1.9596137025332063</v>
      </c>
      <c r="AM109" s="751">
        <f t="shared" si="147"/>
        <v>1.9502066018387618</v>
      </c>
      <c r="AN109" s="751">
        <f t="shared" si="147"/>
        <v>1.9321383379498731</v>
      </c>
      <c r="AO109" s="751">
        <f t="shared" si="147"/>
        <v>1.9215957546165399</v>
      </c>
      <c r="AP109" s="751">
        <f t="shared" si="147"/>
        <v>1.8814145879498732</v>
      </c>
      <c r="AQ109" s="751">
        <f t="shared" si="147"/>
        <v>1.8638303546165398</v>
      </c>
      <c r="AR109" s="752">
        <f t="shared" si="147"/>
        <v>1.83864750461654</v>
      </c>
      <c r="AS109" s="751"/>
      <c r="AT109" s="674">
        <f t="shared" si="160"/>
        <v>1.75</v>
      </c>
      <c r="AU109" s="712">
        <f t="shared" si="161"/>
        <v>1.8</v>
      </c>
      <c r="AV109" s="712">
        <f t="shared" si="162"/>
        <v>1.81</v>
      </c>
      <c r="AW109" s="712">
        <f t="shared" si="163"/>
        <v>1.83</v>
      </c>
      <c r="AX109" s="712">
        <f t="shared" si="164"/>
        <v>1.84</v>
      </c>
      <c r="AY109" s="712">
        <f t="shared" si="165"/>
        <v>1.86</v>
      </c>
      <c r="AZ109" s="712">
        <f t="shared" si="166"/>
        <v>1.88</v>
      </c>
      <c r="BA109" s="712">
        <f t="shared" si="167"/>
        <v>1.9</v>
      </c>
      <c r="BB109" s="712">
        <f t="shared" si="168"/>
        <v>1.92</v>
      </c>
      <c r="BC109" s="779">
        <f t="shared" si="169"/>
        <v>1000000</v>
      </c>
      <c r="BD109" s="780">
        <f t="shared" si="170"/>
        <v>-1000000</v>
      </c>
      <c r="BF109" s="781">
        <f t="shared" si="171"/>
        <v>1.9746679653639325</v>
      </c>
      <c r="BG109" s="767">
        <f t="shared" si="171"/>
        <v>1.9353790700990385</v>
      </c>
      <c r="BH109" s="767">
        <f t="shared" si="171"/>
        <v>2.0243538896629949</v>
      </c>
      <c r="BI109" s="767">
        <f t="shared" si="171"/>
        <v>2.003109045212883</v>
      </c>
      <c r="BJ109" s="767">
        <f t="shared" si="171"/>
        <v>1.9959681020649855</v>
      </c>
      <c r="BK109" s="767">
        <f t="shared" si="171"/>
        <v>1.9945153510649354</v>
      </c>
      <c r="BL109" s="767">
        <f t="shared" si="171"/>
        <v>1.9923000150590959</v>
      </c>
      <c r="BM109" s="767">
        <f t="shared" si="171"/>
        <v>1.991873220431158</v>
      </c>
      <c r="BN109" s="767">
        <f t="shared" si="171"/>
        <v>1.991461018655744</v>
      </c>
      <c r="BO109" s="782">
        <f t="shared" si="171"/>
        <v>1.9904363840746389</v>
      </c>
      <c r="BP109" s="781">
        <f t="shared" si="148"/>
        <v>1.9746679653639325</v>
      </c>
      <c r="BQ109" s="767">
        <f t="shared" si="148"/>
        <v>1.9353790700990385</v>
      </c>
      <c r="BR109" s="767">
        <f t="shared" si="148"/>
        <v>-1000000</v>
      </c>
      <c r="BS109" s="767">
        <f t="shared" si="148"/>
        <v>-1000000</v>
      </c>
      <c r="BT109" s="767">
        <f t="shared" si="148"/>
        <v>-1000000</v>
      </c>
      <c r="BU109" s="767">
        <f t="shared" si="148"/>
        <v>-1000000</v>
      </c>
      <c r="BV109" s="767">
        <f t="shared" si="148"/>
        <v>-1000000</v>
      </c>
      <c r="BW109" s="767">
        <f t="shared" si="148"/>
        <v>-1000000</v>
      </c>
      <c r="BX109" s="767">
        <f t="shared" si="148"/>
        <v>-1000000</v>
      </c>
      <c r="BY109" s="767">
        <f t="shared" si="148"/>
        <v>-1000000</v>
      </c>
      <c r="BZ109" s="648">
        <f t="shared" si="151"/>
        <v>72</v>
      </c>
      <c r="CA109" s="767">
        <f t="shared" si="152"/>
        <v>1.9746679653639325</v>
      </c>
      <c r="CB109" s="767">
        <f t="shared" si="152"/>
        <v>1.9353790700990385</v>
      </c>
      <c r="CC109" s="767"/>
      <c r="CD109" s="767"/>
      <c r="CE109" s="767"/>
      <c r="CF109" s="767"/>
      <c r="CG109" s="767"/>
      <c r="CH109" s="767"/>
      <c r="CI109" s="767"/>
      <c r="CJ109" s="767"/>
      <c r="CK109" s="781">
        <f t="shared" si="153"/>
        <v>1.75</v>
      </c>
      <c r="CL109" s="783">
        <f t="shared" si="172"/>
        <v>1000000</v>
      </c>
      <c r="CM109" s="552"/>
      <c r="CN109" s="552"/>
      <c r="CO109" s="552"/>
      <c r="CP109" s="552"/>
      <c r="CQ109" s="552"/>
      <c r="CR109" s="552"/>
      <c r="CS109" s="552"/>
      <c r="CT109" s="552"/>
      <c r="CU109" s="552"/>
      <c r="CV109" s="552"/>
      <c r="CW109" s="552"/>
      <c r="CX109" s="552"/>
      <c r="CY109" s="552"/>
      <c r="CZ109" s="642">
        <f t="shared" si="133"/>
        <v>102</v>
      </c>
      <c r="DA109" s="609">
        <f t="shared" si="110"/>
        <v>114.75</v>
      </c>
      <c r="DB109" s="609">
        <f t="shared" si="121"/>
        <v>40.799999999999997</v>
      </c>
      <c r="DC109" s="610">
        <f t="shared" si="179"/>
        <v>134.98973162165814</v>
      </c>
      <c r="DD109" s="611">
        <f t="shared" si="179"/>
        <v>134.99710049224603</v>
      </c>
      <c r="DE109" s="612">
        <f t="shared" si="179"/>
        <v>134.99987714854467</v>
      </c>
      <c r="DF109" s="610">
        <f t="shared" si="180"/>
        <v>19.411764705882348</v>
      </c>
      <c r="DG109" s="611">
        <f t="shared" si="180"/>
        <v>22</v>
      </c>
      <c r="DH109" s="612">
        <f t="shared" si="180"/>
        <v>28.470588235294098</v>
      </c>
      <c r="DI109" s="610">
        <f t="shared" si="111"/>
        <v>154.40149632754049</v>
      </c>
      <c r="DJ109" s="611">
        <f t="shared" si="111"/>
        <v>156.99710049224603</v>
      </c>
      <c r="DK109" s="612">
        <f t="shared" si="111"/>
        <v>163.47046538383876</v>
      </c>
      <c r="DL109" s="613">
        <f t="shared" si="177"/>
        <v>154.40149632754049</v>
      </c>
      <c r="DM109" s="613">
        <f t="shared" si="177"/>
        <v>156.99710049224603</v>
      </c>
      <c r="DN109" s="613">
        <f t="shared" si="177"/>
        <v>163.47046538383876</v>
      </c>
      <c r="DO109" s="609">
        <f t="shared" si="112"/>
        <v>135</v>
      </c>
      <c r="DP109" s="609"/>
      <c r="DQ109" s="609">
        <f t="shared" si="123"/>
        <v>40.799999999999997</v>
      </c>
      <c r="DR109" s="610">
        <f t="shared" si="173"/>
        <v>2.3868847842534089E-3</v>
      </c>
      <c r="DS109" s="611">
        <f t="shared" si="173"/>
        <v>7.6385606411505293E-4</v>
      </c>
      <c r="DT109" s="612">
        <f t="shared" si="173"/>
        <v>4.1883341354447088E-5</v>
      </c>
      <c r="DU109" s="611">
        <f t="shared" si="178"/>
        <v>2.5013717389299559E-3</v>
      </c>
      <c r="DV109" s="611">
        <f t="shared" si="178"/>
        <v>8.0555435921781109E-4</v>
      </c>
      <c r="DW109" s="611">
        <f t="shared" si="178"/>
        <v>4.4873537774492596E-5</v>
      </c>
      <c r="DX109" s="614">
        <f t="shared" si="114"/>
        <v>12.5</v>
      </c>
      <c r="DY109" s="615"/>
      <c r="DZ109" s="609">
        <f t="shared" si="124"/>
        <v>40.799999999999997</v>
      </c>
      <c r="EA109" s="611">
        <f t="shared" si="181"/>
        <v>2.2333214285714287</v>
      </c>
      <c r="EB109" s="611">
        <f t="shared" si="181"/>
        <v>1000000</v>
      </c>
      <c r="EC109" s="611">
        <f t="shared" si="181"/>
        <v>1000000</v>
      </c>
      <c r="ED109" s="610">
        <f t="shared" si="182"/>
        <v>0.22002999999999975</v>
      </c>
      <c r="EE109" s="611">
        <f t="shared" si="182"/>
        <v>0.22005999999999976</v>
      </c>
      <c r="EF109" s="612">
        <f t="shared" si="182"/>
        <v>0.22012499999999974</v>
      </c>
      <c r="EG109" s="611">
        <f t="shared" si="115"/>
        <v>2.4533514285714286</v>
      </c>
      <c r="EH109" s="611">
        <f t="shared" si="115"/>
        <v>1000000.22006</v>
      </c>
      <c r="EI109" s="611">
        <f t="shared" si="115"/>
        <v>1000000.220125</v>
      </c>
      <c r="EJ109" s="610">
        <f t="shared" si="125"/>
        <v>2.2999999999999998</v>
      </c>
      <c r="EK109" s="643">
        <f t="shared" si="126"/>
        <v>2.25</v>
      </c>
      <c r="EL109" s="644">
        <f t="shared" si="127"/>
        <v>2.83</v>
      </c>
      <c r="EN109" s="620">
        <f t="shared" si="128"/>
        <v>22.241666666666667</v>
      </c>
      <c r="EO109" s="621">
        <f t="shared" si="143"/>
        <v>55.362029510757374</v>
      </c>
      <c r="EP109" s="621">
        <f t="shared" si="143"/>
        <v>75.253088370534385</v>
      </c>
      <c r="EQ109" s="621">
        <f t="shared" si="143"/>
        <v>91.536725626086877</v>
      </c>
      <c r="ER109" s="610">
        <f t="shared" si="174"/>
        <v>17.485615153517173</v>
      </c>
      <c r="ES109" s="611">
        <f t="shared" si="174"/>
        <v>46.347252045220337</v>
      </c>
      <c r="ET109" s="612">
        <f t="shared" si="174"/>
        <v>70.711779796078275</v>
      </c>
      <c r="EU109" s="610">
        <f t="shared" si="129"/>
        <v>100</v>
      </c>
      <c r="EV109" s="611">
        <f t="shared" si="130"/>
        <v>135</v>
      </c>
      <c r="EW109" s="645">
        <f t="shared" si="131"/>
        <v>-1000000</v>
      </c>
      <c r="EX109" s="610">
        <f t="shared" si="117"/>
        <v>-37.876414357240201</v>
      </c>
      <c r="EY109" s="621">
        <f t="shared" si="118"/>
        <v>-28.905836325314048</v>
      </c>
      <c r="EZ109" s="612">
        <f t="shared" si="119"/>
        <v>-20.824945830008595</v>
      </c>
      <c r="FA109" s="646">
        <f t="shared" si="120"/>
        <v>22.241666666666667</v>
      </c>
      <c r="FB109" s="317"/>
      <c r="FC109" s="552"/>
      <c r="FD109" s="552"/>
      <c r="FE109" s="552"/>
      <c r="FF109" s="552"/>
      <c r="FG109" s="552"/>
      <c r="FH109" s="552"/>
      <c r="FI109" s="552"/>
      <c r="FJ109" s="552"/>
      <c r="FK109" s="552"/>
      <c r="FL109" s="552"/>
      <c r="FM109" s="552"/>
      <c r="FN109" s="552"/>
      <c r="FO109" s="552"/>
      <c r="FP109" s="552"/>
      <c r="FQ109" s="552"/>
      <c r="FR109" s="552"/>
      <c r="FS109" s="552"/>
      <c r="FT109" s="552"/>
    </row>
    <row r="110" spans="2:176" s="564" customFormat="1" ht="15" customHeight="1" x14ac:dyDescent="0.2">
      <c r="B110" s="647">
        <f t="shared" si="175"/>
        <v>12</v>
      </c>
      <c r="C110" s="652">
        <f>$I$14</f>
        <v>95</v>
      </c>
      <c r="D110" s="771">
        <f>$B$14</f>
        <v>1.9</v>
      </c>
      <c r="E110" s="772">
        <f t="shared" si="149"/>
        <v>7.916666666666667</v>
      </c>
      <c r="F110" s="689"/>
      <c r="G110" s="747">
        <f t="shared" si="150"/>
        <v>1.8571196829013072</v>
      </c>
      <c r="H110" s="748">
        <f t="shared" si="154"/>
        <v>1.8387215944844347E-3</v>
      </c>
      <c r="I110" s="689"/>
      <c r="J110" s="773">
        <f t="shared" si="176"/>
        <v>73</v>
      </c>
      <c r="K110" s="774">
        <f t="shared" si="155"/>
        <v>82.125</v>
      </c>
      <c r="L110" s="747">
        <f t="shared" si="156"/>
        <v>2.0663598297872343</v>
      </c>
      <c r="M110" s="751">
        <f t="shared" si="156"/>
        <v>2.0608015957446808</v>
      </c>
      <c r="N110" s="751">
        <f t="shared" si="156"/>
        <v>2.0512023936170212</v>
      </c>
      <c r="O110" s="751">
        <f t="shared" si="156"/>
        <v>2.041603191489362</v>
      </c>
      <c r="P110" s="751">
        <f t="shared" si="156"/>
        <v>2.0231659574468086</v>
      </c>
      <c r="Q110" s="751">
        <f t="shared" si="156"/>
        <v>2.012408085106383</v>
      </c>
      <c r="R110" s="751">
        <f t="shared" si="156"/>
        <v>1.9714063829787234</v>
      </c>
      <c r="S110" s="751">
        <f t="shared" si="156"/>
        <v>1.9534630638297874</v>
      </c>
      <c r="T110" s="752">
        <f t="shared" si="156"/>
        <v>1.9277659574468087</v>
      </c>
      <c r="U110" s="753">
        <f t="shared" si="156"/>
        <v>1.7613234042553192</v>
      </c>
      <c r="W110" s="773">
        <f t="shared" si="157"/>
        <v>82.125</v>
      </c>
      <c r="X110" s="775">
        <f t="shared" si="158"/>
        <v>-9.2513738087577943E-2</v>
      </c>
      <c r="Y110" s="776">
        <f t="shared" si="158"/>
        <v>-9.2518301976466835E-2</v>
      </c>
      <c r="Z110" s="776">
        <f t="shared" si="158"/>
        <v>-9.2526183920911276E-2</v>
      </c>
      <c r="AA110" s="776">
        <f t="shared" si="158"/>
        <v>-9.2534065865355716E-2</v>
      </c>
      <c r="AB110" s="776">
        <f t="shared" si="158"/>
        <v>-9.2549204754244607E-2</v>
      </c>
      <c r="AC110" s="776">
        <f t="shared" si="158"/>
        <v>-9.255803808757794E-2</v>
      </c>
      <c r="AD110" s="776">
        <f t="shared" si="158"/>
        <v>-9.2591704754244608E-2</v>
      </c>
      <c r="AE110" s="776">
        <f t="shared" si="158"/>
        <v>-9.2606438087577944E-2</v>
      </c>
      <c r="AF110" s="777">
        <f t="shared" si="158"/>
        <v>-9.262753808757794E-2</v>
      </c>
      <c r="AG110" s="778">
        <f t="shared" si="158"/>
        <v>-9.27642047542446E-2</v>
      </c>
      <c r="AI110" s="773">
        <f t="shared" si="159"/>
        <v>82.125</v>
      </c>
      <c r="AJ110" s="747">
        <f t="shared" si="147"/>
        <v>1.9738460916996563</v>
      </c>
      <c r="AK110" s="751">
        <f t="shared" si="147"/>
        <v>1.968283293768214</v>
      </c>
      <c r="AL110" s="751">
        <f t="shared" si="147"/>
        <v>1.9586762096961099</v>
      </c>
      <c r="AM110" s="751">
        <f t="shared" si="147"/>
        <v>1.9490691256240062</v>
      </c>
      <c r="AN110" s="751">
        <f t="shared" si="147"/>
        <v>1.9306167526925639</v>
      </c>
      <c r="AO110" s="751">
        <f t="shared" si="147"/>
        <v>1.9198500470188051</v>
      </c>
      <c r="AP110" s="751">
        <f t="shared" si="147"/>
        <v>1.8788146782244788</v>
      </c>
      <c r="AQ110" s="751">
        <f t="shared" si="147"/>
        <v>1.8608566257422094</v>
      </c>
      <c r="AR110" s="752">
        <f t="shared" si="147"/>
        <v>1.8351384193592308</v>
      </c>
      <c r="AS110" s="751"/>
      <c r="AT110" s="674">
        <f t="shared" si="160"/>
        <v>1.75</v>
      </c>
      <c r="AU110" s="712">
        <f t="shared" si="161"/>
        <v>1.8</v>
      </c>
      <c r="AV110" s="712">
        <f t="shared" si="162"/>
        <v>1.81</v>
      </c>
      <c r="AW110" s="712">
        <f t="shared" si="163"/>
        <v>1.83</v>
      </c>
      <c r="AX110" s="712">
        <f t="shared" si="164"/>
        <v>1.84</v>
      </c>
      <c r="AY110" s="712">
        <f t="shared" si="165"/>
        <v>1.86</v>
      </c>
      <c r="AZ110" s="712">
        <f t="shared" si="166"/>
        <v>1.88</v>
      </c>
      <c r="BA110" s="712">
        <f t="shared" si="167"/>
        <v>1.9</v>
      </c>
      <c r="BB110" s="712">
        <f t="shared" si="168"/>
        <v>1.92</v>
      </c>
      <c r="BC110" s="779">
        <f t="shared" si="169"/>
        <v>1000000</v>
      </c>
      <c r="BD110" s="780">
        <f t="shared" si="170"/>
        <v>-1000000</v>
      </c>
      <c r="BF110" s="781">
        <f t="shared" si="171"/>
        <v>1.9740472332658578</v>
      </c>
      <c r="BG110" s="767">
        <f t="shared" si="171"/>
        <v>1.9315364962842771</v>
      </c>
      <c r="BH110" s="767">
        <f t="shared" si="171"/>
        <v>2.0216264733656044</v>
      </c>
      <c r="BI110" s="767">
        <f t="shared" si="171"/>
        <v>2.0023766704594479</v>
      </c>
      <c r="BJ110" s="767">
        <f t="shared" si="171"/>
        <v>1.9956288511188527</v>
      </c>
      <c r="BK110" s="767">
        <f t="shared" si="171"/>
        <v>1.9942378628675865</v>
      </c>
      <c r="BL110" s="767">
        <f t="shared" si="171"/>
        <v>1.9921042795167407</v>
      </c>
      <c r="BM110" s="767">
        <f t="shared" si="171"/>
        <v>1.9916913548423998</v>
      </c>
      <c r="BN110" s="767">
        <f t="shared" si="171"/>
        <v>1.9912918537228899</v>
      </c>
      <c r="BO110" s="782">
        <f t="shared" si="171"/>
        <v>1.9902943737213643</v>
      </c>
      <c r="BP110" s="781">
        <f t="shared" si="148"/>
        <v>1.9740472332658578</v>
      </c>
      <c r="BQ110" s="767">
        <f t="shared" si="148"/>
        <v>1.9315364962842771</v>
      </c>
      <c r="BR110" s="767">
        <f t="shared" si="148"/>
        <v>-1000000</v>
      </c>
      <c r="BS110" s="767">
        <f t="shared" si="148"/>
        <v>-1000000</v>
      </c>
      <c r="BT110" s="767">
        <f t="shared" si="148"/>
        <v>-1000000</v>
      </c>
      <c r="BU110" s="767">
        <f t="shared" si="148"/>
        <v>-1000000</v>
      </c>
      <c r="BV110" s="767">
        <f t="shared" si="148"/>
        <v>-1000000</v>
      </c>
      <c r="BW110" s="767">
        <f t="shared" si="148"/>
        <v>-1000000</v>
      </c>
      <c r="BX110" s="767">
        <f t="shared" si="148"/>
        <v>-1000000</v>
      </c>
      <c r="BY110" s="767">
        <f t="shared" si="148"/>
        <v>-1000000</v>
      </c>
      <c r="BZ110" s="648">
        <f t="shared" si="151"/>
        <v>73</v>
      </c>
      <c r="CA110" s="767">
        <f t="shared" si="152"/>
        <v>1.9740472332658578</v>
      </c>
      <c r="CB110" s="767">
        <f t="shared" si="152"/>
        <v>1.9315364962842771</v>
      </c>
      <c r="CC110" s="767"/>
      <c r="CD110" s="767"/>
      <c r="CE110" s="767"/>
      <c r="CF110" s="767"/>
      <c r="CG110" s="767"/>
      <c r="CH110" s="767"/>
      <c r="CI110" s="767"/>
      <c r="CJ110" s="767"/>
      <c r="CK110" s="781">
        <f t="shared" si="153"/>
        <v>1.75</v>
      </c>
      <c r="CL110" s="783">
        <f t="shared" si="172"/>
        <v>1000000</v>
      </c>
      <c r="CM110" s="552"/>
      <c r="CN110" s="552"/>
      <c r="CO110" s="552"/>
      <c r="CP110" s="552"/>
      <c r="CQ110" s="552"/>
      <c r="CR110" s="552"/>
      <c r="CS110" s="552"/>
      <c r="CT110" s="552"/>
      <c r="CU110" s="552"/>
      <c r="CV110" s="552"/>
      <c r="CW110" s="552"/>
      <c r="CX110" s="552"/>
      <c r="CY110" s="552"/>
      <c r="CZ110" s="642">
        <f t="shared" si="133"/>
        <v>103</v>
      </c>
      <c r="DA110" s="609">
        <f t="shared" si="110"/>
        <v>115.875</v>
      </c>
      <c r="DB110" s="609">
        <f t="shared" si="121"/>
        <v>41.199999999999996</v>
      </c>
      <c r="DC110" s="610">
        <f t="shared" si="179"/>
        <v>134.99064333335184</v>
      </c>
      <c r="DD110" s="611">
        <f t="shared" si="179"/>
        <v>134.99739048693525</v>
      </c>
      <c r="DE110" s="612">
        <f t="shared" si="179"/>
        <v>134.99989280975299</v>
      </c>
      <c r="DF110" s="610">
        <f t="shared" si="180"/>
        <v>19.411764705882348</v>
      </c>
      <c r="DG110" s="611">
        <f t="shared" si="180"/>
        <v>22</v>
      </c>
      <c r="DH110" s="612">
        <f t="shared" si="180"/>
        <v>28.470588235294098</v>
      </c>
      <c r="DI110" s="610">
        <f t="shared" si="111"/>
        <v>154.40240803923419</v>
      </c>
      <c r="DJ110" s="611">
        <f t="shared" si="111"/>
        <v>156.99739048693525</v>
      </c>
      <c r="DK110" s="612">
        <f t="shared" si="111"/>
        <v>163.47048104504708</v>
      </c>
      <c r="DL110" s="613">
        <f t="shared" si="177"/>
        <v>154.40240803923419</v>
      </c>
      <c r="DM110" s="613">
        <f t="shared" si="177"/>
        <v>156.99739048693525</v>
      </c>
      <c r="DN110" s="613">
        <f t="shared" si="177"/>
        <v>163.47048104504708</v>
      </c>
      <c r="DO110" s="609">
        <f t="shared" si="112"/>
        <v>135</v>
      </c>
      <c r="DP110" s="609"/>
      <c r="DQ110" s="609">
        <f t="shared" si="123"/>
        <v>41.199999999999996</v>
      </c>
      <c r="DR110" s="610">
        <f t="shared" si="173"/>
        <v>2.1749573798577181E-3</v>
      </c>
      <c r="DS110" s="611">
        <f t="shared" si="173"/>
        <v>6.8745888890142984E-4</v>
      </c>
      <c r="DT110" s="612">
        <f t="shared" si="173"/>
        <v>3.6544017266863809E-5</v>
      </c>
      <c r="DU110" s="611">
        <f t="shared" si="178"/>
        <v>2.2792792342585327E-3</v>
      </c>
      <c r="DV110" s="611">
        <f t="shared" si="178"/>
        <v>7.2498672302856709E-4</v>
      </c>
      <c r="DW110" s="611">
        <f t="shared" si="178"/>
        <v>3.915302080770303E-5</v>
      </c>
      <c r="DX110" s="614">
        <f t="shared" si="114"/>
        <v>12.5</v>
      </c>
      <c r="DY110" s="615"/>
      <c r="DZ110" s="609">
        <f t="shared" si="124"/>
        <v>41.199999999999996</v>
      </c>
      <c r="EA110" s="611">
        <f t="shared" si="181"/>
        <v>2.2494605263157896</v>
      </c>
      <c r="EB110" s="611">
        <f t="shared" si="181"/>
        <v>1000000</v>
      </c>
      <c r="EC110" s="611">
        <f t="shared" si="181"/>
        <v>1000000</v>
      </c>
      <c r="ED110" s="610">
        <f t="shared" si="182"/>
        <v>0.22002999999999975</v>
      </c>
      <c r="EE110" s="611">
        <f t="shared" si="182"/>
        <v>0.22005999999999976</v>
      </c>
      <c r="EF110" s="612">
        <f t="shared" si="182"/>
        <v>0.22012499999999974</v>
      </c>
      <c r="EG110" s="611">
        <f t="shared" si="115"/>
        <v>2.4694905263157896</v>
      </c>
      <c r="EH110" s="611">
        <f t="shared" si="115"/>
        <v>1000000.22006</v>
      </c>
      <c r="EI110" s="611">
        <f t="shared" si="115"/>
        <v>1000000.220125</v>
      </c>
      <c r="EJ110" s="610">
        <f t="shared" si="125"/>
        <v>2.2999999999999998</v>
      </c>
      <c r="EK110" s="643">
        <f t="shared" si="126"/>
        <v>2.25</v>
      </c>
      <c r="EL110" s="644">
        <f t="shared" si="127"/>
        <v>2.83</v>
      </c>
      <c r="EN110" s="620">
        <f t="shared" si="128"/>
        <v>22.459722222222222</v>
      </c>
      <c r="EO110" s="621">
        <f t="shared" si="143"/>
        <v>54.582238088570271</v>
      </c>
      <c r="EP110" s="621">
        <f t="shared" si="143"/>
        <v>74.667881983821744</v>
      </c>
      <c r="EQ110" s="621">
        <f t="shared" si="143"/>
        <v>91.110904905588043</v>
      </c>
      <c r="ER110" s="610">
        <f t="shared" si="174"/>
        <v>16.705817965005515</v>
      </c>
      <c r="ES110" s="611">
        <f t="shared" si="174"/>
        <v>45.742090472328648</v>
      </c>
      <c r="ET110" s="612">
        <f t="shared" si="174"/>
        <v>70.135615293494084</v>
      </c>
      <c r="EU110" s="610">
        <f t="shared" si="129"/>
        <v>100</v>
      </c>
      <c r="EV110" s="611">
        <f t="shared" si="130"/>
        <v>135</v>
      </c>
      <c r="EW110" s="645">
        <f t="shared" si="131"/>
        <v>-1000000</v>
      </c>
      <c r="EX110" s="610">
        <f t="shared" si="117"/>
        <v>-37.876420123564756</v>
      </c>
      <c r="EY110" s="621">
        <f t="shared" si="118"/>
        <v>-28.925791511493095</v>
      </c>
      <c r="EZ110" s="612">
        <f t="shared" si="119"/>
        <v>-20.975289612093967</v>
      </c>
      <c r="FA110" s="646">
        <f t="shared" si="120"/>
        <v>22.459722222222222</v>
      </c>
      <c r="FB110" s="317"/>
      <c r="FC110" s="552"/>
      <c r="FD110" s="552"/>
      <c r="FE110" s="552"/>
      <c r="FF110" s="552"/>
      <c r="FG110" s="552"/>
      <c r="FH110" s="552"/>
      <c r="FI110" s="552"/>
      <c r="FJ110" s="552"/>
      <c r="FK110" s="552"/>
      <c r="FL110" s="552"/>
      <c r="FM110" s="552"/>
      <c r="FN110" s="552"/>
      <c r="FO110" s="552"/>
      <c r="FP110" s="552"/>
      <c r="FQ110" s="552"/>
      <c r="FR110" s="552"/>
      <c r="FS110" s="552"/>
      <c r="FT110" s="552"/>
    </row>
    <row r="111" spans="2:176" s="564" customFormat="1" ht="15" customHeight="1" x14ac:dyDescent="0.2">
      <c r="B111" s="647">
        <f t="shared" si="175"/>
        <v>12</v>
      </c>
      <c r="C111" s="652">
        <f>$I$15</f>
        <v>90.5</v>
      </c>
      <c r="D111" s="771">
        <f>$B$15</f>
        <v>1.92</v>
      </c>
      <c r="E111" s="772">
        <f t="shared" si="149"/>
        <v>7.541666666666667</v>
      </c>
      <c r="F111" s="689"/>
      <c r="G111" s="747">
        <f t="shared" si="150"/>
        <v>1.8762513199285908</v>
      </c>
      <c r="H111" s="748">
        <f t="shared" si="154"/>
        <v>1.9139470079905065E-3</v>
      </c>
      <c r="I111" s="689"/>
      <c r="J111" s="773">
        <f t="shared" si="176"/>
        <v>74</v>
      </c>
      <c r="K111" s="774">
        <f t="shared" si="155"/>
        <v>83.25</v>
      </c>
      <c r="L111" s="747">
        <f t="shared" si="156"/>
        <v>2.0660633043478263</v>
      </c>
      <c r="M111" s="751">
        <f t="shared" si="156"/>
        <v>2.060384239130435</v>
      </c>
      <c r="N111" s="751">
        <f t="shared" si="156"/>
        <v>2.0505763586956522</v>
      </c>
      <c r="O111" s="751">
        <f t="shared" si="156"/>
        <v>2.0407684782608695</v>
      </c>
      <c r="P111" s="751">
        <f t="shared" si="156"/>
        <v>2.0219304347826088</v>
      </c>
      <c r="Q111" s="751">
        <f t="shared" si="156"/>
        <v>2.010938695652174</v>
      </c>
      <c r="R111" s="751">
        <f t="shared" si="156"/>
        <v>1.969045652173913</v>
      </c>
      <c r="S111" s="751">
        <f t="shared" si="156"/>
        <v>1.9507122608695653</v>
      </c>
      <c r="T111" s="752">
        <f t="shared" si="156"/>
        <v>1.9244565217391305</v>
      </c>
      <c r="U111" s="753">
        <f t="shared" si="156"/>
        <v>1.754395652173913</v>
      </c>
      <c r="W111" s="773">
        <f t="shared" si="157"/>
        <v>83.25</v>
      </c>
      <c r="X111" s="775">
        <f t="shared" si="158"/>
        <v>-9.2834453982727119E-2</v>
      </c>
      <c r="Y111" s="776">
        <f t="shared" si="158"/>
        <v>-9.2839017871616011E-2</v>
      </c>
      <c r="Z111" s="776">
        <f t="shared" si="158"/>
        <v>-9.2846899816060452E-2</v>
      </c>
      <c r="AA111" s="776">
        <f t="shared" si="158"/>
        <v>-9.2854781760504893E-2</v>
      </c>
      <c r="AB111" s="776">
        <f t="shared" si="158"/>
        <v>-9.2869920649393783E-2</v>
      </c>
      <c r="AC111" s="776">
        <f t="shared" si="158"/>
        <v>-9.2878753982727116E-2</v>
      </c>
      <c r="AD111" s="776">
        <f t="shared" si="158"/>
        <v>-9.2912420649393784E-2</v>
      </c>
      <c r="AE111" s="776">
        <f t="shared" si="158"/>
        <v>-9.292715398272712E-2</v>
      </c>
      <c r="AF111" s="777">
        <f t="shared" si="158"/>
        <v>-9.2948253982727116E-2</v>
      </c>
      <c r="AG111" s="778">
        <f t="shared" si="158"/>
        <v>-9.3084920649393776E-2</v>
      </c>
      <c r="AI111" s="773">
        <f t="shared" si="159"/>
        <v>83.25</v>
      </c>
      <c r="AJ111" s="747">
        <f t="shared" si="147"/>
        <v>1.9732288503650992</v>
      </c>
      <c r="AK111" s="751">
        <f t="shared" si="147"/>
        <v>1.9675452212588189</v>
      </c>
      <c r="AL111" s="751">
        <f t="shared" si="147"/>
        <v>1.9577294588795917</v>
      </c>
      <c r="AM111" s="751">
        <f t="shared" si="147"/>
        <v>1.9479136965003645</v>
      </c>
      <c r="AN111" s="751">
        <f t="shared" si="147"/>
        <v>1.9290605141332151</v>
      </c>
      <c r="AO111" s="751">
        <f t="shared" si="147"/>
        <v>1.9180599416694468</v>
      </c>
      <c r="AP111" s="751">
        <f t="shared" si="147"/>
        <v>1.8761332315245192</v>
      </c>
      <c r="AQ111" s="751">
        <f t="shared" si="147"/>
        <v>1.8577851068868381</v>
      </c>
      <c r="AR111" s="752">
        <f t="shared" si="147"/>
        <v>1.8315082677564034</v>
      </c>
      <c r="AS111" s="751"/>
      <c r="AT111" s="674">
        <f t="shared" si="160"/>
        <v>1.75</v>
      </c>
      <c r="AU111" s="712">
        <f t="shared" si="161"/>
        <v>1.8</v>
      </c>
      <c r="AV111" s="712">
        <f t="shared" si="162"/>
        <v>1.81</v>
      </c>
      <c r="AW111" s="712">
        <f t="shared" si="163"/>
        <v>1.83</v>
      </c>
      <c r="AX111" s="712">
        <f t="shared" si="164"/>
        <v>1.84</v>
      </c>
      <c r="AY111" s="712">
        <f t="shared" si="165"/>
        <v>1.86</v>
      </c>
      <c r="AZ111" s="712">
        <f t="shared" si="166"/>
        <v>1.88</v>
      </c>
      <c r="BA111" s="712">
        <f t="shared" si="167"/>
        <v>1.9</v>
      </c>
      <c r="BB111" s="712">
        <f t="shared" si="168"/>
        <v>1.92</v>
      </c>
      <c r="BC111" s="779">
        <f t="shared" si="169"/>
        <v>1000000</v>
      </c>
      <c r="BD111" s="780">
        <f t="shared" si="170"/>
        <v>-1000000</v>
      </c>
      <c r="BF111" s="781">
        <f t="shared" si="171"/>
        <v>1.9734314623205838</v>
      </c>
      <c r="BG111" s="767">
        <f t="shared" si="171"/>
        <v>1.9270593708427</v>
      </c>
      <c r="BH111" s="767">
        <f t="shared" si="171"/>
        <v>2.0192214896313732</v>
      </c>
      <c r="BI111" s="767">
        <f t="shared" si="171"/>
        <v>2.0016913542555002</v>
      </c>
      <c r="BJ111" s="767">
        <f t="shared" si="171"/>
        <v>1.9953046558542609</v>
      </c>
      <c r="BK111" s="767">
        <f t="shared" si="171"/>
        <v>1.9939715468067949</v>
      </c>
      <c r="BL111" s="767">
        <f t="shared" si="171"/>
        <v>1.9919151948804033</v>
      </c>
      <c r="BM111" s="767">
        <f t="shared" si="171"/>
        <v>1.9915154514013311</v>
      </c>
      <c r="BN111" s="767">
        <f t="shared" si="171"/>
        <v>1.9911280421106958</v>
      </c>
      <c r="BO111" s="782">
        <f t="shared" si="171"/>
        <v>1.9901564891314989</v>
      </c>
      <c r="BP111" s="781">
        <f t="shared" si="148"/>
        <v>1.9734314623205838</v>
      </c>
      <c r="BQ111" s="767">
        <f t="shared" si="148"/>
        <v>1.9270593708427</v>
      </c>
      <c r="BR111" s="767">
        <f t="shared" si="148"/>
        <v>-1000000</v>
      </c>
      <c r="BS111" s="767">
        <f t="shared" si="148"/>
        <v>-1000000</v>
      </c>
      <c r="BT111" s="767">
        <f t="shared" si="148"/>
        <v>-1000000</v>
      </c>
      <c r="BU111" s="767">
        <f t="shared" si="148"/>
        <v>-1000000</v>
      </c>
      <c r="BV111" s="767">
        <f t="shared" si="148"/>
        <v>-1000000</v>
      </c>
      <c r="BW111" s="767">
        <f t="shared" si="148"/>
        <v>-1000000</v>
      </c>
      <c r="BX111" s="767">
        <f t="shared" si="148"/>
        <v>-1000000</v>
      </c>
      <c r="BY111" s="767">
        <f t="shared" si="148"/>
        <v>-1000000</v>
      </c>
      <c r="BZ111" s="648">
        <f t="shared" si="151"/>
        <v>74</v>
      </c>
      <c r="CA111" s="767">
        <f t="shared" si="152"/>
        <v>1.9734314623205838</v>
      </c>
      <c r="CB111" s="767">
        <f t="shared" si="152"/>
        <v>1.9270593708427</v>
      </c>
      <c r="CC111" s="767"/>
      <c r="CD111" s="767"/>
      <c r="CE111" s="767"/>
      <c r="CF111" s="767"/>
      <c r="CG111" s="767"/>
      <c r="CH111" s="767"/>
      <c r="CI111" s="767"/>
      <c r="CJ111" s="767"/>
      <c r="CK111" s="781">
        <f t="shared" si="153"/>
        <v>1.75</v>
      </c>
      <c r="CL111" s="783">
        <f t="shared" si="172"/>
        <v>1000000</v>
      </c>
      <c r="CM111" s="552"/>
      <c r="CN111" s="552"/>
      <c r="CO111" s="552"/>
      <c r="CP111" s="552"/>
      <c r="CQ111" s="552"/>
      <c r="CR111" s="552"/>
      <c r="CS111" s="552"/>
      <c r="CT111" s="552"/>
      <c r="CU111" s="552"/>
      <c r="CV111" s="552"/>
      <c r="CW111" s="552"/>
      <c r="CX111" s="552"/>
      <c r="CY111" s="552"/>
      <c r="CZ111" s="642">
        <f t="shared" si="133"/>
        <v>104</v>
      </c>
      <c r="DA111" s="609">
        <f t="shared" si="110"/>
        <v>117</v>
      </c>
      <c r="DB111" s="609">
        <f t="shared" si="121"/>
        <v>41.6</v>
      </c>
      <c r="DC111" s="610">
        <f t="shared" si="179"/>
        <v>134.99147409572865</v>
      </c>
      <c r="DD111" s="611">
        <f t="shared" si="179"/>
        <v>134.9976514777635</v>
      </c>
      <c r="DE111" s="612">
        <f t="shared" si="179"/>
        <v>134.99990647445713</v>
      </c>
      <c r="DF111" s="610">
        <f t="shared" si="180"/>
        <v>19.411764705882348</v>
      </c>
      <c r="DG111" s="611">
        <f t="shared" si="180"/>
        <v>22</v>
      </c>
      <c r="DH111" s="612">
        <f t="shared" si="180"/>
        <v>28.470588235294098</v>
      </c>
      <c r="DI111" s="610">
        <f t="shared" si="111"/>
        <v>154.403238801611</v>
      </c>
      <c r="DJ111" s="611">
        <f t="shared" si="111"/>
        <v>156.9976514777635</v>
      </c>
      <c r="DK111" s="612">
        <f t="shared" si="111"/>
        <v>163.47049470975122</v>
      </c>
      <c r="DL111" s="613">
        <f t="shared" si="177"/>
        <v>154.403238801611</v>
      </c>
      <c r="DM111" s="613">
        <f t="shared" si="177"/>
        <v>156.9976514777635</v>
      </c>
      <c r="DN111" s="613">
        <f t="shared" si="177"/>
        <v>163.47049470975122</v>
      </c>
      <c r="DO111" s="609">
        <f t="shared" si="112"/>
        <v>135</v>
      </c>
      <c r="DP111" s="609"/>
      <c r="DQ111" s="609">
        <f t="shared" si="123"/>
        <v>41.6</v>
      </c>
      <c r="DR111" s="610">
        <f t="shared" si="173"/>
        <v>1.9818466460571867E-3</v>
      </c>
      <c r="DS111" s="611">
        <f t="shared" si="173"/>
        <v>6.1870258826459226E-4</v>
      </c>
      <c r="DT111" s="612">
        <f t="shared" si="173"/>
        <v>3.1885354769075537E-5</v>
      </c>
      <c r="DU111" s="611">
        <f t="shared" si="178"/>
        <v>2.0769059420188956E-3</v>
      </c>
      <c r="DV111" s="611">
        <f t="shared" si="178"/>
        <v>6.5247707063064331E-4</v>
      </c>
      <c r="DW111" s="611">
        <f t="shared" si="178"/>
        <v>3.4161760353867488E-5</v>
      </c>
      <c r="DX111" s="614">
        <f t="shared" si="114"/>
        <v>12.5</v>
      </c>
      <c r="DY111" s="615"/>
      <c r="DZ111" s="609">
        <f t="shared" si="124"/>
        <v>41.6</v>
      </c>
      <c r="EA111" s="611">
        <f t="shared" si="181"/>
        <v>2.2693970588235297</v>
      </c>
      <c r="EB111" s="611">
        <f t="shared" si="181"/>
        <v>1000000</v>
      </c>
      <c r="EC111" s="611">
        <f t="shared" si="181"/>
        <v>1000000</v>
      </c>
      <c r="ED111" s="610">
        <f t="shared" si="182"/>
        <v>0.22002999999999975</v>
      </c>
      <c r="EE111" s="611">
        <f t="shared" si="182"/>
        <v>0.22005999999999976</v>
      </c>
      <c r="EF111" s="612">
        <f t="shared" si="182"/>
        <v>0.22012499999999974</v>
      </c>
      <c r="EG111" s="611">
        <f t="shared" si="115"/>
        <v>2.4894270588235297</v>
      </c>
      <c r="EH111" s="611">
        <f t="shared" si="115"/>
        <v>1000000.22006</v>
      </c>
      <c r="EI111" s="611">
        <f t="shared" si="115"/>
        <v>1000000.220125</v>
      </c>
      <c r="EJ111" s="610">
        <f t="shared" si="125"/>
        <v>2.2999999999999998</v>
      </c>
      <c r="EK111" s="643">
        <f t="shared" si="126"/>
        <v>2.25</v>
      </c>
      <c r="EL111" s="644">
        <f t="shared" si="127"/>
        <v>2.83</v>
      </c>
      <c r="EN111" s="620">
        <f t="shared" si="128"/>
        <v>22.677777777777781</v>
      </c>
      <c r="EO111" s="621">
        <f t="shared" si="143"/>
        <v>53.802465535704762</v>
      </c>
      <c r="EP111" s="621">
        <f t="shared" si="143"/>
        <v>74.082686221029093</v>
      </c>
      <c r="EQ111" s="621">
        <f t="shared" si="143"/>
        <v>90.685089808653387</v>
      </c>
      <c r="ER111" s="610">
        <f t="shared" si="174"/>
        <v>15.926040390739431</v>
      </c>
      <c r="ES111" s="611">
        <f t="shared" si="174"/>
        <v>45.137850504115001</v>
      </c>
      <c r="ET111" s="612">
        <f t="shared" si="174"/>
        <v>69.562056335210585</v>
      </c>
      <c r="EU111" s="610">
        <f t="shared" si="129"/>
        <v>100</v>
      </c>
      <c r="EV111" s="611">
        <f t="shared" si="130"/>
        <v>135</v>
      </c>
      <c r="EW111" s="645">
        <f t="shared" si="131"/>
        <v>-1000000</v>
      </c>
      <c r="EX111" s="610">
        <f t="shared" si="117"/>
        <v>-37.876425144965332</v>
      </c>
      <c r="EY111" s="621">
        <f t="shared" si="118"/>
        <v>-28.944835716914092</v>
      </c>
      <c r="EZ111" s="612">
        <f t="shared" si="119"/>
        <v>-21.123033473442803</v>
      </c>
      <c r="FA111" s="646">
        <f t="shared" si="120"/>
        <v>22.677777777777781</v>
      </c>
      <c r="FB111" s="317"/>
      <c r="FC111" s="552"/>
      <c r="FD111" s="552"/>
      <c r="FE111" s="552"/>
      <c r="FF111" s="552"/>
      <c r="FG111" s="552"/>
      <c r="FH111" s="552"/>
      <c r="FI111" s="552"/>
      <c r="FJ111" s="552"/>
      <c r="FK111" s="552"/>
      <c r="FL111" s="552"/>
      <c r="FM111" s="552"/>
      <c r="FN111" s="552"/>
      <c r="FO111" s="552"/>
      <c r="FP111" s="552"/>
      <c r="FQ111" s="552"/>
      <c r="FR111" s="552"/>
      <c r="FS111" s="552"/>
      <c r="FT111" s="552"/>
    </row>
    <row r="112" spans="2:176" s="564" customFormat="1" ht="15" customHeight="1" x14ac:dyDescent="0.2">
      <c r="B112" s="682">
        <f t="shared" si="175"/>
        <v>12</v>
      </c>
      <c r="C112" s="704">
        <f>$I$16</f>
        <v>84</v>
      </c>
      <c r="D112" s="807">
        <f>$B$16</f>
        <v>1.94</v>
      </c>
      <c r="E112" s="790">
        <f t="shared" si="149"/>
        <v>7</v>
      </c>
      <c r="F112" s="689"/>
      <c r="G112" s="747">
        <f t="shared" si="150"/>
        <v>1.8985165735480429</v>
      </c>
      <c r="H112" s="748">
        <f t="shared" si="154"/>
        <v>1.7208746701949272E-3</v>
      </c>
      <c r="I112" s="689"/>
      <c r="J112" s="773">
        <f t="shared" si="176"/>
        <v>75</v>
      </c>
      <c r="K112" s="774">
        <f t="shared" si="155"/>
        <v>84.375</v>
      </c>
      <c r="L112" s="747">
        <f t="shared" si="156"/>
        <v>2.0657535999999999</v>
      </c>
      <c r="M112" s="751">
        <f t="shared" si="156"/>
        <v>2.0599483333333333</v>
      </c>
      <c r="N112" s="751">
        <f t="shared" si="156"/>
        <v>2.0499225000000001</v>
      </c>
      <c r="O112" s="751">
        <f t="shared" si="156"/>
        <v>2.0398966666666669</v>
      </c>
      <c r="P112" s="751">
        <f t="shared" si="156"/>
        <v>2.0206400000000002</v>
      </c>
      <c r="Q112" s="751">
        <f t="shared" si="156"/>
        <v>2.009404</v>
      </c>
      <c r="R112" s="751">
        <f t="shared" si="156"/>
        <v>1.96658</v>
      </c>
      <c r="S112" s="751">
        <f t="shared" si="156"/>
        <v>1.9478392</v>
      </c>
      <c r="T112" s="752">
        <f t="shared" si="156"/>
        <v>1.921</v>
      </c>
      <c r="U112" s="753">
        <f t="shared" si="156"/>
        <v>1.74716</v>
      </c>
      <c r="W112" s="773">
        <f t="shared" si="157"/>
        <v>84.375</v>
      </c>
      <c r="X112" s="775">
        <f t="shared" si="158"/>
        <v>-9.3139181900547749E-2</v>
      </c>
      <c r="Y112" s="776">
        <f t="shared" si="158"/>
        <v>-9.3143745789436641E-2</v>
      </c>
      <c r="Z112" s="776">
        <f t="shared" si="158"/>
        <v>-9.3151627733881082E-2</v>
      </c>
      <c r="AA112" s="776">
        <f t="shared" si="158"/>
        <v>-9.3159509678325522E-2</v>
      </c>
      <c r="AB112" s="776">
        <f t="shared" si="158"/>
        <v>-9.3174648567214413E-2</v>
      </c>
      <c r="AC112" s="776">
        <f t="shared" si="158"/>
        <v>-9.3183481900547746E-2</v>
      </c>
      <c r="AD112" s="776">
        <f t="shared" si="158"/>
        <v>-9.3217148567214414E-2</v>
      </c>
      <c r="AE112" s="776">
        <f t="shared" si="158"/>
        <v>-9.323188190054775E-2</v>
      </c>
      <c r="AF112" s="777">
        <f t="shared" si="158"/>
        <v>-9.3252981900547746E-2</v>
      </c>
      <c r="AG112" s="778">
        <f t="shared" si="158"/>
        <v>-9.3389648567214406E-2</v>
      </c>
      <c r="AI112" s="773">
        <f t="shared" si="159"/>
        <v>84.375</v>
      </c>
      <c r="AJ112" s="747">
        <f t="shared" si="147"/>
        <v>1.972614418099452</v>
      </c>
      <c r="AK112" s="751">
        <f t="shared" si="147"/>
        <v>1.9668045875438966</v>
      </c>
      <c r="AL112" s="751">
        <f t="shared" si="147"/>
        <v>1.956770872266119</v>
      </c>
      <c r="AM112" s="751">
        <f t="shared" si="147"/>
        <v>1.9467371569883414</v>
      </c>
      <c r="AN112" s="751">
        <f t="shared" si="147"/>
        <v>1.9274653514327857</v>
      </c>
      <c r="AO112" s="751">
        <f t="shared" si="147"/>
        <v>1.9162205180994523</v>
      </c>
      <c r="AP112" s="751">
        <f t="shared" si="147"/>
        <v>1.8733628514327856</v>
      </c>
      <c r="AQ112" s="751">
        <f t="shared" si="147"/>
        <v>1.8546073180994522</v>
      </c>
      <c r="AR112" s="752">
        <f t="shared" si="147"/>
        <v>1.8277470180994524</v>
      </c>
      <c r="AS112" s="751"/>
      <c r="AT112" s="674">
        <f t="shared" si="160"/>
        <v>1.75</v>
      </c>
      <c r="AU112" s="712">
        <f t="shared" si="161"/>
        <v>1.8</v>
      </c>
      <c r="AV112" s="712">
        <f t="shared" si="162"/>
        <v>1.81</v>
      </c>
      <c r="AW112" s="712">
        <f t="shared" si="163"/>
        <v>1.83</v>
      </c>
      <c r="AX112" s="712">
        <f t="shared" si="164"/>
        <v>1.84</v>
      </c>
      <c r="AY112" s="712">
        <f t="shared" si="165"/>
        <v>1.86</v>
      </c>
      <c r="AZ112" s="712">
        <f t="shared" si="166"/>
        <v>1.88</v>
      </c>
      <c r="BA112" s="712">
        <f t="shared" si="167"/>
        <v>1.9</v>
      </c>
      <c r="BB112" s="712">
        <f t="shared" si="168"/>
        <v>1.92</v>
      </c>
      <c r="BC112" s="779">
        <f t="shared" si="169"/>
        <v>1000000</v>
      </c>
      <c r="BD112" s="780">
        <f t="shared" si="170"/>
        <v>-1000000</v>
      </c>
      <c r="BF112" s="781">
        <f t="shared" si="171"/>
        <v>1.9728190206068663</v>
      </c>
      <c r="BG112" s="767">
        <f t="shared" si="171"/>
        <v>1.9217661632839775</v>
      </c>
      <c r="BH112" s="767">
        <f t="shared" si="171"/>
        <v>2.0170850019279163</v>
      </c>
      <c r="BI112" s="767">
        <f t="shared" si="171"/>
        <v>2.0010487032443094</v>
      </c>
      <c r="BJ112" s="767">
        <f t="shared" si="171"/>
        <v>1.9949945356129184</v>
      </c>
      <c r="BK112" s="767">
        <f t="shared" si="171"/>
        <v>1.9937157414637632</v>
      </c>
      <c r="BL112" s="767">
        <f t="shared" si="171"/>
        <v>1.9917324278259863</v>
      </c>
      <c r="BM112" s="767">
        <f t="shared" si="171"/>
        <v>1.9913452216482801</v>
      </c>
      <c r="BN112" s="767">
        <f t="shared" si="171"/>
        <v>1.9909693336639902</v>
      </c>
      <c r="BO112" s="782">
        <f t="shared" si="171"/>
        <v>1.9900225530834688</v>
      </c>
      <c r="BP112" s="781">
        <f t="shared" si="148"/>
        <v>1.9728190206068663</v>
      </c>
      <c r="BQ112" s="767">
        <f t="shared" si="148"/>
        <v>1.9217661632839775</v>
      </c>
      <c r="BR112" s="767">
        <f t="shared" si="148"/>
        <v>-1000000</v>
      </c>
      <c r="BS112" s="767">
        <f t="shared" si="148"/>
        <v>-1000000</v>
      </c>
      <c r="BT112" s="767">
        <f t="shared" si="148"/>
        <v>-1000000</v>
      </c>
      <c r="BU112" s="767">
        <f t="shared" si="148"/>
        <v>-1000000</v>
      </c>
      <c r="BV112" s="767">
        <f t="shared" si="148"/>
        <v>-1000000</v>
      </c>
      <c r="BW112" s="767">
        <f t="shared" si="148"/>
        <v>-1000000</v>
      </c>
      <c r="BX112" s="767">
        <f t="shared" si="148"/>
        <v>-1000000</v>
      </c>
      <c r="BY112" s="767">
        <f t="shared" si="148"/>
        <v>-1000000</v>
      </c>
      <c r="BZ112" s="648">
        <f t="shared" si="151"/>
        <v>75</v>
      </c>
      <c r="CA112" s="767">
        <f t="shared" si="152"/>
        <v>1.9728190206068663</v>
      </c>
      <c r="CB112" s="767">
        <f t="shared" si="152"/>
        <v>1.9217661632839775</v>
      </c>
      <c r="CC112" s="767"/>
      <c r="CD112" s="767"/>
      <c r="CE112" s="767"/>
      <c r="CF112" s="767"/>
      <c r="CG112" s="767"/>
      <c r="CH112" s="767"/>
      <c r="CI112" s="767"/>
      <c r="CJ112" s="767"/>
      <c r="CK112" s="781">
        <f t="shared" si="153"/>
        <v>1.75</v>
      </c>
      <c r="CL112" s="783">
        <f t="shared" si="172"/>
        <v>1000000</v>
      </c>
      <c r="CM112" s="552"/>
      <c r="CN112" s="552"/>
      <c r="CO112" s="552"/>
      <c r="CP112" s="552"/>
      <c r="CQ112" s="552"/>
      <c r="CR112" s="552"/>
      <c r="CS112" s="552"/>
      <c r="CT112" s="552"/>
      <c r="CU112" s="552"/>
      <c r="CV112" s="552"/>
      <c r="CW112" s="552"/>
      <c r="CX112" s="552"/>
      <c r="CY112" s="552"/>
      <c r="CZ112" s="642">
        <f t="shared" si="133"/>
        <v>105</v>
      </c>
      <c r="DA112" s="609">
        <f t="shared" si="110"/>
        <v>118.125</v>
      </c>
      <c r="DB112" s="609">
        <f t="shared" si="121"/>
        <v>42</v>
      </c>
      <c r="DC112" s="610">
        <f t="shared" si="179"/>
        <v>134.99223109613953</v>
      </c>
      <c r="DD112" s="611">
        <f t="shared" si="179"/>
        <v>134.99788636555613</v>
      </c>
      <c r="DE112" s="612">
        <f t="shared" si="179"/>
        <v>134.99991839717313</v>
      </c>
      <c r="DF112" s="610">
        <f t="shared" si="180"/>
        <v>19.411764705882348</v>
      </c>
      <c r="DG112" s="611">
        <f t="shared" si="180"/>
        <v>22</v>
      </c>
      <c r="DH112" s="612">
        <f t="shared" si="180"/>
        <v>28.470588235294098</v>
      </c>
      <c r="DI112" s="610">
        <f t="shared" si="111"/>
        <v>154.40399580202188</v>
      </c>
      <c r="DJ112" s="611">
        <f t="shared" si="111"/>
        <v>156.99788636555613</v>
      </c>
      <c r="DK112" s="612">
        <f t="shared" si="111"/>
        <v>163.47050663246722</v>
      </c>
      <c r="DL112" s="613">
        <f t="shared" si="177"/>
        <v>154.40399580202188</v>
      </c>
      <c r="DM112" s="613">
        <f t="shared" si="177"/>
        <v>156.99788636555613</v>
      </c>
      <c r="DN112" s="613">
        <f t="shared" si="177"/>
        <v>163.47050663246722</v>
      </c>
      <c r="DO112" s="609">
        <f t="shared" si="112"/>
        <v>135</v>
      </c>
      <c r="DP112" s="609"/>
      <c r="DQ112" s="609">
        <f t="shared" si="123"/>
        <v>42</v>
      </c>
      <c r="DR112" s="610">
        <f t="shared" si="173"/>
        <v>1.8058818829567432E-3</v>
      </c>
      <c r="DS112" s="611">
        <f t="shared" si="173"/>
        <v>5.5682295902379755E-4</v>
      </c>
      <c r="DT112" s="612">
        <f t="shared" si="173"/>
        <v>2.7820582540926004E-5</v>
      </c>
      <c r="DU112" s="611">
        <f t="shared" si="178"/>
        <v>1.892501027214173E-3</v>
      </c>
      <c r="DV112" s="611">
        <f t="shared" si="178"/>
        <v>5.8721948157369958E-4</v>
      </c>
      <c r="DW112" s="611">
        <f t="shared" si="178"/>
        <v>2.9806789996200783E-5</v>
      </c>
      <c r="DX112" s="614">
        <f t="shared" si="114"/>
        <v>12.5</v>
      </c>
      <c r="DY112" s="615"/>
      <c r="DZ112" s="609">
        <f t="shared" si="124"/>
        <v>42</v>
      </c>
      <c r="EA112" s="611">
        <f t="shared" si="181"/>
        <v>2.2946500000000003</v>
      </c>
      <c r="EB112" s="611">
        <f t="shared" si="181"/>
        <v>1000000</v>
      </c>
      <c r="EC112" s="611">
        <f t="shared" si="181"/>
        <v>1000000</v>
      </c>
      <c r="ED112" s="610">
        <f t="shared" si="182"/>
        <v>0.22002999999999975</v>
      </c>
      <c r="EE112" s="611">
        <f t="shared" si="182"/>
        <v>0.22005999999999976</v>
      </c>
      <c r="EF112" s="612">
        <f t="shared" si="182"/>
        <v>0.22012499999999974</v>
      </c>
      <c r="EG112" s="611">
        <f t="shared" si="115"/>
        <v>2.5146800000000002</v>
      </c>
      <c r="EH112" s="611">
        <f t="shared" si="115"/>
        <v>1000000.22006</v>
      </c>
      <c r="EI112" s="611">
        <f t="shared" si="115"/>
        <v>1000000.220125</v>
      </c>
      <c r="EJ112" s="610">
        <f t="shared" si="125"/>
        <v>2.2999999999999998</v>
      </c>
      <c r="EK112" s="643">
        <f t="shared" si="126"/>
        <v>2.25</v>
      </c>
      <c r="EL112" s="644">
        <f t="shared" si="127"/>
        <v>2.83</v>
      </c>
      <c r="EN112" s="620">
        <f t="shared" si="128"/>
        <v>22.895833333333336</v>
      </c>
      <c r="EO112" s="621">
        <f t="shared" si="143"/>
        <v>53.022711851476018</v>
      </c>
      <c r="EP112" s="621">
        <f t="shared" si="143"/>
        <v>73.497501081867199</v>
      </c>
      <c r="EQ112" s="621">
        <f t="shared" si="143"/>
        <v>90.259280335171496</v>
      </c>
      <c r="ER112" s="610">
        <f t="shared" si="174"/>
        <v>15.146282333800904</v>
      </c>
      <c r="ES112" s="611">
        <f t="shared" si="174"/>
        <v>44.534490552808393</v>
      </c>
      <c r="ET112" s="612">
        <f t="shared" si="174"/>
        <v>68.991057960242429</v>
      </c>
      <c r="EU112" s="610">
        <f t="shared" si="129"/>
        <v>100</v>
      </c>
      <c r="EV112" s="611">
        <f t="shared" si="130"/>
        <v>135</v>
      </c>
      <c r="EW112" s="645">
        <f t="shared" si="131"/>
        <v>-1000000</v>
      </c>
      <c r="EX112" s="610">
        <f t="shared" si="117"/>
        <v>-37.876429517675113</v>
      </c>
      <c r="EY112" s="621">
        <f t="shared" si="118"/>
        <v>-28.963010529058806</v>
      </c>
      <c r="EZ112" s="612">
        <f t="shared" si="119"/>
        <v>-21.268222374929067</v>
      </c>
      <c r="FA112" s="646">
        <f t="shared" si="120"/>
        <v>22.895833333333336</v>
      </c>
      <c r="FB112" s="317"/>
      <c r="FC112" s="552"/>
      <c r="FD112" s="552"/>
      <c r="FE112" s="552"/>
      <c r="FF112" s="552"/>
      <c r="FG112" s="552"/>
      <c r="FH112" s="552"/>
      <c r="FI112" s="552"/>
      <c r="FJ112" s="552"/>
      <c r="FK112" s="552"/>
      <c r="FL112" s="552"/>
      <c r="FM112" s="552"/>
      <c r="FN112" s="552"/>
      <c r="FO112" s="552"/>
      <c r="FP112" s="552"/>
      <c r="FQ112" s="552"/>
      <c r="FR112" s="552"/>
      <c r="FS112" s="552"/>
      <c r="FT112" s="552"/>
    </row>
    <row r="113" spans="2:176" s="564" customFormat="1" ht="15" customHeight="1" x14ac:dyDescent="0.2">
      <c r="B113" s="626">
        <f>$J$4</f>
        <v>10</v>
      </c>
      <c r="C113" s="631">
        <f>$J$6</f>
        <v>105</v>
      </c>
      <c r="D113" s="744">
        <f>$B$6</f>
        <v>1.75</v>
      </c>
      <c r="E113" s="745">
        <f t="shared" si="149"/>
        <v>10.5</v>
      </c>
      <c r="F113" s="689"/>
      <c r="G113" s="747">
        <f t="shared" si="150"/>
        <v>1.7578509281297316</v>
      </c>
      <c r="H113" s="748">
        <f t="shared" si="154"/>
        <v>6.1637072498211691E-5</v>
      </c>
      <c r="I113" s="689"/>
      <c r="J113" s="773">
        <f t="shared" si="176"/>
        <v>76</v>
      </c>
      <c r="K113" s="774">
        <f t="shared" si="155"/>
        <v>85.5</v>
      </c>
      <c r="L113" s="747">
        <f t="shared" si="156"/>
        <v>2.0654298181818183</v>
      </c>
      <c r="M113" s="751">
        <f t="shared" si="156"/>
        <v>2.0594926136363636</v>
      </c>
      <c r="N113" s="751">
        <f t="shared" si="156"/>
        <v>2.0492389204545454</v>
      </c>
      <c r="O113" s="751">
        <f t="shared" si="156"/>
        <v>2.0389852272727271</v>
      </c>
      <c r="P113" s="751">
        <f t="shared" si="156"/>
        <v>2.019290909090909</v>
      </c>
      <c r="Q113" s="751">
        <f t="shared" si="156"/>
        <v>2.0077995454545454</v>
      </c>
      <c r="R113" s="751">
        <f t="shared" si="156"/>
        <v>1.9640022727272728</v>
      </c>
      <c r="S113" s="751">
        <f t="shared" si="156"/>
        <v>1.9448355454545456</v>
      </c>
      <c r="T113" s="752">
        <f t="shared" si="156"/>
        <v>1.9173863636363637</v>
      </c>
      <c r="U113" s="753">
        <f t="shared" si="156"/>
        <v>1.7395954545454546</v>
      </c>
      <c r="W113" s="773">
        <f t="shared" si="157"/>
        <v>85.5</v>
      </c>
      <c r="X113" s="775">
        <f t="shared" si="158"/>
        <v>-9.3428718856164231E-2</v>
      </c>
      <c r="Y113" s="776">
        <f t="shared" si="158"/>
        <v>-9.3433282745053123E-2</v>
      </c>
      <c r="Z113" s="776">
        <f t="shared" si="158"/>
        <v>-9.3441164689497563E-2</v>
      </c>
      <c r="AA113" s="776">
        <f t="shared" si="158"/>
        <v>-9.3449046633942004E-2</v>
      </c>
      <c r="AB113" s="776">
        <f t="shared" si="158"/>
        <v>-9.3464185522830895E-2</v>
      </c>
      <c r="AC113" s="776">
        <f t="shared" si="158"/>
        <v>-9.3473018856164228E-2</v>
      </c>
      <c r="AD113" s="776">
        <f t="shared" si="158"/>
        <v>-9.3506685522830896E-2</v>
      </c>
      <c r="AE113" s="776">
        <f t="shared" si="158"/>
        <v>-9.3521418856164232E-2</v>
      </c>
      <c r="AF113" s="777">
        <f t="shared" si="158"/>
        <v>-9.3542518856164228E-2</v>
      </c>
      <c r="AG113" s="778">
        <f t="shared" si="158"/>
        <v>-9.3679185522830888E-2</v>
      </c>
      <c r="AI113" s="773">
        <f t="shared" si="159"/>
        <v>85.5</v>
      </c>
      <c r="AJ113" s="747">
        <f t="shared" si="147"/>
        <v>1.972001099325654</v>
      </c>
      <c r="AK113" s="751">
        <f t="shared" si="147"/>
        <v>1.9660593308913106</v>
      </c>
      <c r="AL113" s="751">
        <f t="shared" si="147"/>
        <v>1.9557977557650479</v>
      </c>
      <c r="AM113" s="751">
        <f t="shared" si="147"/>
        <v>1.9455361806387852</v>
      </c>
      <c r="AN113" s="751">
        <f t="shared" si="147"/>
        <v>1.9258267235680782</v>
      </c>
      <c r="AO113" s="751">
        <f t="shared" si="147"/>
        <v>1.9143265265983811</v>
      </c>
      <c r="AP113" s="751">
        <f t="shared" si="147"/>
        <v>1.870495587204442</v>
      </c>
      <c r="AQ113" s="751">
        <f t="shared" si="147"/>
        <v>1.8513141265983815</v>
      </c>
      <c r="AR113" s="752">
        <f t="shared" si="147"/>
        <v>1.8238438447801995</v>
      </c>
      <c r="AS113" s="751"/>
      <c r="AT113" s="674">
        <f t="shared" si="160"/>
        <v>1.75</v>
      </c>
      <c r="AU113" s="712">
        <f t="shared" si="161"/>
        <v>1.8</v>
      </c>
      <c r="AV113" s="712">
        <f t="shared" si="162"/>
        <v>1.81</v>
      </c>
      <c r="AW113" s="712">
        <f t="shared" si="163"/>
        <v>1.83</v>
      </c>
      <c r="AX113" s="712">
        <f t="shared" si="164"/>
        <v>1.84</v>
      </c>
      <c r="AY113" s="712">
        <f t="shared" si="165"/>
        <v>1.86</v>
      </c>
      <c r="AZ113" s="712">
        <f t="shared" si="166"/>
        <v>1.88</v>
      </c>
      <c r="BA113" s="712">
        <f t="shared" si="167"/>
        <v>1.9</v>
      </c>
      <c r="BB113" s="712">
        <f t="shared" si="168"/>
        <v>1.92</v>
      </c>
      <c r="BC113" s="779">
        <f t="shared" si="169"/>
        <v>1000000</v>
      </c>
      <c r="BD113" s="780">
        <f t="shared" si="170"/>
        <v>-1000000</v>
      </c>
      <c r="BF113" s="781">
        <f t="shared" si="171"/>
        <v>1.9722082469982216</v>
      </c>
      <c r="BG113" s="767">
        <f t="shared" si="171"/>
        <v>1.9154002570100026</v>
      </c>
      <c r="BH113" s="767">
        <f t="shared" si="171"/>
        <v>2.0151744707444679</v>
      </c>
      <c r="BI113" s="767">
        <f t="shared" si="171"/>
        <v>2.0004448539724247</v>
      </c>
      <c r="BJ113" s="767">
        <f t="shared" si="171"/>
        <v>1.9946975931165924</v>
      </c>
      <c r="BK113" s="767">
        <f t="shared" si="171"/>
        <v>1.9934698366229939</v>
      </c>
      <c r="BL113" s="767">
        <f t="shared" si="171"/>
        <v>1.991555666937058</v>
      </c>
      <c r="BM113" s="767">
        <f t="shared" si="171"/>
        <v>1.9911803954365161</v>
      </c>
      <c r="BN113" s="767">
        <f t="shared" si="171"/>
        <v>1.9908154935745459</v>
      </c>
      <c r="BO113" s="782">
        <f t="shared" si="171"/>
        <v>1.989892398362455</v>
      </c>
      <c r="BP113" s="781">
        <f t="shared" si="148"/>
        <v>1.9722082469982216</v>
      </c>
      <c r="BQ113" s="767">
        <f t="shared" si="148"/>
        <v>1.9154002570100026</v>
      </c>
      <c r="BR113" s="767">
        <f t="shared" si="148"/>
        <v>-1000000</v>
      </c>
      <c r="BS113" s="767">
        <f t="shared" si="148"/>
        <v>-1000000</v>
      </c>
      <c r="BT113" s="767">
        <f t="shared" si="148"/>
        <v>-1000000</v>
      </c>
      <c r="BU113" s="767">
        <f t="shared" si="148"/>
        <v>-1000000</v>
      </c>
      <c r="BV113" s="767">
        <f t="shared" si="148"/>
        <v>-1000000</v>
      </c>
      <c r="BW113" s="767">
        <f t="shared" si="148"/>
        <v>-1000000</v>
      </c>
      <c r="BX113" s="767">
        <f t="shared" si="148"/>
        <v>-1000000</v>
      </c>
      <c r="BY113" s="767">
        <f t="shared" si="148"/>
        <v>-1000000</v>
      </c>
      <c r="BZ113" s="648">
        <f t="shared" si="151"/>
        <v>76</v>
      </c>
      <c r="CA113" s="767">
        <f t="shared" si="152"/>
        <v>1.9722082469982216</v>
      </c>
      <c r="CB113" s="767">
        <f t="shared" si="152"/>
        <v>1.9154002570100026</v>
      </c>
      <c r="CC113" s="767"/>
      <c r="CD113" s="767"/>
      <c r="CE113" s="767"/>
      <c r="CF113" s="767"/>
      <c r="CG113" s="767"/>
      <c r="CH113" s="767"/>
      <c r="CI113" s="767"/>
      <c r="CJ113" s="767"/>
      <c r="CK113" s="781">
        <f t="shared" si="153"/>
        <v>1.75</v>
      </c>
      <c r="CL113" s="783">
        <f t="shared" si="172"/>
        <v>1000000</v>
      </c>
      <c r="CM113" s="552"/>
      <c r="CN113" s="552"/>
      <c r="CO113" s="552"/>
      <c r="CP113" s="552"/>
      <c r="CQ113" s="552"/>
      <c r="CR113" s="552"/>
      <c r="CS113" s="552"/>
      <c r="CT113" s="552"/>
      <c r="CU113" s="552"/>
      <c r="CV113" s="552"/>
      <c r="CW113" s="552"/>
      <c r="CX113" s="552"/>
      <c r="CY113" s="552"/>
      <c r="CZ113" s="642">
        <f t="shared" si="133"/>
        <v>106</v>
      </c>
      <c r="DA113" s="609">
        <f t="shared" si="110"/>
        <v>119.25</v>
      </c>
      <c r="DB113" s="609">
        <f t="shared" si="121"/>
        <v>42.4</v>
      </c>
      <c r="DC113" s="610">
        <f t="shared" si="179"/>
        <v>134.9929208837828</v>
      </c>
      <c r="DD113" s="611">
        <f t="shared" si="179"/>
        <v>134.99809776101208</v>
      </c>
      <c r="DE113" s="612">
        <f t="shared" si="179"/>
        <v>134.99992879997112</v>
      </c>
      <c r="DF113" s="610">
        <f t="shared" si="180"/>
        <v>19.411764705882348</v>
      </c>
      <c r="DG113" s="611">
        <f t="shared" si="180"/>
        <v>22</v>
      </c>
      <c r="DH113" s="612">
        <f t="shared" si="180"/>
        <v>28.470588235294098</v>
      </c>
      <c r="DI113" s="610">
        <f t="shared" si="111"/>
        <v>154.40468558966515</v>
      </c>
      <c r="DJ113" s="611">
        <f t="shared" si="111"/>
        <v>156.99809776101208</v>
      </c>
      <c r="DK113" s="612">
        <f t="shared" si="111"/>
        <v>163.4705170352652</v>
      </c>
      <c r="DL113" s="613">
        <f t="shared" si="177"/>
        <v>154.40468558966515</v>
      </c>
      <c r="DM113" s="613">
        <f t="shared" si="177"/>
        <v>156.99809776101208</v>
      </c>
      <c r="DN113" s="613">
        <f t="shared" si="177"/>
        <v>163.4705170352652</v>
      </c>
      <c r="DO113" s="609">
        <f t="shared" si="112"/>
        <v>135</v>
      </c>
      <c r="DP113" s="609"/>
      <c r="DQ113" s="609">
        <f t="shared" si="123"/>
        <v>42.4</v>
      </c>
      <c r="DR113" s="610">
        <f t="shared" si="173"/>
        <v>1.645540729238285E-3</v>
      </c>
      <c r="DS113" s="611">
        <f t="shared" si="173"/>
        <v>5.0113222989043324E-4</v>
      </c>
      <c r="DT113" s="612">
        <f t="shared" si="173"/>
        <v>2.4273990944179082E-5</v>
      </c>
      <c r="DU113" s="611">
        <f t="shared" si="178"/>
        <v>1.7244691081685975E-3</v>
      </c>
      <c r="DV113" s="611">
        <f t="shared" si="178"/>
        <v>5.2848863987265033E-4</v>
      </c>
      <c r="DW113" s="611">
        <f t="shared" si="178"/>
        <v>2.600699495758372E-5</v>
      </c>
      <c r="DX113" s="614">
        <f t="shared" si="114"/>
        <v>12.5</v>
      </c>
      <c r="DY113" s="615"/>
      <c r="DZ113" s="609">
        <f t="shared" si="124"/>
        <v>42.4</v>
      </c>
      <c r="EA113" s="611">
        <f t="shared" si="181"/>
        <v>2.3276730769230767</v>
      </c>
      <c r="EB113" s="611">
        <f t="shared" si="181"/>
        <v>1000000</v>
      </c>
      <c r="EC113" s="611">
        <f t="shared" si="181"/>
        <v>1000000</v>
      </c>
      <c r="ED113" s="610">
        <f t="shared" si="182"/>
        <v>0.22002999999999975</v>
      </c>
      <c r="EE113" s="611">
        <f t="shared" si="182"/>
        <v>0.22005999999999976</v>
      </c>
      <c r="EF113" s="612">
        <f t="shared" si="182"/>
        <v>0.22012499999999974</v>
      </c>
      <c r="EG113" s="611">
        <f t="shared" si="115"/>
        <v>2.5477030769230766</v>
      </c>
      <c r="EH113" s="611">
        <f t="shared" si="115"/>
        <v>1000000.22006</v>
      </c>
      <c r="EI113" s="611">
        <f t="shared" si="115"/>
        <v>1000000.220125</v>
      </c>
      <c r="EJ113" s="610">
        <f t="shared" si="125"/>
        <v>2.2999999999999998</v>
      </c>
      <c r="EK113" s="643">
        <f t="shared" si="126"/>
        <v>2.25</v>
      </c>
      <c r="EL113" s="644">
        <f t="shared" si="127"/>
        <v>2.83</v>
      </c>
      <c r="EN113" s="620">
        <f t="shared" si="128"/>
        <v>23.113888888888891</v>
      </c>
      <c r="EO113" s="621">
        <f t="shared" si="143"/>
        <v>52.242977035199154</v>
      </c>
      <c r="EP113" s="621">
        <f t="shared" si="143"/>
        <v>72.912326566046744</v>
      </c>
      <c r="EQ113" s="621">
        <f t="shared" si="143"/>
        <v>89.833476485030985</v>
      </c>
      <c r="ER113" s="610">
        <f t="shared" si="174"/>
        <v>14.366543709703798</v>
      </c>
      <c r="ES113" s="611">
        <f t="shared" si="174"/>
        <v>43.931970929161508</v>
      </c>
      <c r="ET113" s="612">
        <f t="shared" si="174"/>
        <v>68.422575985120375</v>
      </c>
      <c r="EU113" s="610">
        <f t="shared" si="129"/>
        <v>100</v>
      </c>
      <c r="EV113" s="611">
        <f t="shared" si="130"/>
        <v>135</v>
      </c>
      <c r="EW113" s="645">
        <f t="shared" si="131"/>
        <v>-1000000</v>
      </c>
      <c r="EX113" s="610">
        <f t="shared" si="117"/>
        <v>-37.876433325495356</v>
      </c>
      <c r="EY113" s="621">
        <f t="shared" si="118"/>
        <v>-28.980355636885236</v>
      </c>
      <c r="EZ113" s="612">
        <f t="shared" si="119"/>
        <v>-21.410900499910611</v>
      </c>
      <c r="FA113" s="646">
        <f t="shared" si="120"/>
        <v>23.113888888888891</v>
      </c>
      <c r="FB113" s="317"/>
      <c r="FC113" s="552"/>
      <c r="FD113" s="552"/>
      <c r="FE113" s="552"/>
      <c r="FF113" s="552"/>
      <c r="FG113" s="552"/>
      <c r="FH113" s="552"/>
      <c r="FI113" s="552"/>
      <c r="FJ113" s="552"/>
      <c r="FK113" s="552"/>
      <c r="FL113" s="552"/>
      <c r="FM113" s="552"/>
      <c r="FN113" s="552"/>
      <c r="FO113" s="552"/>
      <c r="FP113" s="552"/>
      <c r="FQ113" s="552"/>
      <c r="FR113" s="552"/>
      <c r="FS113" s="552"/>
      <c r="FT113" s="552"/>
    </row>
    <row r="114" spans="2:176" s="564" customFormat="1" ht="15" customHeight="1" x14ac:dyDescent="0.2">
      <c r="B114" s="647">
        <f t="shared" ref="B114:B123" si="183">$J$4</f>
        <v>10</v>
      </c>
      <c r="C114" s="652">
        <f>$J$7</f>
        <v>104.1</v>
      </c>
      <c r="D114" s="771">
        <f>$B$7</f>
        <v>1.78</v>
      </c>
      <c r="E114" s="772">
        <f t="shared" si="149"/>
        <v>10.41</v>
      </c>
      <c r="F114" s="689"/>
      <c r="G114" s="747">
        <f t="shared" si="150"/>
        <v>1.7663869253623956</v>
      </c>
      <c r="H114" s="748">
        <f t="shared" si="154"/>
        <v>1.8531580108898863E-4</v>
      </c>
      <c r="I114" s="689"/>
      <c r="J114" s="773">
        <f t="shared" si="176"/>
        <v>77</v>
      </c>
      <c r="K114" s="774">
        <f t="shared" si="155"/>
        <v>86.625</v>
      </c>
      <c r="L114" s="747">
        <f t="shared" si="156"/>
        <v>2.0650909767441861</v>
      </c>
      <c r="M114" s="751">
        <f t="shared" si="156"/>
        <v>2.0590156976744187</v>
      </c>
      <c r="N114" s="751">
        <f t="shared" si="156"/>
        <v>2.0485235465116278</v>
      </c>
      <c r="O114" s="751">
        <f t="shared" si="156"/>
        <v>2.0380313953488374</v>
      </c>
      <c r="P114" s="751">
        <f t="shared" si="156"/>
        <v>2.0178790697674418</v>
      </c>
      <c r="Q114" s="751">
        <f t="shared" si="156"/>
        <v>2.006120465116279</v>
      </c>
      <c r="R114" s="751">
        <f t="shared" si="156"/>
        <v>1.9613046511627907</v>
      </c>
      <c r="S114" s="751">
        <f t="shared" si="156"/>
        <v>1.9416921860465117</v>
      </c>
      <c r="T114" s="752">
        <f t="shared" si="156"/>
        <v>1.9136046511627907</v>
      </c>
      <c r="U114" s="753">
        <f t="shared" si="156"/>
        <v>1.7316790697674418</v>
      </c>
      <c r="W114" s="773">
        <f t="shared" si="157"/>
        <v>86.625</v>
      </c>
      <c r="X114" s="775">
        <f t="shared" si="158"/>
        <v>-9.3703822132776421E-2</v>
      </c>
      <c r="Y114" s="776">
        <f t="shared" si="158"/>
        <v>-9.3708386021665313E-2</v>
      </c>
      <c r="Z114" s="776">
        <f t="shared" si="158"/>
        <v>-9.3716267966109754E-2</v>
      </c>
      <c r="AA114" s="776">
        <f t="shared" si="158"/>
        <v>-9.3724149910554194E-2</v>
      </c>
      <c r="AB114" s="776">
        <f t="shared" si="158"/>
        <v>-9.3739288799443085E-2</v>
      </c>
      <c r="AC114" s="776">
        <f t="shared" si="158"/>
        <v>-9.3748122132776418E-2</v>
      </c>
      <c r="AD114" s="776">
        <f t="shared" si="158"/>
        <v>-9.3781788799443086E-2</v>
      </c>
      <c r="AE114" s="776">
        <f t="shared" si="158"/>
        <v>-9.3796522132776422E-2</v>
      </c>
      <c r="AF114" s="777">
        <f t="shared" si="158"/>
        <v>-9.3817622132776418E-2</v>
      </c>
      <c r="AG114" s="778">
        <f t="shared" si="158"/>
        <v>-9.3954288799443078E-2</v>
      </c>
      <c r="AI114" s="773">
        <f t="shared" si="159"/>
        <v>86.625</v>
      </c>
      <c r="AJ114" s="747">
        <f t="shared" si="147"/>
        <v>1.9713871546114097</v>
      </c>
      <c r="AK114" s="751">
        <f t="shared" si="147"/>
        <v>1.9653073116527535</v>
      </c>
      <c r="AL114" s="751">
        <f t="shared" si="147"/>
        <v>1.9548072785455182</v>
      </c>
      <c r="AM114" s="751">
        <f t="shared" si="147"/>
        <v>1.9443072454382833</v>
      </c>
      <c r="AN114" s="751">
        <f t="shared" si="147"/>
        <v>1.9241397809679988</v>
      </c>
      <c r="AO114" s="751">
        <f t="shared" si="147"/>
        <v>1.9123723429835024</v>
      </c>
      <c r="AP114" s="751">
        <f t="shared" si="147"/>
        <v>1.8675228623633477</v>
      </c>
      <c r="AQ114" s="751">
        <f t="shared" si="147"/>
        <v>1.8478956639137354</v>
      </c>
      <c r="AR114" s="752">
        <f t="shared" si="147"/>
        <v>1.8197870290300142</v>
      </c>
      <c r="AS114" s="751"/>
      <c r="AT114" s="674">
        <f t="shared" si="160"/>
        <v>1.75</v>
      </c>
      <c r="AU114" s="712">
        <f t="shared" si="161"/>
        <v>1.8</v>
      </c>
      <c r="AV114" s="712">
        <f t="shared" si="162"/>
        <v>1.81</v>
      </c>
      <c r="AW114" s="712">
        <f t="shared" si="163"/>
        <v>1.83</v>
      </c>
      <c r="AX114" s="712">
        <f t="shared" si="164"/>
        <v>1.84</v>
      </c>
      <c r="AY114" s="712">
        <f t="shared" si="165"/>
        <v>1.86</v>
      </c>
      <c r="AZ114" s="712">
        <f t="shared" si="166"/>
        <v>1.88</v>
      </c>
      <c r="BA114" s="712">
        <f t="shared" si="167"/>
        <v>1.9</v>
      </c>
      <c r="BB114" s="712">
        <f t="shared" si="168"/>
        <v>1.92</v>
      </c>
      <c r="BC114" s="779">
        <f t="shared" si="169"/>
        <v>1000000</v>
      </c>
      <c r="BD114" s="780">
        <f t="shared" si="170"/>
        <v>-1000000</v>
      </c>
      <c r="BF114" s="781">
        <f t="shared" si="171"/>
        <v>1.9715974409375332</v>
      </c>
      <c r="BG114" s="767">
        <f t="shared" si="171"/>
        <v>1.9075864676084227</v>
      </c>
      <c r="BH114" s="767">
        <f t="shared" si="171"/>
        <v>2.0134558929818431</v>
      </c>
      <c r="BI114" s="767">
        <f t="shared" si="171"/>
        <v>1.9998763954105423</v>
      </c>
      <c r="BJ114" s="767">
        <f t="shared" si="171"/>
        <v>1.9944130057873064</v>
      </c>
      <c r="BK114" s="767">
        <f t="shared" si="171"/>
        <v>1.9932332684109486</v>
      </c>
      <c r="BL114" s="767">
        <f t="shared" si="171"/>
        <v>1.9913846209341004</v>
      </c>
      <c r="BM114" s="767">
        <f t="shared" si="171"/>
        <v>1.9910207195017031</v>
      </c>
      <c r="BN114" s="767">
        <f t="shared" si="171"/>
        <v>1.9906663012219428</v>
      </c>
      <c r="BO114" s="782">
        <f t="shared" si="171"/>
        <v>1.9897658670639433</v>
      </c>
      <c r="BP114" s="781">
        <f t="shared" si="148"/>
        <v>1.9715974409375332</v>
      </c>
      <c r="BQ114" s="767">
        <f t="shared" si="148"/>
        <v>1.9075864676084227</v>
      </c>
      <c r="BR114" s="767">
        <f t="shared" si="148"/>
        <v>-1000000</v>
      </c>
      <c r="BS114" s="767">
        <f t="shared" si="148"/>
        <v>-1000000</v>
      </c>
      <c r="BT114" s="767">
        <f t="shared" si="148"/>
        <v>-1000000</v>
      </c>
      <c r="BU114" s="767">
        <f t="shared" si="148"/>
        <v>-1000000</v>
      </c>
      <c r="BV114" s="767">
        <f t="shared" si="148"/>
        <v>-1000000</v>
      </c>
      <c r="BW114" s="767">
        <f t="shared" si="148"/>
        <v>-1000000</v>
      </c>
      <c r="BX114" s="767">
        <f t="shared" si="148"/>
        <v>-1000000</v>
      </c>
      <c r="BY114" s="767">
        <f t="shared" si="148"/>
        <v>-1000000</v>
      </c>
      <c r="BZ114" s="648">
        <f t="shared" si="151"/>
        <v>77</v>
      </c>
      <c r="CA114" s="767">
        <f t="shared" si="152"/>
        <v>1.9715974409375332</v>
      </c>
      <c r="CB114" s="767">
        <f t="shared" si="152"/>
        <v>1.9075864676084227</v>
      </c>
      <c r="CC114" s="767"/>
      <c r="CD114" s="767"/>
      <c r="CE114" s="767"/>
      <c r="CF114" s="767"/>
      <c r="CG114" s="767"/>
      <c r="CH114" s="767"/>
      <c r="CI114" s="767"/>
      <c r="CJ114" s="767"/>
      <c r="CK114" s="781">
        <f t="shared" si="153"/>
        <v>1.75</v>
      </c>
      <c r="CL114" s="783">
        <f t="shared" si="172"/>
        <v>1000000</v>
      </c>
      <c r="CM114" s="552"/>
      <c r="CN114" s="552"/>
      <c r="CO114" s="552"/>
      <c r="CP114" s="552"/>
      <c r="CQ114" s="552"/>
      <c r="CR114" s="552"/>
      <c r="CS114" s="552"/>
      <c r="CT114" s="552"/>
      <c r="CU114" s="552"/>
      <c r="CV114" s="552"/>
      <c r="CW114" s="552"/>
      <c r="CX114" s="552"/>
      <c r="CY114" s="552"/>
      <c r="CZ114" s="642">
        <f t="shared" si="133"/>
        <v>107</v>
      </c>
      <c r="DA114" s="609">
        <f t="shared" si="110"/>
        <v>120.375</v>
      </c>
      <c r="DB114" s="609">
        <f t="shared" si="121"/>
        <v>42.800000000000004</v>
      </c>
      <c r="DC114" s="610">
        <f t="shared" si="179"/>
        <v>134.99354942636486</v>
      </c>
      <c r="DD114" s="611">
        <f t="shared" si="179"/>
        <v>134.99828801372078</v>
      </c>
      <c r="DE114" s="612">
        <f t="shared" si="179"/>
        <v>134.99993787661154</v>
      </c>
      <c r="DF114" s="610">
        <f t="shared" si="180"/>
        <v>19.411764705882348</v>
      </c>
      <c r="DG114" s="611">
        <f t="shared" si="180"/>
        <v>22</v>
      </c>
      <c r="DH114" s="612">
        <f t="shared" si="180"/>
        <v>28.470588235294098</v>
      </c>
      <c r="DI114" s="610">
        <f t="shared" si="111"/>
        <v>154.40531413224721</v>
      </c>
      <c r="DJ114" s="611">
        <f t="shared" si="111"/>
        <v>156.99828801372078</v>
      </c>
      <c r="DK114" s="612">
        <f t="shared" si="111"/>
        <v>163.47052611190563</v>
      </c>
      <c r="DL114" s="613">
        <f t="shared" si="177"/>
        <v>154.40531413224721</v>
      </c>
      <c r="DM114" s="613">
        <f t="shared" si="177"/>
        <v>156.99828801372078</v>
      </c>
      <c r="DN114" s="613">
        <f t="shared" si="177"/>
        <v>163.47052611190563</v>
      </c>
      <c r="DO114" s="609">
        <f t="shared" si="112"/>
        <v>135</v>
      </c>
      <c r="DP114" s="609"/>
      <c r="DQ114" s="609">
        <f t="shared" si="123"/>
        <v>42.800000000000004</v>
      </c>
      <c r="DR114" s="610">
        <f t="shared" si="173"/>
        <v>1.499435991432961E-3</v>
      </c>
      <c r="DS114" s="611">
        <f t="shared" si="173"/>
        <v>4.5101141712122658E-4</v>
      </c>
      <c r="DT114" s="612">
        <f t="shared" si="173"/>
        <v>2.1179521869870762E-5</v>
      </c>
      <c r="DU114" s="611">
        <f t="shared" si="178"/>
        <v>1.571356455158912E-3</v>
      </c>
      <c r="DV114" s="611">
        <f t="shared" si="178"/>
        <v>4.7563177176356708E-4</v>
      </c>
      <c r="DW114" s="611">
        <f t="shared" si="178"/>
        <v>2.2691601060386935E-5</v>
      </c>
      <c r="DX114" s="614">
        <f t="shared" si="114"/>
        <v>12.5</v>
      </c>
      <c r="DY114" s="615"/>
      <c r="DZ114" s="609">
        <f t="shared" si="124"/>
        <v>42.800000000000004</v>
      </c>
      <c r="EA114" s="611">
        <f t="shared" si="181"/>
        <v>2.3727045454545457</v>
      </c>
      <c r="EB114" s="611">
        <f t="shared" si="181"/>
        <v>1000000</v>
      </c>
      <c r="EC114" s="611">
        <f t="shared" si="181"/>
        <v>1000000</v>
      </c>
      <c r="ED114" s="610">
        <f t="shared" si="182"/>
        <v>0.22002999999999975</v>
      </c>
      <c r="EE114" s="611">
        <f t="shared" si="182"/>
        <v>0.22005999999999976</v>
      </c>
      <c r="EF114" s="612">
        <f t="shared" si="182"/>
        <v>0.22012499999999974</v>
      </c>
      <c r="EG114" s="611">
        <f t="shared" si="115"/>
        <v>2.5927345454545456</v>
      </c>
      <c r="EH114" s="611">
        <f t="shared" si="115"/>
        <v>1000000.22006</v>
      </c>
      <c r="EI114" s="611">
        <f t="shared" si="115"/>
        <v>1000000.220125</v>
      </c>
      <c r="EJ114" s="610">
        <f t="shared" si="125"/>
        <v>2.2999999999999998</v>
      </c>
      <c r="EK114" s="643">
        <f t="shared" si="126"/>
        <v>2.25</v>
      </c>
      <c r="EL114" s="644">
        <f t="shared" si="127"/>
        <v>2.83</v>
      </c>
      <c r="EN114" s="620">
        <f t="shared" si="128"/>
        <v>23.331944444444446</v>
      </c>
      <c r="EO114" s="621">
        <f t="shared" si="143"/>
        <v>51.463261086189355</v>
      </c>
      <c r="EP114" s="621">
        <f t="shared" si="143"/>
        <v>72.327162673278437</v>
      </c>
      <c r="EQ114" s="621">
        <f t="shared" si="143"/>
        <v>89.407678258120455</v>
      </c>
      <c r="ER114" s="610">
        <f t="shared" si="174"/>
        <v>13.586824444787901</v>
      </c>
      <c r="ES114" s="611">
        <f t="shared" si="174"/>
        <v>43.330253755780745</v>
      </c>
      <c r="ET114" s="612">
        <f t="shared" si="174"/>
        <v>67.856566990445486</v>
      </c>
      <c r="EU114" s="610">
        <f t="shared" si="129"/>
        <v>100</v>
      </c>
      <c r="EV114" s="611">
        <f t="shared" si="130"/>
        <v>135</v>
      </c>
      <c r="EW114" s="645">
        <f t="shared" si="131"/>
        <v>-1000000</v>
      </c>
      <c r="EX114" s="610">
        <f t="shared" si="117"/>
        <v>-37.876436641401455</v>
      </c>
      <c r="EY114" s="621">
        <f t="shared" si="118"/>
        <v>-28.996908917497692</v>
      </c>
      <c r="EZ114" s="612">
        <f t="shared" si="119"/>
        <v>-21.551111267674962</v>
      </c>
      <c r="FA114" s="646">
        <f t="shared" si="120"/>
        <v>23.331944444444446</v>
      </c>
      <c r="FB114" s="317"/>
      <c r="FC114" s="552"/>
      <c r="FD114" s="552"/>
      <c r="FE114" s="552"/>
      <c r="FF114" s="552"/>
      <c r="FG114" s="552"/>
      <c r="FH114" s="552"/>
      <c r="FI114" s="552"/>
      <c r="FJ114" s="552"/>
      <c r="FK114" s="552"/>
      <c r="FL114" s="552"/>
      <c r="FM114" s="552"/>
      <c r="FN114" s="552"/>
      <c r="FO114" s="552"/>
      <c r="FP114" s="552"/>
      <c r="FQ114" s="552"/>
      <c r="FR114" s="552"/>
      <c r="FS114" s="552"/>
      <c r="FT114" s="552"/>
    </row>
    <row r="115" spans="2:176" s="564" customFormat="1" ht="15" customHeight="1" x14ac:dyDescent="0.2">
      <c r="B115" s="785">
        <f t="shared" si="183"/>
        <v>10</v>
      </c>
      <c r="C115" s="786">
        <f>$J$8</f>
        <v>103.9</v>
      </c>
      <c r="D115" s="787">
        <f>$B$8</f>
        <v>1.8</v>
      </c>
      <c r="E115" s="788">
        <f t="shared" si="149"/>
        <v>10.39</v>
      </c>
      <c r="F115" s="791"/>
      <c r="G115" s="747">
        <f t="shared" si="150"/>
        <v>1.7682180075647862</v>
      </c>
      <c r="H115" s="789">
        <f t="shared" si="154"/>
        <v>1.0100950431519901E-3</v>
      </c>
      <c r="I115" s="689"/>
      <c r="J115" s="773">
        <f t="shared" si="176"/>
        <v>78</v>
      </c>
      <c r="K115" s="774">
        <f t="shared" si="155"/>
        <v>87.75</v>
      </c>
      <c r="L115" s="747">
        <f t="shared" si="156"/>
        <v>2.0647359999999999</v>
      </c>
      <c r="M115" s="751">
        <f t="shared" si="156"/>
        <v>2.0585160714285715</v>
      </c>
      <c r="N115" s="751">
        <f t="shared" si="156"/>
        <v>2.0477741071428572</v>
      </c>
      <c r="O115" s="751">
        <f t="shared" si="156"/>
        <v>2.037032142857143</v>
      </c>
      <c r="P115" s="751">
        <f t="shared" si="156"/>
        <v>2.0164</v>
      </c>
      <c r="Q115" s="751">
        <f t="shared" si="156"/>
        <v>2.0043614285714288</v>
      </c>
      <c r="R115" s="751">
        <f t="shared" si="156"/>
        <v>1.9584785714285715</v>
      </c>
      <c r="S115" s="751">
        <f t="shared" si="156"/>
        <v>1.938399142857143</v>
      </c>
      <c r="T115" s="752">
        <f t="shared" si="156"/>
        <v>1.9096428571428572</v>
      </c>
      <c r="U115" s="753">
        <f t="shared" si="156"/>
        <v>1.7233857142857143</v>
      </c>
      <c r="W115" s="773">
        <f t="shared" si="157"/>
        <v>87.75</v>
      </c>
      <c r="X115" s="775">
        <f t="shared" si="158"/>
        <v>-9.3965211262331955E-2</v>
      </c>
      <c r="Y115" s="776">
        <f t="shared" si="158"/>
        <v>-9.3969775151220847E-2</v>
      </c>
      <c r="Z115" s="776">
        <f t="shared" si="158"/>
        <v>-9.3977657095665287E-2</v>
      </c>
      <c r="AA115" s="776">
        <f t="shared" si="158"/>
        <v>-9.3985539040109728E-2</v>
      </c>
      <c r="AB115" s="776">
        <f t="shared" si="158"/>
        <v>-9.4000677928998619E-2</v>
      </c>
      <c r="AC115" s="776">
        <f t="shared" si="158"/>
        <v>-9.4009511262331952E-2</v>
      </c>
      <c r="AD115" s="776">
        <f t="shared" si="158"/>
        <v>-9.404317792899862E-2</v>
      </c>
      <c r="AE115" s="776">
        <f t="shared" si="158"/>
        <v>-9.4057911262331956E-2</v>
      </c>
      <c r="AF115" s="777">
        <f t="shared" si="158"/>
        <v>-9.4079011262331952E-2</v>
      </c>
      <c r="AG115" s="778">
        <f t="shared" si="158"/>
        <v>-9.4215677928998612E-2</v>
      </c>
      <c r="AI115" s="773">
        <f t="shared" si="159"/>
        <v>87.75</v>
      </c>
      <c r="AJ115" s="747">
        <f t="shared" si="147"/>
        <v>1.970770788737668</v>
      </c>
      <c r="AK115" s="751">
        <f t="shared" si="147"/>
        <v>1.9645462962773506</v>
      </c>
      <c r="AL115" s="751">
        <f t="shared" si="147"/>
        <v>1.953796450047192</v>
      </c>
      <c r="AM115" s="751">
        <f t="shared" si="147"/>
        <v>1.9430466038170333</v>
      </c>
      <c r="AN115" s="751">
        <f t="shared" si="147"/>
        <v>1.9223993220710014</v>
      </c>
      <c r="AO115" s="751">
        <f t="shared" si="147"/>
        <v>1.9103519173090968</v>
      </c>
      <c r="AP115" s="751">
        <f t="shared" si="147"/>
        <v>1.864435393499573</v>
      </c>
      <c r="AQ115" s="751">
        <f t="shared" si="147"/>
        <v>1.8443412315948111</v>
      </c>
      <c r="AR115" s="752">
        <f t="shared" si="147"/>
        <v>1.8155638458805252</v>
      </c>
      <c r="AS115" s="751"/>
      <c r="AT115" s="674">
        <f t="shared" si="160"/>
        <v>1.75</v>
      </c>
      <c r="AU115" s="712">
        <f t="shared" si="161"/>
        <v>1.8</v>
      </c>
      <c r="AV115" s="712">
        <f t="shared" si="162"/>
        <v>1.81</v>
      </c>
      <c r="AW115" s="712">
        <f t="shared" si="163"/>
        <v>1.83</v>
      </c>
      <c r="AX115" s="712">
        <f t="shared" si="164"/>
        <v>1.84</v>
      </c>
      <c r="AY115" s="712">
        <f t="shared" si="165"/>
        <v>1.86</v>
      </c>
      <c r="AZ115" s="712">
        <f t="shared" si="166"/>
        <v>1.88</v>
      </c>
      <c r="BA115" s="712">
        <f t="shared" si="167"/>
        <v>1.9</v>
      </c>
      <c r="BB115" s="712">
        <f t="shared" si="168"/>
        <v>1.92</v>
      </c>
      <c r="BC115" s="779">
        <f t="shared" si="169"/>
        <v>1000000</v>
      </c>
      <c r="BD115" s="780">
        <f t="shared" si="170"/>
        <v>-1000000</v>
      </c>
      <c r="BF115" s="781">
        <f t="shared" si="171"/>
        <v>1.9709848511646921</v>
      </c>
      <c r="BG115" s="767">
        <f t="shared" si="171"/>
        <v>1.8977534097830533</v>
      </c>
      <c r="BH115" s="767">
        <f t="shared" si="171"/>
        <v>2.0119017620376871</v>
      </c>
      <c r="BI115" s="767">
        <f t="shared" si="171"/>
        <v>1.999340304674363</v>
      </c>
      <c r="BJ115" s="767">
        <f t="shared" si="171"/>
        <v>1.9941400181299287</v>
      </c>
      <c r="BK115" s="767">
        <f t="shared" si="171"/>
        <v>1.9930055149783314</v>
      </c>
      <c r="BL115" s="767">
        <f t="shared" si="171"/>
        <v>1.9912190170727788</v>
      </c>
      <c r="BM115" s="767">
        <f t="shared" si="171"/>
        <v>1.9908659561633864</v>
      </c>
      <c r="BN115" s="767">
        <f t="shared" si="171"/>
        <v>1.9905215491179289</v>
      </c>
      <c r="BO115" s="782">
        <f t="shared" si="171"/>
        <v>1.989642809954635</v>
      </c>
      <c r="BP115" s="781">
        <f t="shared" si="148"/>
        <v>1.9709848511646921</v>
      </c>
      <c r="BQ115" s="767">
        <f t="shared" si="148"/>
        <v>1.8977534097830533</v>
      </c>
      <c r="BR115" s="767">
        <f t="shared" si="148"/>
        <v>-1000000</v>
      </c>
      <c r="BS115" s="767">
        <f t="shared" si="148"/>
        <v>-1000000</v>
      </c>
      <c r="BT115" s="767">
        <f t="shared" si="148"/>
        <v>-1000000</v>
      </c>
      <c r="BU115" s="767">
        <f t="shared" si="148"/>
        <v>-1000000</v>
      </c>
      <c r="BV115" s="767">
        <f t="shared" si="148"/>
        <v>-1000000</v>
      </c>
      <c r="BW115" s="767">
        <f t="shared" si="148"/>
        <v>-1000000</v>
      </c>
      <c r="BX115" s="767">
        <f t="shared" si="148"/>
        <v>-1000000</v>
      </c>
      <c r="BY115" s="767">
        <f t="shared" si="148"/>
        <v>-1000000</v>
      </c>
      <c r="BZ115" s="648">
        <f t="shared" si="151"/>
        <v>78</v>
      </c>
      <c r="CA115" s="767">
        <f t="shared" si="152"/>
        <v>1.9709848511646921</v>
      </c>
      <c r="CB115" s="767">
        <f t="shared" si="152"/>
        <v>1.8977534097830533</v>
      </c>
      <c r="CC115" s="767"/>
      <c r="CD115" s="767"/>
      <c r="CE115" s="767"/>
      <c r="CF115" s="767"/>
      <c r="CG115" s="767"/>
      <c r="CH115" s="767"/>
      <c r="CI115" s="767"/>
      <c r="CJ115" s="767"/>
      <c r="CK115" s="781">
        <f t="shared" si="153"/>
        <v>1.75</v>
      </c>
      <c r="CL115" s="783">
        <f t="shared" si="172"/>
        <v>1000000</v>
      </c>
      <c r="CM115" s="552"/>
      <c r="CN115" s="552"/>
      <c r="CO115" s="552"/>
      <c r="CP115" s="552"/>
      <c r="CQ115" s="552"/>
      <c r="CR115" s="552"/>
      <c r="CS115" s="552"/>
      <c r="CT115" s="552"/>
      <c r="CU115" s="552"/>
      <c r="CV115" s="552"/>
      <c r="CW115" s="552"/>
      <c r="CX115" s="552"/>
      <c r="CY115" s="552"/>
      <c r="CZ115" s="642">
        <f t="shared" si="133"/>
        <v>108</v>
      </c>
      <c r="DA115" s="609">
        <f t="shared" si="110"/>
        <v>121.5</v>
      </c>
      <c r="DB115" s="609">
        <f t="shared" si="121"/>
        <v>43.2</v>
      </c>
      <c r="DC115" s="610">
        <f t="shared" si="179"/>
        <v>134.99412216172954</v>
      </c>
      <c r="DD115" s="611">
        <f t="shared" si="179"/>
        <v>134.99845923827718</v>
      </c>
      <c r="DE115" s="612">
        <f t="shared" si="179"/>
        <v>134.99994579615409</v>
      </c>
      <c r="DF115" s="610">
        <f t="shared" si="180"/>
        <v>19.411764705882348</v>
      </c>
      <c r="DG115" s="611">
        <f t="shared" si="180"/>
        <v>22</v>
      </c>
      <c r="DH115" s="612">
        <f t="shared" si="180"/>
        <v>28.470588235294098</v>
      </c>
      <c r="DI115" s="610">
        <f t="shared" si="111"/>
        <v>154.40588686761188</v>
      </c>
      <c r="DJ115" s="611">
        <f t="shared" si="111"/>
        <v>156.99845923827718</v>
      </c>
      <c r="DK115" s="612">
        <f t="shared" si="111"/>
        <v>163.47053403144818</v>
      </c>
      <c r="DL115" s="613">
        <f t="shared" si="177"/>
        <v>154.40588686761188</v>
      </c>
      <c r="DM115" s="613">
        <f t="shared" si="177"/>
        <v>156.99845923827718</v>
      </c>
      <c r="DN115" s="613">
        <f t="shared" si="177"/>
        <v>163.47053403144818</v>
      </c>
      <c r="DO115" s="609">
        <f t="shared" si="112"/>
        <v>135</v>
      </c>
      <c r="DP115" s="609"/>
      <c r="DQ115" s="609">
        <f t="shared" si="123"/>
        <v>43.2</v>
      </c>
      <c r="DR115" s="610">
        <f t="shared" si="173"/>
        <v>1.3663036425997676E-3</v>
      </c>
      <c r="DS115" s="611">
        <f t="shared" si="173"/>
        <v>4.0590344472190762E-4</v>
      </c>
      <c r="DT115" s="612">
        <f t="shared" si="173"/>
        <v>1.8479538353123732E-5</v>
      </c>
      <c r="DU115" s="611">
        <f t="shared" si="178"/>
        <v>1.4318384116762722E-3</v>
      </c>
      <c r="DV115" s="611">
        <f t="shared" si="178"/>
        <v>4.2806139099127601E-4</v>
      </c>
      <c r="DW115" s="611">
        <f t="shared" si="178"/>
        <v>1.9798856385477919E-5</v>
      </c>
      <c r="DX115" s="614">
        <f t="shared" si="114"/>
        <v>12.5</v>
      </c>
      <c r="DY115" s="615"/>
      <c r="DZ115" s="609">
        <f t="shared" si="124"/>
        <v>43.2</v>
      </c>
      <c r="EA115" s="611">
        <f t="shared" si="181"/>
        <v>2.4377500000000016</v>
      </c>
      <c r="EB115" s="611">
        <f t="shared" si="181"/>
        <v>1000000</v>
      </c>
      <c r="EC115" s="611">
        <f t="shared" si="181"/>
        <v>1000000</v>
      </c>
      <c r="ED115" s="610">
        <f t="shared" si="182"/>
        <v>0.22002999999999975</v>
      </c>
      <c r="EE115" s="611">
        <f t="shared" si="182"/>
        <v>0.22005999999999976</v>
      </c>
      <c r="EF115" s="612">
        <f t="shared" si="182"/>
        <v>0.22012499999999974</v>
      </c>
      <c r="EG115" s="611">
        <f t="shared" si="115"/>
        <v>2.6577800000000016</v>
      </c>
      <c r="EH115" s="611">
        <f t="shared" si="115"/>
        <v>1000000.22006</v>
      </c>
      <c r="EI115" s="611">
        <f t="shared" si="115"/>
        <v>1000000.220125</v>
      </c>
      <c r="EJ115" s="610">
        <f t="shared" si="125"/>
        <v>2.2999999999999998</v>
      </c>
      <c r="EK115" s="643">
        <f t="shared" si="126"/>
        <v>2.25</v>
      </c>
      <c r="EL115" s="644">
        <f t="shared" si="127"/>
        <v>2.83</v>
      </c>
      <c r="EN115" s="620">
        <f t="shared" si="128"/>
        <v>23.55</v>
      </c>
      <c r="EO115" s="621">
        <f t="shared" si="143"/>
        <v>50.683564003761816</v>
      </c>
      <c r="EP115" s="621">
        <f t="shared" si="143"/>
        <v>71.742009403273045</v>
      </c>
      <c r="EQ115" s="621">
        <f t="shared" si="143"/>
        <v>88.981885654328494</v>
      </c>
      <c r="ER115" s="610">
        <f t="shared" si="174"/>
        <v>12.807124474820348</v>
      </c>
      <c r="ES115" s="611">
        <f t="shared" si="174"/>
        <v>42.729302884412647</v>
      </c>
      <c r="ET115" s="612">
        <f t="shared" si="174"/>
        <v>67.29298830767604</v>
      </c>
      <c r="EU115" s="610">
        <f t="shared" si="129"/>
        <v>100</v>
      </c>
      <c r="EV115" s="611">
        <f t="shared" si="130"/>
        <v>135</v>
      </c>
      <c r="EW115" s="645">
        <f t="shared" si="131"/>
        <v>-1000000</v>
      </c>
      <c r="EX115" s="610">
        <f t="shared" si="117"/>
        <v>-37.876439528941468</v>
      </c>
      <c r="EY115" s="621">
        <f t="shared" si="118"/>
        <v>-29.012706518860398</v>
      </c>
      <c r="EZ115" s="612">
        <f t="shared" si="119"/>
        <v>-21.688897346652446</v>
      </c>
      <c r="FA115" s="646">
        <f t="shared" si="120"/>
        <v>23.55</v>
      </c>
      <c r="FB115" s="317"/>
      <c r="FC115" s="552"/>
      <c r="FD115" s="552"/>
      <c r="FE115" s="552"/>
      <c r="FF115" s="552"/>
      <c r="FG115" s="552"/>
      <c r="FH115" s="552"/>
      <c r="FI115" s="552"/>
      <c r="FJ115" s="552"/>
      <c r="FK115" s="552"/>
      <c r="FL115" s="552"/>
      <c r="FM115" s="552"/>
      <c r="FN115" s="552"/>
      <c r="FO115" s="552"/>
      <c r="FP115" s="552"/>
      <c r="FQ115" s="552"/>
      <c r="FR115" s="552"/>
      <c r="FS115" s="552"/>
      <c r="FT115" s="552"/>
    </row>
    <row r="116" spans="2:176" s="564" customFormat="1" ht="15" customHeight="1" x14ac:dyDescent="0.2">
      <c r="B116" s="647">
        <f t="shared" si="183"/>
        <v>10</v>
      </c>
      <c r="C116" s="652">
        <f>$J$9</f>
        <v>103</v>
      </c>
      <c r="D116" s="771">
        <f>$B$9</f>
        <v>1.81</v>
      </c>
      <c r="E116" s="772">
        <f t="shared" si="149"/>
        <v>10.3</v>
      </c>
      <c r="F116" s="689"/>
      <c r="G116" s="747">
        <f t="shared" si="150"/>
        <v>1.7761804817536189</v>
      </c>
      <c r="H116" s="748">
        <f t="shared" si="154"/>
        <v>1.1437598144173099E-3</v>
      </c>
      <c r="I116" s="689"/>
      <c r="J116" s="773">
        <f t="shared" si="176"/>
        <v>79</v>
      </c>
      <c r="K116" s="774">
        <f t="shared" si="155"/>
        <v>88.875</v>
      </c>
      <c r="L116" s="747">
        <f t="shared" si="156"/>
        <v>2.0643637073170731</v>
      </c>
      <c r="M116" s="751">
        <f t="shared" si="156"/>
        <v>2.0579920731707317</v>
      </c>
      <c r="N116" s="751">
        <f t="shared" si="156"/>
        <v>2.0469881097560978</v>
      </c>
      <c r="O116" s="751">
        <f t="shared" si="156"/>
        <v>2.0359841463414634</v>
      </c>
      <c r="P116" s="751">
        <f t="shared" si="156"/>
        <v>2.0148487804878048</v>
      </c>
      <c r="Q116" s="751">
        <f t="shared" si="156"/>
        <v>2.0025165853658535</v>
      </c>
      <c r="R116" s="751">
        <f t="shared" si="156"/>
        <v>1.9555146341463416</v>
      </c>
      <c r="S116" s="751">
        <f t="shared" si="156"/>
        <v>1.9349454634146341</v>
      </c>
      <c r="T116" s="752">
        <f t="shared" si="156"/>
        <v>1.9054878048780488</v>
      </c>
      <c r="U116" s="753">
        <f t="shared" si="156"/>
        <v>1.7146878048780487</v>
      </c>
      <c r="W116" s="773">
        <f t="shared" si="157"/>
        <v>88.875</v>
      </c>
      <c r="X116" s="775">
        <f t="shared" si="158"/>
        <v>-9.4213569907460409E-2</v>
      </c>
      <c r="Y116" s="776">
        <f t="shared" si="158"/>
        <v>-9.4218133796349302E-2</v>
      </c>
      <c r="Z116" s="776">
        <f t="shared" si="158"/>
        <v>-9.4226015740793742E-2</v>
      </c>
      <c r="AA116" s="776">
        <f t="shared" si="158"/>
        <v>-9.4233897685238183E-2</v>
      </c>
      <c r="AB116" s="776">
        <f t="shared" si="158"/>
        <v>-9.4249036574127074E-2</v>
      </c>
      <c r="AC116" s="776">
        <f t="shared" si="158"/>
        <v>-9.4257869907460407E-2</v>
      </c>
      <c r="AD116" s="776">
        <f t="shared" si="158"/>
        <v>-9.4291536574127074E-2</v>
      </c>
      <c r="AE116" s="776">
        <f t="shared" si="158"/>
        <v>-9.430626990746041E-2</v>
      </c>
      <c r="AF116" s="777">
        <f t="shared" si="158"/>
        <v>-9.4327369907460407E-2</v>
      </c>
      <c r="AG116" s="778">
        <f t="shared" si="158"/>
        <v>-9.4464036574127067E-2</v>
      </c>
      <c r="AI116" s="773">
        <f t="shared" si="159"/>
        <v>88.875</v>
      </c>
      <c r="AJ116" s="747">
        <f t="shared" si="147"/>
        <v>1.9701501374096126</v>
      </c>
      <c r="AK116" s="751">
        <f t="shared" si="147"/>
        <v>1.9637739393743825</v>
      </c>
      <c r="AL116" s="751">
        <f t="shared" si="147"/>
        <v>1.9527620940153041</v>
      </c>
      <c r="AM116" s="751">
        <f t="shared" si="147"/>
        <v>1.9417502486562253</v>
      </c>
      <c r="AN116" s="751">
        <f t="shared" si="147"/>
        <v>1.9205997439136777</v>
      </c>
      <c r="AO116" s="751">
        <f t="shared" si="147"/>
        <v>1.9082587154583932</v>
      </c>
      <c r="AP116" s="751">
        <f t="shared" si="147"/>
        <v>1.8612230975722146</v>
      </c>
      <c r="AQ116" s="751">
        <f t="shared" si="147"/>
        <v>1.8406391935071738</v>
      </c>
      <c r="AR116" s="752">
        <f t="shared" si="147"/>
        <v>1.8111604349705883</v>
      </c>
      <c r="AS116" s="751"/>
      <c r="AT116" s="674">
        <f t="shared" si="160"/>
        <v>1.75</v>
      </c>
      <c r="AU116" s="712">
        <f t="shared" si="161"/>
        <v>1.8</v>
      </c>
      <c r="AV116" s="712">
        <f t="shared" si="162"/>
        <v>1.81</v>
      </c>
      <c r="AW116" s="712">
        <f t="shared" si="163"/>
        <v>1.83</v>
      </c>
      <c r="AX116" s="712">
        <f t="shared" si="164"/>
        <v>1.84</v>
      </c>
      <c r="AY116" s="712">
        <f t="shared" si="165"/>
        <v>1.86</v>
      </c>
      <c r="AZ116" s="712">
        <f t="shared" si="166"/>
        <v>1.88</v>
      </c>
      <c r="BA116" s="712">
        <f t="shared" si="167"/>
        <v>1.9</v>
      </c>
      <c r="BB116" s="712">
        <f t="shared" si="168"/>
        <v>1.92</v>
      </c>
      <c r="BC116" s="779">
        <f t="shared" si="169"/>
        <v>1000000</v>
      </c>
      <c r="BD116" s="780">
        <f t="shared" si="170"/>
        <v>-1000000</v>
      </c>
      <c r="BF116" s="781">
        <f t="shared" si="171"/>
        <v>1.9703686631983595</v>
      </c>
      <c r="BG116" s="767">
        <f t="shared" si="171"/>
        <v>1.8849857030989683</v>
      </c>
      <c r="BH116" s="767">
        <f t="shared" si="171"/>
        <v>2.0104895863825449</v>
      </c>
      <c r="BI116" s="767">
        <f t="shared" si="171"/>
        <v>1.998833893394601</v>
      </c>
      <c r="BJ116" s="767">
        <f t="shared" si="171"/>
        <v>1.9938779350284663</v>
      </c>
      <c r="BK116" s="767">
        <f t="shared" si="171"/>
        <v>1.9927860926563583</v>
      </c>
      <c r="BL116" s="767">
        <f t="shared" si="171"/>
        <v>1.9910585996926988</v>
      </c>
      <c r="BM116" s="767">
        <f t="shared" si="171"/>
        <v>1.990715882144517</v>
      </c>
      <c r="BN116" s="767">
        <f t="shared" si="171"/>
        <v>1.9903810419436516</v>
      </c>
      <c r="BO116" s="782">
        <f t="shared" si="171"/>
        <v>1.9895230858852926</v>
      </c>
      <c r="BP116" s="781">
        <f t="shared" si="148"/>
        <v>1.9703686631983595</v>
      </c>
      <c r="BQ116" s="767">
        <f t="shared" si="148"/>
        <v>1.8849857030989683</v>
      </c>
      <c r="BR116" s="767">
        <f t="shared" si="148"/>
        <v>-1000000</v>
      </c>
      <c r="BS116" s="767">
        <f t="shared" si="148"/>
        <v>-1000000</v>
      </c>
      <c r="BT116" s="767">
        <f t="shared" si="148"/>
        <v>-1000000</v>
      </c>
      <c r="BU116" s="767">
        <f t="shared" si="148"/>
        <v>-1000000</v>
      </c>
      <c r="BV116" s="767">
        <f t="shared" si="148"/>
        <v>-1000000</v>
      </c>
      <c r="BW116" s="767">
        <f t="shared" si="148"/>
        <v>-1000000</v>
      </c>
      <c r="BX116" s="767">
        <f t="shared" si="148"/>
        <v>-1000000</v>
      </c>
      <c r="BY116" s="767">
        <f t="shared" si="148"/>
        <v>-1000000</v>
      </c>
      <c r="BZ116" s="648">
        <f t="shared" si="151"/>
        <v>79</v>
      </c>
      <c r="CA116" s="767">
        <f t="shared" si="152"/>
        <v>1.9703686631983595</v>
      </c>
      <c r="CB116" s="767">
        <f t="shared" si="152"/>
        <v>1.8849857030989683</v>
      </c>
      <c r="CC116" s="767"/>
      <c r="CD116" s="767"/>
      <c r="CE116" s="767"/>
      <c r="CF116" s="767"/>
      <c r="CG116" s="767"/>
      <c r="CH116" s="767"/>
      <c r="CI116" s="767"/>
      <c r="CJ116" s="767"/>
      <c r="CK116" s="781">
        <f t="shared" si="153"/>
        <v>1.75</v>
      </c>
      <c r="CL116" s="783">
        <f t="shared" si="172"/>
        <v>1000000</v>
      </c>
      <c r="CM116" s="552"/>
      <c r="CN116" s="552"/>
      <c r="CO116" s="552"/>
      <c r="CP116" s="552"/>
      <c r="CQ116" s="552"/>
      <c r="CR116" s="552"/>
      <c r="CS116" s="552"/>
      <c r="CT116" s="552"/>
      <c r="CU116" s="552"/>
      <c r="CV116" s="552"/>
      <c r="CW116" s="552"/>
      <c r="CX116" s="552"/>
      <c r="CY116" s="552"/>
      <c r="CZ116" s="642">
        <f t="shared" si="133"/>
        <v>109</v>
      </c>
      <c r="DA116" s="609">
        <f t="shared" si="110"/>
        <v>122.625</v>
      </c>
      <c r="DB116" s="609">
        <f t="shared" si="121"/>
        <v>43.6</v>
      </c>
      <c r="DC116" s="610">
        <f t="shared" si="179"/>
        <v>134.99464404490394</v>
      </c>
      <c r="DD116" s="611">
        <f t="shared" si="179"/>
        <v>134.99861333778472</v>
      </c>
      <c r="DE116" s="612">
        <f t="shared" si="179"/>
        <v>134.9999527061066</v>
      </c>
      <c r="DF116" s="610">
        <f t="shared" si="180"/>
        <v>19.411764705882348</v>
      </c>
      <c r="DG116" s="611">
        <f t="shared" si="180"/>
        <v>22</v>
      </c>
      <c r="DH116" s="612">
        <f t="shared" si="180"/>
        <v>28.470588235294098</v>
      </c>
      <c r="DI116" s="610">
        <f t="shared" si="111"/>
        <v>154.40640875078628</v>
      </c>
      <c r="DJ116" s="611">
        <f t="shared" si="111"/>
        <v>156.99861333778472</v>
      </c>
      <c r="DK116" s="612">
        <f t="shared" si="111"/>
        <v>163.47054094140069</v>
      </c>
      <c r="DL116" s="613">
        <f t="shared" si="177"/>
        <v>154.40640875078628</v>
      </c>
      <c r="DM116" s="613">
        <f t="shared" si="177"/>
        <v>156.99861333778472</v>
      </c>
      <c r="DN116" s="613">
        <f t="shared" si="177"/>
        <v>163.47054094140069</v>
      </c>
      <c r="DO116" s="609">
        <f t="shared" si="112"/>
        <v>135</v>
      </c>
      <c r="DP116" s="609"/>
      <c r="DQ116" s="609">
        <f t="shared" si="123"/>
        <v>43.6</v>
      </c>
      <c r="DR116" s="610">
        <f t="shared" si="173"/>
        <v>1.2449918865808816E-3</v>
      </c>
      <c r="DS116" s="611">
        <f t="shared" si="173"/>
        <v>3.6530695273469206E-4</v>
      </c>
      <c r="DT116" s="612">
        <f t="shared" si="173"/>
        <v>1.6123751038514553E-5</v>
      </c>
      <c r="DU116" s="611">
        <f t="shared" si="178"/>
        <v>1.3047079360006865E-3</v>
      </c>
      <c r="DV116" s="611">
        <f t="shared" si="178"/>
        <v>3.8524876885048933E-4</v>
      </c>
      <c r="DW116" s="611">
        <f t="shared" si="178"/>
        <v>1.7274881258799785E-5</v>
      </c>
      <c r="DX116" s="614">
        <f t="shared" si="114"/>
        <v>12.5</v>
      </c>
      <c r="DY116" s="615"/>
      <c r="DZ116" s="609">
        <f t="shared" si="124"/>
        <v>43.6</v>
      </c>
      <c r="EA116" s="611">
        <f t="shared" si="181"/>
        <v>2.5399642857142877</v>
      </c>
      <c r="EB116" s="611">
        <f t="shared" si="181"/>
        <v>1000000</v>
      </c>
      <c r="EC116" s="611">
        <f t="shared" si="181"/>
        <v>1000000</v>
      </c>
      <c r="ED116" s="610">
        <f t="shared" si="182"/>
        <v>0.22002999999999975</v>
      </c>
      <c r="EE116" s="611">
        <f t="shared" si="182"/>
        <v>0.22005999999999976</v>
      </c>
      <c r="EF116" s="612">
        <f t="shared" si="182"/>
        <v>0.22012499999999974</v>
      </c>
      <c r="EG116" s="611">
        <f t="shared" si="115"/>
        <v>2.7599942857142876</v>
      </c>
      <c r="EH116" s="611">
        <f t="shared" si="115"/>
        <v>1000000.22006</v>
      </c>
      <c r="EI116" s="611">
        <f t="shared" si="115"/>
        <v>1000000.220125</v>
      </c>
      <c r="EJ116" s="610">
        <f t="shared" si="125"/>
        <v>2.2999999999999998</v>
      </c>
      <c r="EK116" s="643">
        <f t="shared" si="126"/>
        <v>2.25</v>
      </c>
      <c r="EL116" s="644">
        <f t="shared" si="127"/>
        <v>2.83</v>
      </c>
      <c r="EN116" s="620">
        <f t="shared" si="128"/>
        <v>23.768055555555556</v>
      </c>
      <c r="EO116" s="621">
        <f t="shared" si="143"/>
        <v>49.9038857872318</v>
      </c>
      <c r="EP116" s="621">
        <f t="shared" si="143"/>
        <v>71.156866755741248</v>
      </c>
      <c r="EQ116" s="621">
        <f t="shared" si="143"/>
        <v>88.556098673543772</v>
      </c>
      <c r="ER116" s="610">
        <f t="shared" si="174"/>
        <v>12.027443743777859</v>
      </c>
      <c r="ES116" s="611">
        <f t="shared" si="174"/>
        <v>42.129083817006297</v>
      </c>
      <c r="ET116" s="612">
        <f t="shared" si="174"/>
        <v>66.73179800614281</v>
      </c>
      <c r="EU116" s="610">
        <f t="shared" si="129"/>
        <v>100</v>
      </c>
      <c r="EV116" s="611">
        <f t="shared" si="130"/>
        <v>135</v>
      </c>
      <c r="EW116" s="645">
        <f t="shared" si="131"/>
        <v>-1000000</v>
      </c>
      <c r="EX116" s="610">
        <f t="shared" si="117"/>
        <v>-37.876442043453942</v>
      </c>
      <c r="EY116" s="621">
        <f t="shared" si="118"/>
        <v>-29.027782938734951</v>
      </c>
      <c r="EZ116" s="612">
        <f t="shared" si="119"/>
        <v>-21.824300667400955</v>
      </c>
      <c r="FA116" s="646">
        <f t="shared" si="120"/>
        <v>23.768055555555556</v>
      </c>
      <c r="FB116" s="317"/>
      <c r="FC116" s="552"/>
      <c r="FD116" s="552"/>
      <c r="FE116" s="552"/>
      <c r="FF116" s="552"/>
      <c r="FG116" s="552"/>
      <c r="FH116" s="552"/>
      <c r="FI116" s="552"/>
      <c r="FJ116" s="552"/>
      <c r="FK116" s="552"/>
      <c r="FL116" s="552"/>
      <c r="FM116" s="552"/>
      <c r="FN116" s="552"/>
      <c r="FO116" s="552"/>
      <c r="FP116" s="552"/>
      <c r="FQ116" s="552"/>
      <c r="FR116" s="552"/>
      <c r="FS116" s="552"/>
      <c r="FT116" s="552"/>
    </row>
    <row r="117" spans="2:176" s="564" customFormat="1" ht="15" customHeight="1" x14ac:dyDescent="0.2">
      <c r="B117" s="647">
        <f t="shared" si="183"/>
        <v>10</v>
      </c>
      <c r="C117" s="652">
        <f>$J$10</f>
        <v>102.5</v>
      </c>
      <c r="D117" s="771">
        <f>$B$10</f>
        <v>1.83</v>
      </c>
      <c r="E117" s="772">
        <f t="shared" si="149"/>
        <v>10.25</v>
      </c>
      <c r="F117" s="689"/>
      <c r="G117" s="747">
        <f t="shared" si="150"/>
        <v>1.7804177251502578</v>
      </c>
      <c r="H117" s="748">
        <f t="shared" si="154"/>
        <v>2.4584019792753893E-3</v>
      </c>
      <c r="I117" s="689"/>
      <c r="J117" s="773">
        <f t="shared" si="176"/>
        <v>80</v>
      </c>
      <c r="K117" s="774">
        <f t="shared" si="155"/>
        <v>90</v>
      </c>
      <c r="L117" s="747">
        <f t="shared" ref="L117:U132" si="184">$AB$21-($AD$24*L$34)/(1-($K117)/($AB$22))</f>
        <v>2.0639728000000002</v>
      </c>
      <c r="M117" s="751">
        <f t="shared" si="184"/>
        <v>2.0574418749999999</v>
      </c>
      <c r="N117" s="751">
        <f t="shared" si="184"/>
        <v>2.0461628125</v>
      </c>
      <c r="O117" s="751">
        <f t="shared" si="184"/>
        <v>2.0348837500000001</v>
      </c>
      <c r="P117" s="751">
        <f t="shared" si="184"/>
        <v>2.01322</v>
      </c>
      <c r="Q117" s="751">
        <f t="shared" si="184"/>
        <v>2.0005795000000002</v>
      </c>
      <c r="R117" s="751">
        <f t="shared" si="184"/>
        <v>1.9524025</v>
      </c>
      <c r="S117" s="751">
        <f t="shared" si="184"/>
        <v>1.9313191000000001</v>
      </c>
      <c r="T117" s="752">
        <f t="shared" si="184"/>
        <v>1.9011250000000002</v>
      </c>
      <c r="U117" s="753">
        <f t="shared" si="184"/>
        <v>1.7055550000000002</v>
      </c>
      <c r="W117" s="773">
        <f t="shared" si="157"/>
        <v>90</v>
      </c>
      <c r="X117" s="775">
        <f t="shared" ref="X117:AG132" si="185">$AB$28*(1-(1-EXP(-(($W117)/($AB$23))))/(1-EXP(-1)))-$AD$25*X$34</f>
        <v>-9.4449547649591223E-2</v>
      </c>
      <c r="Y117" s="776">
        <f t="shared" si="185"/>
        <v>-9.4454111538480115E-2</v>
      </c>
      <c r="Z117" s="776">
        <f t="shared" si="185"/>
        <v>-9.4461993482924556E-2</v>
      </c>
      <c r="AA117" s="776">
        <f t="shared" si="185"/>
        <v>-9.4469875427368996E-2</v>
      </c>
      <c r="AB117" s="776">
        <f t="shared" si="185"/>
        <v>-9.4485014316257887E-2</v>
      </c>
      <c r="AC117" s="776">
        <f t="shared" si="185"/>
        <v>-9.449384764959122E-2</v>
      </c>
      <c r="AD117" s="776">
        <f t="shared" si="185"/>
        <v>-9.4527514316257888E-2</v>
      </c>
      <c r="AE117" s="776">
        <f t="shared" si="185"/>
        <v>-9.4542247649591224E-2</v>
      </c>
      <c r="AF117" s="777">
        <f t="shared" si="185"/>
        <v>-9.456334764959122E-2</v>
      </c>
      <c r="AG117" s="778">
        <f t="shared" si="185"/>
        <v>-9.470001431625788E-2</v>
      </c>
      <c r="AI117" s="773">
        <f t="shared" si="159"/>
        <v>90</v>
      </c>
      <c r="AJ117" s="747">
        <f t="shared" si="147"/>
        <v>1.9695232523504089</v>
      </c>
      <c r="AK117" s="751">
        <f t="shared" si="147"/>
        <v>1.9629877634615198</v>
      </c>
      <c r="AL117" s="751">
        <f t="shared" si="147"/>
        <v>1.9517008190170755</v>
      </c>
      <c r="AM117" s="751">
        <f t="shared" si="147"/>
        <v>1.9404138745726311</v>
      </c>
      <c r="AN117" s="751">
        <f t="shared" si="147"/>
        <v>1.9187349856837421</v>
      </c>
      <c r="AO117" s="751">
        <f t="shared" si="147"/>
        <v>1.9060856523504091</v>
      </c>
      <c r="AP117" s="751">
        <f t="shared" si="147"/>
        <v>1.8578749856837422</v>
      </c>
      <c r="AQ117" s="751">
        <f t="shared" si="147"/>
        <v>1.8367768523504089</v>
      </c>
      <c r="AR117" s="752">
        <f t="shared" si="147"/>
        <v>1.8065616523504089</v>
      </c>
      <c r="AS117" s="751"/>
      <c r="AT117" s="674">
        <f t="shared" si="160"/>
        <v>1.75</v>
      </c>
      <c r="AU117" s="712">
        <f t="shared" si="161"/>
        <v>1.8</v>
      </c>
      <c r="AV117" s="712">
        <f t="shared" si="162"/>
        <v>1.81</v>
      </c>
      <c r="AW117" s="712">
        <f t="shared" si="163"/>
        <v>1.83</v>
      </c>
      <c r="AX117" s="712">
        <f t="shared" si="164"/>
        <v>1.84</v>
      </c>
      <c r="AY117" s="712">
        <f t="shared" si="165"/>
        <v>1.86</v>
      </c>
      <c r="AZ117" s="712">
        <f t="shared" si="166"/>
        <v>1.88</v>
      </c>
      <c r="BA117" s="712">
        <f t="shared" si="167"/>
        <v>1.9</v>
      </c>
      <c r="BB117" s="712">
        <f t="shared" si="168"/>
        <v>1.92</v>
      </c>
      <c r="BC117" s="779">
        <f t="shared" si="169"/>
        <v>1000000</v>
      </c>
      <c r="BD117" s="780">
        <f t="shared" si="170"/>
        <v>-1000000</v>
      </c>
      <c r="BF117" s="781">
        <f t="shared" ref="BF117:BO132" si="186">$AB$21-(($AD$24/(1-(BF$34*$BZ117)/($AB$22)))+$AD$25)*BF$34+$AB$28*(1-(1-EXP(-(BF$34*$BZ117)/($AB$23)))/(1-EXP(-1)))</f>
        <v>1.9697469853349681</v>
      </c>
      <c r="BG117" s="767">
        <f t="shared" si="186"/>
        <v>1.8677189178022051</v>
      </c>
      <c r="BH117" s="767">
        <f t="shared" si="186"/>
        <v>2.0092007959888494</v>
      </c>
      <c r="BI117" s="767">
        <f t="shared" si="186"/>
        <v>1.9983547627336276</v>
      </c>
      <c r="BJ117" s="767">
        <f t="shared" si="186"/>
        <v>1.9936261158306949</v>
      </c>
      <c r="BK117" s="767">
        <f t="shared" si="186"/>
        <v>1.992574552527389</v>
      </c>
      <c r="BL117" s="767">
        <f t="shared" si="186"/>
        <v>1.9909031289004206</v>
      </c>
      <c r="BM117" s="767">
        <f t="shared" si="186"/>
        <v>1.9905702874966786</v>
      </c>
      <c r="BN117" s="767">
        <f t="shared" si="186"/>
        <v>1.9902445956703649</v>
      </c>
      <c r="BO117" s="782">
        <f t="shared" si="186"/>
        <v>1.9894065612506544</v>
      </c>
      <c r="BP117" s="781">
        <f t="shared" si="148"/>
        <v>1.9697469853349681</v>
      </c>
      <c r="BQ117" s="767">
        <f t="shared" si="148"/>
        <v>1.8677189178022051</v>
      </c>
      <c r="BR117" s="767">
        <f t="shared" si="148"/>
        <v>-1000000</v>
      </c>
      <c r="BS117" s="767">
        <f t="shared" si="148"/>
        <v>-1000000</v>
      </c>
      <c r="BT117" s="767">
        <f t="shared" si="148"/>
        <v>-1000000</v>
      </c>
      <c r="BU117" s="767">
        <f t="shared" si="148"/>
        <v>-1000000</v>
      </c>
      <c r="BV117" s="767">
        <f t="shared" si="148"/>
        <v>-1000000</v>
      </c>
      <c r="BW117" s="767">
        <f t="shared" si="148"/>
        <v>-1000000</v>
      </c>
      <c r="BX117" s="767">
        <f t="shared" si="148"/>
        <v>-1000000</v>
      </c>
      <c r="BY117" s="767">
        <f t="shared" si="148"/>
        <v>-1000000</v>
      </c>
      <c r="BZ117" s="648">
        <f t="shared" si="151"/>
        <v>80</v>
      </c>
      <c r="CA117" s="767">
        <f t="shared" si="152"/>
        <v>1.9697469853349681</v>
      </c>
      <c r="CB117" s="767">
        <f t="shared" si="152"/>
        <v>1.8677189178022051</v>
      </c>
      <c r="CC117" s="767"/>
      <c r="CD117" s="767"/>
      <c r="CE117" s="767"/>
      <c r="CF117" s="767"/>
      <c r="CG117" s="767"/>
      <c r="CH117" s="767"/>
      <c r="CI117" s="767"/>
      <c r="CJ117" s="767"/>
      <c r="CK117" s="781">
        <f t="shared" si="153"/>
        <v>1.75</v>
      </c>
      <c r="CL117" s="783">
        <f t="shared" si="172"/>
        <v>1000000</v>
      </c>
      <c r="CM117" s="552"/>
      <c r="CN117" s="552"/>
      <c r="CO117" s="552"/>
      <c r="CP117" s="552"/>
      <c r="CQ117" s="552"/>
      <c r="CR117" s="552"/>
      <c r="CS117" s="552"/>
      <c r="CT117" s="552"/>
      <c r="CU117" s="552"/>
      <c r="CV117" s="552"/>
      <c r="CW117" s="552"/>
      <c r="CX117" s="552"/>
      <c r="CY117" s="552"/>
      <c r="CZ117" s="642">
        <f t="shared" si="133"/>
        <v>110</v>
      </c>
      <c r="DA117" s="609">
        <f t="shared" si="110"/>
        <v>123.75</v>
      </c>
      <c r="DB117" s="609">
        <f t="shared" si="121"/>
        <v>44</v>
      </c>
      <c r="DC117" s="610">
        <f t="shared" si="179"/>
        <v>134.99511959096677</v>
      </c>
      <c r="DD117" s="611">
        <f t="shared" si="179"/>
        <v>134.9987520250076</v>
      </c>
      <c r="DE117" s="612">
        <f t="shared" si="179"/>
        <v>134.9999587351725</v>
      </c>
      <c r="DF117" s="610">
        <f t="shared" si="180"/>
        <v>19.411764705882348</v>
      </c>
      <c r="DG117" s="611">
        <f t="shared" si="180"/>
        <v>22</v>
      </c>
      <c r="DH117" s="612">
        <f t="shared" si="180"/>
        <v>28.470588235294098</v>
      </c>
      <c r="DI117" s="610">
        <f t="shared" si="111"/>
        <v>154.40688429684911</v>
      </c>
      <c r="DJ117" s="611">
        <f t="shared" si="111"/>
        <v>156.9987520250076</v>
      </c>
      <c r="DK117" s="612">
        <f t="shared" si="111"/>
        <v>163.47054697046659</v>
      </c>
      <c r="DL117" s="613">
        <f t="shared" si="177"/>
        <v>154.40688429684911</v>
      </c>
      <c r="DM117" s="613">
        <f t="shared" si="177"/>
        <v>156.9987520250076</v>
      </c>
      <c r="DN117" s="613">
        <f t="shared" si="177"/>
        <v>163.47054697046659</v>
      </c>
      <c r="DO117" s="609">
        <f t="shared" si="112"/>
        <v>135</v>
      </c>
      <c r="DP117" s="609"/>
      <c r="DQ117" s="609">
        <f t="shared" si="123"/>
        <v>44</v>
      </c>
      <c r="DR117" s="610">
        <f t="shared" si="173"/>
        <v>1.1344511932229872E-3</v>
      </c>
      <c r="DS117" s="611">
        <f t="shared" si="173"/>
        <v>3.2877072479080624E-4</v>
      </c>
      <c r="DT117" s="612">
        <f t="shared" si="173"/>
        <v>1.4068281500552397E-5</v>
      </c>
      <c r="DU117" s="611">
        <f t="shared" si="178"/>
        <v>1.1888651570757288E-3</v>
      </c>
      <c r="DV117" s="611">
        <f t="shared" si="178"/>
        <v>3.4671805721586804E-4</v>
      </c>
      <c r="DW117" s="611">
        <f t="shared" si="178"/>
        <v>1.5072664751869579E-5</v>
      </c>
      <c r="DX117" s="614">
        <f t="shared" si="114"/>
        <v>12.5</v>
      </c>
      <c r="DY117" s="615"/>
      <c r="DZ117" s="609">
        <f t="shared" si="124"/>
        <v>44</v>
      </c>
      <c r="EA117" s="611">
        <f t="shared" si="181"/>
        <v>2.723949999999999</v>
      </c>
      <c r="EB117" s="611">
        <f t="shared" si="181"/>
        <v>1000000</v>
      </c>
      <c r="EC117" s="611">
        <f t="shared" si="181"/>
        <v>1000000</v>
      </c>
      <c r="ED117" s="610">
        <f t="shared" si="182"/>
        <v>0.22002999999999975</v>
      </c>
      <c r="EE117" s="611">
        <f t="shared" si="182"/>
        <v>0.22005999999999976</v>
      </c>
      <c r="EF117" s="612">
        <f t="shared" si="182"/>
        <v>0.22012499999999974</v>
      </c>
      <c r="EG117" s="611">
        <f t="shared" si="115"/>
        <v>2.9439799999999989</v>
      </c>
      <c r="EH117" s="611">
        <f t="shared" si="115"/>
        <v>1000000.22006</v>
      </c>
      <c r="EI117" s="611">
        <f t="shared" si="115"/>
        <v>1000000.220125</v>
      </c>
      <c r="EJ117" s="610">
        <f t="shared" si="125"/>
        <v>2.2999999999999998</v>
      </c>
      <c r="EK117" s="643">
        <f t="shared" si="126"/>
        <v>2.25</v>
      </c>
      <c r="EL117" s="644">
        <f t="shared" si="127"/>
        <v>2.83</v>
      </c>
      <c r="EN117" s="620">
        <f t="shared" si="128"/>
        <v>23.986111111111111</v>
      </c>
      <c r="EO117" s="621">
        <f t="shared" si="143"/>
        <v>49.124226435914572</v>
      </c>
      <c r="EP117" s="621">
        <f t="shared" si="143"/>
        <v>70.571734730393871</v>
      </c>
      <c r="EQ117" s="621">
        <f t="shared" si="143"/>
        <v>88.130317315654835</v>
      </c>
      <c r="ER117" s="610">
        <f t="shared" si="174"/>
        <v>11.247782202786034</v>
      </c>
      <c r="ES117" s="611">
        <f t="shared" si="174"/>
        <v>41.529563630379542</v>
      </c>
      <c r="ET117" s="612">
        <f t="shared" si="174"/>
        <v>66.172954880288785</v>
      </c>
      <c r="EU117" s="610">
        <f t="shared" si="129"/>
        <v>100</v>
      </c>
      <c r="EV117" s="611">
        <f t="shared" si="130"/>
        <v>135</v>
      </c>
      <c r="EW117" s="645">
        <f t="shared" si="131"/>
        <v>-1000000</v>
      </c>
      <c r="EX117" s="610">
        <f t="shared" si="117"/>
        <v>-37.876444233128538</v>
      </c>
      <c r="EY117" s="621">
        <f t="shared" si="118"/>
        <v>-29.042171100014329</v>
      </c>
      <c r="EZ117" s="612">
        <f t="shared" si="119"/>
        <v>-21.957362435366058</v>
      </c>
      <c r="FA117" s="646">
        <f t="shared" si="120"/>
        <v>23.986111111111111</v>
      </c>
      <c r="FB117" s="317"/>
      <c r="FC117" s="552"/>
      <c r="FD117" s="552"/>
      <c r="FE117" s="552"/>
      <c r="FF117" s="552"/>
      <c r="FG117" s="552"/>
      <c r="FH117" s="552"/>
      <c r="FI117" s="552"/>
      <c r="FJ117" s="552"/>
      <c r="FK117" s="552"/>
      <c r="FL117" s="552"/>
      <c r="FM117" s="552"/>
      <c r="FN117" s="552"/>
      <c r="FO117" s="552"/>
      <c r="FP117" s="552"/>
      <c r="FQ117" s="552"/>
      <c r="FR117" s="552"/>
      <c r="FS117" s="552"/>
      <c r="FT117" s="552"/>
    </row>
    <row r="118" spans="2:176" s="564" customFormat="1" ht="15" customHeight="1" x14ac:dyDescent="0.2">
      <c r="B118" s="647">
        <f t="shared" si="183"/>
        <v>10</v>
      </c>
      <c r="C118" s="652">
        <f>$J$11</f>
        <v>102</v>
      </c>
      <c r="D118" s="771">
        <f>$B$11</f>
        <v>1.84</v>
      </c>
      <c r="E118" s="772">
        <f t="shared" si="149"/>
        <v>10.199999999999999</v>
      </c>
      <c r="F118" s="689"/>
      <c r="G118" s="747">
        <f t="shared" si="150"/>
        <v>1.7845296338113221</v>
      </c>
      <c r="H118" s="748">
        <f t="shared" si="154"/>
        <v>3.0769615251060264E-3</v>
      </c>
      <c r="I118" s="689"/>
      <c r="J118" s="773">
        <f t="shared" si="176"/>
        <v>81</v>
      </c>
      <c r="K118" s="774">
        <f t="shared" si="155"/>
        <v>91.125</v>
      </c>
      <c r="L118" s="747">
        <f t="shared" si="184"/>
        <v>2.0635618461538461</v>
      </c>
      <c r="M118" s="751">
        <f t="shared" si="184"/>
        <v>2.0568634615384616</v>
      </c>
      <c r="N118" s="751">
        <f t="shared" si="184"/>
        <v>2.0452951923076923</v>
      </c>
      <c r="O118" s="751">
        <f t="shared" si="184"/>
        <v>2.033726923076923</v>
      </c>
      <c r="P118" s="751">
        <f t="shared" si="184"/>
        <v>2.0115076923076924</v>
      </c>
      <c r="Q118" s="751">
        <f t="shared" si="184"/>
        <v>1.998543076923077</v>
      </c>
      <c r="R118" s="751">
        <f t="shared" si="184"/>
        <v>1.9491307692307693</v>
      </c>
      <c r="S118" s="751">
        <f t="shared" si="184"/>
        <v>1.9275067692307692</v>
      </c>
      <c r="T118" s="752">
        <f t="shared" si="184"/>
        <v>1.8965384615384615</v>
      </c>
      <c r="U118" s="753">
        <f t="shared" si="184"/>
        <v>1.6959538461538461</v>
      </c>
      <c r="W118" s="773">
        <f t="shared" si="157"/>
        <v>91.125</v>
      </c>
      <c r="X118" s="775">
        <f t="shared" si="185"/>
        <v>-9.4673761687932179E-2</v>
      </c>
      <c r="Y118" s="776">
        <f t="shared" si="185"/>
        <v>-9.4678325576821071E-2</v>
      </c>
      <c r="Z118" s="776">
        <f t="shared" si="185"/>
        <v>-9.4686207521265511E-2</v>
      </c>
      <c r="AA118" s="776">
        <f t="shared" si="185"/>
        <v>-9.4694089465709952E-2</v>
      </c>
      <c r="AB118" s="776">
        <f t="shared" si="185"/>
        <v>-9.4709228354598843E-2</v>
      </c>
      <c r="AC118" s="776">
        <f t="shared" si="185"/>
        <v>-9.4718061687932176E-2</v>
      </c>
      <c r="AD118" s="776">
        <f t="shared" si="185"/>
        <v>-9.4751728354598844E-2</v>
      </c>
      <c r="AE118" s="776">
        <f t="shared" si="185"/>
        <v>-9.476646168793218E-2</v>
      </c>
      <c r="AF118" s="777">
        <f t="shared" si="185"/>
        <v>-9.4787561687932176E-2</v>
      </c>
      <c r="AG118" s="778">
        <f t="shared" si="185"/>
        <v>-9.4924228354598836E-2</v>
      </c>
      <c r="AI118" s="773">
        <f t="shared" si="159"/>
        <v>91.125</v>
      </c>
      <c r="AJ118" s="747">
        <f t="shared" si="147"/>
        <v>1.968888084465914</v>
      </c>
      <c r="AK118" s="751">
        <f t="shared" si="147"/>
        <v>1.9621851359616405</v>
      </c>
      <c r="AL118" s="751">
        <f t="shared" si="147"/>
        <v>1.9506089847864267</v>
      </c>
      <c r="AM118" s="751">
        <f t="shared" si="147"/>
        <v>1.939032833611213</v>
      </c>
      <c r="AN118" s="751">
        <f t="shared" si="147"/>
        <v>1.9167984639530935</v>
      </c>
      <c r="AO118" s="751">
        <f t="shared" si="147"/>
        <v>1.9038250152351448</v>
      </c>
      <c r="AP118" s="751">
        <f t="shared" si="147"/>
        <v>1.8543790408761704</v>
      </c>
      <c r="AQ118" s="751">
        <f t="shared" si="147"/>
        <v>1.832740307542837</v>
      </c>
      <c r="AR118" s="752">
        <f t="shared" si="147"/>
        <v>1.8017508998505294</v>
      </c>
      <c r="AS118" s="751"/>
      <c r="AT118" s="674">
        <f t="shared" si="160"/>
        <v>1.75</v>
      </c>
      <c r="AU118" s="712">
        <f t="shared" si="161"/>
        <v>1.8</v>
      </c>
      <c r="AV118" s="712">
        <f t="shared" si="162"/>
        <v>1.81</v>
      </c>
      <c r="AW118" s="712">
        <f t="shared" si="163"/>
        <v>1.83</v>
      </c>
      <c r="AX118" s="712">
        <f t="shared" si="164"/>
        <v>1.84</v>
      </c>
      <c r="AY118" s="712">
        <f t="shared" si="165"/>
        <v>1.86</v>
      </c>
      <c r="AZ118" s="712">
        <f t="shared" si="166"/>
        <v>1.88</v>
      </c>
      <c r="BA118" s="712">
        <f t="shared" si="167"/>
        <v>1.9</v>
      </c>
      <c r="BB118" s="712">
        <f t="shared" si="168"/>
        <v>1.92</v>
      </c>
      <c r="BC118" s="779">
        <f t="shared" si="169"/>
        <v>1000000</v>
      </c>
      <c r="BD118" s="780">
        <f t="shared" si="170"/>
        <v>-1000000</v>
      </c>
      <c r="BF118" s="781">
        <f t="shared" si="186"/>
        <v>1.9691178328813503</v>
      </c>
      <c r="BG118" s="767">
        <f t="shared" si="186"/>
        <v>1.8430399518207468</v>
      </c>
      <c r="BH118" s="767">
        <f t="shared" si="186"/>
        <v>2.0080199230715321</v>
      </c>
      <c r="BI118" s="767">
        <f t="shared" si="186"/>
        <v>1.9979007654653456</v>
      </c>
      <c r="BJ118" s="767">
        <f t="shared" si="186"/>
        <v>1.9933839691150399</v>
      </c>
      <c r="BK118" s="767">
        <f t="shared" si="186"/>
        <v>1.9923704773587139</v>
      </c>
      <c r="BL118" s="767">
        <f t="shared" si="186"/>
        <v>1.990752379372446</v>
      </c>
      <c r="BM118" s="767">
        <f t="shared" si="186"/>
        <v>1.9904289746201396</v>
      </c>
      <c r="BN118" s="767">
        <f t="shared" si="186"/>
        <v>1.9901120367552914</v>
      </c>
      <c r="BO118" s="782">
        <f t="shared" si="186"/>
        <v>1.9892931094920787</v>
      </c>
      <c r="BP118" s="781">
        <f t="shared" si="148"/>
        <v>1.9691178328813503</v>
      </c>
      <c r="BQ118" s="767">
        <f t="shared" si="148"/>
        <v>1.8430399518207468</v>
      </c>
      <c r="BR118" s="767">
        <f t="shared" si="148"/>
        <v>-1000000</v>
      </c>
      <c r="BS118" s="767">
        <f t="shared" si="148"/>
        <v>-1000000</v>
      </c>
      <c r="BT118" s="767">
        <f t="shared" si="148"/>
        <v>-1000000</v>
      </c>
      <c r="BU118" s="767">
        <f t="shared" si="148"/>
        <v>-1000000</v>
      </c>
      <c r="BV118" s="767">
        <f t="shared" si="148"/>
        <v>-1000000</v>
      </c>
      <c r="BW118" s="767">
        <f t="shared" si="148"/>
        <v>-1000000</v>
      </c>
      <c r="BX118" s="767">
        <f t="shared" si="148"/>
        <v>-1000000</v>
      </c>
      <c r="BY118" s="767">
        <f t="shared" si="148"/>
        <v>-1000000</v>
      </c>
      <c r="BZ118" s="648">
        <f t="shared" si="151"/>
        <v>81</v>
      </c>
      <c r="CA118" s="767">
        <f t="shared" si="152"/>
        <v>1.9691178328813503</v>
      </c>
      <c r="CB118" s="767">
        <f t="shared" si="152"/>
        <v>1.8430399518207468</v>
      </c>
      <c r="CC118" s="767"/>
      <c r="CD118" s="767"/>
      <c r="CE118" s="767"/>
      <c r="CF118" s="767"/>
      <c r="CG118" s="767"/>
      <c r="CH118" s="767"/>
      <c r="CI118" s="767"/>
      <c r="CJ118" s="767"/>
      <c r="CK118" s="781">
        <f t="shared" si="153"/>
        <v>1.75</v>
      </c>
      <c r="CL118" s="783">
        <f t="shared" si="172"/>
        <v>1000000</v>
      </c>
      <c r="CM118" s="552"/>
      <c r="CN118" s="552"/>
      <c r="CO118" s="552"/>
      <c r="CP118" s="552"/>
      <c r="CQ118" s="552"/>
      <c r="CR118" s="552"/>
      <c r="CS118" s="552"/>
      <c r="CT118" s="552"/>
      <c r="CU118" s="552"/>
      <c r="CV118" s="552"/>
      <c r="CW118" s="552"/>
      <c r="CX118" s="552"/>
      <c r="CY118" s="552"/>
      <c r="CZ118" s="642">
        <f t="shared" si="133"/>
        <v>111</v>
      </c>
      <c r="DA118" s="609">
        <f t="shared" si="110"/>
        <v>124.875</v>
      </c>
      <c r="DB118" s="609">
        <f t="shared" si="121"/>
        <v>44.400000000000006</v>
      </c>
      <c r="DC118" s="610">
        <f t="shared" si="179"/>
        <v>134.99555291411065</v>
      </c>
      <c r="DD118" s="611">
        <f t="shared" si="179"/>
        <v>134.99887684140776</v>
      </c>
      <c r="DE118" s="612">
        <f t="shared" si="179"/>
        <v>134.9999639956479</v>
      </c>
      <c r="DF118" s="610">
        <f t="shared" si="180"/>
        <v>19.411764705882348</v>
      </c>
      <c r="DG118" s="611">
        <f t="shared" si="180"/>
        <v>22</v>
      </c>
      <c r="DH118" s="612">
        <f t="shared" si="180"/>
        <v>28.470588235294098</v>
      </c>
      <c r="DI118" s="610">
        <f t="shared" si="111"/>
        <v>154.40731761999299</v>
      </c>
      <c r="DJ118" s="611">
        <f t="shared" si="111"/>
        <v>156.99887684140776</v>
      </c>
      <c r="DK118" s="612">
        <f t="shared" si="111"/>
        <v>163.47055223094199</v>
      </c>
      <c r="DL118" s="613">
        <f t="shared" si="177"/>
        <v>154.40731761999299</v>
      </c>
      <c r="DM118" s="613">
        <f t="shared" si="177"/>
        <v>156.99887684140776</v>
      </c>
      <c r="DN118" s="613">
        <f t="shared" si="177"/>
        <v>163.47055223094199</v>
      </c>
      <c r="DO118" s="609">
        <f t="shared" si="112"/>
        <v>135</v>
      </c>
      <c r="DP118" s="609"/>
      <c r="DQ118" s="609">
        <f t="shared" si="123"/>
        <v>44.400000000000006</v>
      </c>
      <c r="DR118" s="610">
        <f t="shared" si="173"/>
        <v>1.0337252183542239E-3</v>
      </c>
      <c r="DS118" s="611">
        <f t="shared" si="173"/>
        <v>2.9588867299214396E-4</v>
      </c>
      <c r="DT118" s="612">
        <f t="shared" si="173"/>
        <v>1.227484497286173E-5</v>
      </c>
      <c r="DU118" s="611">
        <f t="shared" si="178"/>
        <v>1.0833078597016611E-3</v>
      </c>
      <c r="DV118" s="611">
        <f t="shared" si="178"/>
        <v>3.1204100039871729E-4</v>
      </c>
      <c r="DW118" s="611">
        <f t="shared" si="178"/>
        <v>1.3151188511528558E-5</v>
      </c>
      <c r="DX118" s="614">
        <f t="shared" si="114"/>
        <v>12.5</v>
      </c>
      <c r="DY118" s="615"/>
      <c r="DZ118" s="609">
        <f t="shared" si="124"/>
        <v>44.400000000000006</v>
      </c>
      <c r="EA118" s="611">
        <f t="shared" si="181"/>
        <v>3.153250000000011</v>
      </c>
      <c r="EB118" s="611">
        <f t="shared" si="181"/>
        <v>1000000</v>
      </c>
      <c r="EC118" s="611">
        <f t="shared" si="181"/>
        <v>1000000</v>
      </c>
      <c r="ED118" s="610">
        <f t="shared" si="182"/>
        <v>0.22002999999999975</v>
      </c>
      <c r="EE118" s="611">
        <f t="shared" si="182"/>
        <v>0.22005999999999976</v>
      </c>
      <c r="EF118" s="612">
        <f t="shared" si="182"/>
        <v>0.22012499999999974</v>
      </c>
      <c r="EG118" s="611">
        <f t="shared" si="115"/>
        <v>3.3732800000000109</v>
      </c>
      <c r="EH118" s="611">
        <f t="shared" si="115"/>
        <v>1000000.22006</v>
      </c>
      <c r="EI118" s="611">
        <f t="shared" si="115"/>
        <v>1000000.220125</v>
      </c>
      <c r="EJ118" s="610">
        <f t="shared" si="125"/>
        <v>2.2999999999999998</v>
      </c>
      <c r="EK118" s="643">
        <f t="shared" si="126"/>
        <v>2.25</v>
      </c>
      <c r="EL118" s="644">
        <f t="shared" si="127"/>
        <v>2.83</v>
      </c>
      <c r="EN118" s="620">
        <f t="shared" si="128"/>
        <v>24.204166666666669</v>
      </c>
      <c r="EO118" s="621">
        <f t="shared" si="143"/>
        <v>48.344585949125417</v>
      </c>
      <c r="EP118" s="621">
        <f>$CS$28*((1-($CS$36*$EN118)/($CS$21-EP$4))/(1+(($CS$37*$EN118)/($CS$21-EP$4))))</f>
        <v>69.986613326941622</v>
      </c>
      <c r="EQ118" s="621">
        <f t="shared" si="143"/>
        <v>87.704541580550327</v>
      </c>
      <c r="ER118" s="610">
        <f t="shared" si="174"/>
        <v>10.468139809195904</v>
      </c>
      <c r="ES118" s="611">
        <f t="shared" si="174"/>
        <v>40.930710904323917</v>
      </c>
      <c r="ET118" s="612">
        <f t="shared" si="174"/>
        <v>65.616418437129823</v>
      </c>
      <c r="EU118" s="610">
        <f t="shared" si="129"/>
        <v>100</v>
      </c>
      <c r="EV118" s="611">
        <f t="shared" si="130"/>
        <v>135</v>
      </c>
      <c r="EW118" s="645">
        <f t="shared" si="131"/>
        <v>-1000000</v>
      </c>
      <c r="EX118" s="610">
        <f t="shared" si="117"/>
        <v>-37.876446139929513</v>
      </c>
      <c r="EY118" s="621">
        <f t="shared" si="118"/>
        <v>-29.055902422617706</v>
      </c>
      <c r="EZ118" s="612">
        <f t="shared" si="119"/>
        <v>-22.088123143420503</v>
      </c>
      <c r="FA118" s="646">
        <f t="shared" si="120"/>
        <v>24.204166666666669</v>
      </c>
      <c r="FB118" s="317"/>
      <c r="FC118" s="552"/>
      <c r="FD118" s="552"/>
      <c r="FE118" s="552"/>
      <c r="FF118" s="552"/>
      <c r="FG118" s="552"/>
      <c r="FH118" s="552"/>
      <c r="FI118" s="552"/>
      <c r="FJ118" s="552"/>
      <c r="FK118" s="552"/>
      <c r="FL118" s="552"/>
      <c r="FM118" s="552"/>
      <c r="FN118" s="552"/>
      <c r="FO118" s="552"/>
      <c r="FP118" s="552"/>
      <c r="FQ118" s="552"/>
      <c r="FR118" s="552"/>
      <c r="FS118" s="552"/>
      <c r="FT118" s="552"/>
    </row>
    <row r="119" spans="2:176" s="564" customFormat="1" ht="15" customHeight="1" x14ac:dyDescent="0.2">
      <c r="B119" s="647">
        <f t="shared" si="183"/>
        <v>10</v>
      </c>
      <c r="C119" s="652">
        <f>$J$12</f>
        <v>99</v>
      </c>
      <c r="D119" s="771">
        <f>$B$12</f>
        <v>1.86</v>
      </c>
      <c r="E119" s="772">
        <f t="shared" si="149"/>
        <v>9.9</v>
      </c>
      <c r="F119" s="689"/>
      <c r="G119" s="747">
        <f t="shared" si="150"/>
        <v>1.8068663193714471</v>
      </c>
      <c r="H119" s="748">
        <f t="shared" si="154"/>
        <v>2.8231880171370629E-3</v>
      </c>
      <c r="I119" s="689"/>
      <c r="J119" s="773">
        <f t="shared" si="176"/>
        <v>82</v>
      </c>
      <c r="K119" s="774">
        <f t="shared" si="155"/>
        <v>92.25</v>
      </c>
      <c r="L119" s="747">
        <f t="shared" si="184"/>
        <v>2.063129263157895</v>
      </c>
      <c r="M119" s="751">
        <f t="shared" si="184"/>
        <v>2.0562546052631578</v>
      </c>
      <c r="N119" s="751">
        <f t="shared" si="184"/>
        <v>2.0443819078947367</v>
      </c>
      <c r="O119" s="751">
        <f t="shared" si="184"/>
        <v>2.0325092105263161</v>
      </c>
      <c r="P119" s="751">
        <f t="shared" si="184"/>
        <v>2.0097052631578949</v>
      </c>
      <c r="Q119" s="751">
        <f t="shared" si="184"/>
        <v>1.9963994736842106</v>
      </c>
      <c r="R119" s="751">
        <f t="shared" si="184"/>
        <v>1.9456868421052633</v>
      </c>
      <c r="S119" s="751">
        <f t="shared" si="184"/>
        <v>1.9234937894736843</v>
      </c>
      <c r="T119" s="752">
        <f t="shared" si="184"/>
        <v>1.8917105263157896</v>
      </c>
      <c r="U119" s="753">
        <f t="shared" si="184"/>
        <v>1.6858473684210526</v>
      </c>
      <c r="W119" s="773">
        <f t="shared" si="157"/>
        <v>92.25</v>
      </c>
      <c r="X119" s="775">
        <f t="shared" si="185"/>
        <v>-9.4886798453752669E-2</v>
      </c>
      <c r="Y119" s="776">
        <f t="shared" si="185"/>
        <v>-9.4891362342641561E-2</v>
      </c>
      <c r="Z119" s="776">
        <f t="shared" si="185"/>
        <v>-9.4899244287086001E-2</v>
      </c>
      <c r="AA119" s="776">
        <f t="shared" si="185"/>
        <v>-9.4907126231530442E-2</v>
      </c>
      <c r="AB119" s="776">
        <f t="shared" si="185"/>
        <v>-9.4922265120419333E-2</v>
      </c>
      <c r="AC119" s="776">
        <f t="shared" si="185"/>
        <v>-9.4931098453752666E-2</v>
      </c>
      <c r="AD119" s="776">
        <f t="shared" si="185"/>
        <v>-9.4964765120419334E-2</v>
      </c>
      <c r="AE119" s="776">
        <f t="shared" si="185"/>
        <v>-9.497949845375267E-2</v>
      </c>
      <c r="AF119" s="777">
        <f t="shared" si="185"/>
        <v>-9.5000598453752666E-2</v>
      </c>
      <c r="AG119" s="778">
        <f t="shared" si="185"/>
        <v>-9.5137265120419326E-2</v>
      </c>
      <c r="AI119" s="773">
        <f t="shared" si="159"/>
        <v>92.25</v>
      </c>
      <c r="AJ119" s="747">
        <f t="shared" si="147"/>
        <v>1.9682424647041423</v>
      </c>
      <c r="AK119" s="751">
        <f t="shared" si="147"/>
        <v>1.9613632429205163</v>
      </c>
      <c r="AL119" s="751">
        <f t="shared" si="147"/>
        <v>1.9494826636076508</v>
      </c>
      <c r="AM119" s="751">
        <f t="shared" si="147"/>
        <v>1.9376020842947856</v>
      </c>
      <c r="AN119" s="751">
        <f t="shared" si="147"/>
        <v>1.9147829980374755</v>
      </c>
      <c r="AO119" s="751">
        <f t="shared" si="147"/>
        <v>1.901468375230458</v>
      </c>
      <c r="AP119" s="751">
        <f t="shared" si="147"/>
        <v>1.850722076984844</v>
      </c>
      <c r="AQ119" s="751">
        <f t="shared" si="147"/>
        <v>1.8285142910199317</v>
      </c>
      <c r="AR119" s="752">
        <f t="shared" si="147"/>
        <v>1.7967099278620369</v>
      </c>
      <c r="AS119" s="751"/>
      <c r="AT119" s="674">
        <f t="shared" si="160"/>
        <v>1.75</v>
      </c>
      <c r="AU119" s="712">
        <f t="shared" si="161"/>
        <v>1.8</v>
      </c>
      <c r="AV119" s="712">
        <f t="shared" si="162"/>
        <v>1.81</v>
      </c>
      <c r="AW119" s="712">
        <f t="shared" si="163"/>
        <v>1.83</v>
      </c>
      <c r="AX119" s="712">
        <f t="shared" si="164"/>
        <v>1.84</v>
      </c>
      <c r="AY119" s="712">
        <f t="shared" si="165"/>
        <v>1.86</v>
      </c>
      <c r="AZ119" s="712">
        <f t="shared" si="166"/>
        <v>1.88</v>
      </c>
      <c r="BA119" s="712">
        <f t="shared" si="167"/>
        <v>1.9</v>
      </c>
      <c r="BB119" s="712">
        <f t="shared" si="168"/>
        <v>1.92</v>
      </c>
      <c r="BC119" s="779">
        <f t="shared" si="169"/>
        <v>1000000</v>
      </c>
      <c r="BD119" s="780">
        <f t="shared" si="170"/>
        <v>-1000000</v>
      </c>
      <c r="BF119" s="781">
        <f t="shared" si="186"/>
        <v>1.9684791102797132</v>
      </c>
      <c r="BG119" s="767">
        <f t="shared" si="186"/>
        <v>1.8048337952696936</v>
      </c>
      <c r="BH119" s="767">
        <f t="shared" si="186"/>
        <v>2.0069339800647401</v>
      </c>
      <c r="BI119" s="767">
        <f t="shared" si="186"/>
        <v>1.9974699738578765</v>
      </c>
      <c r="BJ119" s="767">
        <f t="shared" si="186"/>
        <v>1.9931509480496206</v>
      </c>
      <c r="BK119" s="767">
        <f t="shared" si="186"/>
        <v>1.9921734788554029</v>
      </c>
      <c r="BL119" s="767">
        <f t="shared" si="186"/>
        <v>1.9906061392656327</v>
      </c>
      <c r="BM119" s="767">
        <f t="shared" si="186"/>
        <v>1.9902917573691055</v>
      </c>
      <c r="BN119" s="767">
        <f t="shared" si="186"/>
        <v>1.9899832014052483</v>
      </c>
      <c r="BO119" s="782">
        <f t="shared" si="186"/>
        <v>1.9891826106390227</v>
      </c>
      <c r="BP119" s="781">
        <f t="shared" si="148"/>
        <v>1.9684791102797132</v>
      </c>
      <c r="BQ119" s="767">
        <f t="shared" si="148"/>
        <v>1.8048337952696936</v>
      </c>
      <c r="BR119" s="767">
        <f t="shared" si="148"/>
        <v>-1000000</v>
      </c>
      <c r="BS119" s="767">
        <f t="shared" si="148"/>
        <v>-1000000</v>
      </c>
      <c r="BT119" s="767">
        <f t="shared" si="148"/>
        <v>-1000000</v>
      </c>
      <c r="BU119" s="767">
        <f t="shared" ref="BU119:BY150" si="187">IF($BZ119*BK$34&lt;$AB$22,BK119,-1000000)</f>
        <v>-1000000</v>
      </c>
      <c r="BV119" s="767">
        <f t="shared" si="187"/>
        <v>-1000000</v>
      </c>
      <c r="BW119" s="767">
        <f t="shared" si="187"/>
        <v>-1000000</v>
      </c>
      <c r="BX119" s="767">
        <f t="shared" si="187"/>
        <v>-1000000</v>
      </c>
      <c r="BY119" s="767">
        <f t="shared" si="187"/>
        <v>-1000000</v>
      </c>
      <c r="BZ119" s="648">
        <f t="shared" si="151"/>
        <v>82</v>
      </c>
      <c r="CA119" s="767">
        <f t="shared" si="152"/>
        <v>1.9684791102797132</v>
      </c>
      <c r="CB119" s="767">
        <f t="shared" si="152"/>
        <v>1.8048337952696936</v>
      </c>
      <c r="CC119" s="767"/>
      <c r="CD119" s="767"/>
      <c r="CE119" s="767"/>
      <c r="CF119" s="767"/>
      <c r="CG119" s="767"/>
      <c r="CH119" s="767"/>
      <c r="CI119" s="767"/>
      <c r="CJ119" s="767"/>
      <c r="CK119" s="781">
        <f t="shared" si="153"/>
        <v>1.75</v>
      </c>
      <c r="CL119" s="783">
        <f t="shared" si="172"/>
        <v>1000000</v>
      </c>
      <c r="CM119" s="552"/>
      <c r="CN119" s="552"/>
      <c r="CO119" s="552"/>
      <c r="CP119" s="552"/>
      <c r="CQ119" s="552"/>
      <c r="CR119" s="552"/>
      <c r="CS119" s="552"/>
      <c r="CT119" s="552"/>
      <c r="CU119" s="552"/>
      <c r="CV119" s="552"/>
      <c r="CW119" s="552"/>
      <c r="CX119" s="552"/>
      <c r="CY119" s="552"/>
      <c r="CZ119" s="642">
        <f t="shared" si="133"/>
        <v>112</v>
      </c>
      <c r="DA119" s="609">
        <f t="shared" si="110"/>
        <v>126</v>
      </c>
      <c r="DB119" s="609">
        <f t="shared" si="121"/>
        <v>44.8</v>
      </c>
      <c r="DC119" s="610">
        <f t="shared" si="179"/>
        <v>134.9959477632361</v>
      </c>
      <c r="DD119" s="611">
        <f t="shared" si="179"/>
        <v>134.99898917427751</v>
      </c>
      <c r="DE119" s="612">
        <f t="shared" si="179"/>
        <v>134.99996858551341</v>
      </c>
      <c r="DF119" s="610">
        <f t="shared" si="180"/>
        <v>19.411764705882348</v>
      </c>
      <c r="DG119" s="611">
        <f t="shared" si="180"/>
        <v>22</v>
      </c>
      <c r="DH119" s="612">
        <f t="shared" si="180"/>
        <v>28.470588235294098</v>
      </c>
      <c r="DI119" s="610">
        <f t="shared" si="111"/>
        <v>154.40771246911845</v>
      </c>
      <c r="DJ119" s="611">
        <f t="shared" si="111"/>
        <v>156.99898917427751</v>
      </c>
      <c r="DK119" s="612">
        <f t="shared" si="111"/>
        <v>163.4705568208075</v>
      </c>
      <c r="DL119" s="613">
        <f t="shared" ref="DL119:DN127" si="188">IF((DL118+$CS$33*($DB119-$DB118))&lt;DI119,(DL118+$CS$33*($DB119-$DB118)),DI119)</f>
        <v>154.40771246911845</v>
      </c>
      <c r="DM119" s="613">
        <f t="shared" si="188"/>
        <v>156.99898917427751</v>
      </c>
      <c r="DN119" s="613">
        <f t="shared" si="188"/>
        <v>163.4705568208075</v>
      </c>
      <c r="DO119" s="609">
        <f t="shared" si="112"/>
        <v>135</v>
      </c>
      <c r="DP119" s="609"/>
      <c r="DQ119" s="609">
        <f t="shared" si="123"/>
        <v>44.8</v>
      </c>
      <c r="DR119" s="610">
        <f t="shared" si="173"/>
        <v>9.4194252996078357E-4</v>
      </c>
      <c r="DS119" s="611">
        <f t="shared" si="173"/>
        <v>2.6629532438072009E-4</v>
      </c>
      <c r="DT119" s="612">
        <f t="shared" si="173"/>
        <v>1.0710037263746358E-5</v>
      </c>
      <c r="DU119" s="611">
        <f t="shared" si="178"/>
        <v>9.8712281364046078E-4</v>
      </c>
      <c r="DV119" s="611">
        <f t="shared" si="178"/>
        <v>2.8083217436858973E-4</v>
      </c>
      <c r="DW119" s="611">
        <f t="shared" si="178"/>
        <v>1.1474663779154315E-5</v>
      </c>
      <c r="DX119" s="614">
        <f t="shared" si="114"/>
        <v>12.5</v>
      </c>
      <c r="DY119" s="615"/>
      <c r="DZ119" s="609">
        <f t="shared" si="124"/>
        <v>44.8</v>
      </c>
      <c r="EA119" s="611">
        <f t="shared" si="181"/>
        <v>5.2997499999998983</v>
      </c>
      <c r="EB119" s="611">
        <f t="shared" si="181"/>
        <v>1000000</v>
      </c>
      <c r="EC119" s="611">
        <f t="shared" si="181"/>
        <v>1000000</v>
      </c>
      <c r="ED119" s="610">
        <f t="shared" si="182"/>
        <v>0.22002999999999975</v>
      </c>
      <c r="EE119" s="611">
        <f t="shared" si="182"/>
        <v>0.22005999999999976</v>
      </c>
      <c r="EF119" s="612">
        <f t="shared" si="182"/>
        <v>0.22012499999999974</v>
      </c>
      <c r="EG119" s="611">
        <f t="shared" si="115"/>
        <v>5.5197799999998978</v>
      </c>
      <c r="EH119" s="611">
        <f t="shared" si="115"/>
        <v>1000000.22006</v>
      </c>
      <c r="EI119" s="611">
        <f t="shared" si="115"/>
        <v>1000000.220125</v>
      </c>
      <c r="EJ119" s="610">
        <f t="shared" si="125"/>
        <v>2.2999999999999998</v>
      </c>
      <c r="EK119" s="643">
        <f t="shared" si="126"/>
        <v>2.25</v>
      </c>
      <c r="EL119" s="644">
        <f t="shared" si="127"/>
        <v>2.83</v>
      </c>
      <c r="EN119" s="620">
        <f t="shared" si="128"/>
        <v>24.422222222222224</v>
      </c>
      <c r="EO119" s="621">
        <f t="shared" si="143"/>
        <v>47.564964326179734</v>
      </c>
      <c r="EP119" s="621">
        <f t="shared" si="143"/>
        <v>69.401502545095312</v>
      </c>
      <c r="EQ119" s="621">
        <f t="shared" si="143"/>
        <v>87.27877146811889</v>
      </c>
      <c r="ER119" s="610">
        <f t="shared" si="174"/>
        <v>9.6885165257797752</v>
      </c>
      <c r="ES119" s="611">
        <f t="shared" si="174"/>
        <v>40.332495652992108</v>
      </c>
      <c r="ET119" s="612">
        <f t="shared" si="174"/>
        <v>65.062148883932025</v>
      </c>
      <c r="EU119" s="610">
        <f t="shared" si="129"/>
        <v>100</v>
      </c>
      <c r="EV119" s="611">
        <f t="shared" si="130"/>
        <v>135</v>
      </c>
      <c r="EW119" s="645">
        <f t="shared" si="131"/>
        <v>-1000000</v>
      </c>
      <c r="EX119" s="610">
        <f t="shared" si="117"/>
        <v>-37.876447800399959</v>
      </c>
      <c r="EY119" s="621">
        <f t="shared" si="118"/>
        <v>-29.069006892103204</v>
      </c>
      <c r="EZ119" s="612">
        <f t="shared" si="119"/>
        <v>-22.216622584186872</v>
      </c>
      <c r="FA119" s="646">
        <f t="shared" si="120"/>
        <v>24.422222222222224</v>
      </c>
      <c r="FB119" s="317"/>
      <c r="FC119" s="552"/>
      <c r="FD119" s="552"/>
      <c r="FE119" s="552"/>
      <c r="FF119" s="552"/>
      <c r="FG119" s="552"/>
      <c r="FH119" s="552"/>
      <c r="FI119" s="552"/>
      <c r="FJ119" s="552"/>
      <c r="FK119" s="552"/>
      <c r="FL119" s="552"/>
      <c r="FM119" s="552"/>
      <c r="FN119" s="552"/>
      <c r="FO119" s="552"/>
      <c r="FP119" s="552"/>
      <c r="FQ119" s="552"/>
      <c r="FR119" s="552"/>
      <c r="FS119" s="552"/>
      <c r="FT119" s="552"/>
    </row>
    <row r="120" spans="2:176" s="564" customFormat="1" ht="15" customHeight="1" x14ac:dyDescent="0.2">
      <c r="B120" s="647">
        <f t="shared" si="183"/>
        <v>10</v>
      </c>
      <c r="C120" s="652">
        <f>$J$13</f>
        <v>95</v>
      </c>
      <c r="D120" s="771">
        <f>$B$13</f>
        <v>1.88</v>
      </c>
      <c r="E120" s="772">
        <f t="shared" si="149"/>
        <v>9.5</v>
      </c>
      <c r="F120" s="689"/>
      <c r="G120" s="747">
        <f t="shared" si="150"/>
        <v>1.8316141620679738</v>
      </c>
      <c r="H120" s="748">
        <f t="shared" si="154"/>
        <v>2.3411893123842968E-3</v>
      </c>
      <c r="I120" s="689"/>
      <c r="J120" s="773">
        <f t="shared" si="176"/>
        <v>83</v>
      </c>
      <c r="K120" s="808">
        <f t="shared" si="155"/>
        <v>93.375</v>
      </c>
      <c r="L120" s="809">
        <f t="shared" si="184"/>
        <v>2.0626732972972972</v>
      </c>
      <c r="M120" s="752">
        <f t="shared" si="184"/>
        <v>2.0556128378378378</v>
      </c>
      <c r="N120" s="752">
        <f t="shared" si="184"/>
        <v>2.0434192567567568</v>
      </c>
      <c r="O120" s="752">
        <f t="shared" si="184"/>
        <v>2.0312256756756759</v>
      </c>
      <c r="P120" s="752">
        <f t="shared" si="184"/>
        <v>2.0078054054054055</v>
      </c>
      <c r="Q120" s="752">
        <f t="shared" si="184"/>
        <v>1.99414</v>
      </c>
      <c r="R120" s="752">
        <f t="shared" si="184"/>
        <v>1.9420567567567568</v>
      </c>
      <c r="S120" s="752">
        <f t="shared" si="184"/>
        <v>1.9192638918918921</v>
      </c>
      <c r="T120" s="752">
        <f t="shared" si="184"/>
        <v>1.8866216216216216</v>
      </c>
      <c r="U120" s="810">
        <f t="shared" si="184"/>
        <v>1.6751945945945947</v>
      </c>
      <c r="W120" s="773">
        <f t="shared" si="157"/>
        <v>93.375</v>
      </c>
      <c r="X120" s="775">
        <f t="shared" si="185"/>
        <v>-9.5089215144193037E-2</v>
      </c>
      <c r="Y120" s="776">
        <f t="shared" si="185"/>
        <v>-9.5093779033081929E-2</v>
      </c>
      <c r="Z120" s="776">
        <f t="shared" si="185"/>
        <v>-9.510166097752637E-2</v>
      </c>
      <c r="AA120" s="776">
        <f t="shared" si="185"/>
        <v>-9.5109542921970811E-2</v>
      </c>
      <c r="AB120" s="776">
        <f t="shared" si="185"/>
        <v>-9.5124681810859701E-2</v>
      </c>
      <c r="AC120" s="776">
        <f t="shared" si="185"/>
        <v>-9.5133515144193034E-2</v>
      </c>
      <c r="AD120" s="776">
        <f t="shared" si="185"/>
        <v>-9.5167181810859702E-2</v>
      </c>
      <c r="AE120" s="776">
        <f t="shared" si="185"/>
        <v>-9.5181915144193038E-2</v>
      </c>
      <c r="AF120" s="777">
        <f t="shared" si="185"/>
        <v>-9.5203015144193034E-2</v>
      </c>
      <c r="AG120" s="778">
        <f t="shared" si="185"/>
        <v>-9.5339681810859694E-2</v>
      </c>
      <c r="AI120" s="811">
        <f t="shared" si="159"/>
        <v>93.375</v>
      </c>
      <c r="AJ120" s="809">
        <f t="shared" si="147"/>
        <v>1.9675840821531041</v>
      </c>
      <c r="AK120" s="752">
        <f t="shared" si="147"/>
        <v>1.9605190588047559</v>
      </c>
      <c r="AL120" s="752">
        <f t="shared" si="147"/>
        <v>1.9483175957792305</v>
      </c>
      <c r="AM120" s="752">
        <f t="shared" si="147"/>
        <v>1.9361161327537051</v>
      </c>
      <c r="AN120" s="752">
        <f t="shared" si="147"/>
        <v>1.9126807235945458</v>
      </c>
      <c r="AO120" s="752">
        <f t="shared" si="147"/>
        <v>1.899006484855807</v>
      </c>
      <c r="AP120" s="752">
        <f t="shared" si="147"/>
        <v>1.8468895749458971</v>
      </c>
      <c r="AQ120" s="752">
        <f t="shared" si="147"/>
        <v>1.824081976747699</v>
      </c>
      <c r="AR120" s="752">
        <f t="shared" si="147"/>
        <v>1.7914186064774287</v>
      </c>
      <c r="AS120" s="751"/>
      <c r="AT120" s="674">
        <f t="shared" si="160"/>
        <v>1.75</v>
      </c>
      <c r="AU120" s="712">
        <f t="shared" si="161"/>
        <v>1.8</v>
      </c>
      <c r="AV120" s="712">
        <f t="shared" si="162"/>
        <v>1.81</v>
      </c>
      <c r="AW120" s="712">
        <f t="shared" si="163"/>
        <v>1.83</v>
      </c>
      <c r="AX120" s="712">
        <f t="shared" si="164"/>
        <v>1.84</v>
      </c>
      <c r="AY120" s="712">
        <f t="shared" si="165"/>
        <v>1.86</v>
      </c>
      <c r="AZ120" s="712">
        <f t="shared" si="166"/>
        <v>1.88</v>
      </c>
      <c r="BA120" s="712">
        <f t="shared" si="167"/>
        <v>1.9</v>
      </c>
      <c r="BB120" s="712">
        <f t="shared" si="168"/>
        <v>1.92</v>
      </c>
      <c r="BC120" s="779">
        <f t="shared" si="169"/>
        <v>1000000</v>
      </c>
      <c r="BD120" s="780">
        <f t="shared" si="170"/>
        <v>-1000000</v>
      </c>
      <c r="BF120" s="781">
        <f t="shared" si="186"/>
        <v>1.9678285907120692</v>
      </c>
      <c r="BG120" s="767">
        <f t="shared" si="186"/>
        <v>1.7377164312709443</v>
      </c>
      <c r="BH120" s="767">
        <f t="shared" si="186"/>
        <v>2.0059319815573957</v>
      </c>
      <c r="BI120" s="767">
        <f t="shared" si="186"/>
        <v>1.9970606523492747</v>
      </c>
      <c r="BJ120" s="767">
        <f t="shared" si="186"/>
        <v>1.9929265462667192</v>
      </c>
      <c r="BK120" s="767">
        <f t="shared" si="186"/>
        <v>1.9919831951941367</v>
      </c>
      <c r="BL120" s="767">
        <f t="shared" si="186"/>
        <v>1.9904642092239428</v>
      </c>
      <c r="BM120" s="767">
        <f t="shared" si="186"/>
        <v>1.9901584602336608</v>
      </c>
      <c r="BN120" s="767">
        <f t="shared" si="186"/>
        <v>1.9898579349014669</v>
      </c>
      <c r="BO120" s="782">
        <f t="shared" si="186"/>
        <v>1.9890749508858654</v>
      </c>
      <c r="BP120" s="781">
        <f t="shared" ref="BP120:BY151" si="189">IF($BZ120*BF$34&lt;$AB$22,BF120,-1000000)</f>
        <v>1.9678285907120692</v>
      </c>
      <c r="BQ120" s="767">
        <f t="shared" si="189"/>
        <v>1.7377164312709443</v>
      </c>
      <c r="BR120" s="767">
        <f t="shared" si="189"/>
        <v>-1000000</v>
      </c>
      <c r="BS120" s="767">
        <f t="shared" si="189"/>
        <v>-1000000</v>
      </c>
      <c r="BT120" s="767">
        <f t="shared" si="189"/>
        <v>-1000000</v>
      </c>
      <c r="BU120" s="767">
        <f t="shared" si="187"/>
        <v>-1000000</v>
      </c>
      <c r="BV120" s="767">
        <f t="shared" si="187"/>
        <v>-1000000</v>
      </c>
      <c r="BW120" s="767">
        <f t="shared" si="187"/>
        <v>-1000000</v>
      </c>
      <c r="BX120" s="767">
        <f t="shared" si="187"/>
        <v>-1000000</v>
      </c>
      <c r="BY120" s="767">
        <f t="shared" si="187"/>
        <v>-1000000</v>
      </c>
      <c r="BZ120" s="648">
        <f t="shared" si="151"/>
        <v>83</v>
      </c>
      <c r="CA120" s="767">
        <f t="shared" si="152"/>
        <v>1.9678285907120692</v>
      </c>
      <c r="CB120" s="767">
        <f t="shared" si="152"/>
        <v>1.7377164312709443</v>
      </c>
      <c r="CC120" s="767"/>
      <c r="CD120" s="767"/>
      <c r="CE120" s="767"/>
      <c r="CF120" s="767"/>
      <c r="CG120" s="767"/>
      <c r="CH120" s="767"/>
      <c r="CI120" s="767"/>
      <c r="CJ120" s="767"/>
      <c r="CK120" s="781">
        <f t="shared" si="153"/>
        <v>1.75</v>
      </c>
      <c r="CL120" s="783">
        <f t="shared" si="172"/>
        <v>1000000</v>
      </c>
      <c r="CM120" s="552"/>
      <c r="CN120" s="552"/>
      <c r="CO120" s="552"/>
      <c r="CP120" s="552"/>
      <c r="CQ120" s="552"/>
      <c r="CR120" s="552"/>
      <c r="CS120" s="552"/>
      <c r="CT120" s="552"/>
      <c r="CU120" s="552"/>
      <c r="CV120" s="552"/>
      <c r="CW120" s="552"/>
      <c r="CX120" s="552"/>
      <c r="CY120" s="552"/>
      <c r="CZ120" s="642">
        <f t="shared" si="133"/>
        <v>113</v>
      </c>
      <c r="DA120" s="609">
        <f t="shared" si="110"/>
        <v>127.125</v>
      </c>
      <c r="DB120" s="609">
        <f t="shared" si="121"/>
        <v>45.2</v>
      </c>
      <c r="DC120" s="610">
        <f t="shared" si="179"/>
        <v>134.99630755438523</v>
      </c>
      <c r="DD120" s="611">
        <f t="shared" si="179"/>
        <v>134.99909027215898</v>
      </c>
      <c r="DE120" s="612">
        <f t="shared" si="179"/>
        <v>134.99997259025898</v>
      </c>
      <c r="DF120" s="610">
        <f t="shared" si="180"/>
        <v>19.411764705882348</v>
      </c>
      <c r="DG120" s="611">
        <f t="shared" si="180"/>
        <v>22</v>
      </c>
      <c r="DH120" s="612">
        <f t="shared" si="180"/>
        <v>28.470588235294098</v>
      </c>
      <c r="DI120" s="610">
        <f t="shared" si="111"/>
        <v>154.40807226026757</v>
      </c>
      <c r="DJ120" s="611">
        <f t="shared" si="111"/>
        <v>156.99909027215898</v>
      </c>
      <c r="DK120" s="612">
        <f t="shared" si="111"/>
        <v>163.47056082555306</v>
      </c>
      <c r="DL120" s="613">
        <f t="shared" si="188"/>
        <v>154.40807226026757</v>
      </c>
      <c r="DM120" s="613">
        <f t="shared" si="188"/>
        <v>156.99909027215898</v>
      </c>
      <c r="DN120" s="613">
        <f t="shared" si="188"/>
        <v>163.47056082555306</v>
      </c>
      <c r="DO120" s="609">
        <f t="shared" si="112"/>
        <v>135</v>
      </c>
      <c r="DP120" s="609"/>
      <c r="DQ120" s="609">
        <f t="shared" si="123"/>
        <v>45.2</v>
      </c>
      <c r="DR120" s="610">
        <f t="shared" si="173"/>
        <v>8.5830906898208819E-4</v>
      </c>
      <c r="DS120" s="611">
        <f t="shared" si="173"/>
        <v>2.3966175882952936E-4</v>
      </c>
      <c r="DT120" s="612">
        <f t="shared" si="173"/>
        <v>9.344712576365263E-6</v>
      </c>
      <c r="DU120" s="611">
        <f t="shared" ref="DU120:DW127" si="190">(DL120-DL119)/($DQ120-$DQ119)</f>
        <v>8.9947787280662936E-4</v>
      </c>
      <c r="DV120" s="611">
        <f t="shared" si="190"/>
        <v>2.5274470367264354E-4</v>
      </c>
      <c r="DW120" s="611">
        <f t="shared" si="190"/>
        <v>1.0011863906811271E-5</v>
      </c>
      <c r="DX120" s="614">
        <f t="shared" si="114"/>
        <v>12.5</v>
      </c>
      <c r="DY120" s="615"/>
      <c r="DZ120" s="609">
        <f t="shared" si="124"/>
        <v>45.2</v>
      </c>
      <c r="EA120" s="611">
        <f t="shared" si="181"/>
        <v>1000000</v>
      </c>
      <c r="EB120" s="611">
        <f t="shared" si="181"/>
        <v>1000000</v>
      </c>
      <c r="EC120" s="611">
        <f t="shared" si="181"/>
        <v>1000000</v>
      </c>
      <c r="ED120" s="610">
        <f t="shared" si="182"/>
        <v>0.22002999999999975</v>
      </c>
      <c r="EE120" s="611">
        <f t="shared" si="182"/>
        <v>0.22005999999999976</v>
      </c>
      <c r="EF120" s="612">
        <f t="shared" si="182"/>
        <v>0.22012499999999974</v>
      </c>
      <c r="EG120" s="611">
        <f t="shared" si="115"/>
        <v>1000000.22003</v>
      </c>
      <c r="EH120" s="611">
        <f t="shared" si="115"/>
        <v>1000000.22006</v>
      </c>
      <c r="EI120" s="611">
        <f t="shared" si="115"/>
        <v>1000000.220125</v>
      </c>
      <c r="EJ120" s="610">
        <f t="shared" si="125"/>
        <v>2.2999999999999998</v>
      </c>
      <c r="EK120" s="643">
        <f t="shared" si="126"/>
        <v>2.25</v>
      </c>
      <c r="EL120" s="644">
        <f t="shared" si="127"/>
        <v>2.83</v>
      </c>
      <c r="EN120" s="620">
        <f t="shared" si="128"/>
        <v>24.640277777777779</v>
      </c>
      <c r="EO120" s="621">
        <f t="shared" si="143"/>
        <v>46.785361566392872</v>
      </c>
      <c r="EP120" s="621">
        <f t="shared" si="143"/>
        <v>68.81640238456572</v>
      </c>
      <c r="EQ120" s="621">
        <f t="shared" si="143"/>
        <v>86.853006978249113</v>
      </c>
      <c r="ER120" s="610">
        <f t="shared" si="174"/>
        <v>8.9089123200307228</v>
      </c>
      <c r="ES120" s="611">
        <f t="shared" si="174"/>
        <v>39.734889259417358</v>
      </c>
      <c r="ET120" s="612">
        <f t="shared" si="174"/>
        <v>64.510107116101992</v>
      </c>
      <c r="EU120" s="610">
        <f t="shared" si="129"/>
        <v>100</v>
      </c>
      <c r="EV120" s="611">
        <f t="shared" si="130"/>
        <v>135</v>
      </c>
      <c r="EW120" s="645">
        <f t="shared" si="131"/>
        <v>-1000000</v>
      </c>
      <c r="EX120" s="610">
        <f t="shared" si="117"/>
        <v>-37.876449246362149</v>
      </c>
      <c r="EY120" s="621">
        <f t="shared" si="118"/>
        <v>-29.081513125148362</v>
      </c>
      <c r="EZ120" s="612">
        <f t="shared" si="119"/>
        <v>-22.342899862147121</v>
      </c>
      <c r="FA120" s="646">
        <f t="shared" si="120"/>
        <v>24.640277777777779</v>
      </c>
      <c r="FB120" s="317"/>
      <c r="FC120" s="552"/>
      <c r="FD120" s="552"/>
      <c r="FE120" s="552"/>
      <c r="FF120" s="552"/>
      <c r="FG120" s="552"/>
      <c r="FH120" s="552"/>
      <c r="FI120" s="552"/>
      <c r="FJ120" s="552"/>
      <c r="FK120" s="552"/>
      <c r="FL120" s="552"/>
      <c r="FM120" s="552"/>
      <c r="FN120" s="552"/>
      <c r="FO120" s="552"/>
      <c r="FP120" s="552"/>
      <c r="FQ120" s="552"/>
      <c r="FR120" s="552"/>
      <c r="FS120" s="552"/>
      <c r="FT120" s="552"/>
    </row>
    <row r="121" spans="2:176" s="564" customFormat="1" ht="15" customHeight="1" x14ac:dyDescent="0.2">
      <c r="B121" s="647">
        <f t="shared" si="183"/>
        <v>10</v>
      </c>
      <c r="C121" s="652">
        <f>$J$14</f>
        <v>91</v>
      </c>
      <c r="D121" s="771">
        <f>$B$14</f>
        <v>1.9</v>
      </c>
      <c r="E121" s="772">
        <f t="shared" si="149"/>
        <v>9.1</v>
      </c>
      <c r="F121" s="689"/>
      <c r="G121" s="747">
        <f t="shared" si="150"/>
        <v>1.8520902203692833</v>
      </c>
      <c r="H121" s="748">
        <f t="shared" si="154"/>
        <v>2.2953469842638304E-3</v>
      </c>
      <c r="I121" s="689"/>
      <c r="J121" s="773">
        <f t="shared" si="176"/>
        <v>84</v>
      </c>
      <c r="K121" s="774">
        <f t="shared" si="155"/>
        <v>94.5</v>
      </c>
      <c r="L121" s="747">
        <f t="shared" si="184"/>
        <v>2.062192</v>
      </c>
      <c r="M121" s="751">
        <f t="shared" si="184"/>
        <v>2.0549354166666669</v>
      </c>
      <c r="N121" s="751">
        <f t="shared" si="184"/>
        <v>2.0424031249999999</v>
      </c>
      <c r="O121" s="751">
        <f t="shared" si="184"/>
        <v>2.0298708333333333</v>
      </c>
      <c r="P121" s="751">
        <f t="shared" si="184"/>
        <v>2.0058000000000002</v>
      </c>
      <c r="Q121" s="751">
        <f t="shared" si="184"/>
        <v>1.9917550000000002</v>
      </c>
      <c r="R121" s="751">
        <f t="shared" si="184"/>
        <v>1.9382250000000001</v>
      </c>
      <c r="S121" s="751">
        <f t="shared" si="184"/>
        <v>1.9147990000000001</v>
      </c>
      <c r="T121" s="752">
        <f t="shared" si="184"/>
        <v>1.8812500000000001</v>
      </c>
      <c r="U121" s="753">
        <f t="shared" si="184"/>
        <v>1.66395</v>
      </c>
      <c r="W121" s="773">
        <f t="shared" si="157"/>
        <v>94.5</v>
      </c>
      <c r="X121" s="775">
        <f t="shared" si="185"/>
        <v>-9.5281541179612544E-2</v>
      </c>
      <c r="Y121" s="776">
        <f t="shared" si="185"/>
        <v>-9.5286105068501437E-2</v>
      </c>
      <c r="Z121" s="776">
        <f t="shared" si="185"/>
        <v>-9.5293987012945877E-2</v>
      </c>
      <c r="AA121" s="776">
        <f t="shared" si="185"/>
        <v>-9.5301868957390318E-2</v>
      </c>
      <c r="AB121" s="776">
        <f t="shared" si="185"/>
        <v>-9.5317007846279209E-2</v>
      </c>
      <c r="AC121" s="776">
        <f t="shared" si="185"/>
        <v>-9.5325841179612542E-2</v>
      </c>
      <c r="AD121" s="776">
        <f t="shared" si="185"/>
        <v>-9.535950784627921E-2</v>
      </c>
      <c r="AE121" s="776">
        <f t="shared" si="185"/>
        <v>-9.5374241179612546E-2</v>
      </c>
      <c r="AF121" s="777">
        <f t="shared" si="185"/>
        <v>-9.5395341179612542E-2</v>
      </c>
      <c r="AG121" s="778">
        <f t="shared" si="185"/>
        <v>-9.5532007846279202E-2</v>
      </c>
      <c r="AI121" s="773">
        <f t="shared" si="159"/>
        <v>94.5</v>
      </c>
      <c r="AJ121" s="747">
        <f t="shared" si="147"/>
        <v>1.9669104588203874</v>
      </c>
      <c r="AK121" s="751">
        <f t="shared" si="147"/>
        <v>1.9596493115981655</v>
      </c>
      <c r="AL121" s="751">
        <f t="shared" si="147"/>
        <v>1.947109137987054</v>
      </c>
      <c r="AM121" s="751">
        <f t="shared" si="147"/>
        <v>1.9345689643759429</v>
      </c>
      <c r="AN121" s="751">
        <f t="shared" si="147"/>
        <v>1.910482992153721</v>
      </c>
      <c r="AO121" s="751">
        <f t="shared" si="147"/>
        <v>1.8964291588203877</v>
      </c>
      <c r="AP121" s="751">
        <f t="shared" si="147"/>
        <v>1.8428654921537209</v>
      </c>
      <c r="AQ121" s="751">
        <f t="shared" si="147"/>
        <v>1.8194247588203876</v>
      </c>
      <c r="AR121" s="752">
        <f t="shared" ref="AR121:AR128" si="191">T121+AF121</f>
        <v>1.7858546588203876</v>
      </c>
      <c r="AS121" s="751"/>
      <c r="AT121" s="674">
        <f t="shared" si="160"/>
        <v>1.75</v>
      </c>
      <c r="AU121" s="712">
        <f t="shared" si="161"/>
        <v>1.8</v>
      </c>
      <c r="AV121" s="712">
        <f t="shared" si="162"/>
        <v>1.81</v>
      </c>
      <c r="AW121" s="712">
        <f t="shared" si="163"/>
        <v>1.83</v>
      </c>
      <c r="AX121" s="712">
        <f t="shared" si="164"/>
        <v>1.84</v>
      </c>
      <c r="AY121" s="712">
        <f t="shared" si="165"/>
        <v>1.86</v>
      </c>
      <c r="AZ121" s="712">
        <f t="shared" si="166"/>
        <v>1.88</v>
      </c>
      <c r="BA121" s="712">
        <f t="shared" si="167"/>
        <v>1.9</v>
      </c>
      <c r="BB121" s="712">
        <f t="shared" si="168"/>
        <v>1.92</v>
      </c>
      <c r="BC121" s="779">
        <f t="shared" si="169"/>
        <v>1000000</v>
      </c>
      <c r="BD121" s="780">
        <f t="shared" si="170"/>
        <v>-1000000</v>
      </c>
      <c r="BF121" s="781">
        <f t="shared" si="186"/>
        <v>1.9671638926819637</v>
      </c>
      <c r="BG121" s="767">
        <f t="shared" si="186"/>
        <v>1.5887543311870833</v>
      </c>
      <c r="BH121" s="767">
        <f t="shared" si="186"/>
        <v>2.0050045727487356</v>
      </c>
      <c r="BI121" s="767">
        <f t="shared" si="186"/>
        <v>1.996671234202434</v>
      </c>
      <c r="BJ121" s="767">
        <f t="shared" si="186"/>
        <v>1.9927102941870922</v>
      </c>
      <c r="BK121" s="767">
        <f t="shared" si="186"/>
        <v>1.9917992888050444</v>
      </c>
      <c r="BL121" s="767">
        <f t="shared" si="186"/>
        <v>1.9903264014717374</v>
      </c>
      <c r="BM121" s="767">
        <f t="shared" si="186"/>
        <v>1.9900289175908352</v>
      </c>
      <c r="BN121" s="767">
        <f t="shared" si="186"/>
        <v>1.9897360909797557</v>
      </c>
      <c r="BO121" s="782">
        <f t="shared" si="186"/>
        <v>1.9889700222009334</v>
      </c>
      <c r="BP121" s="781">
        <f t="shared" si="189"/>
        <v>1.9671638926819637</v>
      </c>
      <c r="BQ121" s="767">
        <f t="shared" si="189"/>
        <v>1.5887543311870833</v>
      </c>
      <c r="BR121" s="767">
        <f t="shared" si="189"/>
        <v>-1000000</v>
      </c>
      <c r="BS121" s="767">
        <f t="shared" si="189"/>
        <v>-1000000</v>
      </c>
      <c r="BT121" s="767">
        <f t="shared" si="189"/>
        <v>-1000000</v>
      </c>
      <c r="BU121" s="767">
        <f t="shared" si="187"/>
        <v>-1000000</v>
      </c>
      <c r="BV121" s="767">
        <f t="shared" si="187"/>
        <v>-1000000</v>
      </c>
      <c r="BW121" s="767">
        <f t="shared" si="187"/>
        <v>-1000000</v>
      </c>
      <c r="BX121" s="767">
        <f t="shared" si="187"/>
        <v>-1000000</v>
      </c>
      <c r="BY121" s="767">
        <f t="shared" si="187"/>
        <v>-1000000</v>
      </c>
      <c r="BZ121" s="648">
        <f t="shared" si="151"/>
        <v>84</v>
      </c>
      <c r="CA121" s="767">
        <f t="shared" si="152"/>
        <v>1.9671638926819637</v>
      </c>
      <c r="CB121" s="767"/>
      <c r="CC121" s="767"/>
      <c r="CD121" s="767"/>
      <c r="CE121" s="767"/>
      <c r="CF121" s="767"/>
      <c r="CG121" s="767"/>
      <c r="CH121" s="767"/>
      <c r="CI121" s="767"/>
      <c r="CJ121" s="767"/>
      <c r="CK121" s="781">
        <f t="shared" si="153"/>
        <v>1.75</v>
      </c>
      <c r="CL121" s="783">
        <f t="shared" si="172"/>
        <v>1000000</v>
      </c>
      <c r="CM121" s="552"/>
      <c r="CN121" s="552"/>
      <c r="CO121" s="552"/>
      <c r="CP121" s="552"/>
      <c r="CQ121" s="552"/>
      <c r="CR121" s="552"/>
      <c r="CS121" s="552"/>
      <c r="CT121" s="552"/>
      <c r="CU121" s="552"/>
      <c r="CV121" s="552"/>
      <c r="CW121" s="552"/>
      <c r="CX121" s="552"/>
      <c r="CY121" s="552"/>
      <c r="CZ121" s="642">
        <f t="shared" si="133"/>
        <v>114</v>
      </c>
      <c r="DA121" s="609">
        <f t="shared" si="110"/>
        <v>128.25</v>
      </c>
      <c r="DB121" s="609">
        <f t="shared" si="121"/>
        <v>45.599999999999994</v>
      </c>
      <c r="DC121" s="610">
        <f t="shared" si="179"/>
        <v>134.99663540029559</v>
      </c>
      <c r="DD121" s="611">
        <f t="shared" si="179"/>
        <v>134.99918125872114</v>
      </c>
      <c r="DE121" s="612">
        <f t="shared" si="179"/>
        <v>134.99997608447615</v>
      </c>
      <c r="DF121" s="610">
        <f t="shared" si="180"/>
        <v>19.411764705882348</v>
      </c>
      <c r="DG121" s="611">
        <f t="shared" si="180"/>
        <v>22</v>
      </c>
      <c r="DH121" s="612">
        <f t="shared" si="180"/>
        <v>28.470588235294098</v>
      </c>
      <c r="DI121" s="610">
        <f t="shared" si="111"/>
        <v>154.40840010617794</v>
      </c>
      <c r="DJ121" s="611">
        <f t="shared" si="111"/>
        <v>156.99918125872114</v>
      </c>
      <c r="DK121" s="612">
        <f t="shared" si="111"/>
        <v>163.47056431977023</v>
      </c>
      <c r="DL121" s="613">
        <f t="shared" si="188"/>
        <v>154.40840010617794</v>
      </c>
      <c r="DM121" s="613">
        <f t="shared" si="188"/>
        <v>156.99918125872114</v>
      </c>
      <c r="DN121" s="613">
        <f t="shared" si="188"/>
        <v>163.47056431977023</v>
      </c>
      <c r="DO121" s="609">
        <f t="shared" si="112"/>
        <v>135</v>
      </c>
      <c r="DP121" s="609"/>
      <c r="DQ121" s="609">
        <f t="shared" si="123"/>
        <v>45.599999999999994</v>
      </c>
      <c r="DR121" s="610">
        <f t="shared" si="173"/>
        <v>7.8210127949904945E-4</v>
      </c>
      <c r="DS121" s="611">
        <f t="shared" si="173"/>
        <v>2.1569195320585291E-4</v>
      </c>
      <c r="DT121" s="612">
        <f t="shared" si="173"/>
        <v>8.1534406449239319E-6</v>
      </c>
      <c r="DU121" s="611">
        <f t="shared" si="190"/>
        <v>8.1961477590654721E-4</v>
      </c>
      <c r="DV121" s="611">
        <f t="shared" si="190"/>
        <v>2.2746640539140147E-4</v>
      </c>
      <c r="DW121" s="611">
        <f t="shared" si="190"/>
        <v>8.7355429201354172E-6</v>
      </c>
      <c r="DX121" s="614">
        <f t="shared" si="114"/>
        <v>12.5</v>
      </c>
      <c r="DY121" s="615"/>
      <c r="DZ121" s="609">
        <f t="shared" si="124"/>
        <v>45.599999999999994</v>
      </c>
      <c r="EA121" s="611">
        <f t="shared" si="181"/>
        <v>1000000</v>
      </c>
      <c r="EB121" s="611">
        <f t="shared" si="181"/>
        <v>1000000</v>
      </c>
      <c r="EC121" s="611">
        <f t="shared" si="181"/>
        <v>1000000</v>
      </c>
      <c r="ED121" s="610">
        <f t="shared" si="182"/>
        <v>0.22002999999999975</v>
      </c>
      <c r="EE121" s="611">
        <f t="shared" si="182"/>
        <v>0.22005999999999976</v>
      </c>
      <c r="EF121" s="612">
        <f t="shared" si="182"/>
        <v>0.22012499999999974</v>
      </c>
      <c r="EG121" s="611">
        <f t="shared" si="115"/>
        <v>1000000.22003</v>
      </c>
      <c r="EH121" s="611">
        <f t="shared" si="115"/>
        <v>1000000.22006</v>
      </c>
      <c r="EI121" s="611">
        <f t="shared" si="115"/>
        <v>1000000.220125</v>
      </c>
      <c r="EJ121" s="610">
        <f t="shared" si="125"/>
        <v>2.2999999999999998</v>
      </c>
      <c r="EK121" s="643">
        <f t="shared" si="126"/>
        <v>2.25</v>
      </c>
      <c r="EL121" s="644">
        <f t="shared" si="127"/>
        <v>2.83</v>
      </c>
      <c r="EN121" s="620">
        <f t="shared" si="128"/>
        <v>24.858333333333334</v>
      </c>
      <c r="EO121" s="621">
        <f t="shared" si="143"/>
        <v>46.005777669080224</v>
      </c>
      <c r="EP121" s="621">
        <f t="shared" si="143"/>
        <v>68.231312845063599</v>
      </c>
      <c r="EQ121" s="621">
        <f t="shared" si="143"/>
        <v>86.427248110829652</v>
      </c>
      <c r="ER121" s="610">
        <f t="shared" si="174"/>
        <v>8.1293271635528512</v>
      </c>
      <c r="ES121" s="611">
        <f t="shared" si="174"/>
        <v>39.137864413022186</v>
      </c>
      <c r="ET121" s="612">
        <f t="shared" si="174"/>
        <v>63.96025470528695</v>
      </c>
      <c r="EU121" s="610">
        <f t="shared" si="129"/>
        <v>100</v>
      </c>
      <c r="EV121" s="611">
        <f t="shared" si="130"/>
        <v>135</v>
      </c>
      <c r="EW121" s="645">
        <f t="shared" si="131"/>
        <v>-1000000</v>
      </c>
      <c r="EX121" s="610">
        <f t="shared" si="117"/>
        <v>-37.876450505527373</v>
      </c>
      <c r="EY121" s="621">
        <f t="shared" si="118"/>
        <v>-29.093448432041413</v>
      </c>
      <c r="EZ121" s="612">
        <f t="shared" si="119"/>
        <v>-22.466993405542702</v>
      </c>
      <c r="FA121" s="646">
        <f t="shared" si="120"/>
        <v>24.858333333333334</v>
      </c>
      <c r="FB121" s="317"/>
      <c r="FC121" s="552"/>
      <c r="FD121" s="552"/>
      <c r="FE121" s="552"/>
      <c r="FF121" s="552"/>
      <c r="FG121" s="552"/>
      <c r="FH121" s="552"/>
      <c r="FI121" s="552"/>
      <c r="FJ121" s="552"/>
      <c r="FK121" s="552"/>
      <c r="FL121" s="552"/>
      <c r="FM121" s="552"/>
      <c r="FN121" s="552"/>
      <c r="FO121" s="552"/>
      <c r="FP121" s="552"/>
      <c r="FQ121" s="552"/>
      <c r="FR121" s="552"/>
      <c r="FS121" s="552"/>
      <c r="FT121" s="552"/>
    </row>
    <row r="122" spans="2:176" s="564" customFormat="1" ht="15" customHeight="1" x14ac:dyDescent="0.2">
      <c r="B122" s="647">
        <f t="shared" si="183"/>
        <v>10</v>
      </c>
      <c r="C122" s="652">
        <f>$J$15</f>
        <v>85</v>
      </c>
      <c r="D122" s="771">
        <f>$B$15</f>
        <v>1.92</v>
      </c>
      <c r="E122" s="772">
        <f t="shared" si="149"/>
        <v>8.5</v>
      </c>
      <c r="F122" s="689"/>
      <c r="G122" s="747">
        <f t="shared" si="150"/>
        <v>1.8771528381795635</v>
      </c>
      <c r="H122" s="748">
        <f t="shared" si="154"/>
        <v>1.8358792760666681E-3</v>
      </c>
      <c r="I122" s="689"/>
      <c r="J122" s="773">
        <f t="shared" si="176"/>
        <v>85</v>
      </c>
      <c r="K122" s="774">
        <f t="shared" si="155"/>
        <v>95.625</v>
      </c>
      <c r="L122" s="747">
        <f t="shared" si="184"/>
        <v>2.0616832</v>
      </c>
      <c r="M122" s="751">
        <f t="shared" si="184"/>
        <v>2.0542192857142858</v>
      </c>
      <c r="N122" s="751">
        <f t="shared" si="184"/>
        <v>2.0413289285714287</v>
      </c>
      <c r="O122" s="751">
        <f t="shared" si="184"/>
        <v>2.0284385714285715</v>
      </c>
      <c r="P122" s="751">
        <f t="shared" si="184"/>
        <v>2.0036800000000001</v>
      </c>
      <c r="Q122" s="751">
        <f t="shared" si="184"/>
        <v>1.9892337142857144</v>
      </c>
      <c r="R122" s="751">
        <f t="shared" si="184"/>
        <v>1.9341742857142858</v>
      </c>
      <c r="S122" s="751">
        <f t="shared" si="184"/>
        <v>1.9100789714285715</v>
      </c>
      <c r="T122" s="752">
        <f t="shared" si="184"/>
        <v>1.8755714285714287</v>
      </c>
      <c r="U122" s="753">
        <f t="shared" si="184"/>
        <v>1.6520628571428571</v>
      </c>
      <c r="W122" s="773">
        <f t="shared" si="157"/>
        <v>95.625</v>
      </c>
      <c r="X122" s="775">
        <f t="shared" si="185"/>
        <v>-9.5464279588286752E-2</v>
      </c>
      <c r="Y122" s="776">
        <f t="shared" si="185"/>
        <v>-9.5468843477175644E-2</v>
      </c>
      <c r="Z122" s="776">
        <f t="shared" si="185"/>
        <v>-9.5476725421620084E-2</v>
      </c>
      <c r="AA122" s="776">
        <f t="shared" si="185"/>
        <v>-9.5484607366064525E-2</v>
      </c>
      <c r="AB122" s="776">
        <f t="shared" si="185"/>
        <v>-9.5499746254953416E-2</v>
      </c>
      <c r="AC122" s="776">
        <f t="shared" si="185"/>
        <v>-9.5508579588286749E-2</v>
      </c>
      <c r="AD122" s="776">
        <f t="shared" si="185"/>
        <v>-9.5542246254953417E-2</v>
      </c>
      <c r="AE122" s="776">
        <f t="shared" si="185"/>
        <v>-9.5556979588286753E-2</v>
      </c>
      <c r="AF122" s="777">
        <f t="shared" si="185"/>
        <v>-9.5578079588286749E-2</v>
      </c>
      <c r="AG122" s="778">
        <f t="shared" si="185"/>
        <v>-9.5714746254953409E-2</v>
      </c>
      <c r="AI122" s="773">
        <f t="shared" si="159"/>
        <v>95.625</v>
      </c>
      <c r="AJ122" s="747">
        <f t="shared" ref="AJ122:AQ152" si="192">L122+X122</f>
        <v>1.9662189204117133</v>
      </c>
      <c r="AK122" s="751">
        <f t="shared" si="192"/>
        <v>1.9587504422371103</v>
      </c>
      <c r="AL122" s="751">
        <f t="shared" si="192"/>
        <v>1.9458522031498087</v>
      </c>
      <c r="AM122" s="751">
        <f t="shared" si="192"/>
        <v>1.9329539640625071</v>
      </c>
      <c r="AN122" s="751">
        <f t="shared" si="192"/>
        <v>1.9081802537450467</v>
      </c>
      <c r="AO122" s="751">
        <f t="shared" si="192"/>
        <v>1.8937251346974275</v>
      </c>
      <c r="AP122" s="751">
        <f t="shared" si="192"/>
        <v>1.8386320394593325</v>
      </c>
      <c r="AQ122" s="751">
        <f t="shared" si="192"/>
        <v>1.8145219918402848</v>
      </c>
      <c r="AR122" s="752">
        <f t="shared" si="191"/>
        <v>1.7799933489831419</v>
      </c>
      <c r="AS122" s="751"/>
      <c r="AT122" s="674">
        <f t="shared" si="160"/>
        <v>1.75</v>
      </c>
      <c r="AU122" s="712">
        <f t="shared" si="161"/>
        <v>1.8</v>
      </c>
      <c r="AV122" s="712">
        <f t="shared" si="162"/>
        <v>1.81</v>
      </c>
      <c r="AW122" s="712">
        <f t="shared" si="163"/>
        <v>1.83</v>
      </c>
      <c r="AX122" s="712">
        <f t="shared" si="164"/>
        <v>1.84</v>
      </c>
      <c r="AY122" s="712">
        <f t="shared" si="165"/>
        <v>1.86</v>
      </c>
      <c r="AZ122" s="712">
        <f t="shared" si="166"/>
        <v>1.88</v>
      </c>
      <c r="BA122" s="712">
        <f t="shared" si="167"/>
        <v>1.9</v>
      </c>
      <c r="BB122" s="712">
        <f t="shared" si="168"/>
        <v>1.92</v>
      </c>
      <c r="BC122" s="779">
        <f t="shared" si="169"/>
        <v>1000000</v>
      </c>
      <c r="BD122" s="780">
        <f t="shared" si="170"/>
        <v>-1000000</v>
      </c>
      <c r="BF122" s="781">
        <f t="shared" si="186"/>
        <v>1.9664824529593699</v>
      </c>
      <c r="BG122" s="767">
        <f t="shared" si="186"/>
        <v>0.97354225701736896</v>
      </c>
      <c r="BH122" s="767">
        <f t="shared" si="186"/>
        <v>2.00414373771582</v>
      </c>
      <c r="BI122" s="767">
        <f t="shared" si="186"/>
        <v>1.9963003014795251</v>
      </c>
      <c r="BJ122" s="767">
        <f t="shared" si="186"/>
        <v>1.9925017557379083</v>
      </c>
      <c r="BK122" s="767">
        <f t="shared" si="186"/>
        <v>1.9916214443729305</v>
      </c>
      <c r="BL122" s="767">
        <f t="shared" si="186"/>
        <v>1.990192538984946</v>
      </c>
      <c r="BM122" s="767">
        <f t="shared" si="186"/>
        <v>1.9899029730180733</v>
      </c>
      <c r="BN122" s="767">
        <f t="shared" si="186"/>
        <v>1.9896175312607862</v>
      </c>
      <c r="BO122" s="782">
        <f t="shared" si="186"/>
        <v>1.9888677219649098</v>
      </c>
      <c r="BP122" s="781">
        <f t="shared" si="189"/>
        <v>1.9664824529593699</v>
      </c>
      <c r="BQ122" s="767">
        <f t="shared" si="189"/>
        <v>0.97354225701736896</v>
      </c>
      <c r="BR122" s="767">
        <f t="shared" si="189"/>
        <v>-1000000</v>
      </c>
      <c r="BS122" s="767">
        <f t="shared" si="189"/>
        <v>-1000000</v>
      </c>
      <c r="BT122" s="767">
        <f t="shared" si="189"/>
        <v>-1000000</v>
      </c>
      <c r="BU122" s="767">
        <f t="shared" si="187"/>
        <v>-1000000</v>
      </c>
      <c r="BV122" s="767">
        <f t="shared" si="187"/>
        <v>-1000000</v>
      </c>
      <c r="BW122" s="767">
        <f t="shared" si="187"/>
        <v>-1000000</v>
      </c>
      <c r="BX122" s="767">
        <f t="shared" si="187"/>
        <v>-1000000</v>
      </c>
      <c r="BY122" s="767">
        <f t="shared" si="187"/>
        <v>-1000000</v>
      </c>
      <c r="BZ122" s="648">
        <f t="shared" si="151"/>
        <v>85</v>
      </c>
      <c r="CA122" s="767">
        <f t="shared" si="152"/>
        <v>1.9664824529593699</v>
      </c>
      <c r="CB122" s="767"/>
      <c r="CC122" s="767"/>
      <c r="CD122" s="767"/>
      <c r="CE122" s="767"/>
      <c r="CF122" s="767"/>
      <c r="CG122" s="767"/>
      <c r="CH122" s="767"/>
      <c r="CI122" s="767"/>
      <c r="CJ122" s="767"/>
      <c r="CK122" s="781">
        <f t="shared" si="153"/>
        <v>1.75</v>
      </c>
      <c r="CL122" s="783">
        <f t="shared" si="172"/>
        <v>1000000</v>
      </c>
      <c r="CM122" s="552"/>
      <c r="CN122" s="552"/>
      <c r="CO122" s="552"/>
      <c r="CP122" s="552"/>
      <c r="CQ122" s="552"/>
      <c r="CR122" s="552"/>
      <c r="CS122" s="552"/>
      <c r="CT122" s="552"/>
      <c r="CU122" s="552"/>
      <c r="CV122" s="552"/>
      <c r="CW122" s="552"/>
      <c r="CX122" s="552"/>
      <c r="CY122" s="552"/>
      <c r="CZ122" s="642">
        <f t="shared" si="133"/>
        <v>115</v>
      </c>
      <c r="DA122" s="609">
        <f t="shared" si="110"/>
        <v>129.375</v>
      </c>
      <c r="DB122" s="609">
        <f t="shared" si="121"/>
        <v>46</v>
      </c>
      <c r="DC122" s="610">
        <f t="shared" si="179"/>
        <v>134.9969341373301</v>
      </c>
      <c r="DD122" s="611">
        <f t="shared" si="179"/>
        <v>134.9992631452491</v>
      </c>
      <c r="DE122" s="612">
        <f t="shared" si="179"/>
        <v>134.99997913324754</v>
      </c>
      <c r="DF122" s="610">
        <f t="shared" si="180"/>
        <v>19.411764705882348</v>
      </c>
      <c r="DG122" s="611">
        <f t="shared" si="180"/>
        <v>22</v>
      </c>
      <c r="DH122" s="612">
        <f t="shared" si="180"/>
        <v>28.470588235294098</v>
      </c>
      <c r="DI122" s="610">
        <f t="shared" si="111"/>
        <v>154.40869884321245</v>
      </c>
      <c r="DJ122" s="611">
        <f t="shared" si="111"/>
        <v>156.9992631452491</v>
      </c>
      <c r="DK122" s="612">
        <f t="shared" si="111"/>
        <v>163.47056736854162</v>
      </c>
      <c r="DL122" s="613">
        <f t="shared" si="188"/>
        <v>154.40869884321245</v>
      </c>
      <c r="DM122" s="613">
        <f t="shared" si="188"/>
        <v>156.9992631452491</v>
      </c>
      <c r="DN122" s="613">
        <f t="shared" si="188"/>
        <v>163.47056736854162</v>
      </c>
      <c r="DO122" s="609">
        <f t="shared" si="112"/>
        <v>135</v>
      </c>
      <c r="DP122" s="609"/>
      <c r="DQ122" s="609">
        <f t="shared" si="123"/>
        <v>46</v>
      </c>
      <c r="DR122" s="610">
        <f t="shared" si="173"/>
        <v>7.1265984888109458E-4</v>
      </c>
      <c r="DS122" s="611">
        <f t="shared" si="173"/>
        <v>1.9411949117358919E-4</v>
      </c>
      <c r="DT122" s="612">
        <f t="shared" si="173"/>
        <v>7.1140330756063737E-6</v>
      </c>
      <c r="DU122" s="611">
        <f t="shared" si="190"/>
        <v>7.4684258628109393E-4</v>
      </c>
      <c r="DV122" s="611">
        <f t="shared" si="190"/>
        <v>2.0471631991369742E-4</v>
      </c>
      <c r="DW122" s="611">
        <f t="shared" si="190"/>
        <v>7.6219284750321829E-6</v>
      </c>
      <c r="DX122" s="614">
        <f t="shared" si="114"/>
        <v>12.5</v>
      </c>
      <c r="DY122" s="615"/>
      <c r="DZ122" s="609">
        <f t="shared" si="124"/>
        <v>46</v>
      </c>
      <c r="EA122" s="611">
        <f t="shared" si="181"/>
        <v>1000000</v>
      </c>
      <c r="EB122" s="611">
        <f t="shared" si="181"/>
        <v>1000000</v>
      </c>
      <c r="EC122" s="611">
        <f t="shared" si="181"/>
        <v>1000000</v>
      </c>
      <c r="ED122" s="610">
        <f t="shared" si="182"/>
        <v>0.22002999999999975</v>
      </c>
      <c r="EE122" s="611">
        <f t="shared" si="182"/>
        <v>0.22005999999999976</v>
      </c>
      <c r="EF122" s="612">
        <f t="shared" si="182"/>
        <v>0.22012499999999974</v>
      </c>
      <c r="EG122" s="611">
        <f t="shared" si="115"/>
        <v>1000000.22003</v>
      </c>
      <c r="EH122" s="611">
        <f t="shared" si="115"/>
        <v>1000000.22006</v>
      </c>
      <c r="EI122" s="611">
        <f t="shared" si="115"/>
        <v>1000000.220125</v>
      </c>
      <c r="EJ122" s="610">
        <f t="shared" si="125"/>
        <v>2.2999999999999998</v>
      </c>
      <c r="EK122" s="643">
        <f t="shared" si="126"/>
        <v>2.25</v>
      </c>
      <c r="EL122" s="644">
        <f t="shared" si="127"/>
        <v>2.83</v>
      </c>
      <c r="EN122" s="620">
        <f t="shared" si="128"/>
        <v>25.076388888888889</v>
      </c>
      <c r="EO122" s="621">
        <f t="shared" si="143"/>
        <v>45.22621263355726</v>
      </c>
      <c r="EP122" s="621">
        <f t="shared" si="143"/>
        <v>67.646233926299828</v>
      </c>
      <c r="EQ122" s="621">
        <f t="shared" si="143"/>
        <v>86.001494865749109</v>
      </c>
      <c r="ER122" s="610">
        <f t="shared" si="174"/>
        <v>7.349761031530214</v>
      </c>
      <c r="ES122" s="611">
        <f t="shared" si="174"/>
        <v>38.541395049980196</v>
      </c>
      <c r="ET122" s="612">
        <f t="shared" si="174"/>
        <v>63.412553887680183</v>
      </c>
      <c r="EU122" s="610">
        <f t="shared" si="129"/>
        <v>100</v>
      </c>
      <c r="EV122" s="611">
        <f t="shared" si="130"/>
        <v>135</v>
      </c>
      <c r="EW122" s="645">
        <f t="shared" si="131"/>
        <v>-1000000</v>
      </c>
      <c r="EX122" s="610">
        <f t="shared" si="117"/>
        <v>-37.876451602027046</v>
      </c>
      <c r="EY122" s="621">
        <f t="shared" si="118"/>
        <v>-29.104838876319633</v>
      </c>
      <c r="EZ122" s="612">
        <f t="shared" si="119"/>
        <v>-22.588940978068926</v>
      </c>
      <c r="FA122" s="646">
        <f t="shared" si="120"/>
        <v>25.076388888888889</v>
      </c>
      <c r="FB122" s="317"/>
      <c r="FC122" s="552"/>
      <c r="FD122" s="552"/>
      <c r="FE122" s="552"/>
      <c r="FF122" s="552"/>
      <c r="FG122" s="552"/>
      <c r="FH122" s="552"/>
      <c r="FI122" s="552"/>
      <c r="FJ122" s="552"/>
      <c r="FK122" s="552"/>
      <c r="FL122" s="552"/>
      <c r="FM122" s="552"/>
      <c r="FN122" s="552"/>
      <c r="FO122" s="552"/>
      <c r="FP122" s="552"/>
      <c r="FQ122" s="552"/>
      <c r="FR122" s="552"/>
      <c r="FS122" s="552"/>
      <c r="FT122" s="552"/>
    </row>
    <row r="123" spans="2:176" s="564" customFormat="1" ht="15" customHeight="1" x14ac:dyDescent="0.2">
      <c r="B123" s="682">
        <f t="shared" si="183"/>
        <v>10</v>
      </c>
      <c r="C123" s="704">
        <f>$J$16</f>
        <v>81</v>
      </c>
      <c r="D123" s="807">
        <f>$B$16</f>
        <v>1.94</v>
      </c>
      <c r="E123" s="790">
        <f t="shared" si="149"/>
        <v>8.1</v>
      </c>
      <c r="F123" s="689"/>
      <c r="G123" s="747">
        <f t="shared" si="150"/>
        <v>1.8911615046165398</v>
      </c>
      <c r="H123" s="748">
        <f t="shared" si="154"/>
        <v>2.3851986313202624E-3</v>
      </c>
      <c r="I123" s="689"/>
      <c r="J123" s="773">
        <f t="shared" si="176"/>
        <v>86</v>
      </c>
      <c r="K123" s="774">
        <f t="shared" si="155"/>
        <v>96.75</v>
      </c>
      <c r="L123" s="747">
        <f t="shared" si="184"/>
        <v>2.0611444705882356</v>
      </c>
      <c r="M123" s="751">
        <f t="shared" si="184"/>
        <v>2.0534610294117646</v>
      </c>
      <c r="N123" s="751">
        <f t="shared" si="184"/>
        <v>2.040191544117647</v>
      </c>
      <c r="O123" s="751">
        <f t="shared" si="184"/>
        <v>2.0269220588235295</v>
      </c>
      <c r="P123" s="751">
        <f t="shared" si="184"/>
        <v>2.001435294117647</v>
      </c>
      <c r="Q123" s="751">
        <f t="shared" si="184"/>
        <v>1.986564117647059</v>
      </c>
      <c r="R123" s="751">
        <f t="shared" si="184"/>
        <v>1.9298852941176472</v>
      </c>
      <c r="S123" s="751">
        <f t="shared" si="184"/>
        <v>1.9050812941176472</v>
      </c>
      <c r="T123" s="752">
        <f t="shared" si="184"/>
        <v>1.8695588235294118</v>
      </c>
      <c r="U123" s="753">
        <f t="shared" si="184"/>
        <v>1.6394764705882352</v>
      </c>
      <c r="W123" s="773">
        <f t="shared" si="157"/>
        <v>96.75</v>
      </c>
      <c r="X123" s="775">
        <f t="shared" si="185"/>
        <v>-9.5637908322076956E-2</v>
      </c>
      <c r="Y123" s="776">
        <f t="shared" si="185"/>
        <v>-9.5642472210965848E-2</v>
      </c>
      <c r="Z123" s="776">
        <f t="shared" si="185"/>
        <v>-9.5650354155410289E-2</v>
      </c>
      <c r="AA123" s="776">
        <f t="shared" si="185"/>
        <v>-9.5658236099854729E-2</v>
      </c>
      <c r="AB123" s="776">
        <f t="shared" si="185"/>
        <v>-9.567337498874362E-2</v>
      </c>
      <c r="AC123" s="776">
        <f t="shared" si="185"/>
        <v>-9.5682208322076953E-2</v>
      </c>
      <c r="AD123" s="776">
        <f t="shared" si="185"/>
        <v>-9.5715874988743621E-2</v>
      </c>
      <c r="AE123" s="776">
        <f t="shared" si="185"/>
        <v>-9.5730608322076957E-2</v>
      </c>
      <c r="AF123" s="777">
        <f t="shared" si="185"/>
        <v>-9.5751708322076953E-2</v>
      </c>
      <c r="AG123" s="778">
        <f t="shared" si="185"/>
        <v>-9.5888374988743613E-2</v>
      </c>
      <c r="AI123" s="773">
        <f t="shared" si="159"/>
        <v>96.75</v>
      </c>
      <c r="AJ123" s="747">
        <f t="shared" si="192"/>
        <v>1.9655065622661587</v>
      </c>
      <c r="AK123" s="751">
        <f t="shared" si="192"/>
        <v>1.9578185572007987</v>
      </c>
      <c r="AL123" s="751">
        <f t="shared" si="192"/>
        <v>1.9445411899622367</v>
      </c>
      <c r="AM123" s="751">
        <f t="shared" si="192"/>
        <v>1.9312638227236747</v>
      </c>
      <c r="AN123" s="751">
        <f t="shared" si="192"/>
        <v>1.9057619191289032</v>
      </c>
      <c r="AO123" s="751">
        <f t="shared" si="192"/>
        <v>1.890881909324982</v>
      </c>
      <c r="AP123" s="751">
        <f t="shared" si="192"/>
        <v>1.8341694191289035</v>
      </c>
      <c r="AQ123" s="751">
        <f t="shared" si="192"/>
        <v>1.8093506857955701</v>
      </c>
      <c r="AR123" s="752">
        <f t="shared" si="191"/>
        <v>1.7738071152073349</v>
      </c>
      <c r="AS123" s="751"/>
      <c r="AT123" s="674">
        <f t="shared" si="160"/>
        <v>1.75</v>
      </c>
      <c r="AU123" s="712">
        <f t="shared" si="161"/>
        <v>1.8</v>
      </c>
      <c r="AV123" s="712">
        <f t="shared" si="162"/>
        <v>1.81</v>
      </c>
      <c r="AW123" s="712">
        <f t="shared" si="163"/>
        <v>1.83</v>
      </c>
      <c r="AX123" s="712">
        <f t="shared" si="164"/>
        <v>1.84</v>
      </c>
      <c r="AY123" s="712">
        <f t="shared" si="165"/>
        <v>1.86</v>
      </c>
      <c r="AZ123" s="712">
        <f t="shared" si="166"/>
        <v>1.88</v>
      </c>
      <c r="BA123" s="712">
        <f t="shared" si="167"/>
        <v>1.9</v>
      </c>
      <c r="BB123" s="712">
        <f t="shared" si="168"/>
        <v>1.92</v>
      </c>
      <c r="BC123" s="779">
        <f t="shared" si="169"/>
        <v>1000000</v>
      </c>
      <c r="BD123" s="780">
        <f t="shared" si="170"/>
        <v>-1000000</v>
      </c>
      <c r="BF123" s="781">
        <f t="shared" si="186"/>
        <v>1.9657814951334245</v>
      </c>
      <c r="BG123" s="767">
        <f t="shared" si="186"/>
        <v>3.7642570548756225</v>
      </c>
      <c r="BH123" s="767">
        <f t="shared" si="186"/>
        <v>2.0033425681750692</v>
      </c>
      <c r="BI123" s="767">
        <f t="shared" si="186"/>
        <v>1.9959465677983539</v>
      </c>
      <c r="BJ123" s="767">
        <f t="shared" si="186"/>
        <v>1.9923005254159838</v>
      </c>
      <c r="BK123" s="767">
        <f t="shared" si="186"/>
        <v>1.9914493670329769</v>
      </c>
      <c r="BL123" s="767">
        <f t="shared" si="186"/>
        <v>1.9900624547324171</v>
      </c>
      <c r="BM123" s="767">
        <f t="shared" si="186"/>
        <v>1.9897804786631268</v>
      </c>
      <c r="BN123" s="767">
        <f t="shared" si="186"/>
        <v>1.9895021247258315</v>
      </c>
      <c r="BO123" s="782">
        <f t="shared" si="186"/>
        <v>1.9887679526360806</v>
      </c>
      <c r="BP123" s="781">
        <f t="shared" si="189"/>
        <v>1.9657814951334245</v>
      </c>
      <c r="BQ123" s="767">
        <f t="shared" si="189"/>
        <v>-1000000</v>
      </c>
      <c r="BR123" s="767">
        <f t="shared" si="189"/>
        <v>-1000000</v>
      </c>
      <c r="BS123" s="767">
        <f t="shared" si="189"/>
        <v>-1000000</v>
      </c>
      <c r="BT123" s="767">
        <f t="shared" si="189"/>
        <v>-1000000</v>
      </c>
      <c r="BU123" s="767">
        <f t="shared" si="187"/>
        <v>-1000000</v>
      </c>
      <c r="BV123" s="767">
        <f t="shared" si="187"/>
        <v>-1000000</v>
      </c>
      <c r="BW123" s="767">
        <f t="shared" si="187"/>
        <v>-1000000</v>
      </c>
      <c r="BX123" s="767">
        <f t="shared" si="187"/>
        <v>-1000000</v>
      </c>
      <c r="BY123" s="767">
        <f t="shared" si="187"/>
        <v>-1000000</v>
      </c>
      <c r="BZ123" s="648">
        <f t="shared" si="151"/>
        <v>86</v>
      </c>
      <c r="CA123" s="767">
        <f t="shared" si="152"/>
        <v>1.9657814951334245</v>
      </c>
      <c r="CB123" s="767"/>
      <c r="CC123" s="767"/>
      <c r="CD123" s="767"/>
      <c r="CE123" s="767"/>
      <c r="CF123" s="767"/>
      <c r="CG123" s="767"/>
      <c r="CH123" s="767"/>
      <c r="CI123" s="767"/>
      <c r="CJ123" s="767"/>
      <c r="CK123" s="781">
        <f t="shared" si="153"/>
        <v>1.75</v>
      </c>
      <c r="CL123" s="783">
        <f t="shared" si="172"/>
        <v>1000000</v>
      </c>
      <c r="CM123" s="552"/>
      <c r="CN123" s="552"/>
      <c r="CO123" s="552"/>
      <c r="CP123" s="552"/>
      <c r="CQ123" s="552"/>
      <c r="CR123" s="552"/>
      <c r="CS123" s="552"/>
      <c r="CT123" s="552"/>
      <c r="CU123" s="552"/>
      <c r="CV123" s="552"/>
      <c r="CW123" s="552"/>
      <c r="CX123" s="552"/>
      <c r="CY123" s="552"/>
      <c r="CZ123" s="642">
        <f t="shared" si="133"/>
        <v>116</v>
      </c>
      <c r="DA123" s="609">
        <f t="shared" si="110"/>
        <v>130.5</v>
      </c>
      <c r="DB123" s="609">
        <f t="shared" si="121"/>
        <v>46.4</v>
      </c>
      <c r="DC123" s="610">
        <f t="shared" si="179"/>
        <v>134.99720635001594</v>
      </c>
      <c r="DD123" s="611">
        <f t="shared" si="179"/>
        <v>134.99933684188403</v>
      </c>
      <c r="DE123" s="612">
        <f t="shared" si="179"/>
        <v>134.99998179335893</v>
      </c>
      <c r="DF123" s="610">
        <f t="shared" si="180"/>
        <v>19.411764705882348</v>
      </c>
      <c r="DG123" s="611">
        <f t="shared" si="180"/>
        <v>22</v>
      </c>
      <c r="DH123" s="612">
        <f t="shared" si="180"/>
        <v>28.470588235294098</v>
      </c>
      <c r="DI123" s="610">
        <f t="shared" si="111"/>
        <v>154.40897105589829</v>
      </c>
      <c r="DJ123" s="611">
        <f t="shared" si="111"/>
        <v>156.99933684188403</v>
      </c>
      <c r="DK123" s="612">
        <f t="shared" si="111"/>
        <v>163.47057002865301</v>
      </c>
      <c r="DL123" s="613">
        <f t="shared" si="188"/>
        <v>154.40897105589829</v>
      </c>
      <c r="DM123" s="613">
        <f t="shared" si="188"/>
        <v>156.99933684188403</v>
      </c>
      <c r="DN123" s="613">
        <f t="shared" si="188"/>
        <v>163.47057002865301</v>
      </c>
      <c r="DO123" s="609">
        <f t="shared" si="112"/>
        <v>135</v>
      </c>
      <c r="DP123" s="609"/>
      <c r="DQ123" s="609">
        <f t="shared" si="123"/>
        <v>46.4</v>
      </c>
      <c r="DR123" s="610">
        <f t="shared" si="173"/>
        <v>6.493840037348304E-4</v>
      </c>
      <c r="DS123" s="611">
        <f t="shared" si="173"/>
        <v>1.7470460206519517E-4</v>
      </c>
      <c r="DT123" s="612">
        <f t="shared" si="173"/>
        <v>6.2071300699698459E-6</v>
      </c>
      <c r="DU123" s="611">
        <f t="shared" si="190"/>
        <v>6.8053171460747091E-4</v>
      </c>
      <c r="DV123" s="611">
        <f t="shared" si="190"/>
        <v>1.8424158731988947E-4</v>
      </c>
      <c r="DW123" s="611">
        <f t="shared" si="190"/>
        <v>6.6502784790145834E-6</v>
      </c>
      <c r="DX123" s="614">
        <f t="shared" si="114"/>
        <v>12.5</v>
      </c>
      <c r="DY123" s="615"/>
      <c r="DZ123" s="609">
        <f t="shared" si="124"/>
        <v>46.4</v>
      </c>
      <c r="EA123" s="611">
        <f t="shared" si="181"/>
        <v>1000000</v>
      </c>
      <c r="EB123" s="611">
        <f t="shared" si="181"/>
        <v>1000000</v>
      </c>
      <c r="EC123" s="611">
        <f t="shared" si="181"/>
        <v>1000000</v>
      </c>
      <c r="ED123" s="610">
        <f t="shared" si="182"/>
        <v>0.22002999999999975</v>
      </c>
      <c r="EE123" s="611">
        <f t="shared" si="182"/>
        <v>0.22005999999999976</v>
      </c>
      <c r="EF123" s="612">
        <f t="shared" si="182"/>
        <v>0.22012499999999974</v>
      </c>
      <c r="EG123" s="611">
        <f t="shared" si="115"/>
        <v>1000000.22003</v>
      </c>
      <c r="EH123" s="611">
        <f t="shared" si="115"/>
        <v>1000000.22006</v>
      </c>
      <c r="EI123" s="611">
        <f t="shared" si="115"/>
        <v>1000000.220125</v>
      </c>
      <c r="EJ123" s="610">
        <f t="shared" si="125"/>
        <v>2.2999999999999998</v>
      </c>
      <c r="EK123" s="643">
        <f t="shared" si="126"/>
        <v>2.25</v>
      </c>
      <c r="EL123" s="644">
        <f t="shared" si="127"/>
        <v>2.83</v>
      </c>
      <c r="EN123" s="620">
        <f t="shared" si="128"/>
        <v>25.294444444444444</v>
      </c>
      <c r="EO123" s="621">
        <f t="shared" si="143"/>
        <v>44.446666459139443</v>
      </c>
      <c r="EP123" s="621">
        <f t="shared" si="143"/>
        <v>67.061165627985119</v>
      </c>
      <c r="EQ123" s="621">
        <f t="shared" si="143"/>
        <v>85.575747242896156</v>
      </c>
      <c r="ER123" s="610">
        <f t="shared" si="174"/>
        <v>6.5702139022642854</v>
      </c>
      <c r="ES123" s="611">
        <f t="shared" si="174"/>
        <v>37.945456296299923</v>
      </c>
      <c r="ET123" s="612">
        <f t="shared" si="174"/>
        <v>62.866967552529097</v>
      </c>
      <c r="EU123" s="610">
        <f t="shared" si="129"/>
        <v>100</v>
      </c>
      <c r="EV123" s="611">
        <f t="shared" si="130"/>
        <v>135</v>
      </c>
      <c r="EW123" s="645">
        <f t="shared" si="131"/>
        <v>-1000000</v>
      </c>
      <c r="EX123" s="610">
        <f t="shared" si="117"/>
        <v>-37.876452556875158</v>
      </c>
      <c r="EY123" s="621">
        <f t="shared" si="118"/>
        <v>-29.115709331685196</v>
      </c>
      <c r="EZ123" s="612">
        <f t="shared" si="119"/>
        <v>-22.708779690367059</v>
      </c>
      <c r="FA123" s="646">
        <f t="shared" si="120"/>
        <v>25.294444444444444</v>
      </c>
      <c r="FB123" s="317"/>
      <c r="FC123" s="552"/>
      <c r="FD123" s="552"/>
      <c r="FE123" s="552"/>
      <c r="FF123" s="552"/>
      <c r="FG123" s="552"/>
      <c r="FH123" s="552"/>
      <c r="FI123" s="552"/>
      <c r="FJ123" s="552"/>
      <c r="FK123" s="552"/>
      <c r="FL123" s="552"/>
      <c r="FM123" s="552"/>
      <c r="FN123" s="552"/>
      <c r="FO123" s="552"/>
      <c r="FP123" s="552"/>
      <c r="FQ123" s="552"/>
      <c r="FR123" s="552"/>
      <c r="FS123" s="552"/>
      <c r="FT123" s="552"/>
    </row>
    <row r="124" spans="2:176" s="564" customFormat="1" ht="15" customHeight="1" x14ac:dyDescent="0.2">
      <c r="B124" s="626">
        <f>$K$4</f>
        <v>9</v>
      </c>
      <c r="C124" s="631">
        <f>$K$6</f>
        <v>103</v>
      </c>
      <c r="D124" s="744">
        <f>$B$6</f>
        <v>1.75</v>
      </c>
      <c r="E124" s="745">
        <f t="shared" si="149"/>
        <v>11.444444444444445</v>
      </c>
      <c r="F124" s="689"/>
      <c r="G124" s="747">
        <f t="shared" si="150"/>
        <v>1.7531388810591744</v>
      </c>
      <c r="H124" s="748">
        <f t="shared" si="154"/>
        <v>9.8525743036436137E-6</v>
      </c>
      <c r="I124" s="652"/>
      <c r="J124" s="773">
        <f t="shared" si="176"/>
        <v>87</v>
      </c>
      <c r="K124" s="774">
        <f t="shared" si="155"/>
        <v>97.875</v>
      </c>
      <c r="L124" s="747">
        <f t="shared" si="184"/>
        <v>2.0605730909090911</v>
      </c>
      <c r="M124" s="751">
        <f t="shared" si="184"/>
        <v>2.0526568181818181</v>
      </c>
      <c r="N124" s="751">
        <f t="shared" si="184"/>
        <v>2.0389852272727271</v>
      </c>
      <c r="O124" s="751">
        <f t="shared" si="184"/>
        <v>2.0253136363636366</v>
      </c>
      <c r="P124" s="751">
        <f t="shared" si="184"/>
        <v>1.9990545454545456</v>
      </c>
      <c r="Q124" s="751">
        <f t="shared" si="184"/>
        <v>1.9837327272727274</v>
      </c>
      <c r="R124" s="751">
        <f t="shared" si="184"/>
        <v>1.9253363636363638</v>
      </c>
      <c r="S124" s="751">
        <f t="shared" si="184"/>
        <v>1.8997807272727274</v>
      </c>
      <c r="T124" s="752">
        <f t="shared" si="184"/>
        <v>1.8631818181818183</v>
      </c>
      <c r="U124" s="753">
        <f t="shared" si="184"/>
        <v>1.6261272727272729</v>
      </c>
      <c r="W124" s="773">
        <f t="shared" si="157"/>
        <v>97.875</v>
      </c>
      <c r="X124" s="775">
        <f t="shared" si="185"/>
        <v>-9.5802881506512144E-2</v>
      </c>
      <c r="Y124" s="776">
        <f t="shared" si="185"/>
        <v>-9.5807445395401036E-2</v>
      </c>
      <c r="Z124" s="776">
        <f t="shared" si="185"/>
        <v>-9.5815327339845477E-2</v>
      </c>
      <c r="AA124" s="776">
        <f t="shared" si="185"/>
        <v>-9.5823209284289917E-2</v>
      </c>
      <c r="AB124" s="776">
        <f t="shared" si="185"/>
        <v>-9.5838348173178808E-2</v>
      </c>
      <c r="AC124" s="776">
        <f t="shared" si="185"/>
        <v>-9.5847181506512141E-2</v>
      </c>
      <c r="AD124" s="776">
        <f t="shared" si="185"/>
        <v>-9.5880848173178809E-2</v>
      </c>
      <c r="AE124" s="776">
        <f t="shared" si="185"/>
        <v>-9.5895581506512145E-2</v>
      </c>
      <c r="AF124" s="777">
        <f t="shared" si="185"/>
        <v>-9.5916681506512141E-2</v>
      </c>
      <c r="AG124" s="778">
        <f t="shared" si="185"/>
        <v>-9.6053348173178801E-2</v>
      </c>
      <c r="AI124" s="773">
        <f t="shared" si="159"/>
        <v>97.875</v>
      </c>
      <c r="AJ124" s="747">
        <f t="shared" si="192"/>
        <v>1.964770209402579</v>
      </c>
      <c r="AK124" s="751">
        <f t="shared" si="192"/>
        <v>1.9568493727864171</v>
      </c>
      <c r="AL124" s="751">
        <f t="shared" si="192"/>
        <v>1.9431698999328817</v>
      </c>
      <c r="AM124" s="751">
        <f t="shared" si="192"/>
        <v>1.9294904270793467</v>
      </c>
      <c r="AN124" s="751">
        <f t="shared" si="192"/>
        <v>1.9032161972813668</v>
      </c>
      <c r="AO124" s="751">
        <f t="shared" si="192"/>
        <v>1.8878855457662154</v>
      </c>
      <c r="AP124" s="751">
        <f t="shared" si="192"/>
        <v>1.8294555154631851</v>
      </c>
      <c r="AQ124" s="751">
        <f t="shared" si="192"/>
        <v>1.8038851457662153</v>
      </c>
      <c r="AR124" s="752">
        <f t="shared" si="191"/>
        <v>1.767265136675306</v>
      </c>
      <c r="AS124" s="751"/>
      <c r="AT124" s="674">
        <f t="shared" si="160"/>
        <v>1.75</v>
      </c>
      <c r="AU124" s="712">
        <f t="shared" si="161"/>
        <v>1.8</v>
      </c>
      <c r="AV124" s="712">
        <f t="shared" si="162"/>
        <v>1.81</v>
      </c>
      <c r="AW124" s="712">
        <f t="shared" si="163"/>
        <v>1.83</v>
      </c>
      <c r="AX124" s="712">
        <f t="shared" si="164"/>
        <v>1.84</v>
      </c>
      <c r="AY124" s="712">
        <f t="shared" si="165"/>
        <v>1.86</v>
      </c>
      <c r="AZ124" s="712">
        <f t="shared" si="166"/>
        <v>1.88</v>
      </c>
      <c r="BA124" s="712">
        <f t="shared" si="167"/>
        <v>1.9</v>
      </c>
      <c r="BB124" s="712">
        <f t="shared" si="168"/>
        <v>1.92</v>
      </c>
      <c r="BC124" s="779">
        <f t="shared" si="169"/>
        <v>1000000</v>
      </c>
      <c r="BD124" s="780">
        <f t="shared" si="170"/>
        <v>-1000000</v>
      </c>
      <c r="BF124" s="781">
        <f t="shared" si="186"/>
        <v>1.9650579928385139</v>
      </c>
      <c r="BG124" s="767">
        <f t="shared" si="186"/>
        <v>2.454639382333422</v>
      </c>
      <c r="BH124" s="767">
        <f t="shared" si="186"/>
        <v>2.0025950785862374</v>
      </c>
      <c r="BI124" s="767">
        <f t="shared" si="186"/>
        <v>1.9956088634302789</v>
      </c>
      <c r="BJ124" s="767">
        <f t="shared" si="186"/>
        <v>1.9921062256546578</v>
      </c>
      <c r="BK124" s="767">
        <f t="shared" si="186"/>
        <v>1.9912827807392022</v>
      </c>
      <c r="BL124" s="767">
        <f t="shared" si="186"/>
        <v>1.9899359909806087</v>
      </c>
      <c r="BM124" s="767">
        <f t="shared" si="186"/>
        <v>1.9896612946650343</v>
      </c>
      <c r="BN124" s="767">
        <f t="shared" si="186"/>
        <v>1.9893897472337894</v>
      </c>
      <c r="BO124" s="782">
        <f t="shared" si="186"/>
        <v>1.9886706214401217</v>
      </c>
      <c r="BP124" s="781">
        <f t="shared" si="189"/>
        <v>1.9650579928385139</v>
      </c>
      <c r="BQ124" s="767">
        <f t="shared" si="189"/>
        <v>-1000000</v>
      </c>
      <c r="BR124" s="767">
        <f t="shared" si="189"/>
        <v>-1000000</v>
      </c>
      <c r="BS124" s="767">
        <f t="shared" si="189"/>
        <v>-1000000</v>
      </c>
      <c r="BT124" s="767">
        <f t="shared" si="189"/>
        <v>-1000000</v>
      </c>
      <c r="BU124" s="767">
        <f t="shared" si="187"/>
        <v>-1000000</v>
      </c>
      <c r="BV124" s="767">
        <f t="shared" si="187"/>
        <v>-1000000</v>
      </c>
      <c r="BW124" s="767">
        <f t="shared" si="187"/>
        <v>-1000000</v>
      </c>
      <c r="BX124" s="767">
        <f t="shared" si="187"/>
        <v>-1000000</v>
      </c>
      <c r="BY124" s="767">
        <f t="shared" si="187"/>
        <v>-1000000</v>
      </c>
      <c r="BZ124" s="648">
        <f t="shared" si="151"/>
        <v>87</v>
      </c>
      <c r="CA124" s="767">
        <f t="shared" si="152"/>
        <v>1.9650579928385139</v>
      </c>
      <c r="CB124" s="767"/>
      <c r="CC124" s="767"/>
      <c r="CD124" s="767"/>
      <c r="CE124" s="767"/>
      <c r="CF124" s="767"/>
      <c r="CG124" s="767"/>
      <c r="CH124" s="767"/>
      <c r="CI124" s="767"/>
      <c r="CJ124" s="767"/>
      <c r="CK124" s="781">
        <f t="shared" si="153"/>
        <v>1.75</v>
      </c>
      <c r="CL124" s="783">
        <f t="shared" si="172"/>
        <v>1000000</v>
      </c>
      <c r="CM124" s="552"/>
      <c r="CN124" s="552"/>
      <c r="CO124" s="552"/>
      <c r="CP124" s="552"/>
      <c r="CQ124" s="552"/>
      <c r="CR124" s="552"/>
      <c r="CS124" s="552"/>
      <c r="CT124" s="552"/>
      <c r="CU124" s="552"/>
      <c r="CV124" s="552"/>
      <c r="CW124" s="552"/>
      <c r="CX124" s="552"/>
      <c r="CY124" s="552"/>
      <c r="CZ124" s="642">
        <f t="shared" si="133"/>
        <v>117</v>
      </c>
      <c r="DA124" s="609">
        <f t="shared" si="110"/>
        <v>131.625</v>
      </c>
      <c r="DB124" s="609">
        <f t="shared" si="121"/>
        <v>46.8</v>
      </c>
      <c r="DC124" s="610">
        <f t="shared" si="179"/>
        <v>134.99745439340447</v>
      </c>
      <c r="DD124" s="611">
        <f t="shared" si="179"/>
        <v>134.99940316773936</v>
      </c>
      <c r="DE124" s="612">
        <f t="shared" si="179"/>
        <v>134.99998411435706</v>
      </c>
      <c r="DF124" s="610">
        <f t="shared" si="180"/>
        <v>19.411764705882348</v>
      </c>
      <c r="DG124" s="611">
        <f t="shared" si="180"/>
        <v>22</v>
      </c>
      <c r="DH124" s="612">
        <f t="shared" si="180"/>
        <v>28.470588235294098</v>
      </c>
      <c r="DI124" s="610">
        <f t="shared" si="111"/>
        <v>154.40921909928682</v>
      </c>
      <c r="DJ124" s="611">
        <f t="shared" si="111"/>
        <v>156.99940316773936</v>
      </c>
      <c r="DK124" s="612">
        <f t="shared" si="111"/>
        <v>163.47057234965115</v>
      </c>
      <c r="DL124" s="613">
        <f t="shared" si="188"/>
        <v>154.40921909928682</v>
      </c>
      <c r="DM124" s="613">
        <f t="shared" si="188"/>
        <v>156.99940316773936</v>
      </c>
      <c r="DN124" s="613">
        <f t="shared" si="188"/>
        <v>163.47057234965115</v>
      </c>
      <c r="DO124" s="609">
        <f t="shared" si="112"/>
        <v>135</v>
      </c>
      <c r="DP124" s="609"/>
      <c r="DQ124" s="609">
        <f t="shared" si="123"/>
        <v>46.8</v>
      </c>
      <c r="DR124" s="610">
        <f t="shared" si="173"/>
        <v>5.9172631230560184E-4</v>
      </c>
      <c r="DS124" s="611">
        <f t="shared" si="173"/>
        <v>1.57231495911271E-4</v>
      </c>
      <c r="DT124" s="612">
        <f t="shared" si="173"/>
        <v>5.4158398331933207E-6</v>
      </c>
      <c r="DU124" s="611">
        <f t="shared" si="190"/>
        <v>6.2010847130977926E-4</v>
      </c>
      <c r="DV124" s="611">
        <f t="shared" si="190"/>
        <v>1.6581463832210434E-4</v>
      </c>
      <c r="DW124" s="611">
        <f t="shared" si="190"/>
        <v>5.802495337547973E-6</v>
      </c>
      <c r="DX124" s="614">
        <f t="shared" si="114"/>
        <v>12.5</v>
      </c>
      <c r="DY124" s="615"/>
      <c r="DZ124" s="609">
        <f t="shared" si="124"/>
        <v>46.8</v>
      </c>
      <c r="EA124" s="611">
        <f t="shared" si="181"/>
        <v>1000000</v>
      </c>
      <c r="EB124" s="611">
        <f t="shared" si="181"/>
        <v>1000000</v>
      </c>
      <c r="EC124" s="611">
        <f t="shared" si="181"/>
        <v>1000000</v>
      </c>
      <c r="ED124" s="610">
        <f t="shared" si="182"/>
        <v>0.22002999999999975</v>
      </c>
      <c r="EE124" s="611">
        <f t="shared" si="182"/>
        <v>0.22005999999999976</v>
      </c>
      <c r="EF124" s="612">
        <f t="shared" si="182"/>
        <v>0.22012499999999974</v>
      </c>
      <c r="EG124" s="611">
        <f t="shared" si="115"/>
        <v>1000000.22003</v>
      </c>
      <c r="EH124" s="611">
        <f t="shared" si="115"/>
        <v>1000000.22006</v>
      </c>
      <c r="EI124" s="611">
        <f t="shared" si="115"/>
        <v>1000000.220125</v>
      </c>
      <c r="EJ124" s="610">
        <f t="shared" si="125"/>
        <v>2.2999999999999998</v>
      </c>
      <c r="EK124" s="643">
        <f t="shared" si="126"/>
        <v>2.25</v>
      </c>
      <c r="EL124" s="644">
        <f t="shared" si="127"/>
        <v>2.83</v>
      </c>
      <c r="EN124" s="620">
        <f t="shared" si="128"/>
        <v>25.512499999999999</v>
      </c>
      <c r="EO124" s="621">
        <f t="shared" si="143"/>
        <v>43.667139145142279</v>
      </c>
      <c r="EP124" s="621">
        <f t="shared" si="143"/>
        <v>66.476107949830407</v>
      </c>
      <c r="EQ124" s="621">
        <f t="shared" si="143"/>
        <v>85.150005242159395</v>
      </c>
      <c r="ER124" s="610">
        <f t="shared" si="174"/>
        <v>5.7906857567712819</v>
      </c>
      <c r="ES124" s="611">
        <f t="shared" si="174"/>
        <v>37.350024413507683</v>
      </c>
      <c r="ET124" s="612">
        <f t="shared" si="174"/>
        <v>62.323459230841699</v>
      </c>
      <c r="EU124" s="610">
        <f t="shared" si="129"/>
        <v>100</v>
      </c>
      <c r="EV124" s="611">
        <f t="shared" si="130"/>
        <v>135</v>
      </c>
      <c r="EW124" s="645">
        <f t="shared" si="131"/>
        <v>-1000000</v>
      </c>
      <c r="EX124" s="610">
        <f t="shared" si="117"/>
        <v>-37.876453388370997</v>
      </c>
      <c r="EY124" s="621">
        <f t="shared" si="118"/>
        <v>-29.126083536322724</v>
      </c>
      <c r="EZ124" s="612">
        <f t="shared" si="119"/>
        <v>-22.826546011317696</v>
      </c>
      <c r="FA124" s="646">
        <f t="shared" si="120"/>
        <v>25.512499999999999</v>
      </c>
      <c r="FB124" s="317"/>
      <c r="FC124" s="552"/>
      <c r="FD124" s="552"/>
      <c r="FE124" s="552"/>
      <c r="FF124" s="552"/>
      <c r="FG124" s="552"/>
      <c r="FH124" s="552"/>
      <c r="FI124" s="552"/>
      <c r="FJ124" s="552"/>
      <c r="FK124" s="552"/>
      <c r="FL124" s="552"/>
      <c r="FM124" s="552"/>
      <c r="FN124" s="552"/>
      <c r="FO124" s="552"/>
      <c r="FP124" s="552"/>
      <c r="FQ124" s="552"/>
      <c r="FR124" s="552"/>
      <c r="FS124" s="552"/>
      <c r="FT124" s="552"/>
    </row>
    <row r="125" spans="2:176" s="564" customFormat="1" ht="15" customHeight="1" x14ac:dyDescent="0.2">
      <c r="B125" s="647">
        <f t="shared" ref="B125:B134" si="193">$K$4</f>
        <v>9</v>
      </c>
      <c r="C125" s="652">
        <f>$K$7</f>
        <v>102.1</v>
      </c>
      <c r="D125" s="771">
        <f>$B$7</f>
        <v>1.78</v>
      </c>
      <c r="E125" s="772">
        <f t="shared" si="149"/>
        <v>11.344444444444443</v>
      </c>
      <c r="F125" s="689"/>
      <c r="G125" s="747">
        <f t="shared" si="150"/>
        <v>1.7615012333092799</v>
      </c>
      <c r="H125" s="748">
        <f t="shared" si="154"/>
        <v>3.4220436907769726E-4</v>
      </c>
      <c r="I125" s="652"/>
      <c r="J125" s="773">
        <f t="shared" si="176"/>
        <v>88</v>
      </c>
      <c r="K125" s="774">
        <f t="shared" si="155"/>
        <v>99</v>
      </c>
      <c r="L125" s="747">
        <f t="shared" si="184"/>
        <v>2.0599660000000002</v>
      </c>
      <c r="M125" s="751">
        <f t="shared" si="184"/>
        <v>2.0518023437499999</v>
      </c>
      <c r="N125" s="751">
        <f t="shared" si="184"/>
        <v>2.0377035156250001</v>
      </c>
      <c r="O125" s="751">
        <f t="shared" si="184"/>
        <v>2.0236046875000002</v>
      </c>
      <c r="P125" s="751">
        <f t="shared" si="184"/>
        <v>1.9965250000000001</v>
      </c>
      <c r="Q125" s="751">
        <f t="shared" si="184"/>
        <v>1.9807243750000001</v>
      </c>
      <c r="R125" s="751">
        <f t="shared" si="184"/>
        <v>1.9205031250000002</v>
      </c>
      <c r="S125" s="751">
        <f t="shared" si="184"/>
        <v>1.8941488750000002</v>
      </c>
      <c r="T125" s="752">
        <f t="shared" si="184"/>
        <v>1.85640625</v>
      </c>
      <c r="U125" s="753">
        <f t="shared" si="184"/>
        <v>1.61194375</v>
      </c>
      <c r="W125" s="773">
        <f t="shared" si="157"/>
        <v>99</v>
      </c>
      <c r="X125" s="775">
        <f t="shared" si="185"/>
        <v>-9.5959630628552936E-2</v>
      </c>
      <c r="Y125" s="776">
        <f t="shared" si="185"/>
        <v>-9.5964194517441828E-2</v>
      </c>
      <c r="Z125" s="776">
        <f t="shared" si="185"/>
        <v>-9.5972076461886269E-2</v>
      </c>
      <c r="AA125" s="776">
        <f t="shared" si="185"/>
        <v>-9.5979958406330709E-2</v>
      </c>
      <c r="AB125" s="776">
        <f t="shared" si="185"/>
        <v>-9.59950972952196E-2</v>
      </c>
      <c r="AC125" s="776">
        <f t="shared" si="185"/>
        <v>-9.6003930628552933E-2</v>
      </c>
      <c r="AD125" s="776">
        <f t="shared" si="185"/>
        <v>-9.6037597295219601E-2</v>
      </c>
      <c r="AE125" s="776">
        <f t="shared" si="185"/>
        <v>-9.6052330628552937E-2</v>
      </c>
      <c r="AF125" s="777">
        <f t="shared" si="185"/>
        <v>-9.6073430628552933E-2</v>
      </c>
      <c r="AG125" s="778">
        <f t="shared" si="185"/>
        <v>-9.6210097295219593E-2</v>
      </c>
      <c r="AI125" s="773">
        <f t="shared" si="159"/>
        <v>99</v>
      </c>
      <c r="AJ125" s="747">
        <f t="shared" si="192"/>
        <v>1.9640063693714473</v>
      </c>
      <c r="AK125" s="751">
        <f t="shared" si="192"/>
        <v>1.9558381492325581</v>
      </c>
      <c r="AL125" s="751">
        <f t="shared" si="192"/>
        <v>1.9417314391631137</v>
      </c>
      <c r="AM125" s="751">
        <f t="shared" si="192"/>
        <v>1.9276247290936694</v>
      </c>
      <c r="AN125" s="751">
        <f t="shared" si="192"/>
        <v>1.9005299027047804</v>
      </c>
      <c r="AO125" s="751">
        <f t="shared" si="192"/>
        <v>1.8847204443714471</v>
      </c>
      <c r="AP125" s="751">
        <f t="shared" si="192"/>
        <v>1.8244655277047805</v>
      </c>
      <c r="AQ125" s="751">
        <f t="shared" si="192"/>
        <v>1.7980965443714472</v>
      </c>
      <c r="AR125" s="752">
        <f t="shared" si="191"/>
        <v>1.7603328193714471</v>
      </c>
      <c r="AS125" s="751"/>
      <c r="AT125" s="674">
        <f t="shared" si="160"/>
        <v>1.75</v>
      </c>
      <c r="AU125" s="712">
        <f t="shared" si="161"/>
        <v>1.8</v>
      </c>
      <c r="AV125" s="712">
        <f t="shared" si="162"/>
        <v>1.81</v>
      </c>
      <c r="AW125" s="712">
        <f t="shared" si="163"/>
        <v>1.83</v>
      </c>
      <c r="AX125" s="712">
        <f t="shared" si="164"/>
        <v>1.84</v>
      </c>
      <c r="AY125" s="712">
        <f t="shared" si="165"/>
        <v>1.86</v>
      </c>
      <c r="AZ125" s="712">
        <f t="shared" si="166"/>
        <v>1.88</v>
      </c>
      <c r="BA125" s="712">
        <f t="shared" si="167"/>
        <v>1.9</v>
      </c>
      <c r="BB125" s="712">
        <f t="shared" si="168"/>
        <v>1.92</v>
      </c>
      <c r="BC125" s="779">
        <f t="shared" si="169"/>
        <v>1000000</v>
      </c>
      <c r="BD125" s="780">
        <f t="shared" si="170"/>
        <v>-1000000</v>
      </c>
      <c r="BF125" s="781">
        <f t="shared" si="186"/>
        <v>1.9643086264904703</v>
      </c>
      <c r="BG125" s="767">
        <f t="shared" si="186"/>
        <v>2.2542569390796667</v>
      </c>
      <c r="BH125" s="767">
        <f t="shared" si="186"/>
        <v>2.0018960571092843</v>
      </c>
      <c r="BI125" s="767">
        <f t="shared" si="186"/>
        <v>1.9952861223771903</v>
      </c>
      <c r="BJ125" s="767">
        <f t="shared" si="186"/>
        <v>1.9919185044582912</v>
      </c>
      <c r="BK125" s="767">
        <f t="shared" si="186"/>
        <v>1.9911214267866739</v>
      </c>
      <c r="BL125" s="767">
        <f t="shared" si="186"/>
        <v>1.9898129986555426</v>
      </c>
      <c r="BM125" s="767">
        <f t="shared" si="186"/>
        <v>1.9895452886214156</v>
      </c>
      <c r="BN125" s="767">
        <f t="shared" si="186"/>
        <v>1.989280281075738</v>
      </c>
      <c r="BO125" s="782">
        <f t="shared" si="186"/>
        <v>1.9885756400823558</v>
      </c>
      <c r="BP125" s="781">
        <f t="shared" si="189"/>
        <v>1.9643086264904703</v>
      </c>
      <c r="BQ125" s="767">
        <f t="shared" si="189"/>
        <v>-1000000</v>
      </c>
      <c r="BR125" s="767">
        <f t="shared" si="189"/>
        <v>-1000000</v>
      </c>
      <c r="BS125" s="767">
        <f t="shared" si="189"/>
        <v>-1000000</v>
      </c>
      <c r="BT125" s="767">
        <f t="shared" si="189"/>
        <v>-1000000</v>
      </c>
      <c r="BU125" s="767">
        <f t="shared" si="187"/>
        <v>-1000000</v>
      </c>
      <c r="BV125" s="767">
        <f t="shared" si="187"/>
        <v>-1000000</v>
      </c>
      <c r="BW125" s="767">
        <f t="shared" si="187"/>
        <v>-1000000</v>
      </c>
      <c r="BX125" s="767">
        <f t="shared" si="187"/>
        <v>-1000000</v>
      </c>
      <c r="BY125" s="767">
        <f t="shared" si="187"/>
        <v>-1000000</v>
      </c>
      <c r="BZ125" s="648">
        <f t="shared" si="151"/>
        <v>88</v>
      </c>
      <c r="CA125" s="767">
        <f t="shared" si="152"/>
        <v>1.9643086264904703</v>
      </c>
      <c r="CB125" s="767"/>
      <c r="CC125" s="767"/>
      <c r="CD125" s="767"/>
      <c r="CE125" s="767"/>
      <c r="CF125" s="767"/>
      <c r="CG125" s="767"/>
      <c r="CH125" s="767"/>
      <c r="CI125" s="767"/>
      <c r="CJ125" s="767"/>
      <c r="CK125" s="781">
        <f t="shared" si="153"/>
        <v>1.75</v>
      </c>
      <c r="CL125" s="783">
        <f t="shared" si="172"/>
        <v>1000000</v>
      </c>
      <c r="CM125" s="552"/>
      <c r="CN125" s="552"/>
      <c r="CO125" s="552"/>
      <c r="CP125" s="552"/>
      <c r="CQ125" s="552"/>
      <c r="CR125" s="552"/>
      <c r="CS125" s="552"/>
      <c r="CT125" s="552"/>
      <c r="CU125" s="552"/>
      <c r="CV125" s="552"/>
      <c r="CW125" s="552"/>
      <c r="CX125" s="552"/>
      <c r="CY125" s="552"/>
      <c r="CZ125" s="642">
        <f t="shared" si="133"/>
        <v>118</v>
      </c>
      <c r="DA125" s="609">
        <f t="shared" si="110"/>
        <v>132.75</v>
      </c>
      <c r="DB125" s="609">
        <f t="shared" si="121"/>
        <v>47.199999999999996</v>
      </c>
      <c r="DC125" s="610">
        <f t="shared" si="179"/>
        <v>134.99768041344612</v>
      </c>
      <c r="DD125" s="611">
        <f t="shared" si="179"/>
        <v>134.9994628600046</v>
      </c>
      <c r="DE125" s="612">
        <f t="shared" si="179"/>
        <v>134.99998613947238</v>
      </c>
      <c r="DF125" s="610">
        <f t="shared" si="180"/>
        <v>19.411764705882348</v>
      </c>
      <c r="DG125" s="611">
        <f t="shared" si="180"/>
        <v>22</v>
      </c>
      <c r="DH125" s="612">
        <f t="shared" si="180"/>
        <v>28.470588235294098</v>
      </c>
      <c r="DI125" s="610">
        <f t="shared" si="111"/>
        <v>154.40944511932847</v>
      </c>
      <c r="DJ125" s="611">
        <f t="shared" si="111"/>
        <v>156.9994628600046</v>
      </c>
      <c r="DK125" s="612">
        <f t="shared" si="111"/>
        <v>163.47057437476647</v>
      </c>
      <c r="DL125" s="613">
        <f t="shared" si="188"/>
        <v>154.40944511932847</v>
      </c>
      <c r="DM125" s="613">
        <f t="shared" si="188"/>
        <v>156.9994628600046</v>
      </c>
      <c r="DN125" s="613">
        <f t="shared" si="188"/>
        <v>163.47057437476647</v>
      </c>
      <c r="DO125" s="609">
        <f t="shared" si="112"/>
        <v>135</v>
      </c>
      <c r="DP125" s="609"/>
      <c r="DQ125" s="609">
        <f t="shared" si="123"/>
        <v>47.199999999999996</v>
      </c>
      <c r="DR125" s="610">
        <f t="shared" si="173"/>
        <v>5.3918794836492988E-4</v>
      </c>
      <c r="DS125" s="611">
        <f t="shared" si="173"/>
        <v>1.4150596500755333E-4</v>
      </c>
      <c r="DT125" s="612">
        <f t="shared" si="173"/>
        <v>4.7254239508704216E-6</v>
      </c>
      <c r="DU125" s="611">
        <f t="shared" si="190"/>
        <v>5.6505010412877461E-4</v>
      </c>
      <c r="DV125" s="611">
        <f t="shared" si="190"/>
        <v>1.4923066309791065E-4</v>
      </c>
      <c r="DW125" s="611">
        <f t="shared" si="190"/>
        <v>5.0627883041443234E-6</v>
      </c>
      <c r="DX125" s="614">
        <f t="shared" si="114"/>
        <v>12.5</v>
      </c>
      <c r="DY125" s="615"/>
      <c r="DZ125" s="609">
        <f t="shared" si="124"/>
        <v>47.199999999999996</v>
      </c>
      <c r="EA125" s="611">
        <f t="shared" si="181"/>
        <v>1000000</v>
      </c>
      <c r="EB125" s="611">
        <f t="shared" si="181"/>
        <v>1000000</v>
      </c>
      <c r="EC125" s="611">
        <f t="shared" si="181"/>
        <v>1000000</v>
      </c>
      <c r="ED125" s="610">
        <f t="shared" si="182"/>
        <v>0.22002999999999975</v>
      </c>
      <c r="EE125" s="611">
        <f t="shared" si="182"/>
        <v>0.22005999999999976</v>
      </c>
      <c r="EF125" s="612">
        <f t="shared" si="182"/>
        <v>0.22012499999999974</v>
      </c>
      <c r="EG125" s="611">
        <f t="shared" si="115"/>
        <v>1000000.22003</v>
      </c>
      <c r="EH125" s="611">
        <f t="shared" si="115"/>
        <v>1000000.22006</v>
      </c>
      <c r="EI125" s="611">
        <f t="shared" si="115"/>
        <v>1000000.220125</v>
      </c>
      <c r="EJ125" s="610">
        <f t="shared" si="125"/>
        <v>2.2999999999999998</v>
      </c>
      <c r="EK125" s="643">
        <f t="shared" si="126"/>
        <v>2.25</v>
      </c>
      <c r="EL125" s="644">
        <f t="shared" si="127"/>
        <v>2.83</v>
      </c>
      <c r="EN125" s="620">
        <f t="shared" si="128"/>
        <v>25.730555555555554</v>
      </c>
      <c r="EO125" s="621">
        <f t="shared" si="143"/>
        <v>42.887630690881316</v>
      </c>
      <c r="EP125" s="621">
        <f t="shared" si="143"/>
        <v>65.891060891546488</v>
      </c>
      <c r="EQ125" s="621">
        <f t="shared" si="143"/>
        <v>84.724268863427454</v>
      </c>
      <c r="ER125" s="610">
        <f t="shared" si="174"/>
        <v>5.0111765784314741</v>
      </c>
      <c r="ES125" s="611">
        <f t="shared" si="174"/>
        <v>36.755076746809294</v>
      </c>
      <c r="ET125" s="612">
        <f t="shared" si="174"/>
        <v>61.781993084288615</v>
      </c>
      <c r="EU125" s="610">
        <f t="shared" si="129"/>
        <v>100</v>
      </c>
      <c r="EV125" s="611">
        <f t="shared" si="130"/>
        <v>135</v>
      </c>
      <c r="EW125" s="645">
        <f t="shared" si="131"/>
        <v>-1000000</v>
      </c>
      <c r="EX125" s="610">
        <f t="shared" si="117"/>
        <v>-37.876454112449842</v>
      </c>
      <c r="EY125" s="621">
        <f t="shared" si="118"/>
        <v>-29.135984144737193</v>
      </c>
      <c r="EZ125" s="612">
        <f t="shared" si="119"/>
        <v>-22.942275779138839</v>
      </c>
      <c r="FA125" s="646">
        <f t="shared" si="120"/>
        <v>25.730555555555554</v>
      </c>
      <c r="FB125" s="317"/>
      <c r="FC125" s="552"/>
      <c r="FD125" s="552"/>
      <c r="FE125" s="552"/>
      <c r="FF125" s="552"/>
      <c r="FG125" s="552"/>
      <c r="FH125" s="552"/>
      <c r="FI125" s="552"/>
      <c r="FJ125" s="552"/>
      <c r="FK125" s="552"/>
      <c r="FL125" s="552"/>
      <c r="FM125" s="552"/>
      <c r="FN125" s="552"/>
      <c r="FO125" s="552"/>
      <c r="FP125" s="552"/>
      <c r="FQ125" s="552"/>
      <c r="FR125" s="552"/>
      <c r="FS125" s="552"/>
      <c r="FT125" s="552"/>
    </row>
    <row r="126" spans="2:176" s="564" customFormat="1" ht="15" customHeight="1" x14ac:dyDescent="0.2">
      <c r="B126" s="647">
        <f t="shared" si="193"/>
        <v>9</v>
      </c>
      <c r="C126" s="652">
        <f>$K$8</f>
        <v>101.9</v>
      </c>
      <c r="D126" s="771">
        <f>$B$8</f>
        <v>1.8</v>
      </c>
      <c r="E126" s="772">
        <f t="shared" si="149"/>
        <v>11.322222222222223</v>
      </c>
      <c r="F126" s="689"/>
      <c r="G126" s="747">
        <f t="shared" si="150"/>
        <v>1.7632991367078956</v>
      </c>
      <c r="H126" s="748">
        <f t="shared" si="154"/>
        <v>1.3469533663857381E-3</v>
      </c>
      <c r="I126" s="652"/>
      <c r="J126" s="773">
        <f t="shared" si="176"/>
        <v>89</v>
      </c>
      <c r="K126" s="774">
        <f t="shared" si="155"/>
        <v>100.125</v>
      </c>
      <c r="L126" s="747">
        <f t="shared" si="184"/>
        <v>2.0593197419354841</v>
      </c>
      <c r="M126" s="751">
        <f t="shared" si="184"/>
        <v>2.0508927419354839</v>
      </c>
      <c r="N126" s="751">
        <f t="shared" si="184"/>
        <v>2.0363391129032258</v>
      </c>
      <c r="O126" s="751">
        <f t="shared" si="184"/>
        <v>2.0217854838709677</v>
      </c>
      <c r="P126" s="751">
        <f t="shared" si="184"/>
        <v>1.9938322580645162</v>
      </c>
      <c r="Q126" s="751">
        <f t="shared" si="184"/>
        <v>1.9775219354838711</v>
      </c>
      <c r="R126" s="751">
        <f t="shared" si="184"/>
        <v>1.9153580645161292</v>
      </c>
      <c r="S126" s="751">
        <f t="shared" si="184"/>
        <v>1.8881536774193548</v>
      </c>
      <c r="T126" s="752">
        <f t="shared" si="184"/>
        <v>1.8491935483870967</v>
      </c>
      <c r="U126" s="753">
        <f t="shared" si="184"/>
        <v>1.5968451612903225</v>
      </c>
      <c r="W126" s="773">
        <f t="shared" si="157"/>
        <v>100.125</v>
      </c>
      <c r="X126" s="775">
        <f t="shared" si="185"/>
        <v>-9.6108565665145015E-2</v>
      </c>
      <c r="Y126" s="776">
        <f t="shared" si="185"/>
        <v>-9.6113129554033908E-2</v>
      </c>
      <c r="Z126" s="776">
        <f t="shared" si="185"/>
        <v>-9.6121011498478348E-2</v>
      </c>
      <c r="AA126" s="776">
        <f t="shared" si="185"/>
        <v>-9.6128893442922789E-2</v>
      </c>
      <c r="AB126" s="776">
        <f t="shared" si="185"/>
        <v>-9.614403233181168E-2</v>
      </c>
      <c r="AC126" s="776">
        <f t="shared" si="185"/>
        <v>-9.6152865665145013E-2</v>
      </c>
      <c r="AD126" s="776">
        <f t="shared" si="185"/>
        <v>-9.618653233181168E-2</v>
      </c>
      <c r="AE126" s="776">
        <f t="shared" si="185"/>
        <v>-9.6201265665145017E-2</v>
      </c>
      <c r="AF126" s="777">
        <f t="shared" si="185"/>
        <v>-9.6222365665145013E-2</v>
      </c>
      <c r="AG126" s="778">
        <f t="shared" si="185"/>
        <v>-9.6359032331811673E-2</v>
      </c>
      <c r="AI126" s="773">
        <f t="shared" si="159"/>
        <v>100.125</v>
      </c>
      <c r="AJ126" s="747">
        <f t="shared" si="192"/>
        <v>1.963211176270339</v>
      </c>
      <c r="AK126" s="751">
        <f t="shared" si="192"/>
        <v>1.95477961238145</v>
      </c>
      <c r="AL126" s="751">
        <f t="shared" si="192"/>
        <v>1.9402181014047475</v>
      </c>
      <c r="AM126" s="751">
        <f t="shared" si="192"/>
        <v>1.9256565904280449</v>
      </c>
      <c r="AN126" s="751">
        <f t="shared" si="192"/>
        <v>1.8976882257327046</v>
      </c>
      <c r="AO126" s="751">
        <f t="shared" si="192"/>
        <v>1.8813690698187262</v>
      </c>
      <c r="AP126" s="751">
        <f t="shared" si="192"/>
        <v>1.8191715321843176</v>
      </c>
      <c r="AQ126" s="751">
        <f t="shared" si="192"/>
        <v>1.7919524117542098</v>
      </c>
      <c r="AR126" s="752">
        <f t="shared" si="191"/>
        <v>1.7529711827219516</v>
      </c>
      <c r="AS126" s="751"/>
      <c r="AT126" s="674">
        <f t="shared" si="160"/>
        <v>1.75</v>
      </c>
      <c r="AU126" s="712">
        <f t="shared" si="161"/>
        <v>1.8</v>
      </c>
      <c r="AV126" s="712">
        <f t="shared" si="162"/>
        <v>1.81</v>
      </c>
      <c r="AW126" s="712">
        <f t="shared" si="163"/>
        <v>1.83</v>
      </c>
      <c r="AX126" s="712">
        <f t="shared" si="164"/>
        <v>1.84</v>
      </c>
      <c r="AY126" s="712">
        <f t="shared" si="165"/>
        <v>1.86</v>
      </c>
      <c r="AZ126" s="712">
        <f t="shared" si="166"/>
        <v>1.88</v>
      </c>
      <c r="BA126" s="712">
        <f t="shared" si="167"/>
        <v>1.9</v>
      </c>
      <c r="BB126" s="712">
        <f t="shared" si="168"/>
        <v>1.92</v>
      </c>
      <c r="BC126" s="779">
        <f t="shared" si="169"/>
        <v>1000000</v>
      </c>
      <c r="BD126" s="780">
        <f t="shared" si="170"/>
        <v>1000000</v>
      </c>
      <c r="BF126" s="781">
        <f t="shared" si="186"/>
        <v>1.9635297320755012</v>
      </c>
      <c r="BG126" s="767">
        <f t="shared" si="186"/>
        <v>2.1730868042475309</v>
      </c>
      <c r="BH126" s="767">
        <f t="shared" si="186"/>
        <v>2.001240944553861</v>
      </c>
      <c r="BI126" s="767">
        <f t="shared" si="186"/>
        <v>1.9949773711277889</v>
      </c>
      <c r="BJ126" s="767">
        <f t="shared" si="186"/>
        <v>1.9917370332731723</v>
      </c>
      <c r="BK126" s="767">
        <f t="shared" si="186"/>
        <v>1.9909650624708304</v>
      </c>
      <c r="BL126" s="767">
        <f t="shared" si="186"/>
        <v>1.9896933367565894</v>
      </c>
      <c r="BM126" s="767">
        <f t="shared" si="186"/>
        <v>1.9894323350978185</v>
      </c>
      <c r="BN126" s="767">
        <f t="shared" si="186"/>
        <v>1.9891736145636723</v>
      </c>
      <c r="BO126" s="782">
        <f t="shared" si="186"/>
        <v>1.9884829244805975</v>
      </c>
      <c r="BP126" s="781">
        <f t="shared" si="189"/>
        <v>1.9635297320755012</v>
      </c>
      <c r="BQ126" s="767">
        <f t="shared" si="189"/>
        <v>-1000000</v>
      </c>
      <c r="BR126" s="767">
        <f t="shared" si="189"/>
        <v>-1000000</v>
      </c>
      <c r="BS126" s="767">
        <f t="shared" si="189"/>
        <v>-1000000</v>
      </c>
      <c r="BT126" s="767">
        <f t="shared" si="189"/>
        <v>-1000000</v>
      </c>
      <c r="BU126" s="767">
        <f t="shared" si="187"/>
        <v>-1000000</v>
      </c>
      <c r="BV126" s="767">
        <f t="shared" si="187"/>
        <v>-1000000</v>
      </c>
      <c r="BW126" s="767">
        <f t="shared" si="187"/>
        <v>-1000000</v>
      </c>
      <c r="BX126" s="767">
        <f t="shared" si="187"/>
        <v>-1000000</v>
      </c>
      <c r="BY126" s="767">
        <f t="shared" si="187"/>
        <v>-1000000</v>
      </c>
      <c r="BZ126" s="648">
        <f t="shared" si="151"/>
        <v>89</v>
      </c>
      <c r="CA126" s="767">
        <f t="shared" si="152"/>
        <v>1.9635297320755012</v>
      </c>
      <c r="CB126" s="767"/>
      <c r="CC126" s="767"/>
      <c r="CD126" s="767"/>
      <c r="CE126" s="767"/>
      <c r="CF126" s="767"/>
      <c r="CG126" s="767"/>
      <c r="CH126" s="767"/>
      <c r="CI126" s="767"/>
      <c r="CJ126" s="767"/>
      <c r="CK126" s="781">
        <f t="shared" si="153"/>
        <v>1.75</v>
      </c>
      <c r="CL126" s="783">
        <f t="shared" si="172"/>
        <v>1000000</v>
      </c>
      <c r="CM126" s="552"/>
      <c r="CN126" s="552"/>
      <c r="CO126" s="552"/>
      <c r="CP126" s="552"/>
      <c r="CQ126" s="552"/>
      <c r="CR126" s="552"/>
      <c r="CS126" s="552"/>
      <c r="CT126" s="552"/>
      <c r="CU126" s="552"/>
      <c r="CV126" s="552"/>
      <c r="CW126" s="552"/>
      <c r="CX126" s="552"/>
      <c r="CY126" s="552"/>
      <c r="CZ126" s="642">
        <f t="shared" si="133"/>
        <v>119</v>
      </c>
      <c r="DA126" s="609">
        <f t="shared" si="110"/>
        <v>133.875</v>
      </c>
      <c r="DB126" s="609">
        <f t="shared" si="121"/>
        <v>47.6</v>
      </c>
      <c r="DC126" s="610">
        <f t="shared" si="179"/>
        <v>134.99788636555613</v>
      </c>
      <c r="DD126" s="611">
        <f t="shared" si="179"/>
        <v>134.99951658213925</v>
      </c>
      <c r="DE126" s="612">
        <f t="shared" si="179"/>
        <v>134.99998790642428</v>
      </c>
      <c r="DF126" s="610">
        <f t="shared" si="180"/>
        <v>19.411764705882348</v>
      </c>
      <c r="DG126" s="611">
        <f t="shared" si="180"/>
        <v>22</v>
      </c>
      <c r="DH126" s="612">
        <f t="shared" si="180"/>
        <v>28.470588235294098</v>
      </c>
      <c r="DI126" s="610">
        <f t="shared" si="111"/>
        <v>154.40965107143847</v>
      </c>
      <c r="DJ126" s="611">
        <f t="shared" si="111"/>
        <v>156.99951658213925</v>
      </c>
      <c r="DK126" s="612">
        <f t="shared" si="111"/>
        <v>163.47057614171837</v>
      </c>
      <c r="DL126" s="613">
        <f t="shared" si="188"/>
        <v>154.40965107143847</v>
      </c>
      <c r="DM126" s="613">
        <f t="shared" si="188"/>
        <v>156.99951658213925</v>
      </c>
      <c r="DN126" s="613">
        <f t="shared" si="188"/>
        <v>163.47057614171837</v>
      </c>
      <c r="DO126" s="609">
        <f t="shared" si="112"/>
        <v>135</v>
      </c>
      <c r="DP126" s="609"/>
      <c r="DQ126" s="609">
        <f t="shared" si="123"/>
        <v>47.6</v>
      </c>
      <c r="DR126" s="610">
        <f t="shared" si="173"/>
        <v>4.9131437560923389E-4</v>
      </c>
      <c r="DS126" s="611">
        <f t="shared" si="173"/>
        <v>1.2735322536153182E-4</v>
      </c>
      <c r="DT126" s="612">
        <f t="shared" si="173"/>
        <v>4.123022874236954E-6</v>
      </c>
      <c r="DU126" s="611">
        <f t="shared" si="190"/>
        <v>5.1488027501988382E-4</v>
      </c>
      <c r="DV126" s="611">
        <f t="shared" si="190"/>
        <v>1.3430533662983445E-4</v>
      </c>
      <c r="DW126" s="611">
        <f t="shared" si="190"/>
        <v>4.4173797419943467E-6</v>
      </c>
      <c r="DX126" s="614">
        <f t="shared" si="114"/>
        <v>12.5</v>
      </c>
      <c r="DY126" s="615"/>
      <c r="DZ126" s="609">
        <f t="shared" si="124"/>
        <v>47.6</v>
      </c>
      <c r="EA126" s="611">
        <f t="shared" si="181"/>
        <v>1000000</v>
      </c>
      <c r="EB126" s="611">
        <f t="shared" si="181"/>
        <v>1000000</v>
      </c>
      <c r="EC126" s="611">
        <f t="shared" si="181"/>
        <v>1000000</v>
      </c>
      <c r="ED126" s="610">
        <f t="shared" si="182"/>
        <v>0.22002999999999975</v>
      </c>
      <c r="EE126" s="611">
        <f t="shared" si="182"/>
        <v>0.22005999999999976</v>
      </c>
      <c r="EF126" s="612">
        <f t="shared" si="182"/>
        <v>0.22012499999999974</v>
      </c>
      <c r="EG126" s="611">
        <f t="shared" si="115"/>
        <v>1000000.22003</v>
      </c>
      <c r="EH126" s="611">
        <f t="shared" si="115"/>
        <v>1000000.22006</v>
      </c>
      <c r="EI126" s="611">
        <f t="shared" si="115"/>
        <v>1000000.220125</v>
      </c>
      <c r="EJ126" s="610">
        <f t="shared" si="125"/>
        <v>2.2999999999999998</v>
      </c>
      <c r="EK126" s="643">
        <f t="shared" si="126"/>
        <v>2.25</v>
      </c>
      <c r="EL126" s="644">
        <f t="shared" si="127"/>
        <v>2.83</v>
      </c>
      <c r="EN126" s="620">
        <f t="shared" si="128"/>
        <v>25.948611111111113</v>
      </c>
      <c r="EO126" s="621">
        <f t="shared" si="143"/>
        <v>42.108141095672117</v>
      </c>
      <c r="EP126" s="621">
        <f t="shared" si="143"/>
        <v>65.306024452844184</v>
      </c>
      <c r="EQ126" s="621">
        <f t="shared" si="143"/>
        <v>84.298538106589007</v>
      </c>
      <c r="ER126" s="610">
        <f t="shared" si="174"/>
        <v>4.2316863526837167</v>
      </c>
      <c r="ES126" s="611">
        <f t="shared" si="174"/>
        <v>36.160591675618861</v>
      </c>
      <c r="ET126" s="612">
        <f t="shared" si="174"/>
        <v>61.242533894296947</v>
      </c>
      <c r="EU126" s="610">
        <f t="shared" si="129"/>
        <v>100</v>
      </c>
      <c r="EV126" s="611">
        <f t="shared" si="130"/>
        <v>135</v>
      </c>
      <c r="EW126" s="645">
        <f t="shared" si="131"/>
        <v>-1000000</v>
      </c>
      <c r="EX126" s="610">
        <f t="shared" si="117"/>
        <v>-37.8764547429884</v>
      </c>
      <c r="EY126" s="621">
        <f t="shared" si="118"/>
        <v>-29.145432777225324</v>
      </c>
      <c r="EZ126" s="612">
        <f t="shared" si="119"/>
        <v>-23.056004212292059</v>
      </c>
      <c r="FA126" s="646">
        <f t="shared" si="120"/>
        <v>25.948611111111113</v>
      </c>
      <c r="FB126" s="317"/>
      <c r="FC126" s="552"/>
      <c r="FD126" s="552"/>
      <c r="FE126" s="552"/>
      <c r="FF126" s="552"/>
      <c r="FG126" s="552"/>
      <c r="FH126" s="552"/>
      <c r="FI126" s="552"/>
      <c r="FJ126" s="552"/>
      <c r="FK126" s="552"/>
      <c r="FL126" s="552"/>
      <c r="FM126" s="552"/>
      <c r="FN126" s="552"/>
      <c r="FO126" s="552"/>
      <c r="FP126" s="552"/>
      <c r="FQ126" s="552"/>
      <c r="FR126" s="552"/>
      <c r="FS126" s="552"/>
      <c r="FT126" s="552"/>
    </row>
    <row r="127" spans="2:176" s="564" customFormat="1" ht="15" customHeight="1" x14ac:dyDescent="0.2">
      <c r="B127" s="647">
        <f t="shared" si="193"/>
        <v>9</v>
      </c>
      <c r="C127" s="652">
        <f>$K$9</f>
        <v>101</v>
      </c>
      <c r="D127" s="771">
        <f>$B$9</f>
        <v>1.81</v>
      </c>
      <c r="E127" s="772">
        <f t="shared" si="149"/>
        <v>11.222222222222221</v>
      </c>
      <c r="F127" s="689"/>
      <c r="G127" s="747">
        <f t="shared" si="150"/>
        <v>1.7711341377849432</v>
      </c>
      <c r="H127" s="748">
        <f t="shared" si="154"/>
        <v>1.5105552457197826E-3</v>
      </c>
      <c r="I127" s="652"/>
      <c r="J127" s="773">
        <f t="shared" si="176"/>
        <v>90</v>
      </c>
      <c r="K127" s="774">
        <f t="shared" si="155"/>
        <v>101.25</v>
      </c>
      <c r="L127" s="747">
        <f t="shared" si="184"/>
        <v>2.0586304000000002</v>
      </c>
      <c r="M127" s="751">
        <f t="shared" si="184"/>
        <v>2.0499225000000001</v>
      </c>
      <c r="N127" s="751">
        <f t="shared" si="184"/>
        <v>2.0348837500000001</v>
      </c>
      <c r="O127" s="751">
        <f t="shared" si="184"/>
        <v>2.0198450000000001</v>
      </c>
      <c r="P127" s="751">
        <f t="shared" si="184"/>
        <v>1.9909600000000001</v>
      </c>
      <c r="Q127" s="751">
        <f t="shared" si="184"/>
        <v>1.9741060000000001</v>
      </c>
      <c r="R127" s="751">
        <f t="shared" si="184"/>
        <v>1.9098700000000002</v>
      </c>
      <c r="S127" s="751">
        <f t="shared" si="184"/>
        <v>1.8817588000000001</v>
      </c>
      <c r="T127" s="752">
        <f t="shared" si="184"/>
        <v>1.8415000000000001</v>
      </c>
      <c r="U127" s="753">
        <f t="shared" si="184"/>
        <v>1.58074</v>
      </c>
      <c r="W127" s="773">
        <f t="shared" si="157"/>
        <v>101.25</v>
      </c>
      <c r="X127" s="775">
        <f t="shared" si="185"/>
        <v>-9.625007615551269E-2</v>
      </c>
      <c r="Y127" s="776">
        <f t="shared" si="185"/>
        <v>-9.6254640044401582E-2</v>
      </c>
      <c r="Z127" s="776">
        <f t="shared" si="185"/>
        <v>-9.6262521988846023E-2</v>
      </c>
      <c r="AA127" s="776">
        <f t="shared" si="185"/>
        <v>-9.6270403933290463E-2</v>
      </c>
      <c r="AB127" s="776">
        <f t="shared" si="185"/>
        <v>-9.6285542822179354E-2</v>
      </c>
      <c r="AC127" s="776">
        <f t="shared" si="185"/>
        <v>-9.6294376155512687E-2</v>
      </c>
      <c r="AD127" s="776">
        <f t="shared" si="185"/>
        <v>-9.6328042822179355E-2</v>
      </c>
      <c r="AE127" s="776">
        <f t="shared" si="185"/>
        <v>-9.6342776155512691E-2</v>
      </c>
      <c r="AF127" s="777">
        <f t="shared" si="185"/>
        <v>-9.6363876155512687E-2</v>
      </c>
      <c r="AG127" s="778">
        <f t="shared" si="185"/>
        <v>-9.6500542822179347E-2</v>
      </c>
      <c r="AI127" s="773">
        <f t="shared" si="159"/>
        <v>101.25</v>
      </c>
      <c r="AJ127" s="747">
        <f t="shared" si="192"/>
        <v>1.9623803238444875</v>
      </c>
      <c r="AK127" s="751">
        <f t="shared" si="192"/>
        <v>1.9536678599555986</v>
      </c>
      <c r="AL127" s="751">
        <f t="shared" si="192"/>
        <v>1.9386212280111541</v>
      </c>
      <c r="AM127" s="751">
        <f t="shared" si="192"/>
        <v>1.9235745960667097</v>
      </c>
      <c r="AN127" s="751">
        <f t="shared" si="192"/>
        <v>1.8946744571778207</v>
      </c>
      <c r="AO127" s="751">
        <f t="shared" si="192"/>
        <v>1.8778116238444875</v>
      </c>
      <c r="AP127" s="751">
        <f t="shared" si="192"/>
        <v>1.8135419571778209</v>
      </c>
      <c r="AQ127" s="751">
        <f t="shared" si="192"/>
        <v>1.7854160238444874</v>
      </c>
      <c r="AR127" s="752">
        <f t="shared" si="191"/>
        <v>1.7451361238444874</v>
      </c>
      <c r="AS127" s="751"/>
      <c r="AT127" s="674">
        <f t="shared" si="160"/>
        <v>1.75</v>
      </c>
      <c r="AU127" s="712">
        <f t="shared" si="161"/>
        <v>1.8</v>
      </c>
      <c r="AV127" s="712">
        <f t="shared" si="162"/>
        <v>1.81</v>
      </c>
      <c r="AW127" s="712">
        <f t="shared" si="163"/>
        <v>1.83</v>
      </c>
      <c r="AX127" s="712">
        <f t="shared" si="164"/>
        <v>1.84</v>
      </c>
      <c r="AY127" s="712">
        <f t="shared" si="165"/>
        <v>1.86</v>
      </c>
      <c r="AZ127" s="712">
        <f t="shared" si="166"/>
        <v>1.88</v>
      </c>
      <c r="BA127" s="712">
        <f t="shared" si="167"/>
        <v>1.9</v>
      </c>
      <c r="BB127" s="712">
        <f t="shared" si="168"/>
        <v>1.92</v>
      </c>
      <c r="BC127" s="779">
        <f t="shared" si="169"/>
        <v>1000000</v>
      </c>
      <c r="BD127" s="780">
        <f t="shared" si="170"/>
        <v>1000000</v>
      </c>
      <c r="BF127" s="781">
        <f t="shared" si="186"/>
        <v>1.9627172401536346</v>
      </c>
      <c r="BG127" s="767">
        <f t="shared" si="186"/>
        <v>2.1291269204315291</v>
      </c>
      <c r="BH127" s="767">
        <f t="shared" si="186"/>
        <v>2.0006257353713326</v>
      </c>
      <c r="BI127" s="767">
        <f t="shared" si="186"/>
        <v>1.9946817188441683</v>
      </c>
      <c r="BJ127" s="767">
        <f t="shared" si="186"/>
        <v>1.9915615050677185</v>
      </c>
      <c r="BK127" s="767">
        <f t="shared" si="186"/>
        <v>1.9908134598692988</v>
      </c>
      <c r="BL127" s="767">
        <f t="shared" si="186"/>
        <v>1.9895768718172333</v>
      </c>
      <c r="BM127" s="767">
        <f t="shared" si="186"/>
        <v>1.9893223151752968</v>
      </c>
      <c r="BN127" s="767">
        <f t="shared" si="186"/>
        <v>1.9890696416503963</v>
      </c>
      <c r="BO127" s="782">
        <f t="shared" si="186"/>
        <v>1.9883923945168991</v>
      </c>
      <c r="BP127" s="781">
        <f t="shared" si="189"/>
        <v>1.9627172401536346</v>
      </c>
      <c r="BQ127" s="767">
        <f t="shared" si="189"/>
        <v>-1000000</v>
      </c>
      <c r="BR127" s="767">
        <f t="shared" si="189"/>
        <v>-1000000</v>
      </c>
      <c r="BS127" s="767">
        <f t="shared" si="189"/>
        <v>-1000000</v>
      </c>
      <c r="BT127" s="767">
        <f t="shared" si="189"/>
        <v>-1000000</v>
      </c>
      <c r="BU127" s="767">
        <f t="shared" si="187"/>
        <v>-1000000</v>
      </c>
      <c r="BV127" s="767">
        <f t="shared" si="187"/>
        <v>-1000000</v>
      </c>
      <c r="BW127" s="767">
        <f t="shared" si="187"/>
        <v>-1000000</v>
      </c>
      <c r="BX127" s="767">
        <f t="shared" si="187"/>
        <v>-1000000</v>
      </c>
      <c r="BY127" s="767">
        <f t="shared" si="187"/>
        <v>-1000000</v>
      </c>
      <c r="BZ127" s="648">
        <f t="shared" si="151"/>
        <v>90</v>
      </c>
      <c r="CA127" s="767">
        <f t="shared" si="152"/>
        <v>1.9627172401536346</v>
      </c>
      <c r="CB127" s="767"/>
      <c r="CC127" s="767"/>
      <c r="CD127" s="767"/>
      <c r="CE127" s="767"/>
      <c r="CF127" s="767"/>
      <c r="CG127" s="767"/>
      <c r="CH127" s="767"/>
      <c r="CI127" s="767"/>
      <c r="CJ127" s="767"/>
      <c r="CK127" s="781">
        <f t="shared" si="153"/>
        <v>1.75</v>
      </c>
      <c r="CL127" s="783">
        <f t="shared" si="172"/>
        <v>1000000</v>
      </c>
      <c r="CM127" s="552"/>
      <c r="CN127" s="552"/>
      <c r="CO127" s="552"/>
      <c r="CP127" s="552"/>
      <c r="CQ127" s="552"/>
      <c r="CR127" s="552"/>
      <c r="CS127" s="552"/>
      <c r="CT127" s="552"/>
      <c r="CU127" s="552"/>
      <c r="CV127" s="552"/>
      <c r="CW127" s="552"/>
      <c r="CX127" s="552"/>
      <c r="CY127" s="552"/>
      <c r="CZ127" s="812">
        <f t="shared" si="133"/>
        <v>120</v>
      </c>
      <c r="DA127" s="813">
        <f t="shared" si="110"/>
        <v>135</v>
      </c>
      <c r="DB127" s="813">
        <f t="shared" si="121"/>
        <v>48</v>
      </c>
      <c r="DC127" s="802">
        <f t="shared" si="179"/>
        <v>134.99807403153167</v>
      </c>
      <c r="DD127" s="803">
        <f t="shared" si="179"/>
        <v>134.99956493124682</v>
      </c>
      <c r="DE127" s="804">
        <f t="shared" si="179"/>
        <v>134.99998944812361</v>
      </c>
      <c r="DF127" s="802">
        <f t="shared" si="180"/>
        <v>19.411764705882348</v>
      </c>
      <c r="DG127" s="803">
        <f t="shared" si="180"/>
        <v>22</v>
      </c>
      <c r="DH127" s="804">
        <f t="shared" si="180"/>
        <v>28.470588235294098</v>
      </c>
      <c r="DI127" s="802">
        <f t="shared" si="111"/>
        <v>154.40983873741402</v>
      </c>
      <c r="DJ127" s="803">
        <f t="shared" si="111"/>
        <v>156.99956493124682</v>
      </c>
      <c r="DK127" s="804">
        <f t="shared" si="111"/>
        <v>163.4705776834177</v>
      </c>
      <c r="DL127" s="802">
        <f t="shared" si="188"/>
        <v>154.40983873741402</v>
      </c>
      <c r="DM127" s="803">
        <f t="shared" si="188"/>
        <v>156.99956493124682</v>
      </c>
      <c r="DN127" s="804">
        <f t="shared" si="188"/>
        <v>163.4705776834177</v>
      </c>
      <c r="DO127" s="813">
        <f t="shared" si="112"/>
        <v>135</v>
      </c>
      <c r="DP127" s="609"/>
      <c r="DQ127" s="813">
        <f t="shared" si="123"/>
        <v>48</v>
      </c>
      <c r="DR127" s="802">
        <f t="shared" si="173"/>
        <v>4.4769141523340621E-4</v>
      </c>
      <c r="DS127" s="803">
        <f t="shared" si="173"/>
        <v>1.146159740270978E-4</v>
      </c>
      <c r="DT127" s="804">
        <f t="shared" si="173"/>
        <v>3.5974164007760493E-6</v>
      </c>
      <c r="DU127" s="611">
        <f t="shared" si="190"/>
        <v>4.6916493886328849E-4</v>
      </c>
      <c r="DV127" s="611">
        <f t="shared" si="190"/>
        <v>1.2087276893169062E-4</v>
      </c>
      <c r="DW127" s="611">
        <f t="shared" si="190"/>
        <v>3.8542483338233204E-6</v>
      </c>
      <c r="DX127" s="814">
        <f t="shared" si="114"/>
        <v>12.5</v>
      </c>
      <c r="DY127" s="615"/>
      <c r="DZ127" s="813">
        <f t="shared" si="124"/>
        <v>48</v>
      </c>
      <c r="EA127" s="611">
        <f t="shared" si="181"/>
        <v>1000000</v>
      </c>
      <c r="EB127" s="611">
        <f t="shared" si="181"/>
        <v>1000000</v>
      </c>
      <c r="EC127" s="611">
        <f t="shared" si="181"/>
        <v>1000000</v>
      </c>
      <c r="ED127" s="802">
        <f t="shared" si="182"/>
        <v>0.22002999999999975</v>
      </c>
      <c r="EE127" s="803">
        <f t="shared" si="182"/>
        <v>0.22005999999999976</v>
      </c>
      <c r="EF127" s="804">
        <f t="shared" si="182"/>
        <v>0.22012499999999974</v>
      </c>
      <c r="EG127" s="803">
        <f t="shared" si="115"/>
        <v>1000000.22003</v>
      </c>
      <c r="EH127" s="803">
        <f t="shared" si="115"/>
        <v>1000000.22006</v>
      </c>
      <c r="EI127" s="803">
        <f t="shared" si="115"/>
        <v>1000000.220125</v>
      </c>
      <c r="EJ127" s="802">
        <f t="shared" si="125"/>
        <v>2.2999999999999998</v>
      </c>
      <c r="EK127" s="815">
        <f t="shared" si="126"/>
        <v>2.25</v>
      </c>
      <c r="EL127" s="816">
        <f t="shared" si="127"/>
        <v>2.83</v>
      </c>
      <c r="EN127" s="817">
        <f t="shared" si="128"/>
        <v>26.166666666666668</v>
      </c>
      <c r="EO127" s="818">
        <f t="shared" si="143"/>
        <v>41.328670358830294</v>
      </c>
      <c r="EP127" s="800">
        <f t="shared" si="143"/>
        <v>64.720998633434377</v>
      </c>
      <c r="EQ127" s="800">
        <f t="shared" si="143"/>
        <v>83.872812971532682</v>
      </c>
      <c r="ER127" s="802">
        <f t="shared" si="174"/>
        <v>3.4522150667596065</v>
      </c>
      <c r="ES127" s="803">
        <f t="shared" si="174"/>
        <v>35.566548566345816</v>
      </c>
      <c r="ET127" s="804">
        <f t="shared" si="174"/>
        <v>60.705047051332606</v>
      </c>
      <c r="EU127" s="802">
        <f t="shared" si="129"/>
        <v>100</v>
      </c>
      <c r="EV127" s="803">
        <f t="shared" si="130"/>
        <v>135</v>
      </c>
      <c r="EW127" s="819">
        <f t="shared" si="131"/>
        <v>-1000000</v>
      </c>
      <c r="EX127" s="802">
        <f t="shared" si="117"/>
        <v>-37.876455292070688</v>
      </c>
      <c r="EY127" s="800">
        <f t="shared" si="118"/>
        <v>-29.154450067088561</v>
      </c>
      <c r="EZ127" s="804">
        <f t="shared" si="119"/>
        <v>-23.167765920200075</v>
      </c>
      <c r="FA127" s="820">
        <f t="shared" si="120"/>
        <v>26.166666666666668</v>
      </c>
      <c r="FB127" s="317"/>
      <c r="FC127" s="552"/>
      <c r="FD127" s="552"/>
      <c r="FE127" s="552"/>
      <c r="FF127" s="552"/>
      <c r="FG127" s="552"/>
      <c r="FH127" s="552"/>
      <c r="FI127" s="552"/>
      <c r="FJ127" s="552"/>
      <c r="FK127" s="552"/>
      <c r="FL127" s="552"/>
      <c r="FM127" s="552"/>
      <c r="FN127" s="552"/>
      <c r="FO127" s="552"/>
      <c r="FP127" s="552"/>
      <c r="FQ127" s="552"/>
      <c r="FR127" s="552"/>
      <c r="FS127" s="552"/>
      <c r="FT127" s="552"/>
    </row>
    <row r="128" spans="2:176" s="564" customFormat="1" ht="15" customHeight="1" x14ac:dyDescent="0.2">
      <c r="B128" s="647">
        <f t="shared" si="193"/>
        <v>9</v>
      </c>
      <c r="C128" s="652">
        <f>$K$10</f>
        <v>100</v>
      </c>
      <c r="D128" s="771">
        <f>$B$10</f>
        <v>1.83</v>
      </c>
      <c r="E128" s="772">
        <f t="shared" si="149"/>
        <v>11.111111111111111</v>
      </c>
      <c r="F128" s="689"/>
      <c r="G128" s="747">
        <f t="shared" si="150"/>
        <v>1.7793791265350252</v>
      </c>
      <c r="H128" s="748">
        <f t="shared" si="154"/>
        <v>2.5624728303570003E-3</v>
      </c>
      <c r="I128" s="652"/>
      <c r="J128" s="773">
        <f t="shared" si="176"/>
        <v>91</v>
      </c>
      <c r="K128" s="774">
        <f t="shared" si="155"/>
        <v>102.375</v>
      </c>
      <c r="L128" s="747">
        <f t="shared" si="184"/>
        <v>2.0578935172413795</v>
      </c>
      <c r="M128" s="751">
        <f t="shared" si="184"/>
        <v>2.0488853448275863</v>
      </c>
      <c r="N128" s="751">
        <f t="shared" si="184"/>
        <v>2.0333280172413795</v>
      </c>
      <c r="O128" s="751">
        <f t="shared" si="184"/>
        <v>2.0177706896551726</v>
      </c>
      <c r="P128" s="751">
        <f t="shared" si="184"/>
        <v>1.9878896551724139</v>
      </c>
      <c r="Q128" s="751">
        <f t="shared" si="184"/>
        <v>1.9704544827586208</v>
      </c>
      <c r="R128" s="751">
        <f t="shared" si="184"/>
        <v>1.9040034482758621</v>
      </c>
      <c r="S128" s="751">
        <f t="shared" si="184"/>
        <v>1.8749228965517242</v>
      </c>
      <c r="T128" s="752">
        <f t="shared" si="184"/>
        <v>1.8332758620689655</v>
      </c>
      <c r="U128" s="753">
        <f t="shared" si="184"/>
        <v>1.5635241379310347</v>
      </c>
      <c r="W128" s="773">
        <f t="shared" si="157"/>
        <v>102.375</v>
      </c>
      <c r="X128" s="775">
        <f t="shared" si="185"/>
        <v>-9.6384532219997598E-2</v>
      </c>
      <c r="Y128" s="776">
        <f t="shared" si="185"/>
        <v>-9.6389096108886491E-2</v>
      </c>
      <c r="Z128" s="776">
        <f t="shared" si="185"/>
        <v>-9.6396978053330931E-2</v>
      </c>
      <c r="AA128" s="776">
        <f t="shared" si="185"/>
        <v>-9.6404859997775372E-2</v>
      </c>
      <c r="AB128" s="776">
        <f t="shared" si="185"/>
        <v>-9.6419998886664263E-2</v>
      </c>
      <c r="AC128" s="776">
        <f t="shared" si="185"/>
        <v>-9.6428832219997596E-2</v>
      </c>
      <c r="AD128" s="776">
        <f t="shared" si="185"/>
        <v>-9.6462498886664264E-2</v>
      </c>
      <c r="AE128" s="776">
        <f t="shared" si="185"/>
        <v>-9.64772322199976E-2</v>
      </c>
      <c r="AF128" s="777">
        <f t="shared" si="185"/>
        <v>-9.6498332219997596E-2</v>
      </c>
      <c r="AG128" s="778">
        <f t="shared" si="185"/>
        <v>-9.6634998886664256E-2</v>
      </c>
      <c r="AI128" s="773">
        <f t="shared" si="159"/>
        <v>102.375</v>
      </c>
      <c r="AJ128" s="747">
        <f t="shared" si="192"/>
        <v>1.9615089850213818</v>
      </c>
      <c r="AK128" s="751">
        <f t="shared" si="192"/>
        <v>1.9524962487186999</v>
      </c>
      <c r="AL128" s="751">
        <f t="shared" si="192"/>
        <v>1.9369310391880485</v>
      </c>
      <c r="AM128" s="751">
        <f t="shared" si="192"/>
        <v>1.9213658296573972</v>
      </c>
      <c r="AN128" s="751">
        <f t="shared" si="192"/>
        <v>1.8914696562857496</v>
      </c>
      <c r="AO128" s="751">
        <f t="shared" si="192"/>
        <v>1.8740256505386232</v>
      </c>
      <c r="AP128" s="751">
        <f t="shared" si="192"/>
        <v>1.8075409493891978</v>
      </c>
      <c r="AQ128" s="751">
        <f t="shared" si="192"/>
        <v>1.7784456643317266</v>
      </c>
      <c r="AR128" s="752">
        <f t="shared" si="191"/>
        <v>1.7367775298489678</v>
      </c>
      <c r="AS128" s="751"/>
      <c r="AT128" s="674">
        <f t="shared" si="160"/>
        <v>1.75</v>
      </c>
      <c r="AU128" s="712">
        <f t="shared" si="161"/>
        <v>1.8</v>
      </c>
      <c r="AV128" s="712">
        <f t="shared" si="162"/>
        <v>1.81</v>
      </c>
      <c r="AW128" s="712">
        <f t="shared" si="163"/>
        <v>1.83</v>
      </c>
      <c r="AX128" s="712">
        <f t="shared" si="164"/>
        <v>1.84</v>
      </c>
      <c r="AY128" s="712">
        <f t="shared" si="165"/>
        <v>1.86</v>
      </c>
      <c r="AZ128" s="712">
        <f t="shared" si="166"/>
        <v>1.88</v>
      </c>
      <c r="BA128" s="712">
        <f t="shared" si="167"/>
        <v>1.9</v>
      </c>
      <c r="BB128" s="712">
        <f t="shared" si="168"/>
        <v>1.92</v>
      </c>
      <c r="BC128" s="779">
        <f t="shared" si="169"/>
        <v>1000000</v>
      </c>
      <c r="BD128" s="780">
        <f t="shared" si="170"/>
        <v>1000000</v>
      </c>
      <c r="BF128" s="781">
        <f t="shared" si="186"/>
        <v>1.9618666027414942</v>
      </c>
      <c r="BG128" s="767">
        <f t="shared" si="186"/>
        <v>2.1015565978679249</v>
      </c>
      <c r="BH128" s="767">
        <f t="shared" si="186"/>
        <v>2.0000468961425759</v>
      </c>
      <c r="BI128" s="767">
        <f t="shared" si="186"/>
        <v>1.9943983487709971</v>
      </c>
      <c r="BJ128" s="767">
        <f t="shared" si="186"/>
        <v>1.9913916325983387</v>
      </c>
      <c r="BK128" s="767">
        <f t="shared" si="186"/>
        <v>1.9906664047333451</v>
      </c>
      <c r="BL128" s="767">
        <f t="shared" si="186"/>
        <v>1.9894634774084949</v>
      </c>
      <c r="BM128" s="767">
        <f t="shared" si="186"/>
        <v>1.9892151160327847</v>
      </c>
      <c r="BN128" s="767">
        <f t="shared" si="186"/>
        <v>1.9889682615778506</v>
      </c>
      <c r="BO128" s="782">
        <f t="shared" si="186"/>
        <v>1.9883039738066401</v>
      </c>
      <c r="BP128" s="781">
        <f t="shared" si="189"/>
        <v>1.9618666027414942</v>
      </c>
      <c r="BQ128" s="767">
        <f t="shared" si="189"/>
        <v>-1000000</v>
      </c>
      <c r="BR128" s="767">
        <f t="shared" si="189"/>
        <v>-1000000</v>
      </c>
      <c r="BS128" s="767">
        <f t="shared" si="189"/>
        <v>-1000000</v>
      </c>
      <c r="BT128" s="767">
        <f t="shared" si="189"/>
        <v>-1000000</v>
      </c>
      <c r="BU128" s="767">
        <f t="shared" si="187"/>
        <v>-1000000</v>
      </c>
      <c r="BV128" s="767">
        <f t="shared" si="187"/>
        <v>-1000000</v>
      </c>
      <c r="BW128" s="767">
        <f t="shared" si="187"/>
        <v>-1000000</v>
      </c>
      <c r="BX128" s="767">
        <f t="shared" si="187"/>
        <v>-1000000</v>
      </c>
      <c r="BY128" s="767">
        <f t="shared" si="187"/>
        <v>-1000000</v>
      </c>
      <c r="BZ128" s="648">
        <f t="shared" si="151"/>
        <v>91</v>
      </c>
      <c r="CA128" s="767">
        <f t="shared" ref="CA128:CA155" si="194">IF(BP128&lt;0,-1000000,BP128)</f>
        <v>1.9618666027414942</v>
      </c>
      <c r="CB128" s="767"/>
      <c r="CC128" s="767"/>
      <c r="CD128" s="767"/>
      <c r="CE128" s="767"/>
      <c r="CF128" s="767"/>
      <c r="CG128" s="767"/>
      <c r="CH128" s="767"/>
      <c r="CI128" s="767"/>
      <c r="CJ128" s="767"/>
      <c r="CK128" s="781">
        <f t="shared" si="153"/>
        <v>1.75</v>
      </c>
      <c r="CL128" s="783">
        <f t="shared" si="172"/>
        <v>1000000</v>
      </c>
      <c r="CO128" s="558"/>
      <c r="CP128" s="558"/>
      <c r="CQ128" s="558"/>
      <c r="CR128" s="558"/>
      <c r="CS128" s="558"/>
      <c r="CT128" s="558"/>
      <c r="CU128" s="558"/>
      <c r="CV128" s="558"/>
      <c r="CW128" s="558"/>
      <c r="CX128" s="558"/>
      <c r="CY128" s="558"/>
      <c r="CZ128" s="558"/>
      <c r="DA128" s="558"/>
      <c r="DB128" s="558"/>
      <c r="DC128" s="558"/>
      <c r="DD128" s="558"/>
      <c r="DE128" s="558"/>
      <c r="DF128" s="558"/>
      <c r="DG128" s="558"/>
      <c r="DH128" s="558"/>
      <c r="DI128" s="558"/>
      <c r="DJ128" s="558"/>
      <c r="DK128" s="558"/>
      <c r="DL128" s="558"/>
      <c r="DM128" s="558"/>
      <c r="DN128" s="558"/>
      <c r="DO128" s="558"/>
      <c r="DP128" s="558"/>
      <c r="DQ128" s="558"/>
      <c r="DR128" s="558"/>
      <c r="DS128" s="558"/>
      <c r="DT128" s="558"/>
      <c r="EN128" s="558"/>
      <c r="EO128" s="558"/>
      <c r="EP128" s="558"/>
      <c r="EQ128" s="558"/>
      <c r="ER128" s="558"/>
      <c r="ES128" s="558"/>
      <c r="ET128" s="558"/>
      <c r="EU128" s="558"/>
      <c r="EV128" s="558"/>
      <c r="EW128" s="552"/>
      <c r="EX128" s="558"/>
      <c r="EY128" s="821"/>
      <c r="EZ128" s="558"/>
      <c r="FA128" s="317"/>
      <c r="FB128" s="317"/>
      <c r="FC128" s="552"/>
      <c r="FD128" s="552"/>
      <c r="FE128" s="552"/>
      <c r="FF128" s="552"/>
      <c r="FG128" s="552"/>
      <c r="FH128" s="552"/>
      <c r="FI128" s="552"/>
      <c r="FJ128" s="552"/>
      <c r="FK128" s="552"/>
      <c r="FL128" s="552"/>
      <c r="FM128" s="552"/>
      <c r="FN128" s="552"/>
      <c r="FO128" s="552"/>
      <c r="FP128" s="552"/>
      <c r="FQ128" s="552"/>
      <c r="FR128" s="552"/>
      <c r="FS128" s="552"/>
      <c r="FT128" s="552"/>
    </row>
    <row r="129" spans="2:176" s="564" customFormat="1" ht="15" customHeight="1" x14ac:dyDescent="0.2">
      <c r="B129" s="647">
        <f t="shared" si="193"/>
        <v>9</v>
      </c>
      <c r="C129" s="652">
        <f>$K$11</f>
        <v>99</v>
      </c>
      <c r="D129" s="771">
        <f>$B$11</f>
        <v>1.84</v>
      </c>
      <c r="E129" s="772">
        <f t="shared" si="149"/>
        <v>11</v>
      </c>
      <c r="F129" s="689"/>
      <c r="G129" s="747">
        <f t="shared" si="150"/>
        <v>1.7871790693714471</v>
      </c>
      <c r="H129" s="748">
        <f t="shared" si="154"/>
        <v>2.7900507124664058E-3</v>
      </c>
      <c r="I129" s="652"/>
      <c r="J129" s="773">
        <f t="shared" si="176"/>
        <v>92</v>
      </c>
      <c r="K129" s="774">
        <f t="shared" si="155"/>
        <v>103.5</v>
      </c>
      <c r="L129" s="747">
        <f t="shared" si="184"/>
        <v>2.0571040000000003</v>
      </c>
      <c r="M129" s="751">
        <f t="shared" si="184"/>
        <v>2.0477741071428572</v>
      </c>
      <c r="N129" s="751">
        <f t="shared" si="184"/>
        <v>2.0316611607142856</v>
      </c>
      <c r="O129" s="751">
        <f t="shared" si="184"/>
        <v>2.0155482142857144</v>
      </c>
      <c r="P129" s="751">
        <f t="shared" si="184"/>
        <v>1.9846000000000001</v>
      </c>
      <c r="Q129" s="751">
        <f t="shared" si="184"/>
        <v>1.966542142857143</v>
      </c>
      <c r="R129" s="751">
        <f t="shared" si="184"/>
        <v>1.8977178571428572</v>
      </c>
      <c r="S129" s="751">
        <f t="shared" si="184"/>
        <v>1.8675987142857142</v>
      </c>
      <c r="T129" s="752">
        <f t="shared" si="184"/>
        <v>1.8244642857142859</v>
      </c>
      <c r="U129" s="753">
        <f t="shared" si="184"/>
        <v>1.5450785714285713</v>
      </c>
      <c r="W129" s="773">
        <f t="shared" si="157"/>
        <v>103.5</v>
      </c>
      <c r="X129" s="775">
        <f t="shared" si="185"/>
        <v>-9.6512285528107866E-2</v>
      </c>
      <c r="Y129" s="776">
        <f t="shared" si="185"/>
        <v>-9.6516849416996758E-2</v>
      </c>
      <c r="Z129" s="776">
        <f t="shared" si="185"/>
        <v>-9.6524731361441199E-2</v>
      </c>
      <c r="AA129" s="776">
        <f t="shared" si="185"/>
        <v>-9.6532613305885639E-2</v>
      </c>
      <c r="AB129" s="776">
        <f t="shared" si="185"/>
        <v>-9.654775219477453E-2</v>
      </c>
      <c r="AC129" s="776">
        <f t="shared" si="185"/>
        <v>-9.6556585528107863E-2</v>
      </c>
      <c r="AD129" s="776">
        <f t="shared" si="185"/>
        <v>-9.6590252194774531E-2</v>
      </c>
      <c r="AE129" s="776">
        <f t="shared" si="185"/>
        <v>-9.6604985528107867E-2</v>
      </c>
      <c r="AF129" s="777">
        <f t="shared" si="185"/>
        <v>-9.6626085528107863E-2</v>
      </c>
      <c r="AG129" s="778">
        <f t="shared" si="185"/>
        <v>-9.6762752194774523E-2</v>
      </c>
      <c r="AI129" s="773">
        <f t="shared" si="159"/>
        <v>103.5</v>
      </c>
      <c r="AJ129" s="747">
        <f t="shared" si="192"/>
        <v>1.9605917144718923</v>
      </c>
      <c r="AK129" s="751">
        <f t="shared" si="192"/>
        <v>1.9512572577258605</v>
      </c>
      <c r="AL129" s="751">
        <f t="shared" si="192"/>
        <v>1.9351364293528444</v>
      </c>
      <c r="AM129" s="751">
        <f t="shared" si="192"/>
        <v>1.9190156009798287</v>
      </c>
      <c r="AN129" s="751">
        <f t="shared" si="192"/>
        <v>1.8880522478052255</v>
      </c>
      <c r="AO129" s="751">
        <f t="shared" si="192"/>
        <v>1.8699855573290352</v>
      </c>
      <c r="AP129" s="751">
        <f t="shared" si="192"/>
        <v>1.8011276049480827</v>
      </c>
      <c r="AQ129" s="751">
        <f t="shared" si="192"/>
        <v>1.7709937287576063</v>
      </c>
      <c r="AR129" s="752"/>
      <c r="AS129" s="751"/>
      <c r="AT129" s="674">
        <f t="shared" si="160"/>
        <v>1.75</v>
      </c>
      <c r="AU129" s="712">
        <f t="shared" si="161"/>
        <v>1.8</v>
      </c>
      <c r="AV129" s="712">
        <f t="shared" si="162"/>
        <v>1.81</v>
      </c>
      <c r="AW129" s="712">
        <f t="shared" si="163"/>
        <v>1.83</v>
      </c>
      <c r="AX129" s="712">
        <f t="shared" si="164"/>
        <v>1.84</v>
      </c>
      <c r="AY129" s="712">
        <f t="shared" si="165"/>
        <v>1.86</v>
      </c>
      <c r="AZ129" s="712">
        <f t="shared" si="166"/>
        <v>1.88</v>
      </c>
      <c r="BA129" s="712">
        <f t="shared" si="167"/>
        <v>1.9</v>
      </c>
      <c r="BB129" s="712">
        <f t="shared" si="168"/>
        <v>1.92</v>
      </c>
      <c r="BC129" s="779">
        <f t="shared" si="169"/>
        <v>1000000</v>
      </c>
      <c r="BD129" s="780">
        <f t="shared" si="170"/>
        <v>1000000</v>
      </c>
      <c r="BF129" s="781">
        <f t="shared" si="186"/>
        <v>1.9609727050854591</v>
      </c>
      <c r="BG129" s="767">
        <f t="shared" si="186"/>
        <v>2.0826472902047839</v>
      </c>
      <c r="BH129" s="767">
        <f t="shared" si="186"/>
        <v>1.9995012980563149</v>
      </c>
      <c r="BI129" s="767">
        <f t="shared" si="186"/>
        <v>1.9941265106933643</v>
      </c>
      <c r="BJ129" s="767">
        <f t="shared" si="186"/>
        <v>1.9912271468403537</v>
      </c>
      <c r="BK129" s="767">
        <f t="shared" si="186"/>
        <v>1.9905236954776084</v>
      </c>
      <c r="BL129" s="767">
        <f t="shared" si="186"/>
        <v>1.9893530336811123</v>
      </c>
      <c r="BM129" s="767">
        <f t="shared" si="186"/>
        <v>1.9891106305611885</v>
      </c>
      <c r="BN129" s="767">
        <f t="shared" si="186"/>
        <v>1.9888693785514266</v>
      </c>
      <c r="BO129" s="782">
        <f t="shared" si="186"/>
        <v>1.9882175894835765</v>
      </c>
      <c r="BP129" s="781">
        <f t="shared" si="189"/>
        <v>1.9609727050854591</v>
      </c>
      <c r="BQ129" s="767">
        <f t="shared" si="189"/>
        <v>-1000000</v>
      </c>
      <c r="BR129" s="767">
        <f t="shared" si="189"/>
        <v>-1000000</v>
      </c>
      <c r="BS129" s="767">
        <f t="shared" si="189"/>
        <v>-1000000</v>
      </c>
      <c r="BT129" s="767">
        <f t="shared" si="189"/>
        <v>-1000000</v>
      </c>
      <c r="BU129" s="767">
        <f t="shared" si="187"/>
        <v>-1000000</v>
      </c>
      <c r="BV129" s="767">
        <f t="shared" si="187"/>
        <v>-1000000</v>
      </c>
      <c r="BW129" s="767">
        <f t="shared" si="187"/>
        <v>-1000000</v>
      </c>
      <c r="BX129" s="767">
        <f t="shared" si="187"/>
        <v>-1000000</v>
      </c>
      <c r="BY129" s="767">
        <f t="shared" si="187"/>
        <v>-1000000</v>
      </c>
      <c r="BZ129" s="648">
        <f t="shared" si="151"/>
        <v>92</v>
      </c>
      <c r="CA129" s="767">
        <f t="shared" si="194"/>
        <v>1.9609727050854591</v>
      </c>
      <c r="CB129" s="767"/>
      <c r="CC129" s="767"/>
      <c r="CD129" s="767"/>
      <c r="CE129" s="767"/>
      <c r="CF129" s="767"/>
      <c r="CG129" s="767"/>
      <c r="CH129" s="767"/>
      <c r="CI129" s="767"/>
      <c r="CJ129" s="767"/>
      <c r="CK129" s="781">
        <f t="shared" si="153"/>
        <v>1.75</v>
      </c>
      <c r="CL129" s="783">
        <f t="shared" si="172"/>
        <v>1000000</v>
      </c>
      <c r="CO129" s="558"/>
      <c r="CP129" s="558"/>
      <c r="CQ129" s="558"/>
      <c r="CR129" s="558"/>
      <c r="CS129" s="558"/>
      <c r="CT129" s="558"/>
      <c r="CU129" s="558"/>
      <c r="CV129" s="558"/>
      <c r="CW129" s="558"/>
      <c r="CX129" s="558"/>
      <c r="CY129" s="558"/>
      <c r="CZ129" s="558"/>
      <c r="DA129" s="558"/>
      <c r="DB129" s="558"/>
      <c r="DC129" s="558"/>
      <c r="DD129" s="558"/>
      <c r="DE129" s="558"/>
      <c r="DF129" s="558"/>
      <c r="DG129" s="558"/>
      <c r="DH129" s="558"/>
      <c r="DI129" s="558"/>
      <c r="DJ129" s="558"/>
      <c r="DK129" s="558"/>
      <c r="DL129" s="558"/>
      <c r="DM129" s="558"/>
      <c r="DN129" s="558"/>
      <c r="DO129" s="558"/>
      <c r="DP129" s="558"/>
      <c r="DQ129" s="558"/>
      <c r="DR129" s="558"/>
      <c r="DS129" s="558"/>
      <c r="DT129" s="558"/>
      <c r="EN129" s="822">
        <f>EO136</f>
        <v>1.5763888888888888</v>
      </c>
      <c r="EO129" s="823">
        <f>$CS$28*((1-($CS$36*$EN129)/($CS$21-EO$4))/(1+(($CS$37*$EN129)/($CS$21-EO$4))))</f>
        <v>129.34914071954347</v>
      </c>
      <c r="EP129" s="635"/>
      <c r="EQ129" s="636"/>
      <c r="ER129" s="617">
        <f>EO129+EX129</f>
        <v>113.5</v>
      </c>
      <c r="ES129" s="622"/>
      <c r="ET129" s="623"/>
      <c r="EU129" s="558"/>
      <c r="EV129" s="558"/>
      <c r="EW129" s="558"/>
      <c r="EX129" s="617">
        <f>$CS$30-($CS$30-EX$2)*((1-EXP(-$EN129/$EO$136))/(1-EXP(-1)))</f>
        <v>-15.84914071954347</v>
      </c>
      <c r="EY129" s="635"/>
      <c r="EZ129" s="623"/>
      <c r="FA129" s="625">
        <f>EN129</f>
        <v>1.5763888888888888</v>
      </c>
      <c r="FB129" s="317"/>
      <c r="FC129" s="552"/>
      <c r="FD129" s="552"/>
      <c r="FE129" s="552"/>
      <c r="FF129" s="552"/>
      <c r="FG129" s="552"/>
      <c r="FH129" s="552"/>
      <c r="FI129" s="552"/>
      <c r="FJ129" s="552"/>
      <c r="FK129" s="552"/>
      <c r="FL129" s="552"/>
      <c r="FM129" s="552"/>
      <c r="FN129" s="552"/>
      <c r="FO129" s="552"/>
      <c r="FP129" s="552"/>
      <c r="FQ129" s="552"/>
      <c r="FR129" s="552"/>
      <c r="FS129" s="552"/>
      <c r="FT129" s="552"/>
    </row>
    <row r="130" spans="2:176" s="564" customFormat="1" ht="15" customHeight="1" x14ac:dyDescent="0.2">
      <c r="B130" s="647">
        <f t="shared" si="193"/>
        <v>9</v>
      </c>
      <c r="C130" s="652">
        <f>$K$12</f>
        <v>97</v>
      </c>
      <c r="D130" s="771">
        <f>$B$12</f>
        <v>1.86</v>
      </c>
      <c r="E130" s="772">
        <f t="shared" si="149"/>
        <v>10.777777777777779</v>
      </c>
      <c r="F130" s="689"/>
      <c r="G130" s="747">
        <f t="shared" si="150"/>
        <v>1.8015873312463981</v>
      </c>
      <c r="H130" s="748">
        <f t="shared" si="154"/>
        <v>3.4120398709180269E-3</v>
      </c>
      <c r="I130" s="652"/>
      <c r="J130" s="773">
        <f t="shared" si="176"/>
        <v>93</v>
      </c>
      <c r="K130" s="774">
        <f t="shared" si="155"/>
        <v>104.625</v>
      </c>
      <c r="L130" s="747">
        <f t="shared" si="184"/>
        <v>2.0562559999999999</v>
      </c>
      <c r="M130" s="751">
        <f t="shared" si="184"/>
        <v>2.0465805555555558</v>
      </c>
      <c r="N130" s="751">
        <f t="shared" si="184"/>
        <v>2.0298708333333333</v>
      </c>
      <c r="O130" s="751">
        <f t="shared" si="184"/>
        <v>2.0131611111111112</v>
      </c>
      <c r="P130" s="751">
        <f t="shared" si="184"/>
        <v>1.9810666666666668</v>
      </c>
      <c r="Q130" s="751">
        <f t="shared" si="184"/>
        <v>1.96234</v>
      </c>
      <c r="R130" s="751">
        <f t="shared" si="184"/>
        <v>1.8909666666666667</v>
      </c>
      <c r="S130" s="751">
        <f t="shared" si="184"/>
        <v>1.8597320000000002</v>
      </c>
      <c r="T130" s="752">
        <f t="shared" si="184"/>
        <v>1.8149999999999999</v>
      </c>
      <c r="U130" s="753">
        <f t="shared" si="184"/>
        <v>1.5252666666666665</v>
      </c>
      <c r="W130" s="773">
        <f t="shared" si="157"/>
        <v>104.625</v>
      </c>
      <c r="X130" s="775">
        <f t="shared" si="185"/>
        <v>-9.6633670218308584E-2</v>
      </c>
      <c r="Y130" s="776">
        <f t="shared" si="185"/>
        <v>-9.6638234107197477E-2</v>
      </c>
      <c r="Z130" s="776">
        <f t="shared" si="185"/>
        <v>-9.6646116051641917E-2</v>
      </c>
      <c r="AA130" s="776">
        <f t="shared" si="185"/>
        <v>-9.6653997996086358E-2</v>
      </c>
      <c r="AB130" s="776">
        <f t="shared" si="185"/>
        <v>-9.6669136884975249E-2</v>
      </c>
      <c r="AC130" s="776">
        <f t="shared" si="185"/>
        <v>-9.6677970218308582E-2</v>
      </c>
      <c r="AD130" s="776">
        <f t="shared" si="185"/>
        <v>-9.6711636884975249E-2</v>
      </c>
      <c r="AE130" s="776">
        <f t="shared" si="185"/>
        <v>-9.6726370218308586E-2</v>
      </c>
      <c r="AF130" s="777">
        <f t="shared" si="185"/>
        <v>-9.6747470218308582E-2</v>
      </c>
      <c r="AG130" s="778">
        <f t="shared" si="185"/>
        <v>-9.6884136884975242E-2</v>
      </c>
      <c r="AI130" s="773">
        <f t="shared" si="159"/>
        <v>104.625</v>
      </c>
      <c r="AJ130" s="747">
        <f t="shared" si="192"/>
        <v>1.9596223297816913</v>
      </c>
      <c r="AK130" s="751">
        <f t="shared" si="192"/>
        <v>1.9499423214483584</v>
      </c>
      <c r="AL130" s="751">
        <f t="shared" si="192"/>
        <v>1.9332247172816914</v>
      </c>
      <c r="AM130" s="751">
        <f t="shared" si="192"/>
        <v>1.9165071131150249</v>
      </c>
      <c r="AN130" s="751">
        <f t="shared" si="192"/>
        <v>1.8843975297816915</v>
      </c>
      <c r="AO130" s="751">
        <f t="shared" si="192"/>
        <v>1.8656620297816915</v>
      </c>
      <c r="AP130" s="751">
        <f t="shared" si="192"/>
        <v>1.7942550297816915</v>
      </c>
      <c r="AQ130" s="751">
        <f t="shared" si="192"/>
        <v>1.7630056297816916</v>
      </c>
      <c r="AR130" s="752"/>
      <c r="AS130" s="751"/>
      <c r="AT130" s="674">
        <f t="shared" si="160"/>
        <v>1.75</v>
      </c>
      <c r="AU130" s="712">
        <f t="shared" si="161"/>
        <v>1.8</v>
      </c>
      <c r="AV130" s="712">
        <f t="shared" si="162"/>
        <v>1.81</v>
      </c>
      <c r="AW130" s="712">
        <f t="shared" si="163"/>
        <v>1.83</v>
      </c>
      <c r="AX130" s="712">
        <f t="shared" si="164"/>
        <v>1.84</v>
      </c>
      <c r="AY130" s="712">
        <f t="shared" si="165"/>
        <v>1.86</v>
      </c>
      <c r="AZ130" s="712">
        <f t="shared" si="166"/>
        <v>1.88</v>
      </c>
      <c r="BA130" s="712">
        <f t="shared" si="167"/>
        <v>1.9</v>
      </c>
      <c r="BB130" s="712">
        <f t="shared" si="168"/>
        <v>1.92</v>
      </c>
      <c r="BC130" s="779">
        <f t="shared" si="169"/>
        <v>1000000</v>
      </c>
      <c r="BD130" s="780">
        <f t="shared" si="170"/>
        <v>1000000</v>
      </c>
      <c r="BF130" s="781">
        <f t="shared" si="186"/>
        <v>1.960029758468784</v>
      </c>
      <c r="BG130" s="767">
        <f t="shared" si="186"/>
        <v>2.0688699725231507</v>
      </c>
      <c r="BH130" s="767">
        <f t="shared" si="186"/>
        <v>1.9989861606533235</v>
      </c>
      <c r="BI130" s="767">
        <f t="shared" si="186"/>
        <v>1.9938655142970307</v>
      </c>
      <c r="BJ130" s="767">
        <f t="shared" si="186"/>
        <v>1.9910677955659095</v>
      </c>
      <c r="BK130" s="767">
        <f t="shared" si="186"/>
        <v>1.9903851422581136</v>
      </c>
      <c r="BL130" s="767">
        <f t="shared" si="186"/>
        <v>1.9892454269430055</v>
      </c>
      <c r="BM130" s="767">
        <f t="shared" si="186"/>
        <v>1.9890087570064179</v>
      </c>
      <c r="BN130" s="767">
        <f t="shared" si="186"/>
        <v>1.9887729014380542</v>
      </c>
      <c r="BO130" s="782">
        <f t="shared" si="186"/>
        <v>1.9881331719995703</v>
      </c>
      <c r="BP130" s="781">
        <f t="shared" si="189"/>
        <v>1.960029758468784</v>
      </c>
      <c r="BQ130" s="767">
        <f t="shared" si="189"/>
        <v>-1000000</v>
      </c>
      <c r="BR130" s="767">
        <f t="shared" si="189"/>
        <v>-1000000</v>
      </c>
      <c r="BS130" s="767">
        <f t="shared" si="189"/>
        <v>-1000000</v>
      </c>
      <c r="BT130" s="767">
        <f t="shared" si="189"/>
        <v>-1000000</v>
      </c>
      <c r="BU130" s="767">
        <f t="shared" si="187"/>
        <v>-1000000</v>
      </c>
      <c r="BV130" s="767">
        <f t="shared" si="187"/>
        <v>-1000000</v>
      </c>
      <c r="BW130" s="767">
        <f t="shared" si="187"/>
        <v>-1000000</v>
      </c>
      <c r="BX130" s="767">
        <f t="shared" si="187"/>
        <v>-1000000</v>
      </c>
      <c r="BY130" s="767">
        <f t="shared" si="187"/>
        <v>-1000000</v>
      </c>
      <c r="BZ130" s="648">
        <f t="shared" si="151"/>
        <v>93</v>
      </c>
      <c r="CA130" s="767">
        <f t="shared" si="194"/>
        <v>1.960029758468784</v>
      </c>
      <c r="CB130" s="767"/>
      <c r="CC130" s="767"/>
      <c r="CD130" s="767"/>
      <c r="CE130" s="767"/>
      <c r="CF130" s="767"/>
      <c r="CG130" s="767"/>
      <c r="CH130" s="767"/>
      <c r="CI130" s="767"/>
      <c r="CJ130" s="767"/>
      <c r="CK130" s="781">
        <f t="shared" si="153"/>
        <v>1.75</v>
      </c>
      <c r="CL130" s="783">
        <f t="shared" si="172"/>
        <v>1000000</v>
      </c>
      <c r="CO130" s="558"/>
      <c r="CP130" s="558"/>
      <c r="CQ130" s="558"/>
      <c r="CR130" s="558"/>
      <c r="CS130" s="558"/>
      <c r="CT130" s="558"/>
      <c r="CU130" s="558"/>
      <c r="CV130" s="558"/>
      <c r="CW130" s="558"/>
      <c r="CX130" s="558"/>
      <c r="CY130" s="558"/>
      <c r="CZ130" s="558"/>
      <c r="DA130" s="558"/>
      <c r="DB130" s="558"/>
      <c r="DC130" s="558"/>
      <c r="DD130" s="558"/>
      <c r="DE130" s="558"/>
      <c r="DF130" s="558"/>
      <c r="DG130" s="558"/>
      <c r="DH130" s="558"/>
      <c r="DI130" s="558"/>
      <c r="DJ130" s="558"/>
      <c r="DK130" s="558"/>
      <c r="DL130" s="558"/>
      <c r="DM130" s="558"/>
      <c r="DN130" s="558"/>
      <c r="DO130" s="558"/>
      <c r="DP130" s="558"/>
      <c r="DQ130" s="558"/>
      <c r="DR130" s="558"/>
      <c r="DS130" s="558"/>
      <c r="DT130" s="558"/>
      <c r="EN130" s="824">
        <f>EP136</f>
        <v>4.666666666666667</v>
      </c>
      <c r="EO130" s="825"/>
      <c r="EP130" s="621">
        <f>$CS$28*((1-($CS$36*$EN130)/($CS$21-EP$4))/(1+(($CS$37*$EN130)/($CS$21-EP$4))))</f>
        <v>122.45493931735497</v>
      </c>
      <c r="EQ130" s="654"/>
      <c r="ER130" s="610"/>
      <c r="ES130" s="611">
        <f>EP130+EY130</f>
        <v>112</v>
      </c>
      <c r="ET130" s="612"/>
      <c r="EU130" s="558"/>
      <c r="EV130" s="558"/>
      <c r="EW130" s="558"/>
      <c r="EX130" s="610"/>
      <c r="EY130" s="621">
        <f>$CS$30-($CS$30-EY$2)*((1-EXP(-$EN130/$EP$136))/(1-EXP(-1)))</f>
        <v>-10.45493931735497</v>
      </c>
      <c r="EZ130" s="612"/>
      <c r="FA130" s="646">
        <f t="shared" ref="FA130:FA131" si="195">EN130</f>
        <v>4.666666666666667</v>
      </c>
      <c r="FB130" s="317"/>
      <c r="FC130" s="552"/>
      <c r="FD130" s="552"/>
      <c r="FE130" s="552"/>
      <c r="FF130" s="552"/>
      <c r="FG130" s="552"/>
      <c r="FH130" s="552"/>
      <c r="FI130" s="552"/>
      <c r="FJ130" s="552"/>
      <c r="FK130" s="552"/>
      <c r="FL130" s="552"/>
      <c r="FM130" s="552"/>
      <c r="FN130" s="552"/>
      <c r="FO130" s="552"/>
      <c r="FP130" s="552"/>
      <c r="FQ130" s="552"/>
      <c r="FR130" s="552"/>
      <c r="FS130" s="552"/>
      <c r="FT130" s="552"/>
    </row>
    <row r="131" spans="2:176" s="564" customFormat="1" ht="15" customHeight="1" x14ac:dyDescent="0.2">
      <c r="B131" s="647">
        <f t="shared" si="193"/>
        <v>9</v>
      </c>
      <c r="C131" s="652">
        <f>$K$13</f>
        <v>92.5</v>
      </c>
      <c r="D131" s="771">
        <f>$B$13</f>
        <v>1.88</v>
      </c>
      <c r="E131" s="772">
        <f t="shared" si="149"/>
        <v>10.277777777777779</v>
      </c>
      <c r="F131" s="689"/>
      <c r="G131" s="747">
        <f t="shared" si="150"/>
        <v>1.8292492729738281</v>
      </c>
      <c r="H131" s="748">
        <f t="shared" si="154"/>
        <v>2.575636293685003E-3</v>
      </c>
      <c r="I131" s="652"/>
      <c r="J131" s="773">
        <f t="shared" si="176"/>
        <v>94</v>
      </c>
      <c r="K131" s="774">
        <f t="shared" si="155"/>
        <v>105.75</v>
      </c>
      <c r="L131" s="747">
        <f t="shared" si="184"/>
        <v>2.0553427692307693</v>
      </c>
      <c r="M131" s="751">
        <f t="shared" si="184"/>
        <v>2.0452951923076923</v>
      </c>
      <c r="N131" s="751">
        <f t="shared" si="184"/>
        <v>2.0279427884615386</v>
      </c>
      <c r="O131" s="751">
        <f t="shared" si="184"/>
        <v>2.0105903846153845</v>
      </c>
      <c r="P131" s="751">
        <f t="shared" si="184"/>
        <v>1.9772615384615386</v>
      </c>
      <c r="Q131" s="751">
        <f t="shared" si="184"/>
        <v>1.9578146153846154</v>
      </c>
      <c r="R131" s="751">
        <f t="shared" si="184"/>
        <v>1.8836961538461541</v>
      </c>
      <c r="S131" s="751">
        <f t="shared" si="184"/>
        <v>1.8512601538461539</v>
      </c>
      <c r="T131" s="752">
        <f t="shared" si="184"/>
        <v>1.8048076923076923</v>
      </c>
      <c r="U131" s="753">
        <f t="shared" si="184"/>
        <v>1.5039307692307693</v>
      </c>
      <c r="W131" s="773">
        <f t="shared" si="157"/>
        <v>105.75</v>
      </c>
      <c r="X131" s="775">
        <f t="shared" si="185"/>
        <v>-9.6749003771960398E-2</v>
      </c>
      <c r="Y131" s="776">
        <f t="shared" si="185"/>
        <v>-9.6753567660849291E-2</v>
      </c>
      <c r="Z131" s="776">
        <f t="shared" si="185"/>
        <v>-9.6761449605293731E-2</v>
      </c>
      <c r="AA131" s="776">
        <f t="shared" si="185"/>
        <v>-9.6769331549738172E-2</v>
      </c>
      <c r="AB131" s="776">
        <f t="shared" si="185"/>
        <v>-9.6784470438627063E-2</v>
      </c>
      <c r="AC131" s="776">
        <f t="shared" si="185"/>
        <v>-9.6793303771960396E-2</v>
      </c>
      <c r="AD131" s="776">
        <f t="shared" si="185"/>
        <v>-9.6826970438627064E-2</v>
      </c>
      <c r="AE131" s="776">
        <f t="shared" si="185"/>
        <v>-9.68417037719604E-2</v>
      </c>
      <c r="AF131" s="777">
        <f t="shared" si="185"/>
        <v>-9.6862803771960396E-2</v>
      </c>
      <c r="AG131" s="778">
        <f t="shared" si="185"/>
        <v>-9.6999470438627056E-2</v>
      </c>
      <c r="AI131" s="773">
        <f t="shared" si="159"/>
        <v>105.75</v>
      </c>
      <c r="AJ131" s="747">
        <f t="shared" si="192"/>
        <v>1.9585937654588088</v>
      </c>
      <c r="AK131" s="751">
        <f t="shared" si="192"/>
        <v>1.948541624646843</v>
      </c>
      <c r="AL131" s="751">
        <f t="shared" si="192"/>
        <v>1.9311813388562449</v>
      </c>
      <c r="AM131" s="751">
        <f t="shared" si="192"/>
        <v>1.9138210530656463</v>
      </c>
      <c r="AN131" s="751">
        <f t="shared" si="192"/>
        <v>1.8804770680229115</v>
      </c>
      <c r="AO131" s="751">
        <f t="shared" si="192"/>
        <v>1.861021311612655</v>
      </c>
      <c r="AP131" s="751">
        <f t="shared" si="192"/>
        <v>1.786869183407527</v>
      </c>
      <c r="AQ131" s="751">
        <f t="shared" si="192"/>
        <v>1.7544184500741935</v>
      </c>
      <c r="AR131" s="752"/>
      <c r="AS131" s="751"/>
      <c r="AT131" s="674">
        <f t="shared" si="160"/>
        <v>1.75</v>
      </c>
      <c r="AU131" s="712">
        <f t="shared" si="161"/>
        <v>1.8</v>
      </c>
      <c r="AV131" s="712">
        <f t="shared" si="162"/>
        <v>1.81</v>
      </c>
      <c r="AW131" s="712">
        <f t="shared" si="163"/>
        <v>1.83</v>
      </c>
      <c r="AX131" s="712">
        <f t="shared" si="164"/>
        <v>1.84</v>
      </c>
      <c r="AY131" s="712">
        <f t="shared" si="165"/>
        <v>1.86</v>
      </c>
      <c r="AZ131" s="712">
        <f t="shared" si="166"/>
        <v>1.88</v>
      </c>
      <c r="BA131" s="712">
        <f t="shared" si="167"/>
        <v>1.9</v>
      </c>
      <c r="BB131" s="712">
        <f t="shared" si="168"/>
        <v>1.92</v>
      </c>
      <c r="BC131" s="779">
        <f t="shared" si="169"/>
        <v>1000000</v>
      </c>
      <c r="BD131" s="780">
        <f t="shared" si="170"/>
        <v>1000000</v>
      </c>
      <c r="BF131" s="781">
        <f t="shared" si="186"/>
        <v>1.9590311690344953</v>
      </c>
      <c r="BG131" s="767">
        <f t="shared" si="186"/>
        <v>2.0583838418975704</v>
      </c>
      <c r="BH131" s="767">
        <f t="shared" si="186"/>
        <v>1.9984990047020588</v>
      </c>
      <c r="BI131" s="767">
        <f t="shared" si="186"/>
        <v>1.993614723307696</v>
      </c>
      <c r="BJ131" s="767">
        <f t="shared" si="186"/>
        <v>1.9909133420530736</v>
      </c>
      <c r="BK131" s="767">
        <f t="shared" si="186"/>
        <v>1.9902505661296748</v>
      </c>
      <c r="BL131" s="767">
        <f t="shared" si="186"/>
        <v>1.9891405492688901</v>
      </c>
      <c r="BM131" s="767">
        <f t="shared" si="186"/>
        <v>1.9889093986388586</v>
      </c>
      <c r="BN131" s="767">
        <f t="shared" si="186"/>
        <v>1.9886787434860607</v>
      </c>
      <c r="BO131" s="782">
        <f t="shared" si="186"/>
        <v>1.9880506549378449</v>
      </c>
      <c r="BP131" s="781">
        <f t="shared" si="189"/>
        <v>1.9590311690344953</v>
      </c>
      <c r="BQ131" s="767">
        <f t="shared" si="189"/>
        <v>-1000000</v>
      </c>
      <c r="BR131" s="767">
        <f t="shared" si="189"/>
        <v>-1000000</v>
      </c>
      <c r="BS131" s="767">
        <f t="shared" si="189"/>
        <v>-1000000</v>
      </c>
      <c r="BT131" s="767">
        <f t="shared" si="189"/>
        <v>-1000000</v>
      </c>
      <c r="BU131" s="767">
        <f t="shared" si="187"/>
        <v>-1000000</v>
      </c>
      <c r="BV131" s="767">
        <f t="shared" si="187"/>
        <v>-1000000</v>
      </c>
      <c r="BW131" s="767">
        <f t="shared" si="187"/>
        <v>-1000000</v>
      </c>
      <c r="BX131" s="767">
        <f t="shared" si="187"/>
        <v>-1000000</v>
      </c>
      <c r="BY131" s="767">
        <f t="shared" si="187"/>
        <v>-1000000</v>
      </c>
      <c r="BZ131" s="648">
        <f t="shared" si="151"/>
        <v>94</v>
      </c>
      <c r="CA131" s="767">
        <f t="shared" si="194"/>
        <v>1.9590311690344953</v>
      </c>
      <c r="CB131" s="767"/>
      <c r="CC131" s="767"/>
      <c r="CD131" s="767"/>
      <c r="CE131" s="767"/>
      <c r="CF131" s="767"/>
      <c r="CG131" s="767"/>
      <c r="CH131" s="767"/>
      <c r="CI131" s="767"/>
      <c r="CJ131" s="767"/>
      <c r="CK131" s="781">
        <f t="shared" si="153"/>
        <v>1.75</v>
      </c>
      <c r="CL131" s="783">
        <f t="shared" si="172"/>
        <v>1000000</v>
      </c>
      <c r="CO131" s="558"/>
      <c r="CP131" s="558"/>
      <c r="CQ131" s="558"/>
      <c r="CR131" s="558"/>
      <c r="CS131" s="558"/>
      <c r="CT131" s="558"/>
      <c r="CU131" s="558"/>
      <c r="CV131" s="558"/>
      <c r="CW131" s="558"/>
      <c r="CX131" s="558"/>
      <c r="CY131" s="558"/>
      <c r="CZ131" s="558"/>
      <c r="DA131" s="558"/>
      <c r="DB131" s="558"/>
      <c r="DC131" s="558"/>
      <c r="DD131" s="558"/>
      <c r="DE131" s="558"/>
      <c r="DF131" s="558"/>
      <c r="DG131" s="558"/>
      <c r="DH131" s="558"/>
      <c r="DI131" s="558"/>
      <c r="DJ131" s="558"/>
      <c r="DK131" s="558"/>
      <c r="DL131" s="558"/>
      <c r="DM131" s="558"/>
      <c r="DN131" s="558"/>
      <c r="DO131" s="558"/>
      <c r="DP131" s="558"/>
      <c r="DQ131" s="558"/>
      <c r="DR131" s="558"/>
      <c r="DS131" s="558"/>
      <c r="DT131" s="558"/>
      <c r="EN131" s="820">
        <f>EQ136</f>
        <v>12.5</v>
      </c>
      <c r="EO131" s="818"/>
      <c r="EP131" s="800"/>
      <c r="EQ131" s="801">
        <f>$CS$28*((1-($CS$36*$EN131)/($CS$21-EQ$4))/(1+(($CS$37*$EN131)/($CS$21-EQ$4))))</f>
        <v>110.56607345702383</v>
      </c>
      <c r="ER131" s="802"/>
      <c r="ES131" s="803"/>
      <c r="ET131" s="804">
        <f>EQ131+EZ131</f>
        <v>100</v>
      </c>
      <c r="EU131" s="558"/>
      <c r="EV131" s="558"/>
      <c r="EW131" s="552"/>
      <c r="EX131" s="802"/>
      <c r="EY131" s="800"/>
      <c r="EZ131" s="804">
        <f>$CS$30-($CS$30-EZ$2)*((1-EXP(-$EN131/$EQ$136))/(1-EXP(-1)))</f>
        <v>-10.566073457023833</v>
      </c>
      <c r="FA131" s="820">
        <f t="shared" si="195"/>
        <v>12.5</v>
      </c>
      <c r="FB131" s="317"/>
      <c r="FC131" s="552"/>
      <c r="FD131" s="552"/>
      <c r="FE131" s="552"/>
      <c r="FF131" s="552"/>
      <c r="FG131" s="552"/>
      <c r="FH131" s="552"/>
      <c r="FI131" s="552"/>
      <c r="FJ131" s="552"/>
      <c r="FK131" s="552"/>
      <c r="FL131" s="552"/>
      <c r="FM131" s="552"/>
      <c r="FN131" s="552"/>
      <c r="FO131" s="552"/>
      <c r="FP131" s="552"/>
      <c r="FQ131" s="552"/>
      <c r="FR131" s="552"/>
      <c r="FS131" s="552"/>
      <c r="FT131" s="552"/>
    </row>
    <row r="132" spans="2:176" s="564" customFormat="1" ht="15" customHeight="1" x14ac:dyDescent="0.2">
      <c r="B132" s="647">
        <f t="shared" si="193"/>
        <v>9</v>
      </c>
      <c r="C132" s="652">
        <f>$K$14</f>
        <v>88</v>
      </c>
      <c r="D132" s="771">
        <f>$B$14</f>
        <v>1.9</v>
      </c>
      <c r="E132" s="772">
        <f t="shared" si="149"/>
        <v>9.7777777777777786</v>
      </c>
      <c r="F132" s="689"/>
      <c r="G132" s="747">
        <f t="shared" si="150"/>
        <v>1.8519259600035074</v>
      </c>
      <c r="H132" s="748">
        <f t="shared" si="154"/>
        <v>2.3111133215843616E-3</v>
      </c>
      <c r="I132" s="652"/>
      <c r="J132" s="773">
        <f t="shared" si="176"/>
        <v>95</v>
      </c>
      <c r="K132" s="774">
        <f t="shared" si="155"/>
        <v>106.875</v>
      </c>
      <c r="L132" s="747">
        <f t="shared" si="184"/>
        <v>2.05435648</v>
      </c>
      <c r="M132" s="751">
        <f t="shared" si="184"/>
        <v>2.0439069999999999</v>
      </c>
      <c r="N132" s="751">
        <f t="shared" si="184"/>
        <v>2.0258605000000003</v>
      </c>
      <c r="O132" s="751">
        <f t="shared" si="184"/>
        <v>2.0078140000000002</v>
      </c>
      <c r="P132" s="751">
        <f t="shared" si="184"/>
        <v>1.973152</v>
      </c>
      <c r="Q132" s="751">
        <f t="shared" si="184"/>
        <v>1.9529272</v>
      </c>
      <c r="R132" s="751">
        <f t="shared" si="184"/>
        <v>1.8758440000000001</v>
      </c>
      <c r="S132" s="751">
        <f t="shared" si="184"/>
        <v>1.8421105600000001</v>
      </c>
      <c r="T132" s="752">
        <f t="shared" si="184"/>
        <v>1.7938000000000001</v>
      </c>
      <c r="U132" s="753">
        <f t="shared" si="184"/>
        <v>1.4808880000000002</v>
      </c>
      <c r="W132" s="773">
        <f t="shared" si="157"/>
        <v>106.875</v>
      </c>
      <c r="X132" s="775">
        <f t="shared" si="185"/>
        <v>-9.6858587843690988E-2</v>
      </c>
      <c r="Y132" s="776">
        <f t="shared" si="185"/>
        <v>-9.686315173257988E-2</v>
      </c>
      <c r="Z132" s="776">
        <f t="shared" si="185"/>
        <v>-9.6871033677024321E-2</v>
      </c>
      <c r="AA132" s="776">
        <f t="shared" si="185"/>
        <v>-9.6878915621468761E-2</v>
      </c>
      <c r="AB132" s="776">
        <f t="shared" si="185"/>
        <v>-9.6894054510357652E-2</v>
      </c>
      <c r="AC132" s="776">
        <f t="shared" si="185"/>
        <v>-9.6902887843690985E-2</v>
      </c>
      <c r="AD132" s="776">
        <f t="shared" si="185"/>
        <v>-9.6936554510357653E-2</v>
      </c>
      <c r="AE132" s="776">
        <f t="shared" si="185"/>
        <v>-9.6951287843690989E-2</v>
      </c>
      <c r="AF132" s="777">
        <f t="shared" si="185"/>
        <v>-9.6972387843690985E-2</v>
      </c>
      <c r="AG132" s="778">
        <f t="shared" si="185"/>
        <v>-9.7109054510357645E-2</v>
      </c>
      <c r="AI132" s="773">
        <f t="shared" si="159"/>
        <v>106.875</v>
      </c>
      <c r="AJ132" s="747">
        <f t="shared" si="192"/>
        <v>1.9574978921563091</v>
      </c>
      <c r="AK132" s="751">
        <f t="shared" si="192"/>
        <v>1.9470438482674199</v>
      </c>
      <c r="AL132" s="751">
        <f t="shared" si="192"/>
        <v>1.9289894663229759</v>
      </c>
      <c r="AM132" s="751">
        <f t="shared" si="192"/>
        <v>1.9109350843785315</v>
      </c>
      <c r="AN132" s="751">
        <f t="shared" si="192"/>
        <v>1.8762579454896424</v>
      </c>
      <c r="AO132" s="751">
        <f t="shared" si="192"/>
        <v>1.8560243121563089</v>
      </c>
      <c r="AP132" s="751">
        <f t="shared" si="192"/>
        <v>1.7789074454896423</v>
      </c>
      <c r="AQ132" s="751">
        <f t="shared" si="192"/>
        <v>1.7451592721563092</v>
      </c>
      <c r="AR132" s="752"/>
      <c r="AS132" s="751"/>
      <c r="AT132" s="674">
        <f t="shared" si="160"/>
        <v>1.75</v>
      </c>
      <c r="AU132" s="712">
        <f t="shared" si="161"/>
        <v>1.8</v>
      </c>
      <c r="AV132" s="712">
        <f t="shared" si="162"/>
        <v>1.81</v>
      </c>
      <c r="AW132" s="712">
        <f t="shared" si="163"/>
        <v>1.83</v>
      </c>
      <c r="AX132" s="712">
        <f t="shared" si="164"/>
        <v>1.84</v>
      </c>
      <c r="AY132" s="712">
        <f t="shared" si="165"/>
        <v>1.86</v>
      </c>
      <c r="AZ132" s="712">
        <f t="shared" si="166"/>
        <v>1.88</v>
      </c>
      <c r="BA132" s="712">
        <f t="shared" si="167"/>
        <v>1.9</v>
      </c>
      <c r="BB132" s="712">
        <f t="shared" si="168"/>
        <v>1.92</v>
      </c>
      <c r="BC132" s="779">
        <f t="shared" si="169"/>
        <v>1000000</v>
      </c>
      <c r="BD132" s="780">
        <f t="shared" si="170"/>
        <v>1000000</v>
      </c>
      <c r="BF132" s="781">
        <f t="shared" si="186"/>
        <v>1.9579693760346042</v>
      </c>
      <c r="BG132" s="767">
        <f t="shared" si="186"/>
        <v>2.0501346127606057</v>
      </c>
      <c r="BH132" s="767">
        <f t="shared" si="186"/>
        <v>1.9980376125214681</v>
      </c>
      <c r="BI132" s="767">
        <f t="shared" si="186"/>
        <v>1.9933735503047727</v>
      </c>
      <c r="BJ132" s="767">
        <f t="shared" si="186"/>
        <v>1.9907635639122021</v>
      </c>
      <c r="BK132" s="767">
        <f t="shared" si="186"/>
        <v>1.9901197982748418</v>
      </c>
      <c r="BL132" s="767">
        <f t="shared" si="186"/>
        <v>1.989038298139217</v>
      </c>
      <c r="BM132" s="767">
        <f t="shared" si="186"/>
        <v>1.9888124634470261</v>
      </c>
      <c r="BN132" s="767">
        <f t="shared" si="186"/>
        <v>1.9885868220649938</v>
      </c>
      <c r="BO132" s="782">
        <f t="shared" si="186"/>
        <v>1.9879699748387136</v>
      </c>
      <c r="BP132" s="781">
        <f t="shared" si="189"/>
        <v>1.9579693760346042</v>
      </c>
      <c r="BQ132" s="767">
        <f t="shared" si="189"/>
        <v>-1000000</v>
      </c>
      <c r="BR132" s="767">
        <f t="shared" si="189"/>
        <v>-1000000</v>
      </c>
      <c r="BS132" s="767">
        <f t="shared" si="189"/>
        <v>-1000000</v>
      </c>
      <c r="BT132" s="767">
        <f t="shared" si="189"/>
        <v>-1000000</v>
      </c>
      <c r="BU132" s="767">
        <f t="shared" si="187"/>
        <v>-1000000</v>
      </c>
      <c r="BV132" s="767">
        <f t="shared" si="187"/>
        <v>-1000000</v>
      </c>
      <c r="BW132" s="767">
        <f t="shared" si="187"/>
        <v>-1000000</v>
      </c>
      <c r="BX132" s="767">
        <f t="shared" si="187"/>
        <v>-1000000</v>
      </c>
      <c r="BY132" s="767">
        <f t="shared" si="187"/>
        <v>-1000000</v>
      </c>
      <c r="BZ132" s="648">
        <f t="shared" si="151"/>
        <v>95</v>
      </c>
      <c r="CA132" s="767">
        <f t="shared" si="194"/>
        <v>1.9579693760346042</v>
      </c>
      <c r="CB132" s="767"/>
      <c r="CC132" s="767"/>
      <c r="CD132" s="767"/>
      <c r="CE132" s="767"/>
      <c r="CF132" s="767"/>
      <c r="CG132" s="767"/>
      <c r="CH132" s="767"/>
      <c r="CI132" s="767"/>
      <c r="CJ132" s="767"/>
      <c r="CK132" s="781">
        <f t="shared" si="153"/>
        <v>1.75</v>
      </c>
      <c r="CL132" s="783">
        <f t="shared" si="172"/>
        <v>1000000</v>
      </c>
      <c r="CO132" s="558"/>
      <c r="CP132" s="558"/>
      <c r="CQ132" s="558"/>
      <c r="CR132" s="558"/>
      <c r="CS132" s="558"/>
      <c r="CT132" s="558"/>
      <c r="CU132" s="558"/>
      <c r="CV132" s="558"/>
      <c r="CW132" s="558"/>
      <c r="CX132" s="558"/>
      <c r="CY132" s="558"/>
      <c r="CZ132" s="558"/>
      <c r="DA132" s="558"/>
      <c r="DB132" s="558"/>
      <c r="DC132" s="558"/>
      <c r="DD132" s="558"/>
      <c r="DE132" s="558"/>
      <c r="DF132" s="558"/>
      <c r="DG132" s="558"/>
      <c r="DH132" s="558"/>
      <c r="DI132" s="558"/>
      <c r="DJ132" s="558"/>
      <c r="DK132" s="558"/>
      <c r="DL132" s="558"/>
      <c r="DM132" s="558"/>
      <c r="DN132" s="558"/>
      <c r="DO132" s="558"/>
      <c r="DP132" s="558"/>
      <c r="DQ132" s="558"/>
      <c r="DR132" s="558"/>
      <c r="DS132" s="558"/>
      <c r="DT132" s="558"/>
    </row>
    <row r="133" spans="2:176" s="564" customFormat="1" ht="15" customHeight="1" x14ac:dyDescent="0.2">
      <c r="B133" s="647">
        <f t="shared" si="193"/>
        <v>9</v>
      </c>
      <c r="C133" s="652">
        <f>$K$15</f>
        <v>83</v>
      </c>
      <c r="D133" s="771">
        <f>$B$15</f>
        <v>1.92</v>
      </c>
      <c r="E133" s="772">
        <f t="shared" si="149"/>
        <v>9.2222222222222214</v>
      </c>
      <c r="F133" s="689"/>
      <c r="G133" s="747">
        <f t="shared" si="150"/>
        <v>1.8729495757602315</v>
      </c>
      <c r="H133" s="748">
        <f t="shared" si="154"/>
        <v>2.2137424211421917E-3</v>
      </c>
      <c r="I133" s="652"/>
      <c r="J133" s="773">
        <f t="shared" si="176"/>
        <v>96</v>
      </c>
      <c r="K133" s="774">
        <f t="shared" si="155"/>
        <v>108</v>
      </c>
      <c r="L133" s="747">
        <f t="shared" ref="L133:U148" si="196">$AB$21-($AD$24*L$34)/(1-($K133)/($AB$22))</f>
        <v>2.0532880000000002</v>
      </c>
      <c r="M133" s="751">
        <f t="shared" si="196"/>
        <v>2.0424031249999999</v>
      </c>
      <c r="N133" s="751">
        <f t="shared" si="196"/>
        <v>2.0236046875000002</v>
      </c>
      <c r="O133" s="751">
        <f t="shared" si="196"/>
        <v>2.0048062500000001</v>
      </c>
      <c r="P133" s="751">
        <f t="shared" si="196"/>
        <v>1.9687000000000001</v>
      </c>
      <c r="Q133" s="751">
        <f t="shared" si="196"/>
        <v>1.9476325000000001</v>
      </c>
      <c r="R133" s="751">
        <f t="shared" si="196"/>
        <v>1.8673375000000001</v>
      </c>
      <c r="S133" s="751">
        <f t="shared" si="196"/>
        <v>1.8321985000000001</v>
      </c>
      <c r="T133" s="752">
        <f t="shared" si="196"/>
        <v>1.7818750000000001</v>
      </c>
      <c r="U133" s="753">
        <f t="shared" si="196"/>
        <v>1.4559249999999999</v>
      </c>
      <c r="W133" s="773">
        <f t="shared" si="157"/>
        <v>108</v>
      </c>
      <c r="X133" s="775">
        <f t="shared" ref="X133:AG148" si="197">$AB$28*(1-(1-EXP(-(($W133)/($AB$23))))/(1-EXP(-1)))-$AD$25*X$34</f>
        <v>-9.6962709050372242E-2</v>
      </c>
      <c r="Y133" s="776">
        <f t="shared" si="197"/>
        <v>-9.6967272939261134E-2</v>
      </c>
      <c r="Z133" s="776">
        <f t="shared" si="197"/>
        <v>-9.6975154883705575E-2</v>
      </c>
      <c r="AA133" s="776">
        <f t="shared" si="197"/>
        <v>-9.6983036828150015E-2</v>
      </c>
      <c r="AB133" s="776">
        <f t="shared" si="197"/>
        <v>-9.6998175717038906E-2</v>
      </c>
      <c r="AC133" s="776">
        <f t="shared" si="197"/>
        <v>-9.7007009050372239E-2</v>
      </c>
      <c r="AD133" s="776">
        <f t="shared" si="197"/>
        <v>-9.7040675717038907E-2</v>
      </c>
      <c r="AE133" s="776">
        <f t="shared" si="197"/>
        <v>-9.7055409050372243E-2</v>
      </c>
      <c r="AF133" s="777">
        <f t="shared" si="197"/>
        <v>-9.7076509050372239E-2</v>
      </c>
      <c r="AG133" s="778">
        <f t="shared" si="197"/>
        <v>-9.7213175717038899E-2</v>
      </c>
      <c r="AI133" s="773">
        <f t="shared" si="159"/>
        <v>108</v>
      </c>
      <c r="AJ133" s="747">
        <f t="shared" si="192"/>
        <v>1.956325290949628</v>
      </c>
      <c r="AK133" s="751">
        <f t="shared" si="192"/>
        <v>1.9454358520607387</v>
      </c>
      <c r="AL133" s="751">
        <f t="shared" si="192"/>
        <v>1.9266295326162945</v>
      </c>
      <c r="AM133" s="751">
        <f t="shared" si="192"/>
        <v>1.90782321317185</v>
      </c>
      <c r="AN133" s="751">
        <f t="shared" si="192"/>
        <v>1.8717018242829613</v>
      </c>
      <c r="AO133" s="751">
        <f t="shared" si="192"/>
        <v>1.8506254909496278</v>
      </c>
      <c r="AP133" s="751">
        <f t="shared" si="192"/>
        <v>1.7702968242829611</v>
      </c>
      <c r="AQ133" s="751"/>
      <c r="AR133" s="752"/>
      <c r="AS133" s="751"/>
      <c r="AT133" s="674">
        <f t="shared" si="160"/>
        <v>1.75</v>
      </c>
      <c r="AU133" s="712">
        <f t="shared" si="161"/>
        <v>1.8</v>
      </c>
      <c r="AV133" s="712">
        <f t="shared" si="162"/>
        <v>1.81</v>
      </c>
      <c r="AW133" s="712">
        <f t="shared" si="163"/>
        <v>1.83</v>
      </c>
      <c r="AX133" s="712">
        <f t="shared" si="164"/>
        <v>1.84</v>
      </c>
      <c r="AY133" s="712">
        <f t="shared" si="165"/>
        <v>1.86</v>
      </c>
      <c r="AZ133" s="712">
        <f t="shared" si="166"/>
        <v>1.88</v>
      </c>
      <c r="BA133" s="712">
        <f t="shared" si="167"/>
        <v>1.9</v>
      </c>
      <c r="BB133" s="712">
        <f t="shared" si="168"/>
        <v>1.92</v>
      </c>
      <c r="BC133" s="779">
        <f t="shared" si="169"/>
        <v>1000000</v>
      </c>
      <c r="BD133" s="780">
        <f t="shared" si="170"/>
        <v>1000000</v>
      </c>
      <c r="BF133" s="781">
        <f t="shared" ref="BF133:BO148" si="198">$AB$21-(($AD$24/(1-(BF$34*$BZ133)/($AB$22)))+$AD$25)*BF$34+$AB$28*(1-(1-EXP(-(BF$34*$BZ133)/($AB$23)))/(1-EXP(-1)))</f>
        <v>1.9568356507685194</v>
      </c>
      <c r="BG133" s="767">
        <f t="shared" si="198"/>
        <v>2.0434749725168162</v>
      </c>
      <c r="BH133" s="767">
        <f t="shared" si="198"/>
        <v>1.9975999944127625</v>
      </c>
      <c r="BI133" s="767">
        <f t="shared" si="198"/>
        <v>1.9931414521208735</v>
      </c>
      <c r="BJ133" s="767">
        <f t="shared" si="198"/>
        <v>1.9906182520173328</v>
      </c>
      <c r="BK133" s="767">
        <f t="shared" si="198"/>
        <v>1.9899926792973908</v>
      </c>
      <c r="BL133" s="767">
        <f t="shared" si="198"/>
        <v>1.9889385761059086</v>
      </c>
      <c r="BM133" s="767">
        <f t="shared" si="198"/>
        <v>1.988717863853364</v>
      </c>
      <c r="BN133" s="767">
        <f t="shared" si="198"/>
        <v>1.988497058423764</v>
      </c>
      <c r="BO133" s="782">
        <f t="shared" si="198"/>
        <v>1.9878910710368143</v>
      </c>
      <c r="BP133" s="781">
        <f t="shared" si="189"/>
        <v>1.9568356507685194</v>
      </c>
      <c r="BQ133" s="767">
        <f t="shared" si="189"/>
        <v>-1000000</v>
      </c>
      <c r="BR133" s="767">
        <f t="shared" si="189"/>
        <v>-1000000</v>
      </c>
      <c r="BS133" s="767">
        <f t="shared" si="189"/>
        <v>-1000000</v>
      </c>
      <c r="BT133" s="767">
        <f t="shared" si="189"/>
        <v>-1000000</v>
      </c>
      <c r="BU133" s="767">
        <f t="shared" si="187"/>
        <v>-1000000</v>
      </c>
      <c r="BV133" s="767">
        <f t="shared" si="187"/>
        <v>-1000000</v>
      </c>
      <c r="BW133" s="767">
        <f t="shared" si="187"/>
        <v>-1000000</v>
      </c>
      <c r="BX133" s="767">
        <f t="shared" si="187"/>
        <v>-1000000</v>
      </c>
      <c r="BY133" s="767">
        <f t="shared" si="187"/>
        <v>-1000000</v>
      </c>
      <c r="BZ133" s="648">
        <f t="shared" si="151"/>
        <v>96</v>
      </c>
      <c r="CA133" s="767">
        <f t="shared" si="194"/>
        <v>1.9568356507685194</v>
      </c>
      <c r="CB133" s="767"/>
      <c r="CC133" s="767"/>
      <c r="CD133" s="767"/>
      <c r="CE133" s="767"/>
      <c r="CF133" s="767"/>
      <c r="CG133" s="767"/>
      <c r="CH133" s="767"/>
      <c r="CI133" s="767"/>
      <c r="CJ133" s="767"/>
      <c r="CK133" s="781">
        <f t="shared" si="153"/>
        <v>1.75</v>
      </c>
      <c r="CL133" s="783">
        <f t="shared" si="172"/>
        <v>1000000</v>
      </c>
      <c r="CO133" s="558"/>
      <c r="CP133" s="558"/>
      <c r="CQ133" s="558"/>
      <c r="CR133" s="558"/>
      <c r="CS133" s="558"/>
      <c r="CT133" s="558"/>
      <c r="CU133" s="558"/>
      <c r="CV133" s="558"/>
      <c r="CW133" s="558"/>
      <c r="CX133" s="558"/>
      <c r="CY133" s="558"/>
      <c r="CZ133" s="558"/>
      <c r="DA133" s="558"/>
      <c r="DB133" s="558"/>
      <c r="DC133" s="558"/>
      <c r="DD133" s="558"/>
      <c r="DE133" s="558"/>
      <c r="DF133" s="558"/>
      <c r="DG133" s="558"/>
      <c r="DH133" s="558"/>
      <c r="DI133" s="558"/>
      <c r="DJ133" s="558"/>
      <c r="DK133" s="558"/>
      <c r="DL133" s="558"/>
      <c r="DM133" s="558"/>
      <c r="DN133" s="558"/>
      <c r="DO133" s="558"/>
      <c r="DP133" s="558"/>
      <c r="DQ133" s="558"/>
      <c r="DR133" s="558"/>
      <c r="DS133" s="558"/>
      <c r="DT133" s="558"/>
      <c r="EM133" s="637"/>
      <c r="EN133" s="826" t="s">
        <v>315</v>
      </c>
      <c r="EO133" s="827">
        <f>D14</f>
        <v>113.5</v>
      </c>
      <c r="EP133" s="828">
        <f>G11</f>
        <v>112</v>
      </c>
      <c r="EQ133" s="829">
        <f>L6</f>
        <v>100</v>
      </c>
    </row>
    <row r="134" spans="2:176" s="564" customFormat="1" ht="15" customHeight="1" x14ac:dyDescent="0.2">
      <c r="B134" s="682">
        <f t="shared" si="193"/>
        <v>9</v>
      </c>
      <c r="C134" s="704">
        <f>$K$16</f>
        <v>78.5</v>
      </c>
      <c r="D134" s="807">
        <f>$B$16</f>
        <v>1.94</v>
      </c>
      <c r="E134" s="790">
        <f t="shared" si="149"/>
        <v>8.7222222222222214</v>
      </c>
      <c r="F134" s="689"/>
      <c r="G134" s="747">
        <f t="shared" si="150"/>
        <v>1.8891524644364728</v>
      </c>
      <c r="H134" s="748">
        <f t="shared" si="154"/>
        <v>2.5854718728841601E-3</v>
      </c>
      <c r="I134" s="652"/>
      <c r="J134" s="773">
        <f t="shared" si="176"/>
        <v>97</v>
      </c>
      <c r="K134" s="774">
        <f t="shared" si="155"/>
        <v>109.125</v>
      </c>
      <c r="L134" s="747">
        <f t="shared" si="196"/>
        <v>2.0521266086956524</v>
      </c>
      <c r="M134" s="751">
        <f t="shared" si="196"/>
        <v>2.0407684782608695</v>
      </c>
      <c r="N134" s="751">
        <f t="shared" si="196"/>
        <v>2.0211527173913044</v>
      </c>
      <c r="O134" s="751">
        <f t="shared" si="196"/>
        <v>2.0015369565217394</v>
      </c>
      <c r="P134" s="751">
        <f t="shared" si="196"/>
        <v>1.9638608695652175</v>
      </c>
      <c r="Q134" s="751">
        <f t="shared" si="196"/>
        <v>1.9418773913043479</v>
      </c>
      <c r="R134" s="751">
        <f t="shared" si="196"/>
        <v>1.8580913043478262</v>
      </c>
      <c r="S134" s="751">
        <f t="shared" si="196"/>
        <v>1.8214245217391305</v>
      </c>
      <c r="T134" s="752">
        <f t="shared" si="196"/>
        <v>1.7689130434782609</v>
      </c>
      <c r="U134" s="753">
        <f t="shared" si="196"/>
        <v>1.428791304347826</v>
      </c>
      <c r="W134" s="773">
        <f t="shared" si="157"/>
        <v>109.125</v>
      </c>
      <c r="X134" s="775">
        <f t="shared" si="197"/>
        <v>-9.7061639720765674E-2</v>
      </c>
      <c r="Y134" s="776">
        <f t="shared" si="197"/>
        <v>-9.7066203609654567E-2</v>
      </c>
      <c r="Z134" s="776">
        <f t="shared" si="197"/>
        <v>-9.7074085554099007E-2</v>
      </c>
      <c r="AA134" s="776">
        <f t="shared" si="197"/>
        <v>-9.7081967498543448E-2</v>
      </c>
      <c r="AB134" s="776">
        <f t="shared" si="197"/>
        <v>-9.7097106387432339E-2</v>
      </c>
      <c r="AC134" s="776">
        <f t="shared" si="197"/>
        <v>-9.7105939720765672E-2</v>
      </c>
      <c r="AD134" s="776">
        <f t="shared" si="197"/>
        <v>-9.713960638743234E-2</v>
      </c>
      <c r="AE134" s="776">
        <f t="shared" si="197"/>
        <v>-9.7154339720765676E-2</v>
      </c>
      <c r="AF134" s="777">
        <f t="shared" si="197"/>
        <v>-9.7175439720765672E-2</v>
      </c>
      <c r="AG134" s="778">
        <f t="shared" si="197"/>
        <v>-9.7312106387432332E-2</v>
      </c>
      <c r="AI134" s="773">
        <f t="shared" si="159"/>
        <v>109.125</v>
      </c>
      <c r="AJ134" s="747">
        <f t="shared" si="192"/>
        <v>1.9550649689748867</v>
      </c>
      <c r="AK134" s="751">
        <f t="shared" si="192"/>
        <v>1.9437022746512149</v>
      </c>
      <c r="AL134" s="751">
        <f t="shared" si="192"/>
        <v>1.9240786318372054</v>
      </c>
      <c r="AM134" s="751">
        <f t="shared" si="192"/>
        <v>1.9044549890231959</v>
      </c>
      <c r="AN134" s="751">
        <f t="shared" si="192"/>
        <v>1.8667637631777851</v>
      </c>
      <c r="AO134" s="751">
        <f t="shared" si="192"/>
        <v>1.8447714515835822</v>
      </c>
      <c r="AP134" s="751">
        <f t="shared" si="192"/>
        <v>1.7609516979603939</v>
      </c>
      <c r="AQ134" s="751"/>
      <c r="AR134" s="752"/>
      <c r="AS134" s="751"/>
      <c r="AT134" s="674">
        <f t="shared" si="160"/>
        <v>1.75</v>
      </c>
      <c r="AU134" s="712">
        <f t="shared" si="161"/>
        <v>1.8</v>
      </c>
      <c r="AV134" s="712">
        <f t="shared" si="162"/>
        <v>1.81</v>
      </c>
      <c r="AW134" s="712">
        <f t="shared" si="163"/>
        <v>1.83</v>
      </c>
      <c r="AX134" s="712">
        <f t="shared" si="164"/>
        <v>1.84</v>
      </c>
      <c r="AY134" s="712">
        <f t="shared" si="165"/>
        <v>1.86</v>
      </c>
      <c r="AZ134" s="712">
        <f t="shared" si="166"/>
        <v>1.88</v>
      </c>
      <c r="BA134" s="712">
        <f t="shared" si="167"/>
        <v>1.9</v>
      </c>
      <c r="BB134" s="712">
        <f t="shared" si="168"/>
        <v>1.92</v>
      </c>
      <c r="BC134" s="779">
        <f t="shared" si="169"/>
        <v>1000000</v>
      </c>
      <c r="BD134" s="780">
        <f t="shared" si="170"/>
        <v>1000000</v>
      </c>
      <c r="BF134" s="781">
        <f t="shared" si="198"/>
        <v>1.955619844504527</v>
      </c>
      <c r="BG134" s="767">
        <f t="shared" si="198"/>
        <v>2.0379854786893361</v>
      </c>
      <c r="BH134" s="767">
        <f t="shared" si="198"/>
        <v>1.9971843601300026</v>
      </c>
      <c r="BI134" s="767">
        <f t="shared" si="198"/>
        <v>1.9929179257513325</v>
      </c>
      <c r="BJ134" s="767">
        <f t="shared" si="198"/>
        <v>1.990477209531794</v>
      </c>
      <c r="BK134" s="767">
        <f t="shared" si="198"/>
        <v>1.9898690585741468</v>
      </c>
      <c r="BL134" s="767">
        <f t="shared" si="198"/>
        <v>1.9888412904825932</v>
      </c>
      <c r="BM134" s="767">
        <f t="shared" si="198"/>
        <v>1.9886255164503417</v>
      </c>
      <c r="BN134" s="767">
        <f t="shared" si="198"/>
        <v>1.9884093774656251</v>
      </c>
      <c r="BO134" s="782">
        <f t="shared" si="198"/>
        <v>1.9878138855089837</v>
      </c>
      <c r="BP134" s="781">
        <f t="shared" si="189"/>
        <v>1.955619844504527</v>
      </c>
      <c r="BQ134" s="767">
        <f t="shared" si="189"/>
        <v>-1000000</v>
      </c>
      <c r="BR134" s="767">
        <f t="shared" si="189"/>
        <v>-1000000</v>
      </c>
      <c r="BS134" s="767">
        <f t="shared" si="189"/>
        <v>-1000000</v>
      </c>
      <c r="BT134" s="767">
        <f t="shared" si="189"/>
        <v>-1000000</v>
      </c>
      <c r="BU134" s="767">
        <f t="shared" si="187"/>
        <v>-1000000</v>
      </c>
      <c r="BV134" s="767">
        <f t="shared" si="187"/>
        <v>-1000000</v>
      </c>
      <c r="BW134" s="767">
        <f t="shared" si="187"/>
        <v>-1000000</v>
      </c>
      <c r="BX134" s="767">
        <f t="shared" si="187"/>
        <v>-1000000</v>
      </c>
      <c r="BY134" s="767">
        <f t="shared" si="187"/>
        <v>-1000000</v>
      </c>
      <c r="BZ134" s="648">
        <f t="shared" si="151"/>
        <v>97</v>
      </c>
      <c r="CA134" s="767">
        <f t="shared" si="194"/>
        <v>1.955619844504527</v>
      </c>
      <c r="CB134" s="767"/>
      <c r="CC134" s="767"/>
      <c r="CD134" s="767"/>
      <c r="CE134" s="767"/>
      <c r="CF134" s="767"/>
      <c r="CG134" s="767"/>
      <c r="CH134" s="767"/>
      <c r="CI134" s="767"/>
      <c r="CJ134" s="767"/>
      <c r="CK134" s="781">
        <f t="shared" si="153"/>
        <v>1.75</v>
      </c>
      <c r="CL134" s="783">
        <f t="shared" si="172"/>
        <v>1000000</v>
      </c>
      <c r="CO134" s="558"/>
      <c r="CP134" s="558"/>
      <c r="CQ134" s="558"/>
      <c r="CR134" s="558"/>
      <c r="CS134" s="558"/>
      <c r="CT134" s="558"/>
      <c r="CU134" s="558"/>
      <c r="CV134" s="558"/>
      <c r="CW134" s="558"/>
      <c r="CX134" s="558"/>
      <c r="CY134" s="558"/>
      <c r="CZ134" s="558"/>
      <c r="DA134" s="558"/>
      <c r="DB134" s="558"/>
      <c r="DC134" s="558"/>
      <c r="DD134" s="558"/>
      <c r="DE134" s="558"/>
      <c r="DF134" s="558"/>
      <c r="DG134" s="558"/>
      <c r="DH134" s="558"/>
      <c r="DI134" s="558"/>
      <c r="DJ134" s="558"/>
      <c r="DK134" s="558"/>
      <c r="DL134" s="558"/>
      <c r="DM134" s="558"/>
      <c r="DN134" s="558"/>
      <c r="DO134" s="558"/>
      <c r="DP134" s="558"/>
      <c r="DQ134" s="558"/>
      <c r="DR134" s="558"/>
      <c r="DS134" s="558"/>
      <c r="DT134" s="558"/>
      <c r="EM134" s="633"/>
      <c r="EN134" s="830" t="s">
        <v>316</v>
      </c>
      <c r="EO134" s="825">
        <f>EO133-EO129</f>
        <v>-15.84914071954347</v>
      </c>
      <c r="EP134" s="621">
        <f>EP133-EP130</f>
        <v>-10.45493931735497</v>
      </c>
      <c r="EQ134" s="654">
        <f>EQ133-EQ131</f>
        <v>-10.566073457023833</v>
      </c>
    </row>
    <row r="135" spans="2:176" s="564" customFormat="1" ht="15" customHeight="1" x14ac:dyDescent="0.2">
      <c r="B135" s="831">
        <f>$L$4</f>
        <v>8</v>
      </c>
      <c r="C135" s="832">
        <f>$L$6</f>
        <v>100</v>
      </c>
      <c r="D135" s="833">
        <f>$B$6</f>
        <v>1.75</v>
      </c>
      <c r="E135" s="834">
        <f t="shared" si="149"/>
        <v>12.5</v>
      </c>
      <c r="F135" s="835"/>
      <c r="G135" s="747">
        <f t="shared" si="150"/>
        <v>1.7538116662175649</v>
      </c>
      <c r="H135" s="836">
        <f t="shared" si="154"/>
        <v>1.4528799354125527E-5</v>
      </c>
      <c r="I135" s="689"/>
      <c r="J135" s="773">
        <f t="shared" si="176"/>
        <v>98</v>
      </c>
      <c r="K135" s="774">
        <f t="shared" si="155"/>
        <v>110.25</v>
      </c>
      <c r="L135" s="747">
        <f t="shared" si="196"/>
        <v>2.0508596363636364</v>
      </c>
      <c r="M135" s="751">
        <f t="shared" si="196"/>
        <v>2.0389852272727271</v>
      </c>
      <c r="N135" s="751">
        <f t="shared" si="196"/>
        <v>2.0184778409090911</v>
      </c>
      <c r="O135" s="751">
        <f t="shared" si="196"/>
        <v>1.9979704545454546</v>
      </c>
      <c r="P135" s="751">
        <f t="shared" si="196"/>
        <v>1.9585818181818182</v>
      </c>
      <c r="Q135" s="751">
        <f t="shared" si="196"/>
        <v>1.935599090909091</v>
      </c>
      <c r="R135" s="751">
        <f t="shared" si="196"/>
        <v>1.8480045454545455</v>
      </c>
      <c r="S135" s="751">
        <f t="shared" si="196"/>
        <v>1.809671090909091</v>
      </c>
      <c r="T135" s="752">
        <f t="shared" si="196"/>
        <v>1.7547727272727274</v>
      </c>
      <c r="U135" s="753">
        <f t="shared" si="196"/>
        <v>1.3991909090909092</v>
      </c>
      <c r="W135" s="773">
        <f t="shared" si="157"/>
        <v>110.25</v>
      </c>
      <c r="X135" s="775">
        <f t="shared" si="197"/>
        <v>-9.7155638607797981E-2</v>
      </c>
      <c r="Y135" s="776">
        <f t="shared" si="197"/>
        <v>-9.7160202496686873E-2</v>
      </c>
      <c r="Z135" s="776">
        <f t="shared" si="197"/>
        <v>-9.7168084441131314E-2</v>
      </c>
      <c r="AA135" s="776">
        <f t="shared" si="197"/>
        <v>-9.7175966385575754E-2</v>
      </c>
      <c r="AB135" s="776">
        <f t="shared" si="197"/>
        <v>-9.7191105274464645E-2</v>
      </c>
      <c r="AC135" s="776">
        <f t="shared" si="197"/>
        <v>-9.7199938607797978E-2</v>
      </c>
      <c r="AD135" s="776">
        <f t="shared" si="197"/>
        <v>-9.7233605274464646E-2</v>
      </c>
      <c r="AE135" s="776">
        <f t="shared" si="197"/>
        <v>-9.7248338607797982E-2</v>
      </c>
      <c r="AF135" s="777">
        <f t="shared" si="197"/>
        <v>-9.7269438607797978E-2</v>
      </c>
      <c r="AG135" s="778">
        <f t="shared" si="197"/>
        <v>-9.7406105274464638E-2</v>
      </c>
      <c r="AI135" s="773">
        <f t="shared" si="159"/>
        <v>110.25</v>
      </c>
      <c r="AJ135" s="747">
        <f t="shared" si="192"/>
        <v>1.9537039977558384</v>
      </c>
      <c r="AK135" s="751">
        <f t="shared" si="192"/>
        <v>1.9418250247760402</v>
      </c>
      <c r="AL135" s="751">
        <f t="shared" si="192"/>
        <v>1.9213097564679598</v>
      </c>
      <c r="AM135" s="751">
        <f t="shared" si="192"/>
        <v>1.9007944881598788</v>
      </c>
      <c r="AN135" s="751">
        <f t="shared" si="192"/>
        <v>1.8613907129073535</v>
      </c>
      <c r="AO135" s="751">
        <f t="shared" si="192"/>
        <v>1.838399152301293</v>
      </c>
      <c r="AP135" s="751">
        <f t="shared" si="192"/>
        <v>1.7507709401800808</v>
      </c>
      <c r="AQ135" s="751"/>
      <c r="AR135" s="752"/>
      <c r="AS135" s="751"/>
      <c r="AT135" s="674">
        <f t="shared" si="160"/>
        <v>1.75</v>
      </c>
      <c r="AU135" s="712">
        <f t="shared" si="161"/>
        <v>1.8</v>
      </c>
      <c r="AV135" s="712">
        <f t="shared" si="162"/>
        <v>1.81</v>
      </c>
      <c r="AW135" s="712">
        <f t="shared" si="163"/>
        <v>1.83</v>
      </c>
      <c r="AX135" s="712">
        <f t="shared" si="164"/>
        <v>1.84</v>
      </c>
      <c r="AY135" s="712">
        <f t="shared" si="165"/>
        <v>1.86</v>
      </c>
      <c r="AZ135" s="712">
        <f t="shared" si="166"/>
        <v>1.88</v>
      </c>
      <c r="BA135" s="712">
        <f t="shared" si="167"/>
        <v>1.9</v>
      </c>
      <c r="BB135" s="712">
        <f t="shared" si="168"/>
        <v>1.92</v>
      </c>
      <c r="BC135" s="779">
        <f t="shared" si="169"/>
        <v>1000000</v>
      </c>
      <c r="BD135" s="780">
        <f t="shared" si="170"/>
        <v>1000000</v>
      </c>
      <c r="BF135" s="781">
        <f t="shared" si="198"/>
        <v>1.9543100695234736</v>
      </c>
      <c r="BG135" s="767">
        <f t="shared" si="198"/>
        <v>2.0333823902808432</v>
      </c>
      <c r="BH135" s="767">
        <f t="shared" si="198"/>
        <v>1.9967890945284457</v>
      </c>
      <c r="BI135" s="767">
        <f t="shared" si="198"/>
        <v>1.9927025047090252</v>
      </c>
      <c r="BJ135" s="767">
        <f t="shared" si="198"/>
        <v>1.990340251018484</v>
      </c>
      <c r="BK135" s="767">
        <f t="shared" si="198"/>
        <v>1.9897487936595932</v>
      </c>
      <c r="BL135" s="767">
        <f t="shared" si="198"/>
        <v>1.9887463530572693</v>
      </c>
      <c r="BM135" s="767">
        <f t="shared" si="198"/>
        <v>1.9885353417551783</v>
      </c>
      <c r="BN135" s="767">
        <f t="shared" si="198"/>
        <v>1.9883237075386366</v>
      </c>
      <c r="BO135" s="782">
        <f t="shared" si="198"/>
        <v>1.9877383627319587</v>
      </c>
      <c r="BP135" s="781">
        <f t="shared" si="189"/>
        <v>1.9543100695234736</v>
      </c>
      <c r="BQ135" s="767">
        <f t="shared" si="189"/>
        <v>-1000000</v>
      </c>
      <c r="BR135" s="767">
        <f t="shared" si="189"/>
        <v>-1000000</v>
      </c>
      <c r="BS135" s="767">
        <f t="shared" si="189"/>
        <v>-1000000</v>
      </c>
      <c r="BT135" s="767">
        <f t="shared" si="189"/>
        <v>-1000000</v>
      </c>
      <c r="BU135" s="767">
        <f t="shared" si="187"/>
        <v>-1000000</v>
      </c>
      <c r="BV135" s="767">
        <f t="shared" si="187"/>
        <v>-1000000</v>
      </c>
      <c r="BW135" s="767">
        <f t="shared" si="187"/>
        <v>-1000000</v>
      </c>
      <c r="BX135" s="767">
        <f t="shared" si="187"/>
        <v>-1000000</v>
      </c>
      <c r="BY135" s="767">
        <f t="shared" si="187"/>
        <v>-1000000</v>
      </c>
      <c r="BZ135" s="648">
        <f t="shared" si="151"/>
        <v>98</v>
      </c>
      <c r="CA135" s="767">
        <f t="shared" si="194"/>
        <v>1.9543100695234736</v>
      </c>
      <c r="CB135" s="767"/>
      <c r="CC135" s="767"/>
      <c r="CD135" s="767"/>
      <c r="CE135" s="767"/>
      <c r="CF135" s="767"/>
      <c r="CG135" s="767"/>
      <c r="CH135" s="767"/>
      <c r="CI135" s="767"/>
      <c r="CJ135" s="767"/>
      <c r="CK135" s="781">
        <f t="shared" si="153"/>
        <v>1.75</v>
      </c>
      <c r="CL135" s="783">
        <f t="shared" si="172"/>
        <v>1000000</v>
      </c>
      <c r="CO135" s="558"/>
      <c r="CP135" s="558"/>
      <c r="CQ135" s="558"/>
      <c r="CR135" s="558"/>
      <c r="CS135" s="558"/>
      <c r="CT135" s="558"/>
      <c r="CU135" s="558"/>
      <c r="CV135" s="558"/>
      <c r="CW135" s="558"/>
      <c r="CX135" s="558"/>
      <c r="CY135" s="558"/>
      <c r="CZ135" s="558"/>
      <c r="DA135" s="558"/>
      <c r="DB135" s="558"/>
      <c r="DC135" s="558"/>
      <c r="DD135" s="558"/>
      <c r="DE135" s="558"/>
      <c r="DF135" s="558"/>
      <c r="DG135" s="558"/>
      <c r="DH135" s="558"/>
      <c r="DI135" s="558"/>
      <c r="DJ135" s="558"/>
      <c r="DK135" s="558"/>
      <c r="DL135" s="558"/>
      <c r="DM135" s="558"/>
      <c r="DN135" s="558"/>
      <c r="DO135" s="558"/>
      <c r="DP135" s="558"/>
      <c r="DQ135" s="558"/>
      <c r="DR135" s="558"/>
      <c r="DS135" s="558"/>
      <c r="DT135" s="558"/>
      <c r="EM135" s="633"/>
      <c r="EN135" s="830" t="s">
        <v>317</v>
      </c>
      <c r="EO135" s="837">
        <f>D4</f>
        <v>72</v>
      </c>
      <c r="EP135" s="838">
        <f>G4</f>
        <v>24</v>
      </c>
      <c r="EQ135" s="839">
        <f>L4</f>
        <v>8</v>
      </c>
    </row>
    <row r="136" spans="2:176" s="564" customFormat="1" ht="15" customHeight="1" x14ac:dyDescent="0.2">
      <c r="B136" s="647">
        <f t="shared" ref="B136:B145" si="199">$L$4</f>
        <v>8</v>
      </c>
      <c r="C136" s="652">
        <f>$L$7</f>
        <v>99</v>
      </c>
      <c r="D136" s="771">
        <f>$B$7</f>
        <v>1.78</v>
      </c>
      <c r="E136" s="772">
        <f t="shared" si="149"/>
        <v>12.375</v>
      </c>
      <c r="F136" s="689"/>
      <c r="G136" s="747">
        <f t="shared" si="150"/>
        <v>1.7625700068714472</v>
      </c>
      <c r="H136" s="748">
        <f t="shared" si="154"/>
        <v>3.0380466046140016E-4</v>
      </c>
      <c r="I136" s="689"/>
      <c r="J136" s="773">
        <f t="shared" si="176"/>
        <v>99</v>
      </c>
      <c r="K136" s="774">
        <f t="shared" si="155"/>
        <v>111.375</v>
      </c>
      <c r="L136" s="747">
        <f t="shared" si="196"/>
        <v>2.0494720000000002</v>
      </c>
      <c r="M136" s="751">
        <f t="shared" si="196"/>
        <v>2.037032142857143</v>
      </c>
      <c r="N136" s="751">
        <f t="shared" si="196"/>
        <v>2.0155482142857144</v>
      </c>
      <c r="O136" s="751">
        <f t="shared" si="196"/>
        <v>1.9940642857142858</v>
      </c>
      <c r="P136" s="751">
        <f t="shared" si="196"/>
        <v>1.9528000000000001</v>
      </c>
      <c r="Q136" s="751">
        <f t="shared" si="196"/>
        <v>1.9287228571428572</v>
      </c>
      <c r="R136" s="751">
        <f t="shared" si="196"/>
        <v>1.836957142857143</v>
      </c>
      <c r="S136" s="751">
        <f t="shared" si="196"/>
        <v>1.7967982857142859</v>
      </c>
      <c r="T136" s="752">
        <f t="shared" si="196"/>
        <v>1.7392857142857143</v>
      </c>
      <c r="U136" s="753">
        <f t="shared" si="196"/>
        <v>1.3667714285714287</v>
      </c>
      <c r="W136" s="773">
        <f t="shared" si="157"/>
        <v>111.375</v>
      </c>
      <c r="X136" s="775">
        <f t="shared" si="197"/>
        <v>-9.7244951565328516E-2</v>
      </c>
      <c r="Y136" s="776">
        <f t="shared" si="197"/>
        <v>-9.7249515454217408E-2</v>
      </c>
      <c r="Z136" s="776">
        <f t="shared" si="197"/>
        <v>-9.7257397398661849E-2</v>
      </c>
      <c r="AA136" s="776">
        <f t="shared" si="197"/>
        <v>-9.726527934310629E-2</v>
      </c>
      <c r="AB136" s="776">
        <f t="shared" si="197"/>
        <v>-9.728041823199518E-2</v>
      </c>
      <c r="AC136" s="776">
        <f t="shared" si="197"/>
        <v>-9.7289251565328513E-2</v>
      </c>
      <c r="AD136" s="776">
        <f t="shared" si="197"/>
        <v>-9.7322918231995181E-2</v>
      </c>
      <c r="AE136" s="776">
        <f t="shared" si="197"/>
        <v>-9.7337651565328517E-2</v>
      </c>
      <c r="AF136" s="777">
        <f t="shared" si="197"/>
        <v>-9.7358751565328513E-2</v>
      </c>
      <c r="AG136" s="778">
        <f t="shared" si="197"/>
        <v>-9.7495418231995173E-2</v>
      </c>
      <c r="AI136" s="773">
        <f t="shared" si="159"/>
        <v>111.375</v>
      </c>
      <c r="AJ136" s="747">
        <f t="shared" si="192"/>
        <v>1.9522270484346718</v>
      </c>
      <c r="AK136" s="751">
        <f t="shared" si="192"/>
        <v>1.9397826274029255</v>
      </c>
      <c r="AL136" s="751">
        <f t="shared" si="192"/>
        <v>1.9182908168870525</v>
      </c>
      <c r="AM136" s="751">
        <f t="shared" si="192"/>
        <v>1.8967990063711795</v>
      </c>
      <c r="AN136" s="751">
        <f t="shared" si="192"/>
        <v>1.855519581768005</v>
      </c>
      <c r="AO136" s="751">
        <f t="shared" si="192"/>
        <v>1.8314336055775287</v>
      </c>
      <c r="AP136" s="751">
        <f t="shared" si="192"/>
        <v>1.7396342246251477</v>
      </c>
      <c r="AQ136" s="751"/>
      <c r="AR136" s="752"/>
      <c r="AS136" s="751"/>
      <c r="AT136" s="674">
        <f t="shared" si="160"/>
        <v>1.75</v>
      </c>
      <c r="AU136" s="712">
        <f t="shared" si="161"/>
        <v>1.8</v>
      </c>
      <c r="AV136" s="712">
        <f t="shared" si="162"/>
        <v>1.81</v>
      </c>
      <c r="AW136" s="712">
        <f t="shared" si="163"/>
        <v>1.83</v>
      </c>
      <c r="AX136" s="712">
        <f t="shared" si="164"/>
        <v>1.84</v>
      </c>
      <c r="AY136" s="712">
        <f t="shared" si="165"/>
        <v>1.86</v>
      </c>
      <c r="AZ136" s="712">
        <f t="shared" si="166"/>
        <v>1.88</v>
      </c>
      <c r="BA136" s="712">
        <f t="shared" si="167"/>
        <v>1.9</v>
      </c>
      <c r="BB136" s="712">
        <f t="shared" si="168"/>
        <v>1.92</v>
      </c>
      <c r="BC136" s="779">
        <f t="shared" si="169"/>
        <v>1000000</v>
      </c>
      <c r="BD136" s="780">
        <f t="shared" si="170"/>
        <v>1000000</v>
      </c>
      <c r="BF136" s="781">
        <f t="shared" si="198"/>
        <v>1.9528922915326645</v>
      </c>
      <c r="BG136" s="767">
        <f t="shared" si="198"/>
        <v>2.0294668882084377</v>
      </c>
      <c r="BH136" s="767">
        <f t="shared" si="198"/>
        <v>1.9964127366938176</v>
      </c>
      <c r="BI136" s="767">
        <f t="shared" si="198"/>
        <v>1.9924947557689898</v>
      </c>
      <c r="BJ136" s="767">
        <f t="shared" si="198"/>
        <v>1.990207201626351</v>
      </c>
      <c r="BK136" s="767">
        <f t="shared" si="198"/>
        <v>1.9896317497383245</v>
      </c>
      <c r="BL136" s="767">
        <f t="shared" si="198"/>
        <v>1.9886536798255279</v>
      </c>
      <c r="BM136" s="767">
        <f t="shared" si="198"/>
        <v>1.9884472639816757</v>
      </c>
      <c r="BN136" s="767">
        <f t="shared" si="198"/>
        <v>1.9882399802403781</v>
      </c>
      <c r="BO136" s="782">
        <f t="shared" si="198"/>
        <v>1.9876644495491764</v>
      </c>
      <c r="BP136" s="781">
        <f t="shared" si="189"/>
        <v>1.9528922915326645</v>
      </c>
      <c r="BQ136" s="767">
        <f t="shared" si="189"/>
        <v>-1000000</v>
      </c>
      <c r="BR136" s="767">
        <f t="shared" si="189"/>
        <v>-1000000</v>
      </c>
      <c r="BS136" s="767">
        <f t="shared" si="189"/>
        <v>-1000000</v>
      </c>
      <c r="BT136" s="767">
        <f t="shared" si="189"/>
        <v>-1000000</v>
      </c>
      <c r="BU136" s="767">
        <f t="shared" si="187"/>
        <v>-1000000</v>
      </c>
      <c r="BV136" s="767">
        <f t="shared" si="187"/>
        <v>-1000000</v>
      </c>
      <c r="BW136" s="767">
        <f t="shared" si="187"/>
        <v>-1000000</v>
      </c>
      <c r="BX136" s="767">
        <f t="shared" si="187"/>
        <v>-1000000</v>
      </c>
      <c r="BY136" s="767">
        <f t="shared" si="187"/>
        <v>-1000000</v>
      </c>
      <c r="BZ136" s="648">
        <f t="shared" si="151"/>
        <v>99</v>
      </c>
      <c r="CA136" s="767">
        <f t="shared" si="194"/>
        <v>1.9528922915326645</v>
      </c>
      <c r="CB136" s="767"/>
      <c r="CC136" s="767"/>
      <c r="CD136" s="767"/>
      <c r="CE136" s="767"/>
      <c r="CF136" s="767"/>
      <c r="CG136" s="767"/>
      <c r="CH136" s="767"/>
      <c r="CI136" s="767"/>
      <c r="CJ136" s="767"/>
      <c r="CK136" s="781">
        <f t="shared" si="153"/>
        <v>1.75</v>
      </c>
      <c r="CL136" s="783">
        <f t="shared" si="172"/>
        <v>1000000</v>
      </c>
      <c r="CO136" s="558"/>
      <c r="CP136" s="558"/>
      <c r="CQ136" s="558"/>
      <c r="CR136" s="558"/>
      <c r="CS136" s="558"/>
      <c r="CT136" s="558"/>
      <c r="CU136" s="558"/>
      <c r="CV136" s="558"/>
      <c r="CW136" s="558"/>
      <c r="CX136" s="558"/>
      <c r="CY136" s="558"/>
      <c r="CZ136" s="558"/>
      <c r="DA136" s="558"/>
      <c r="DB136" s="558"/>
      <c r="DC136" s="558"/>
      <c r="DD136" s="558"/>
      <c r="DE136" s="558"/>
      <c r="DF136" s="558"/>
      <c r="DG136" s="558"/>
      <c r="DH136" s="558"/>
      <c r="DI136" s="558"/>
      <c r="DJ136" s="558"/>
      <c r="DK136" s="558"/>
      <c r="DL136" s="558"/>
      <c r="DM136" s="558"/>
      <c r="DN136" s="558"/>
      <c r="DO136" s="558"/>
      <c r="DP136" s="558"/>
      <c r="DQ136" s="558"/>
      <c r="DR136" s="558"/>
      <c r="DS136" s="558"/>
      <c r="DT136" s="558"/>
      <c r="EM136" s="798"/>
      <c r="EN136" s="840" t="s">
        <v>318</v>
      </c>
      <c r="EO136" s="841">
        <f>EO133/EO135</f>
        <v>1.5763888888888888</v>
      </c>
      <c r="EP136" s="728">
        <f t="shared" ref="EP136:EQ136" si="200">EP133/EP135</f>
        <v>4.666666666666667</v>
      </c>
      <c r="EQ136" s="726">
        <f t="shared" si="200"/>
        <v>12.5</v>
      </c>
    </row>
    <row r="137" spans="2:176" s="564" customFormat="1" ht="15" customHeight="1" x14ac:dyDescent="0.2">
      <c r="B137" s="647">
        <f t="shared" si="199"/>
        <v>8</v>
      </c>
      <c r="C137" s="652">
        <f>$L$8</f>
        <v>98.5</v>
      </c>
      <c r="D137" s="771">
        <f>$B$8</f>
        <v>1.8</v>
      </c>
      <c r="E137" s="772">
        <f t="shared" si="149"/>
        <v>12.3125</v>
      </c>
      <c r="F137" s="689"/>
      <c r="G137" s="747">
        <f t="shared" si="150"/>
        <v>1.7667742624713478</v>
      </c>
      <c r="H137" s="748">
        <f t="shared" si="154"/>
        <v>1.103949634322888E-3</v>
      </c>
      <c r="I137" s="689"/>
      <c r="J137" s="773">
        <f t="shared" si="176"/>
        <v>100</v>
      </c>
      <c r="K137" s="774">
        <f t="shared" si="155"/>
        <v>112.5</v>
      </c>
      <c r="L137" s="747">
        <f t="shared" si="196"/>
        <v>2.0479456000000003</v>
      </c>
      <c r="M137" s="751">
        <f t="shared" si="196"/>
        <v>2.0348837500000001</v>
      </c>
      <c r="N137" s="751">
        <f t="shared" si="196"/>
        <v>2.0123256249999999</v>
      </c>
      <c r="O137" s="751">
        <f t="shared" si="196"/>
        <v>1.9897675000000001</v>
      </c>
      <c r="P137" s="751">
        <f t="shared" si="196"/>
        <v>1.9464399999999999</v>
      </c>
      <c r="Q137" s="751">
        <f t="shared" si="196"/>
        <v>1.9211590000000001</v>
      </c>
      <c r="R137" s="751">
        <f t="shared" si="196"/>
        <v>1.824805</v>
      </c>
      <c r="S137" s="751">
        <f t="shared" si="196"/>
        <v>1.7826382000000001</v>
      </c>
      <c r="T137" s="752">
        <f t="shared" si="196"/>
        <v>1.7222500000000001</v>
      </c>
      <c r="U137" s="753">
        <f t="shared" si="196"/>
        <v>1.3311099999999998</v>
      </c>
      <c r="W137" s="773">
        <f t="shared" si="157"/>
        <v>112.5</v>
      </c>
      <c r="X137" s="775">
        <f t="shared" si="197"/>
        <v>-9.7329812191179352E-2</v>
      </c>
      <c r="Y137" s="776">
        <f t="shared" si="197"/>
        <v>-9.7334376080068244E-2</v>
      </c>
      <c r="Z137" s="776">
        <f t="shared" si="197"/>
        <v>-9.7342258024512684E-2</v>
      </c>
      <c r="AA137" s="776">
        <f t="shared" si="197"/>
        <v>-9.7350139968957125E-2</v>
      </c>
      <c r="AB137" s="776">
        <f t="shared" si="197"/>
        <v>-9.7365278857846016E-2</v>
      </c>
      <c r="AC137" s="776">
        <f t="shared" si="197"/>
        <v>-9.7374112191179349E-2</v>
      </c>
      <c r="AD137" s="776">
        <f t="shared" si="197"/>
        <v>-9.7407778857846017E-2</v>
      </c>
      <c r="AE137" s="776">
        <f t="shared" si="197"/>
        <v>-9.7422512191179353E-2</v>
      </c>
      <c r="AF137" s="777">
        <f t="shared" si="197"/>
        <v>-9.7443612191179349E-2</v>
      </c>
      <c r="AG137" s="778">
        <f t="shared" si="197"/>
        <v>-9.7580278857846009E-2</v>
      </c>
      <c r="AI137" s="773">
        <f t="shared" si="159"/>
        <v>112.5</v>
      </c>
      <c r="AJ137" s="747">
        <f t="shared" si="192"/>
        <v>1.9506157878088208</v>
      </c>
      <c r="AK137" s="751">
        <f t="shared" si="192"/>
        <v>1.9375493739199319</v>
      </c>
      <c r="AL137" s="751">
        <f t="shared" si="192"/>
        <v>1.9149833669754872</v>
      </c>
      <c r="AM137" s="751">
        <f t="shared" si="192"/>
        <v>1.892417360031043</v>
      </c>
      <c r="AN137" s="751">
        <f t="shared" si="192"/>
        <v>1.8490747211421539</v>
      </c>
      <c r="AO137" s="751">
        <f t="shared" si="192"/>
        <v>1.8237848878088208</v>
      </c>
      <c r="AP137" s="751"/>
      <c r="AQ137" s="751"/>
      <c r="AR137" s="752"/>
      <c r="AS137" s="751"/>
      <c r="AT137" s="674">
        <f t="shared" si="160"/>
        <v>1.75</v>
      </c>
      <c r="AU137" s="712">
        <f t="shared" si="161"/>
        <v>1.8</v>
      </c>
      <c r="AV137" s="712">
        <f t="shared" si="162"/>
        <v>1.81</v>
      </c>
      <c r="AW137" s="712">
        <f t="shared" si="163"/>
        <v>1.83</v>
      </c>
      <c r="AX137" s="712">
        <f t="shared" si="164"/>
        <v>1.84</v>
      </c>
      <c r="AY137" s="712">
        <f t="shared" si="165"/>
        <v>1.86</v>
      </c>
      <c r="AZ137" s="712">
        <f t="shared" si="166"/>
        <v>1.88</v>
      </c>
      <c r="BA137" s="712">
        <f t="shared" si="167"/>
        <v>1.9</v>
      </c>
      <c r="BB137" s="712">
        <f t="shared" si="168"/>
        <v>1.92</v>
      </c>
      <c r="BC137" s="779">
        <f t="shared" si="169"/>
        <v>1000000</v>
      </c>
      <c r="BD137" s="780">
        <f t="shared" si="170"/>
        <v>1000000</v>
      </c>
      <c r="BF137" s="781">
        <f t="shared" si="198"/>
        <v>1.9513498032249776</v>
      </c>
      <c r="BG137" s="767">
        <f t="shared" si="198"/>
        <v>2.0260955108285992</v>
      </c>
      <c r="BH137" s="767">
        <f t="shared" si="198"/>
        <v>1.9960539619854683</v>
      </c>
      <c r="BI137" s="767">
        <f t="shared" si="198"/>
        <v>1.992294276055093</v>
      </c>
      <c r="BJ137" s="767">
        <f t="shared" si="198"/>
        <v>1.9900778963455692</v>
      </c>
      <c r="BK137" s="767">
        <f t="shared" si="198"/>
        <v>1.9895177991209043</v>
      </c>
      <c r="BL137" s="767">
        <f t="shared" si="198"/>
        <v>1.9885631907426407</v>
      </c>
      <c r="BM137" s="767">
        <f t="shared" si="198"/>
        <v>1.9883612108277899</v>
      </c>
      <c r="BN137" s="767">
        <f t="shared" si="198"/>
        <v>1.9881581302358022</v>
      </c>
      <c r="BO137" s="782">
        <f t="shared" si="198"/>
        <v>1.9875920950460044</v>
      </c>
      <c r="BP137" s="781">
        <f t="shared" si="189"/>
        <v>1.9513498032249776</v>
      </c>
      <c r="BQ137" s="767">
        <f t="shared" si="189"/>
        <v>-1000000</v>
      </c>
      <c r="BR137" s="767">
        <f t="shared" si="189"/>
        <v>-1000000</v>
      </c>
      <c r="BS137" s="767">
        <f t="shared" si="189"/>
        <v>-1000000</v>
      </c>
      <c r="BT137" s="767">
        <f t="shared" si="189"/>
        <v>-1000000</v>
      </c>
      <c r="BU137" s="767">
        <f t="shared" si="187"/>
        <v>-1000000</v>
      </c>
      <c r="BV137" s="767">
        <f t="shared" si="187"/>
        <v>-1000000</v>
      </c>
      <c r="BW137" s="767">
        <f t="shared" si="187"/>
        <v>-1000000</v>
      </c>
      <c r="BX137" s="767">
        <f t="shared" si="187"/>
        <v>-1000000</v>
      </c>
      <c r="BY137" s="767">
        <f t="shared" si="187"/>
        <v>-1000000</v>
      </c>
      <c r="BZ137" s="648">
        <f t="shared" si="151"/>
        <v>100</v>
      </c>
      <c r="CA137" s="767">
        <f t="shared" si="194"/>
        <v>1.9513498032249776</v>
      </c>
      <c r="CB137" s="767"/>
      <c r="CC137" s="767"/>
      <c r="CD137" s="767"/>
      <c r="CE137" s="767"/>
      <c r="CF137" s="767"/>
      <c r="CG137" s="767"/>
      <c r="CH137" s="767"/>
      <c r="CI137" s="767"/>
      <c r="CJ137" s="767"/>
      <c r="CK137" s="781">
        <f t="shared" si="153"/>
        <v>1.75</v>
      </c>
      <c r="CL137" s="783">
        <f t="shared" si="172"/>
        <v>1000000</v>
      </c>
      <c r="CO137" s="558"/>
      <c r="CP137" s="558"/>
      <c r="CQ137" s="558"/>
      <c r="CR137" s="558"/>
      <c r="CS137" s="558"/>
      <c r="CT137" s="558"/>
      <c r="CU137" s="558"/>
      <c r="CV137" s="558"/>
      <c r="CW137" s="558"/>
      <c r="CX137" s="558"/>
      <c r="CY137" s="558"/>
      <c r="CZ137" s="558"/>
      <c r="DA137" s="558"/>
      <c r="DB137" s="558"/>
      <c r="DC137" s="558"/>
      <c r="DD137" s="558"/>
      <c r="DE137" s="558"/>
      <c r="DF137" s="558"/>
      <c r="DG137" s="558"/>
      <c r="DH137" s="558"/>
      <c r="DI137" s="558"/>
      <c r="DJ137" s="558"/>
      <c r="DK137" s="558"/>
      <c r="DL137" s="558"/>
      <c r="DM137" s="558"/>
      <c r="DN137" s="558"/>
      <c r="DO137" s="558"/>
      <c r="DP137" s="558"/>
      <c r="DQ137" s="558"/>
      <c r="DR137" s="558"/>
      <c r="DS137" s="558"/>
      <c r="DT137" s="558"/>
    </row>
    <row r="138" spans="2:176" s="564" customFormat="1" ht="15" customHeight="1" x14ac:dyDescent="0.2">
      <c r="B138" s="647">
        <f t="shared" si="199"/>
        <v>8</v>
      </c>
      <c r="C138" s="652">
        <f>$L$9</f>
        <v>98</v>
      </c>
      <c r="D138" s="771">
        <f>$B$9</f>
        <v>1.81</v>
      </c>
      <c r="E138" s="772">
        <f t="shared" si="149"/>
        <v>12.25</v>
      </c>
      <c r="F138" s="689"/>
      <c r="G138" s="747">
        <f t="shared" si="150"/>
        <v>1.7708683413158803</v>
      </c>
      <c r="H138" s="748">
        <f t="shared" si="154"/>
        <v>1.5312867113704421E-3</v>
      </c>
      <c r="I138" s="689"/>
      <c r="J138" s="773">
        <f t="shared" si="176"/>
        <v>101</v>
      </c>
      <c r="K138" s="774">
        <f t="shared" si="155"/>
        <v>113.625</v>
      </c>
      <c r="L138" s="747">
        <f t="shared" si="196"/>
        <v>2.0462585263157895</v>
      </c>
      <c r="M138" s="751">
        <f t="shared" si="196"/>
        <v>2.0325092105263161</v>
      </c>
      <c r="N138" s="751">
        <f t="shared" si="196"/>
        <v>2.0087638157894738</v>
      </c>
      <c r="O138" s="751">
        <f t="shared" si="196"/>
        <v>1.9850184210526316</v>
      </c>
      <c r="P138" s="751">
        <f t="shared" si="196"/>
        <v>1.9394105263157895</v>
      </c>
      <c r="Q138" s="751">
        <f t="shared" si="196"/>
        <v>1.912798947368421</v>
      </c>
      <c r="R138" s="751">
        <f t="shared" si="196"/>
        <v>1.8113736842105264</v>
      </c>
      <c r="S138" s="751">
        <f t="shared" si="196"/>
        <v>1.7669875789473686</v>
      </c>
      <c r="T138" s="752">
        <f t="shared" si="196"/>
        <v>1.7034210526315789</v>
      </c>
      <c r="U138" s="753">
        <f t="shared" si="196"/>
        <v>1.2916947368421052</v>
      </c>
      <c r="W138" s="773">
        <f t="shared" si="157"/>
        <v>113.625</v>
      </c>
      <c r="X138" s="775">
        <f t="shared" si="197"/>
        <v>-9.7410442438110104E-2</v>
      </c>
      <c r="Y138" s="776">
        <f t="shared" si="197"/>
        <v>-9.7415006326998996E-2</v>
      </c>
      <c r="Z138" s="776">
        <f t="shared" si="197"/>
        <v>-9.7422888271443436E-2</v>
      </c>
      <c r="AA138" s="776">
        <f t="shared" si="197"/>
        <v>-9.7430770215887877E-2</v>
      </c>
      <c r="AB138" s="776">
        <f t="shared" si="197"/>
        <v>-9.7445909104776768E-2</v>
      </c>
      <c r="AC138" s="776">
        <f t="shared" si="197"/>
        <v>-9.7454742438110101E-2</v>
      </c>
      <c r="AD138" s="776">
        <f t="shared" si="197"/>
        <v>-9.7488409104776769E-2</v>
      </c>
      <c r="AE138" s="776">
        <f t="shared" si="197"/>
        <v>-9.7503142438110105E-2</v>
      </c>
      <c r="AF138" s="777">
        <f t="shared" si="197"/>
        <v>-9.7524242438110101E-2</v>
      </c>
      <c r="AG138" s="778">
        <f t="shared" si="197"/>
        <v>-9.7660909104776761E-2</v>
      </c>
      <c r="AI138" s="773">
        <f t="shared" si="159"/>
        <v>113.625</v>
      </c>
      <c r="AJ138" s="747">
        <f t="shared" si="192"/>
        <v>1.9488480838776794</v>
      </c>
      <c r="AK138" s="751">
        <f t="shared" si="192"/>
        <v>1.9350942041993171</v>
      </c>
      <c r="AL138" s="751">
        <f t="shared" si="192"/>
        <v>1.9113409275180304</v>
      </c>
      <c r="AM138" s="751">
        <f t="shared" si="192"/>
        <v>1.8875876508367437</v>
      </c>
      <c r="AN138" s="751">
        <f t="shared" si="192"/>
        <v>1.8419646172110127</v>
      </c>
      <c r="AO138" s="751">
        <f t="shared" si="192"/>
        <v>1.815344204930311</v>
      </c>
      <c r="AP138" s="751"/>
      <c r="AQ138" s="751"/>
      <c r="AR138" s="752"/>
      <c r="AS138" s="751"/>
      <c r="AT138" s="674">
        <f t="shared" si="160"/>
        <v>1.75</v>
      </c>
      <c r="AU138" s="712">
        <f t="shared" si="161"/>
        <v>1.8</v>
      </c>
      <c r="AV138" s="712">
        <f t="shared" si="162"/>
        <v>1.81</v>
      </c>
      <c r="AW138" s="712">
        <f t="shared" si="163"/>
        <v>1.83</v>
      </c>
      <c r="AX138" s="712">
        <f t="shared" si="164"/>
        <v>1.84</v>
      </c>
      <c r="AY138" s="712">
        <f t="shared" si="165"/>
        <v>1.86</v>
      </c>
      <c r="AZ138" s="712">
        <f t="shared" si="166"/>
        <v>1.88</v>
      </c>
      <c r="BA138" s="712">
        <f t="shared" si="167"/>
        <v>1.9</v>
      </c>
      <c r="BB138" s="712">
        <f t="shared" si="168"/>
        <v>1.92</v>
      </c>
      <c r="BC138" s="779">
        <f t="shared" si="169"/>
        <v>1000000</v>
      </c>
      <c r="BD138" s="780">
        <f t="shared" si="170"/>
        <v>1000000</v>
      </c>
      <c r="BF138" s="781">
        <f t="shared" si="198"/>
        <v>1.9496625363816786</v>
      </c>
      <c r="BG138" s="767">
        <f t="shared" si="198"/>
        <v>2.0231621370067545</v>
      </c>
      <c r="BH138" s="767">
        <f t="shared" si="198"/>
        <v>1.9957115665295728</v>
      </c>
      <c r="BI138" s="767">
        <f t="shared" si="198"/>
        <v>1.9921006904275675</v>
      </c>
      <c r="BJ138" s="767">
        <f t="shared" si="198"/>
        <v>1.9899521793247352</v>
      </c>
      <c r="BK138" s="767">
        <f t="shared" si="198"/>
        <v>1.9894068207791866</v>
      </c>
      <c r="BL138" s="767">
        <f t="shared" si="198"/>
        <v>1.9884748094929672</v>
      </c>
      <c r="BM138" s="767">
        <f t="shared" si="198"/>
        <v>1.9882771132776809</v>
      </c>
      <c r="BN138" s="767">
        <f t="shared" si="198"/>
        <v>1.9880780950872035</v>
      </c>
      <c r="BO138" s="782">
        <f t="shared" si="198"/>
        <v>1.9875212504327775</v>
      </c>
      <c r="BP138" s="781">
        <f t="shared" si="189"/>
        <v>1.9496625363816786</v>
      </c>
      <c r="BQ138" s="767">
        <f t="shared" si="189"/>
        <v>-1000000</v>
      </c>
      <c r="BR138" s="767">
        <f t="shared" si="189"/>
        <v>-1000000</v>
      </c>
      <c r="BS138" s="767">
        <f t="shared" si="189"/>
        <v>-1000000</v>
      </c>
      <c r="BT138" s="767">
        <f t="shared" si="189"/>
        <v>-1000000</v>
      </c>
      <c r="BU138" s="767">
        <f t="shared" si="187"/>
        <v>-1000000</v>
      </c>
      <c r="BV138" s="767">
        <f t="shared" si="187"/>
        <v>-1000000</v>
      </c>
      <c r="BW138" s="767">
        <f t="shared" si="187"/>
        <v>-1000000</v>
      </c>
      <c r="BX138" s="767">
        <f t="shared" si="187"/>
        <v>-1000000</v>
      </c>
      <c r="BY138" s="767">
        <f t="shared" si="187"/>
        <v>-1000000</v>
      </c>
      <c r="BZ138" s="648">
        <f t="shared" si="151"/>
        <v>101</v>
      </c>
      <c r="CA138" s="767">
        <f t="shared" si="194"/>
        <v>1.9496625363816786</v>
      </c>
      <c r="CB138" s="767"/>
      <c r="CC138" s="767"/>
      <c r="CD138" s="767"/>
      <c r="CE138" s="767"/>
      <c r="CF138" s="767"/>
      <c r="CG138" s="767"/>
      <c r="CH138" s="767"/>
      <c r="CI138" s="767"/>
      <c r="CJ138" s="767"/>
      <c r="CK138" s="781">
        <f t="shared" si="153"/>
        <v>1.75</v>
      </c>
      <c r="CL138" s="783">
        <f t="shared" si="172"/>
        <v>1000000</v>
      </c>
    </row>
    <row r="139" spans="2:176" s="564" customFormat="1" ht="15" customHeight="1" x14ac:dyDescent="0.2">
      <c r="B139" s="647">
        <f t="shared" si="199"/>
        <v>8</v>
      </c>
      <c r="C139" s="652">
        <f>$L$10</f>
        <v>97</v>
      </c>
      <c r="D139" s="771">
        <f>$B$10</f>
        <v>1.83</v>
      </c>
      <c r="E139" s="772">
        <f t="shared" si="149"/>
        <v>12.125</v>
      </c>
      <c r="F139" s="689"/>
      <c r="G139" s="747">
        <f t="shared" si="150"/>
        <v>1.7787437603399654</v>
      </c>
      <c r="H139" s="748">
        <f t="shared" si="154"/>
        <v>2.6272021040869113E-3</v>
      </c>
      <c r="I139" s="689"/>
      <c r="J139" s="773">
        <f t="shared" si="176"/>
        <v>102</v>
      </c>
      <c r="K139" s="774">
        <f t="shared" si="155"/>
        <v>114.75</v>
      </c>
      <c r="L139" s="747">
        <f t="shared" si="196"/>
        <v>2.044384</v>
      </c>
      <c r="M139" s="751">
        <f t="shared" si="196"/>
        <v>2.0298708333333333</v>
      </c>
      <c r="N139" s="751">
        <f t="shared" si="196"/>
        <v>2.0048062500000001</v>
      </c>
      <c r="O139" s="751">
        <f t="shared" si="196"/>
        <v>1.9797416666666667</v>
      </c>
      <c r="P139" s="751">
        <f t="shared" si="196"/>
        <v>1.9316</v>
      </c>
      <c r="Q139" s="751">
        <f t="shared" si="196"/>
        <v>1.90351</v>
      </c>
      <c r="R139" s="751">
        <f t="shared" si="196"/>
        <v>1.7964500000000001</v>
      </c>
      <c r="S139" s="751">
        <f t="shared" si="196"/>
        <v>1.7495980000000002</v>
      </c>
      <c r="T139" s="752">
        <f t="shared" si="196"/>
        <v>1.6825000000000001</v>
      </c>
      <c r="U139" s="753">
        <f t="shared" si="196"/>
        <v>1.2479</v>
      </c>
      <c r="W139" s="773">
        <f t="shared" si="157"/>
        <v>114.75</v>
      </c>
      <c r="X139" s="775">
        <f t="shared" si="197"/>
        <v>-9.7487053194334483E-2</v>
      </c>
      <c r="Y139" s="776">
        <f t="shared" si="197"/>
        <v>-9.7491617083223375E-2</v>
      </c>
      <c r="Z139" s="776">
        <f t="shared" si="197"/>
        <v>-9.7499499027667816E-2</v>
      </c>
      <c r="AA139" s="776">
        <f t="shared" si="197"/>
        <v>-9.7507380972112256E-2</v>
      </c>
      <c r="AB139" s="776">
        <f t="shared" si="197"/>
        <v>-9.7522519861001147E-2</v>
      </c>
      <c r="AC139" s="776">
        <f t="shared" si="197"/>
        <v>-9.753135319433448E-2</v>
      </c>
      <c r="AD139" s="776">
        <f t="shared" si="197"/>
        <v>-9.7565019861001148E-2</v>
      </c>
      <c r="AE139" s="776">
        <f t="shared" si="197"/>
        <v>-9.7579753194334484E-2</v>
      </c>
      <c r="AF139" s="777">
        <f t="shared" si="197"/>
        <v>-9.760085319433448E-2</v>
      </c>
      <c r="AG139" s="778">
        <f t="shared" si="197"/>
        <v>-9.773751986100114E-2</v>
      </c>
      <c r="AI139" s="773">
        <f t="shared" si="159"/>
        <v>114.75</v>
      </c>
      <c r="AJ139" s="747">
        <f t="shared" si="192"/>
        <v>1.9468969468056656</v>
      </c>
      <c r="AK139" s="751">
        <f t="shared" si="192"/>
        <v>1.9323792162501099</v>
      </c>
      <c r="AL139" s="751">
        <f t="shared" si="192"/>
        <v>1.9073067509723323</v>
      </c>
      <c r="AM139" s="751">
        <f t="shared" si="192"/>
        <v>1.8822342856945544</v>
      </c>
      <c r="AN139" s="751">
        <f t="shared" si="192"/>
        <v>1.8340774801389987</v>
      </c>
      <c r="AO139" s="751">
        <f t="shared" si="192"/>
        <v>1.8059786468056656</v>
      </c>
      <c r="AP139" s="751"/>
      <c r="AQ139" s="751"/>
      <c r="AR139" s="752"/>
      <c r="AS139" s="751"/>
      <c r="AT139" s="674">
        <f t="shared" si="160"/>
        <v>1.75</v>
      </c>
      <c r="AU139" s="712">
        <f t="shared" si="161"/>
        <v>1.8</v>
      </c>
      <c r="AV139" s="712">
        <f t="shared" si="162"/>
        <v>1.81</v>
      </c>
      <c r="AW139" s="712">
        <f t="shared" si="163"/>
        <v>1.83</v>
      </c>
      <c r="AX139" s="712">
        <f t="shared" si="164"/>
        <v>1.84</v>
      </c>
      <c r="AY139" s="712">
        <f t="shared" si="165"/>
        <v>1.86</v>
      </c>
      <c r="AZ139" s="712">
        <f t="shared" si="166"/>
        <v>1.88</v>
      </c>
      <c r="BA139" s="712">
        <f t="shared" si="167"/>
        <v>1.9</v>
      </c>
      <c r="BB139" s="712">
        <f t="shared" si="168"/>
        <v>1.92</v>
      </c>
      <c r="BC139" s="779">
        <f t="shared" si="169"/>
        <v>1000000</v>
      </c>
      <c r="BD139" s="780">
        <f t="shared" si="170"/>
        <v>1000000</v>
      </c>
      <c r="BF139" s="781">
        <f t="shared" si="198"/>
        <v>1.9478061515314404</v>
      </c>
      <c r="BG139" s="767">
        <f t="shared" si="198"/>
        <v>2.020586576234658</v>
      </c>
      <c r="BH139" s="767">
        <f t="shared" si="198"/>
        <v>1.9953844537810652</v>
      </c>
      <c r="BI139" s="767">
        <f t="shared" si="198"/>
        <v>1.9919136491357983</v>
      </c>
      <c r="BJ139" s="767">
        <f t="shared" si="198"/>
        <v>1.9898299032441407</v>
      </c>
      <c r="BK139" s="767">
        <f t="shared" si="198"/>
        <v>1.9892986999175184</v>
      </c>
      <c r="BL139" s="767">
        <f t="shared" si="198"/>
        <v>1.9883884632752962</v>
      </c>
      <c r="BM139" s="767">
        <f t="shared" si="198"/>
        <v>1.9881949054171104</v>
      </c>
      <c r="BN139" s="767">
        <f t="shared" si="198"/>
        <v>1.9879998150953726</v>
      </c>
      <c r="BO139" s="782">
        <f t="shared" si="198"/>
        <v>1.9874518689350824</v>
      </c>
      <c r="BP139" s="781">
        <f t="shared" si="189"/>
        <v>1.9478061515314404</v>
      </c>
      <c r="BQ139" s="767">
        <f t="shared" si="189"/>
        <v>-1000000</v>
      </c>
      <c r="BR139" s="767">
        <f t="shared" si="189"/>
        <v>-1000000</v>
      </c>
      <c r="BS139" s="767">
        <f t="shared" si="189"/>
        <v>-1000000</v>
      </c>
      <c r="BT139" s="767">
        <f t="shared" si="189"/>
        <v>-1000000</v>
      </c>
      <c r="BU139" s="767">
        <f t="shared" si="187"/>
        <v>-1000000</v>
      </c>
      <c r="BV139" s="767">
        <f t="shared" si="187"/>
        <v>-1000000</v>
      </c>
      <c r="BW139" s="767">
        <f t="shared" si="187"/>
        <v>-1000000</v>
      </c>
      <c r="BX139" s="767">
        <f t="shared" si="187"/>
        <v>-1000000</v>
      </c>
      <c r="BY139" s="767">
        <f t="shared" si="187"/>
        <v>-1000000</v>
      </c>
      <c r="BZ139" s="648">
        <f t="shared" si="151"/>
        <v>102</v>
      </c>
      <c r="CA139" s="767">
        <f t="shared" si="194"/>
        <v>1.9478061515314404</v>
      </c>
      <c r="CB139" s="767"/>
      <c r="CC139" s="767"/>
      <c r="CD139" s="767"/>
      <c r="CE139" s="767"/>
      <c r="CF139" s="767"/>
      <c r="CG139" s="767"/>
      <c r="CH139" s="767"/>
      <c r="CI139" s="767"/>
      <c r="CJ139" s="767"/>
      <c r="CK139" s="781">
        <f t="shared" si="153"/>
        <v>1.75</v>
      </c>
      <c r="CL139" s="783">
        <f t="shared" si="172"/>
        <v>1000000</v>
      </c>
    </row>
    <row r="140" spans="2:176" s="564" customFormat="1" ht="15" customHeight="1" x14ac:dyDescent="0.2">
      <c r="B140" s="647">
        <f t="shared" si="199"/>
        <v>8</v>
      </c>
      <c r="C140" s="652">
        <f>$L$11</f>
        <v>96</v>
      </c>
      <c r="D140" s="771">
        <f>$B$11</f>
        <v>1.84</v>
      </c>
      <c r="E140" s="772">
        <f t="shared" si="149"/>
        <v>12</v>
      </c>
      <c r="F140" s="689"/>
      <c r="G140" s="747">
        <f t="shared" si="150"/>
        <v>1.786229593347098</v>
      </c>
      <c r="H140" s="748">
        <f t="shared" si="154"/>
        <v>2.8912566316184598E-3</v>
      </c>
      <c r="I140" s="689"/>
      <c r="J140" s="773">
        <f t="shared" si="176"/>
        <v>103</v>
      </c>
      <c r="K140" s="774">
        <f t="shared" si="155"/>
        <v>115.875</v>
      </c>
      <c r="L140" s="747">
        <f t="shared" si="196"/>
        <v>2.0422889411764706</v>
      </c>
      <c r="M140" s="751">
        <f t="shared" si="196"/>
        <v>2.0269220588235295</v>
      </c>
      <c r="N140" s="751">
        <f t="shared" si="196"/>
        <v>2.0003830882352944</v>
      </c>
      <c r="O140" s="751">
        <f t="shared" si="196"/>
        <v>1.9738441176470589</v>
      </c>
      <c r="P140" s="751">
        <f t="shared" si="196"/>
        <v>1.9228705882352943</v>
      </c>
      <c r="Q140" s="751">
        <f t="shared" si="196"/>
        <v>1.8931282352941179</v>
      </c>
      <c r="R140" s="751">
        <f t="shared" si="196"/>
        <v>1.7797705882352943</v>
      </c>
      <c r="S140" s="751">
        <f t="shared" si="196"/>
        <v>1.7301625882352942</v>
      </c>
      <c r="T140" s="752">
        <f t="shared" si="196"/>
        <v>1.6591176470588238</v>
      </c>
      <c r="U140" s="753">
        <f t="shared" si="196"/>
        <v>1.1989529411764708</v>
      </c>
      <c r="W140" s="773">
        <f t="shared" si="157"/>
        <v>115.875</v>
      </c>
      <c r="X140" s="775">
        <f t="shared" si="197"/>
        <v>-9.7559844835098289E-2</v>
      </c>
      <c r="Y140" s="776">
        <f t="shared" si="197"/>
        <v>-9.7564408723987181E-2</v>
      </c>
      <c r="Z140" s="776">
        <f t="shared" si="197"/>
        <v>-9.7572290668431622E-2</v>
      </c>
      <c r="AA140" s="776">
        <f t="shared" si="197"/>
        <v>-9.7580172612876062E-2</v>
      </c>
      <c r="AB140" s="776">
        <f t="shared" si="197"/>
        <v>-9.7595311501764953E-2</v>
      </c>
      <c r="AC140" s="776">
        <f t="shared" si="197"/>
        <v>-9.7604144835098286E-2</v>
      </c>
      <c r="AD140" s="776">
        <f t="shared" si="197"/>
        <v>-9.7637811501764954E-2</v>
      </c>
      <c r="AE140" s="776">
        <f t="shared" si="197"/>
        <v>-9.765254483509829E-2</v>
      </c>
      <c r="AF140" s="777">
        <f t="shared" si="197"/>
        <v>-9.7673644835098286E-2</v>
      </c>
      <c r="AG140" s="778">
        <f t="shared" si="197"/>
        <v>-9.7810311501764946E-2</v>
      </c>
      <c r="AI140" s="773">
        <f t="shared" si="159"/>
        <v>115.875</v>
      </c>
      <c r="AJ140" s="747">
        <f t="shared" si="192"/>
        <v>1.9447290963413724</v>
      </c>
      <c r="AK140" s="751">
        <f t="shared" si="192"/>
        <v>1.9293576500995424</v>
      </c>
      <c r="AL140" s="751">
        <f t="shared" si="192"/>
        <v>1.9028107975668629</v>
      </c>
      <c r="AM140" s="751">
        <f t="shared" si="192"/>
        <v>1.8762639450341829</v>
      </c>
      <c r="AN140" s="751">
        <f t="shared" si="192"/>
        <v>1.8252752767335294</v>
      </c>
      <c r="AO140" s="751">
        <f t="shared" si="192"/>
        <v>1.7955240904590195</v>
      </c>
      <c r="AP140" s="751"/>
      <c r="AQ140" s="751"/>
      <c r="AR140" s="752"/>
      <c r="AS140" s="751"/>
      <c r="AT140" s="674">
        <f t="shared" si="160"/>
        <v>1.75</v>
      </c>
      <c r="AU140" s="712">
        <f t="shared" si="161"/>
        <v>1.8</v>
      </c>
      <c r="AV140" s="712">
        <f t="shared" si="162"/>
        <v>1.81</v>
      </c>
      <c r="AW140" s="712">
        <f t="shared" si="163"/>
        <v>1.83</v>
      </c>
      <c r="AX140" s="712">
        <f t="shared" si="164"/>
        <v>1.84</v>
      </c>
      <c r="AY140" s="712">
        <f t="shared" si="165"/>
        <v>1.86</v>
      </c>
      <c r="AZ140" s="712">
        <f t="shared" si="166"/>
        <v>1.88</v>
      </c>
      <c r="BA140" s="712">
        <f t="shared" si="167"/>
        <v>1.9</v>
      </c>
      <c r="BB140" s="712">
        <f t="shared" si="168"/>
        <v>1.92</v>
      </c>
      <c r="BC140" s="779">
        <f t="shared" si="169"/>
        <v>1000000</v>
      </c>
      <c r="BD140" s="780">
        <f t="shared" si="170"/>
        <v>1000000</v>
      </c>
      <c r="BF140" s="781">
        <f t="shared" si="198"/>
        <v>1.9457508163556474</v>
      </c>
      <c r="BG140" s="767">
        <f t="shared" si="198"/>
        <v>2.0183071018628014</v>
      </c>
      <c r="BH140" s="767">
        <f t="shared" si="198"/>
        <v>1.995071622839377</v>
      </c>
      <c r="BI140" s="767">
        <f t="shared" si="198"/>
        <v>1.9917328257054825</v>
      </c>
      <c r="BJ140" s="767">
        <f t="shared" si="198"/>
        <v>1.9897109287398211</v>
      </c>
      <c r="BK140" s="767">
        <f t="shared" si="198"/>
        <v>1.9891933275766545</v>
      </c>
      <c r="BL140" s="767">
        <f t="shared" si="198"/>
        <v>1.988304082602842</v>
      </c>
      <c r="BM140" s="767">
        <f t="shared" si="198"/>
        <v>1.9881145242611418</v>
      </c>
      <c r="BN140" s="767">
        <f t="shared" si="198"/>
        <v>1.9879232331510865</v>
      </c>
      <c r="BO140" s="782">
        <f t="shared" si="198"/>
        <v>1.9873839056907741</v>
      </c>
      <c r="BP140" s="781">
        <f t="shared" si="189"/>
        <v>1.9457508163556474</v>
      </c>
      <c r="BQ140" s="767">
        <f t="shared" si="189"/>
        <v>-1000000</v>
      </c>
      <c r="BR140" s="767">
        <f t="shared" si="189"/>
        <v>-1000000</v>
      </c>
      <c r="BS140" s="767">
        <f t="shared" si="189"/>
        <v>-1000000</v>
      </c>
      <c r="BT140" s="767">
        <f t="shared" si="189"/>
        <v>-1000000</v>
      </c>
      <c r="BU140" s="767">
        <f t="shared" si="187"/>
        <v>-1000000</v>
      </c>
      <c r="BV140" s="767">
        <f t="shared" si="187"/>
        <v>-1000000</v>
      </c>
      <c r="BW140" s="767">
        <f t="shared" si="187"/>
        <v>-1000000</v>
      </c>
      <c r="BX140" s="767">
        <f t="shared" si="187"/>
        <v>-1000000</v>
      </c>
      <c r="BY140" s="767">
        <f t="shared" si="187"/>
        <v>-1000000</v>
      </c>
      <c r="BZ140" s="648">
        <f t="shared" si="151"/>
        <v>103</v>
      </c>
      <c r="CA140" s="767">
        <f t="shared" si="194"/>
        <v>1.9457508163556474</v>
      </c>
      <c r="CB140" s="767"/>
      <c r="CC140" s="767"/>
      <c r="CD140" s="767"/>
      <c r="CE140" s="767"/>
      <c r="CF140" s="767"/>
      <c r="CG140" s="767"/>
      <c r="CH140" s="767"/>
      <c r="CI140" s="767"/>
      <c r="CJ140" s="767"/>
      <c r="CK140" s="781">
        <f t="shared" si="153"/>
        <v>1.75</v>
      </c>
      <c r="CL140" s="783">
        <f t="shared" si="172"/>
        <v>1000000</v>
      </c>
    </row>
    <row r="141" spans="2:176" s="564" customFormat="1" ht="15" customHeight="1" x14ac:dyDescent="0.2">
      <c r="B141" s="647">
        <f t="shared" si="199"/>
        <v>8</v>
      </c>
      <c r="C141" s="652">
        <f>$L$12</f>
        <v>94</v>
      </c>
      <c r="D141" s="771">
        <f>$B$12</f>
        <v>1.86</v>
      </c>
      <c r="E141" s="772">
        <f t="shared" si="149"/>
        <v>11.75</v>
      </c>
      <c r="F141" s="689"/>
      <c r="G141" s="747">
        <f t="shared" si="150"/>
        <v>1.8001497777524007</v>
      </c>
      <c r="H141" s="748">
        <f t="shared" si="154"/>
        <v>3.5820491030870414E-3</v>
      </c>
      <c r="I141" s="689"/>
      <c r="J141" s="773">
        <f t="shared" si="176"/>
        <v>104</v>
      </c>
      <c r="K141" s="774">
        <f t="shared" si="155"/>
        <v>117</v>
      </c>
      <c r="L141" s="747">
        <f t="shared" si="196"/>
        <v>2.0399319999999999</v>
      </c>
      <c r="M141" s="751">
        <f t="shared" si="196"/>
        <v>2.0236046875000002</v>
      </c>
      <c r="N141" s="751">
        <f t="shared" si="196"/>
        <v>1.9954070312500001</v>
      </c>
      <c r="O141" s="751">
        <f t="shared" si="196"/>
        <v>1.9672093750000001</v>
      </c>
      <c r="P141" s="751">
        <f t="shared" si="196"/>
        <v>1.9130500000000001</v>
      </c>
      <c r="Q141" s="751">
        <f t="shared" si="196"/>
        <v>1.8814487500000001</v>
      </c>
      <c r="R141" s="751">
        <f t="shared" si="196"/>
        <v>1.7610062500000001</v>
      </c>
      <c r="S141" s="751">
        <f t="shared" si="196"/>
        <v>1.7082977500000001</v>
      </c>
      <c r="T141" s="752">
        <f t="shared" si="196"/>
        <v>1.6328125</v>
      </c>
      <c r="U141" s="753">
        <f t="shared" si="196"/>
        <v>1.1438874999999999</v>
      </c>
      <c r="W141" s="773">
        <f t="shared" si="157"/>
        <v>117</v>
      </c>
      <c r="X141" s="775">
        <f t="shared" si="197"/>
        <v>-9.7629007746759922E-2</v>
      </c>
      <c r="Y141" s="776">
        <f t="shared" si="197"/>
        <v>-9.7633571635648814E-2</v>
      </c>
      <c r="Z141" s="776">
        <f t="shared" si="197"/>
        <v>-9.7641453580093254E-2</v>
      </c>
      <c r="AA141" s="776">
        <f t="shared" si="197"/>
        <v>-9.7649335524537695E-2</v>
      </c>
      <c r="AB141" s="776">
        <f t="shared" si="197"/>
        <v>-9.7664474413426586E-2</v>
      </c>
      <c r="AC141" s="776">
        <f t="shared" si="197"/>
        <v>-9.7673307746759919E-2</v>
      </c>
      <c r="AD141" s="776">
        <f t="shared" si="197"/>
        <v>-9.7706974413426587E-2</v>
      </c>
      <c r="AE141" s="776">
        <f t="shared" si="197"/>
        <v>-9.7721707746759923E-2</v>
      </c>
      <c r="AF141" s="777">
        <f t="shared" si="197"/>
        <v>-9.7742807746759919E-2</v>
      </c>
      <c r="AG141" s="778">
        <f t="shared" si="197"/>
        <v>-9.7879474413426579E-2</v>
      </c>
      <c r="AI141" s="773">
        <f t="shared" si="159"/>
        <v>117</v>
      </c>
      <c r="AJ141" s="747">
        <f t="shared" si="192"/>
        <v>1.94230299225324</v>
      </c>
      <c r="AK141" s="751">
        <f t="shared" si="192"/>
        <v>1.9259711158643513</v>
      </c>
      <c r="AL141" s="751">
        <f t="shared" si="192"/>
        <v>1.8977655776699067</v>
      </c>
      <c r="AM141" s="751">
        <f t="shared" si="192"/>
        <v>1.8695600394754623</v>
      </c>
      <c r="AN141" s="751">
        <f t="shared" si="192"/>
        <v>1.8153855255865736</v>
      </c>
      <c r="AO141" s="751">
        <f t="shared" si="192"/>
        <v>1.7837754422532401</v>
      </c>
      <c r="AP141" s="751"/>
      <c r="AQ141" s="751"/>
      <c r="AR141" s="752"/>
      <c r="AS141" s="751"/>
      <c r="AT141" s="674">
        <f t="shared" si="160"/>
        <v>1.75</v>
      </c>
      <c r="AU141" s="712">
        <f t="shared" si="161"/>
        <v>1.8</v>
      </c>
      <c r="AV141" s="712">
        <f t="shared" si="162"/>
        <v>1.81</v>
      </c>
      <c r="AW141" s="712">
        <f t="shared" si="163"/>
        <v>1.83</v>
      </c>
      <c r="AX141" s="712">
        <f t="shared" si="164"/>
        <v>1.84</v>
      </c>
      <c r="AY141" s="712">
        <f t="shared" si="165"/>
        <v>1.86</v>
      </c>
      <c r="AZ141" s="712">
        <f t="shared" si="166"/>
        <v>1.88</v>
      </c>
      <c r="BA141" s="712">
        <f t="shared" si="167"/>
        <v>1.9</v>
      </c>
      <c r="BB141" s="712">
        <f t="shared" si="168"/>
        <v>1.92</v>
      </c>
      <c r="BC141" s="779">
        <f t="shared" si="169"/>
        <v>1000000</v>
      </c>
      <c r="BD141" s="780">
        <f t="shared" si="170"/>
        <v>1000000</v>
      </c>
      <c r="BF141" s="781">
        <f t="shared" si="198"/>
        <v>1.9434595410645239</v>
      </c>
      <c r="BG141" s="767">
        <f t="shared" si="198"/>
        <v>2.0162754241913308</v>
      </c>
      <c r="BH141" s="767">
        <f t="shared" si="198"/>
        <v>1.9947721582566735</v>
      </c>
      <c r="BI141" s="767">
        <f t="shared" si="198"/>
        <v>1.9915579150333149</v>
      </c>
      <c r="BJ141" s="767">
        <f t="shared" si="198"/>
        <v>1.9895951238736433</v>
      </c>
      <c r="BK141" s="767">
        <f t="shared" si="198"/>
        <v>1.9890906002674922</v>
      </c>
      <c r="BL141" s="767">
        <f t="shared" si="198"/>
        <v>1.9882216011167471</v>
      </c>
      <c r="BM141" s="767">
        <f t="shared" si="198"/>
        <v>1.9880359095932028</v>
      </c>
      <c r="BN141" s="767">
        <f t="shared" si="198"/>
        <v>1.9878482945961633</v>
      </c>
      <c r="BO141" s="782">
        <f t="shared" si="198"/>
        <v>1.9873173176532395</v>
      </c>
      <c r="BP141" s="781">
        <f t="shared" si="189"/>
        <v>1.9434595410645239</v>
      </c>
      <c r="BQ141" s="767">
        <f t="shared" si="189"/>
        <v>-1000000</v>
      </c>
      <c r="BR141" s="767">
        <f t="shared" si="189"/>
        <v>-1000000</v>
      </c>
      <c r="BS141" s="767">
        <f t="shared" si="189"/>
        <v>-1000000</v>
      </c>
      <c r="BT141" s="767">
        <f t="shared" si="189"/>
        <v>-1000000</v>
      </c>
      <c r="BU141" s="767">
        <f t="shared" si="187"/>
        <v>-1000000</v>
      </c>
      <c r="BV141" s="767">
        <f t="shared" si="187"/>
        <v>-1000000</v>
      </c>
      <c r="BW141" s="767">
        <f t="shared" si="187"/>
        <v>-1000000</v>
      </c>
      <c r="BX141" s="767">
        <f t="shared" si="187"/>
        <v>-1000000</v>
      </c>
      <c r="BY141" s="767">
        <f t="shared" si="187"/>
        <v>-1000000</v>
      </c>
      <c r="BZ141" s="648">
        <f t="shared" si="151"/>
        <v>104</v>
      </c>
      <c r="CA141" s="767">
        <f t="shared" si="194"/>
        <v>1.9434595410645239</v>
      </c>
      <c r="CB141" s="767"/>
      <c r="CC141" s="767"/>
      <c r="CD141" s="767"/>
      <c r="CE141" s="767"/>
      <c r="CF141" s="767"/>
      <c r="CG141" s="767"/>
      <c r="CH141" s="767"/>
      <c r="CI141" s="767"/>
      <c r="CJ141" s="767"/>
      <c r="CK141" s="781">
        <f t="shared" si="153"/>
        <v>1.75</v>
      </c>
      <c r="CL141" s="783">
        <f t="shared" si="172"/>
        <v>1000000</v>
      </c>
    </row>
    <row r="142" spans="2:176" s="564" customFormat="1" ht="15" customHeight="1" x14ac:dyDescent="0.2">
      <c r="B142" s="647">
        <f t="shared" si="199"/>
        <v>8</v>
      </c>
      <c r="C142" s="652">
        <f>$L$13</f>
        <v>90</v>
      </c>
      <c r="D142" s="771">
        <f>$B$13</f>
        <v>1.88</v>
      </c>
      <c r="E142" s="772">
        <f t="shared" si="149"/>
        <v>11.25</v>
      </c>
      <c r="F142" s="689"/>
      <c r="G142" s="747">
        <f t="shared" si="150"/>
        <v>1.8244616523504089</v>
      </c>
      <c r="H142" s="748">
        <f t="shared" si="154"/>
        <v>3.084508059646828E-3</v>
      </c>
      <c r="I142" s="689"/>
      <c r="J142" s="773">
        <f t="shared" si="176"/>
        <v>105</v>
      </c>
      <c r="K142" s="774">
        <f t="shared" si="155"/>
        <v>118.125</v>
      </c>
      <c r="L142" s="747">
        <f t="shared" si="196"/>
        <v>2.0372607999999999</v>
      </c>
      <c r="M142" s="751">
        <f t="shared" si="196"/>
        <v>2.0198450000000001</v>
      </c>
      <c r="N142" s="751">
        <f t="shared" si="196"/>
        <v>1.9897675000000001</v>
      </c>
      <c r="O142" s="751">
        <f t="shared" si="196"/>
        <v>1.9596900000000002</v>
      </c>
      <c r="P142" s="751">
        <f t="shared" si="196"/>
        <v>1.9019200000000001</v>
      </c>
      <c r="Q142" s="751">
        <f t="shared" si="196"/>
        <v>1.868212</v>
      </c>
      <c r="R142" s="751">
        <f t="shared" si="196"/>
        <v>1.7397400000000001</v>
      </c>
      <c r="S142" s="751">
        <f t="shared" si="196"/>
        <v>1.6835176000000001</v>
      </c>
      <c r="T142" s="752">
        <f t="shared" si="196"/>
        <v>1.6030000000000002</v>
      </c>
      <c r="U142" s="753">
        <f t="shared" si="196"/>
        <v>1.08148</v>
      </c>
      <c r="W142" s="773">
        <f t="shared" si="157"/>
        <v>118.125</v>
      </c>
      <c r="X142" s="775">
        <f t="shared" si="197"/>
        <v>-9.7694722824745908E-2</v>
      </c>
      <c r="Y142" s="776">
        <f t="shared" si="197"/>
        <v>-9.76992867136348E-2</v>
      </c>
      <c r="Z142" s="776">
        <f t="shared" si="197"/>
        <v>-9.7707168658079241E-2</v>
      </c>
      <c r="AA142" s="776">
        <f t="shared" si="197"/>
        <v>-9.7715050602523681E-2</v>
      </c>
      <c r="AB142" s="776">
        <f t="shared" si="197"/>
        <v>-9.7730189491412572E-2</v>
      </c>
      <c r="AC142" s="776">
        <f t="shared" si="197"/>
        <v>-9.7739022824745905E-2</v>
      </c>
      <c r="AD142" s="776">
        <f t="shared" si="197"/>
        <v>-9.7772689491412573E-2</v>
      </c>
      <c r="AE142" s="776">
        <f t="shared" si="197"/>
        <v>-9.7787422824745909E-2</v>
      </c>
      <c r="AF142" s="777">
        <f t="shared" si="197"/>
        <v>-9.7808522824745905E-2</v>
      </c>
      <c r="AG142" s="778">
        <f t="shared" si="197"/>
        <v>-9.7945189491412565E-2</v>
      </c>
      <c r="AI142" s="773">
        <f t="shared" si="159"/>
        <v>118.125</v>
      </c>
      <c r="AJ142" s="747">
        <f t="shared" si="192"/>
        <v>1.9395660771752539</v>
      </c>
      <c r="AK142" s="751">
        <f t="shared" si="192"/>
        <v>1.9221457132863653</v>
      </c>
      <c r="AL142" s="751">
        <f t="shared" si="192"/>
        <v>1.8920603313419209</v>
      </c>
      <c r="AM142" s="751">
        <f t="shared" si="192"/>
        <v>1.8619749493974764</v>
      </c>
      <c r="AN142" s="751">
        <f t="shared" si="192"/>
        <v>1.8041898105085874</v>
      </c>
      <c r="AO142" s="751">
        <f t="shared" si="192"/>
        <v>1.7704729771752541</v>
      </c>
      <c r="AP142" s="751"/>
      <c r="AQ142" s="751"/>
      <c r="AR142" s="752"/>
      <c r="AS142" s="751"/>
      <c r="AT142" s="674">
        <f t="shared" si="160"/>
        <v>1.75</v>
      </c>
      <c r="AU142" s="712">
        <f t="shared" si="161"/>
        <v>1.8</v>
      </c>
      <c r="AV142" s="712">
        <f t="shared" si="162"/>
        <v>1.81</v>
      </c>
      <c r="AW142" s="712">
        <f t="shared" si="163"/>
        <v>1.83</v>
      </c>
      <c r="AX142" s="712">
        <f t="shared" si="164"/>
        <v>1.84</v>
      </c>
      <c r="AY142" s="712">
        <f t="shared" si="165"/>
        <v>1.86</v>
      </c>
      <c r="AZ142" s="712">
        <f t="shared" si="166"/>
        <v>1.88</v>
      </c>
      <c r="BA142" s="712">
        <f t="shared" si="167"/>
        <v>1.9</v>
      </c>
      <c r="BB142" s="712">
        <f t="shared" si="168"/>
        <v>1.92</v>
      </c>
      <c r="BC142" s="779">
        <f t="shared" si="169"/>
        <v>1000000</v>
      </c>
      <c r="BD142" s="780">
        <f t="shared" si="170"/>
        <v>1000000</v>
      </c>
      <c r="BF142" s="781">
        <f t="shared" si="198"/>
        <v>1.9408858711126413</v>
      </c>
      <c r="BG142" s="767">
        <f t="shared" si="198"/>
        <v>2.0144532213031057</v>
      </c>
      <c r="BH142" s="767">
        <f t="shared" si="198"/>
        <v>1.9944852211208746</v>
      </c>
      <c r="BI142" s="767">
        <f t="shared" si="198"/>
        <v>1.9913886316658174</v>
      </c>
      <c r="BJ142" s="767">
        <f t="shared" si="198"/>
        <v>1.989482363645195</v>
      </c>
      <c r="BK142" s="767">
        <f t="shared" si="198"/>
        <v>1.9889904196320523</v>
      </c>
      <c r="BL142" s="767">
        <f t="shared" si="198"/>
        <v>1.9881409554120377</v>
      </c>
      <c r="BM142" s="767">
        <f t="shared" si="198"/>
        <v>1.9879590038146404</v>
      </c>
      <c r="BN142" s="767">
        <f t="shared" si="198"/>
        <v>1.9877749470933612</v>
      </c>
      <c r="BO142" s="782">
        <f t="shared" si="198"/>
        <v>1.987252063500476</v>
      </c>
      <c r="BP142" s="781">
        <f t="shared" si="189"/>
        <v>1.9408858711126413</v>
      </c>
      <c r="BQ142" s="767">
        <f t="shared" si="189"/>
        <v>-1000000</v>
      </c>
      <c r="BR142" s="767">
        <f t="shared" si="189"/>
        <v>-1000000</v>
      </c>
      <c r="BS142" s="767">
        <f t="shared" si="189"/>
        <v>-1000000</v>
      </c>
      <c r="BT142" s="767">
        <f t="shared" si="189"/>
        <v>-1000000</v>
      </c>
      <c r="BU142" s="767">
        <f t="shared" si="187"/>
        <v>-1000000</v>
      </c>
      <c r="BV142" s="767">
        <f t="shared" si="187"/>
        <v>-1000000</v>
      </c>
      <c r="BW142" s="767">
        <f t="shared" si="187"/>
        <v>-1000000</v>
      </c>
      <c r="BX142" s="767">
        <f t="shared" si="187"/>
        <v>-1000000</v>
      </c>
      <c r="BY142" s="767">
        <f t="shared" si="187"/>
        <v>-1000000</v>
      </c>
      <c r="BZ142" s="648">
        <f t="shared" si="151"/>
        <v>105</v>
      </c>
      <c r="CA142" s="767">
        <f t="shared" si="194"/>
        <v>1.9408858711126413</v>
      </c>
      <c r="CB142" s="767"/>
      <c r="CC142" s="767"/>
      <c r="CD142" s="767"/>
      <c r="CE142" s="767"/>
      <c r="CF142" s="767"/>
      <c r="CG142" s="767"/>
      <c r="CH142" s="767"/>
      <c r="CI142" s="767"/>
      <c r="CJ142" s="767"/>
      <c r="CK142" s="781">
        <f t="shared" si="153"/>
        <v>1.75</v>
      </c>
      <c r="CL142" s="783">
        <f t="shared" si="172"/>
        <v>1000000</v>
      </c>
    </row>
    <row r="143" spans="2:176" s="564" customFormat="1" ht="15" customHeight="1" x14ac:dyDescent="0.2">
      <c r="B143" s="647">
        <f t="shared" si="199"/>
        <v>8</v>
      </c>
      <c r="C143" s="652">
        <f>$L$14</f>
        <v>85</v>
      </c>
      <c r="D143" s="771">
        <f>$B$14</f>
        <v>1.9</v>
      </c>
      <c r="E143" s="772">
        <f t="shared" si="149"/>
        <v>10.625</v>
      </c>
      <c r="F143" s="689"/>
      <c r="G143" s="747">
        <f t="shared" si="150"/>
        <v>1.8497637131795635</v>
      </c>
      <c r="H143" s="748">
        <f t="shared" si="154"/>
        <v>2.5236845135051581E-3</v>
      </c>
      <c r="I143" s="689"/>
      <c r="J143" s="773">
        <f t="shared" si="176"/>
        <v>106</v>
      </c>
      <c r="K143" s="774">
        <f t="shared" si="155"/>
        <v>119.25</v>
      </c>
      <c r="L143" s="747">
        <f t="shared" si="196"/>
        <v>2.034208</v>
      </c>
      <c r="M143" s="751">
        <f t="shared" si="196"/>
        <v>2.0155482142857144</v>
      </c>
      <c r="N143" s="751">
        <f t="shared" si="196"/>
        <v>1.9833223214285716</v>
      </c>
      <c r="O143" s="751">
        <f t="shared" si="196"/>
        <v>1.9510964285714287</v>
      </c>
      <c r="P143" s="751">
        <f t="shared" si="196"/>
        <v>1.8892000000000002</v>
      </c>
      <c r="Q143" s="751">
        <f t="shared" si="196"/>
        <v>1.853084285714286</v>
      </c>
      <c r="R143" s="751">
        <f t="shared" si="196"/>
        <v>1.7154357142857144</v>
      </c>
      <c r="S143" s="751">
        <f t="shared" si="196"/>
        <v>1.6551974285714288</v>
      </c>
      <c r="T143" s="752">
        <f t="shared" si="196"/>
        <v>1.5689285714285717</v>
      </c>
      <c r="U143" s="753">
        <f t="shared" si="196"/>
        <v>1.0101571428571432</v>
      </c>
      <c r="W143" s="773">
        <f t="shared" si="157"/>
        <v>119.25</v>
      </c>
      <c r="X143" s="775">
        <f t="shared" si="197"/>
        <v>-9.7757161946682103E-2</v>
      </c>
      <c r="Y143" s="776">
        <f t="shared" si="197"/>
        <v>-9.7761725835570995E-2</v>
      </c>
      <c r="Z143" s="776">
        <f t="shared" si="197"/>
        <v>-9.7769607780015436E-2</v>
      </c>
      <c r="AA143" s="776">
        <f t="shared" si="197"/>
        <v>-9.7777489724459876E-2</v>
      </c>
      <c r="AB143" s="776">
        <f t="shared" si="197"/>
        <v>-9.7792628613348767E-2</v>
      </c>
      <c r="AC143" s="776">
        <f t="shared" si="197"/>
        <v>-9.78014619466821E-2</v>
      </c>
      <c r="AD143" s="776">
        <f t="shared" si="197"/>
        <v>-9.7835128613348768E-2</v>
      </c>
      <c r="AE143" s="776">
        <f t="shared" si="197"/>
        <v>-9.7849861946682104E-2</v>
      </c>
      <c r="AF143" s="777">
        <f t="shared" si="197"/>
        <v>-9.78709619466821E-2</v>
      </c>
      <c r="AG143" s="778">
        <f t="shared" si="197"/>
        <v>-9.800762861334876E-2</v>
      </c>
      <c r="AI143" s="773">
        <f t="shared" si="159"/>
        <v>119.25</v>
      </c>
      <c r="AJ143" s="747">
        <f t="shared" si="192"/>
        <v>1.9364508380533179</v>
      </c>
      <c r="AK143" s="751">
        <f t="shared" si="192"/>
        <v>1.9177864884501434</v>
      </c>
      <c r="AL143" s="751">
        <f t="shared" si="192"/>
        <v>1.8855527136485561</v>
      </c>
      <c r="AM143" s="751">
        <f t="shared" si="192"/>
        <v>1.8533189388469689</v>
      </c>
      <c r="AN143" s="751">
        <f t="shared" si="192"/>
        <v>1.7914073713866514</v>
      </c>
      <c r="AO143" s="751">
        <f t="shared" si="192"/>
        <v>1.7552828237676039</v>
      </c>
      <c r="AP143" s="751"/>
      <c r="AQ143" s="751"/>
      <c r="AR143" s="752"/>
      <c r="AS143" s="751"/>
      <c r="AT143" s="674">
        <f t="shared" si="160"/>
        <v>1.75</v>
      </c>
      <c r="AU143" s="712">
        <f t="shared" si="161"/>
        <v>1.8</v>
      </c>
      <c r="AV143" s="712">
        <f t="shared" si="162"/>
        <v>1.81</v>
      </c>
      <c r="AW143" s="712">
        <f t="shared" si="163"/>
        <v>1.83</v>
      </c>
      <c r="AX143" s="712">
        <f t="shared" si="164"/>
        <v>1.84</v>
      </c>
      <c r="AY143" s="712">
        <f t="shared" si="165"/>
        <v>1.86</v>
      </c>
      <c r="AZ143" s="712">
        <f t="shared" si="166"/>
        <v>1.88</v>
      </c>
      <c r="BA143" s="712">
        <f t="shared" si="167"/>
        <v>1.9</v>
      </c>
      <c r="BB143" s="712">
        <f t="shared" si="168"/>
        <v>1.92</v>
      </c>
      <c r="BC143" s="779">
        <f t="shared" si="169"/>
        <v>1000000</v>
      </c>
      <c r="BD143" s="780">
        <f t="shared" si="170"/>
        <v>1000000</v>
      </c>
      <c r="BF143" s="781">
        <f t="shared" si="198"/>
        <v>1.9379706277523048</v>
      </c>
      <c r="BG143" s="767">
        <f t="shared" si="198"/>
        <v>2.0128096921085388</v>
      </c>
      <c r="BH143" s="767">
        <f t="shared" si="198"/>
        <v>1.9942100412312926</v>
      </c>
      <c r="BI143" s="767">
        <f t="shared" si="198"/>
        <v>1.9912247082418826</v>
      </c>
      <c r="BJ143" s="767">
        <f t="shared" si="198"/>
        <v>1.9893725295416791</v>
      </c>
      <c r="BK143" s="767">
        <f t="shared" si="198"/>
        <v>1.9888926921293619</v>
      </c>
      <c r="BL143" s="767">
        <f t="shared" si="198"/>
        <v>1.9880620848750727</v>
      </c>
      <c r="BM143" s="767">
        <f t="shared" si="198"/>
        <v>1.9878837518039842</v>
      </c>
      <c r="BN143" s="767">
        <f t="shared" si="198"/>
        <v>1.9877031405044836</v>
      </c>
      <c r="BO143" s="782">
        <f t="shared" si="198"/>
        <v>1.9871881035495804</v>
      </c>
      <c r="BP143" s="781">
        <f t="shared" si="189"/>
        <v>1.9379706277523048</v>
      </c>
      <c r="BQ143" s="767">
        <f t="shared" si="189"/>
        <v>-1000000</v>
      </c>
      <c r="BR143" s="767">
        <f t="shared" si="189"/>
        <v>-1000000</v>
      </c>
      <c r="BS143" s="767">
        <f t="shared" si="189"/>
        <v>-1000000</v>
      </c>
      <c r="BT143" s="767">
        <f t="shared" si="189"/>
        <v>-1000000</v>
      </c>
      <c r="BU143" s="767">
        <f t="shared" si="187"/>
        <v>-1000000</v>
      </c>
      <c r="BV143" s="767">
        <f t="shared" si="187"/>
        <v>-1000000</v>
      </c>
      <c r="BW143" s="767">
        <f t="shared" si="187"/>
        <v>-1000000</v>
      </c>
      <c r="BX143" s="767">
        <f t="shared" si="187"/>
        <v>-1000000</v>
      </c>
      <c r="BY143" s="767">
        <f t="shared" si="187"/>
        <v>-1000000</v>
      </c>
      <c r="BZ143" s="648">
        <f t="shared" si="151"/>
        <v>106</v>
      </c>
      <c r="CA143" s="767">
        <f t="shared" si="194"/>
        <v>1.9379706277523048</v>
      </c>
      <c r="CB143" s="767"/>
      <c r="CC143" s="767"/>
      <c r="CD143" s="767"/>
      <c r="CE143" s="767"/>
      <c r="CF143" s="767"/>
      <c r="CG143" s="767"/>
      <c r="CH143" s="767"/>
      <c r="CI143" s="767"/>
      <c r="CJ143" s="767"/>
      <c r="CK143" s="781">
        <f t="shared" si="153"/>
        <v>1.75</v>
      </c>
      <c r="CL143" s="783">
        <f t="shared" si="172"/>
        <v>1000000</v>
      </c>
    </row>
    <row r="144" spans="2:176" s="564" customFormat="1" ht="15" customHeight="1" x14ac:dyDescent="0.2">
      <c r="B144" s="647">
        <f t="shared" si="199"/>
        <v>8</v>
      </c>
      <c r="C144" s="652">
        <f>$L$15</f>
        <v>80</v>
      </c>
      <c r="D144" s="771">
        <f>$B$15</f>
        <v>1.92</v>
      </c>
      <c r="E144" s="772">
        <f t="shared" si="149"/>
        <v>10</v>
      </c>
      <c r="F144" s="689"/>
      <c r="G144" s="747">
        <f t="shared" si="150"/>
        <v>1.8709680632770511</v>
      </c>
      <c r="H144" s="748">
        <f t="shared" si="154"/>
        <v>2.4041308188032561E-3</v>
      </c>
      <c r="I144" s="689"/>
      <c r="J144" s="773">
        <f t="shared" si="176"/>
        <v>107</v>
      </c>
      <c r="K144" s="774">
        <f t="shared" si="155"/>
        <v>120.375</v>
      </c>
      <c r="L144" s="747">
        <f t="shared" si="196"/>
        <v>2.0306855384615385</v>
      </c>
      <c r="M144" s="751">
        <f t="shared" si="196"/>
        <v>2.0105903846153845</v>
      </c>
      <c r="N144" s="751">
        <f t="shared" si="196"/>
        <v>1.975885576923077</v>
      </c>
      <c r="O144" s="751">
        <f t="shared" si="196"/>
        <v>1.9411807692307692</v>
      </c>
      <c r="P144" s="751">
        <f t="shared" si="196"/>
        <v>1.874523076923077</v>
      </c>
      <c r="Q144" s="751">
        <f t="shared" si="196"/>
        <v>1.8356292307692308</v>
      </c>
      <c r="R144" s="751">
        <f t="shared" si="196"/>
        <v>1.6873923076923076</v>
      </c>
      <c r="S144" s="751">
        <f t="shared" si="196"/>
        <v>1.6225203076923076</v>
      </c>
      <c r="T144" s="752">
        <f t="shared" si="196"/>
        <v>1.5296153846153846</v>
      </c>
      <c r="U144" s="753">
        <f t="shared" si="196"/>
        <v>0.92786153846153785</v>
      </c>
      <c r="W144" s="773">
        <f t="shared" si="157"/>
        <v>120.375</v>
      </c>
      <c r="X144" s="775">
        <f t="shared" si="197"/>
        <v>-9.7816488421939338E-2</v>
      </c>
      <c r="Y144" s="776">
        <f t="shared" si="197"/>
        <v>-9.782105231082823E-2</v>
      </c>
      <c r="Z144" s="776">
        <f t="shared" si="197"/>
        <v>-9.782893425527267E-2</v>
      </c>
      <c r="AA144" s="776">
        <f t="shared" si="197"/>
        <v>-9.7836816199717111E-2</v>
      </c>
      <c r="AB144" s="776">
        <f t="shared" si="197"/>
        <v>-9.7851955088606002E-2</v>
      </c>
      <c r="AC144" s="776">
        <f t="shared" si="197"/>
        <v>-9.7860788421939335E-2</v>
      </c>
      <c r="AD144" s="776">
        <f t="shared" si="197"/>
        <v>-9.7894455088606003E-2</v>
      </c>
      <c r="AE144" s="776">
        <f t="shared" si="197"/>
        <v>-9.7909188421939339E-2</v>
      </c>
      <c r="AF144" s="777">
        <f t="shared" si="197"/>
        <v>-9.7930288421939335E-2</v>
      </c>
      <c r="AG144" s="778">
        <f t="shared" si="197"/>
        <v>-9.8066955088605995E-2</v>
      </c>
      <c r="AI144" s="773">
        <f t="shared" si="159"/>
        <v>120.375</v>
      </c>
      <c r="AJ144" s="747">
        <f t="shared" si="192"/>
        <v>1.9328690500395993</v>
      </c>
      <c r="AK144" s="751">
        <f t="shared" si="192"/>
        <v>1.9127693323045563</v>
      </c>
      <c r="AL144" s="751">
        <f t="shared" si="192"/>
        <v>1.8780566426678043</v>
      </c>
      <c r="AM144" s="751">
        <f t="shared" si="192"/>
        <v>1.843343953031052</v>
      </c>
      <c r="AN144" s="751">
        <f t="shared" si="192"/>
        <v>1.7766711218344708</v>
      </c>
      <c r="AO144" s="751">
        <f t="shared" si="192"/>
        <v>1.7377684423472914</v>
      </c>
      <c r="AP144" s="751"/>
      <c r="AQ144" s="751"/>
      <c r="AR144" s="752"/>
      <c r="AS144" s="751"/>
      <c r="AT144" s="674">
        <f t="shared" si="160"/>
        <v>1.75</v>
      </c>
      <c r="AU144" s="712">
        <f t="shared" si="161"/>
        <v>1.8</v>
      </c>
      <c r="AV144" s="712">
        <f t="shared" si="162"/>
        <v>1.81</v>
      </c>
      <c r="AW144" s="712">
        <f t="shared" si="163"/>
        <v>1.83</v>
      </c>
      <c r="AX144" s="712">
        <f t="shared" si="164"/>
        <v>1.84</v>
      </c>
      <c r="AY144" s="712">
        <f t="shared" si="165"/>
        <v>1.86</v>
      </c>
      <c r="AZ144" s="712">
        <f t="shared" si="166"/>
        <v>1.88</v>
      </c>
      <c r="BA144" s="712">
        <f t="shared" si="167"/>
        <v>1.9</v>
      </c>
      <c r="BB144" s="712">
        <f t="shared" si="168"/>
        <v>1.92</v>
      </c>
      <c r="BC144" s="779">
        <f t="shared" si="169"/>
        <v>1000000</v>
      </c>
      <c r="BD144" s="780">
        <f t="shared" si="170"/>
        <v>1000000</v>
      </c>
      <c r="BF144" s="781">
        <f t="shared" si="198"/>
        <v>1.9346372039997766</v>
      </c>
      <c r="BG144" s="767">
        <f t="shared" si="198"/>
        <v>2.0113197966329461</v>
      </c>
      <c r="BH144" s="767">
        <f t="shared" si="198"/>
        <v>1.9939459102138923</v>
      </c>
      <c r="BI144" s="767">
        <f t="shared" si="198"/>
        <v>1.9910658940811514</v>
      </c>
      <c r="BJ144" s="767">
        <f t="shared" si="198"/>
        <v>1.9892655091224021</v>
      </c>
      <c r="BK144" s="767">
        <f t="shared" si="198"/>
        <v>1.9887973287441325</v>
      </c>
      <c r="BL144" s="767">
        <f t="shared" si="198"/>
        <v>1.9879849315316076</v>
      </c>
      <c r="BM144" s="767">
        <f t="shared" si="198"/>
        <v>1.9878101007851903</v>
      </c>
      <c r="BN144" s="767">
        <f t="shared" si="198"/>
        <v>1.9876328267760817</v>
      </c>
      <c r="BO144" s="782">
        <f t="shared" si="198"/>
        <v>1.9871253996762739</v>
      </c>
      <c r="BP144" s="781">
        <f t="shared" si="189"/>
        <v>1.9346372039997766</v>
      </c>
      <c r="BQ144" s="767">
        <f t="shared" si="189"/>
        <v>-1000000</v>
      </c>
      <c r="BR144" s="767">
        <f t="shared" si="189"/>
        <v>-1000000</v>
      </c>
      <c r="BS144" s="767">
        <f t="shared" si="189"/>
        <v>-1000000</v>
      </c>
      <c r="BT144" s="767">
        <f t="shared" si="189"/>
        <v>-1000000</v>
      </c>
      <c r="BU144" s="767">
        <f t="shared" si="187"/>
        <v>-1000000</v>
      </c>
      <c r="BV144" s="767">
        <f t="shared" si="187"/>
        <v>-1000000</v>
      </c>
      <c r="BW144" s="767">
        <f t="shared" si="187"/>
        <v>-1000000</v>
      </c>
      <c r="BX144" s="767">
        <f t="shared" si="187"/>
        <v>-1000000</v>
      </c>
      <c r="BY144" s="767">
        <f t="shared" si="187"/>
        <v>-1000000</v>
      </c>
      <c r="BZ144" s="648">
        <f t="shared" si="151"/>
        <v>107</v>
      </c>
      <c r="CA144" s="767">
        <f t="shared" si="194"/>
        <v>1.9346372039997766</v>
      </c>
      <c r="CB144" s="767"/>
      <c r="CC144" s="767"/>
      <c r="CD144" s="767"/>
      <c r="CE144" s="767"/>
      <c r="CF144" s="767"/>
      <c r="CG144" s="767"/>
      <c r="CH144" s="767"/>
      <c r="CI144" s="767"/>
      <c r="CJ144" s="767"/>
      <c r="CK144" s="781">
        <f t="shared" si="153"/>
        <v>1.75</v>
      </c>
      <c r="CL144" s="783">
        <f t="shared" si="172"/>
        <v>1000000</v>
      </c>
    </row>
    <row r="145" spans="2:90" s="564" customFormat="1" ht="15" customHeight="1" x14ac:dyDescent="0.2">
      <c r="B145" s="682">
        <f t="shared" si="199"/>
        <v>8</v>
      </c>
      <c r="C145" s="704">
        <f>$L$16</f>
        <v>76</v>
      </c>
      <c r="D145" s="807">
        <f>$B$16</f>
        <v>1.94</v>
      </c>
      <c r="E145" s="790">
        <f t="shared" si="149"/>
        <v>9.5</v>
      </c>
      <c r="F145" s="689"/>
      <c r="G145" s="747">
        <f t="shared" si="150"/>
        <v>1.8857809222037727</v>
      </c>
      <c r="H145" s="748">
        <f t="shared" si="154"/>
        <v>2.9397083970733435E-3</v>
      </c>
      <c r="I145" s="689"/>
      <c r="J145" s="773">
        <f t="shared" si="176"/>
        <v>108</v>
      </c>
      <c r="K145" s="774">
        <f t="shared" si="155"/>
        <v>121.5</v>
      </c>
      <c r="L145" s="747">
        <f t="shared" si="196"/>
        <v>2.0265759999999999</v>
      </c>
      <c r="M145" s="751">
        <f t="shared" si="196"/>
        <v>2.0048062500000001</v>
      </c>
      <c r="N145" s="751">
        <f t="shared" si="196"/>
        <v>1.9672093749999999</v>
      </c>
      <c r="O145" s="751">
        <f t="shared" si="196"/>
        <v>1.9296125</v>
      </c>
      <c r="P145" s="751">
        <f t="shared" si="196"/>
        <v>1.8573999999999999</v>
      </c>
      <c r="Q145" s="751">
        <f t="shared" si="196"/>
        <v>1.8152650000000001</v>
      </c>
      <c r="R145" s="751">
        <f t="shared" si="196"/>
        <v>1.6546750000000001</v>
      </c>
      <c r="S145" s="751">
        <f t="shared" si="196"/>
        <v>1.5843970000000001</v>
      </c>
      <c r="T145" s="752">
        <f t="shared" si="196"/>
        <v>1.4837500000000001</v>
      </c>
      <c r="U145" s="753">
        <f t="shared" si="196"/>
        <v>0.83184999999999976</v>
      </c>
      <c r="W145" s="773">
        <f t="shared" si="157"/>
        <v>121.5</v>
      </c>
      <c r="X145" s="775">
        <f t="shared" si="197"/>
        <v>-9.7872857418768638E-2</v>
      </c>
      <c r="Y145" s="776">
        <f t="shared" si="197"/>
        <v>-9.7877421307657531E-2</v>
      </c>
      <c r="Z145" s="776">
        <f t="shared" si="197"/>
        <v>-9.7885303252101971E-2</v>
      </c>
      <c r="AA145" s="776">
        <f t="shared" si="197"/>
        <v>-9.7893185196546412E-2</v>
      </c>
      <c r="AB145" s="776">
        <f t="shared" si="197"/>
        <v>-9.7908324085435303E-2</v>
      </c>
      <c r="AC145" s="776">
        <f t="shared" si="197"/>
        <v>-9.7917157418768636E-2</v>
      </c>
      <c r="AD145" s="776">
        <f t="shared" si="197"/>
        <v>-9.7950824085435304E-2</v>
      </c>
      <c r="AE145" s="776">
        <f t="shared" si="197"/>
        <v>-9.796555741876864E-2</v>
      </c>
      <c r="AF145" s="777">
        <f t="shared" si="197"/>
        <v>-9.7986657418768636E-2</v>
      </c>
      <c r="AG145" s="778">
        <f t="shared" si="197"/>
        <v>-9.8123324085435296E-2</v>
      </c>
      <c r="AI145" s="773">
        <f t="shared" si="159"/>
        <v>121.5</v>
      </c>
      <c r="AJ145" s="747">
        <f t="shared" si="192"/>
        <v>1.9287031425812313</v>
      </c>
      <c r="AK145" s="751">
        <f t="shared" si="192"/>
        <v>1.9069288286923425</v>
      </c>
      <c r="AL145" s="751">
        <f t="shared" si="192"/>
        <v>1.8693240717478981</v>
      </c>
      <c r="AM145" s="751">
        <f t="shared" si="192"/>
        <v>1.8317193148034536</v>
      </c>
      <c r="AN145" s="751">
        <f t="shared" si="192"/>
        <v>1.7594916759145647</v>
      </c>
      <c r="AO145" s="751"/>
      <c r="AP145" s="751"/>
      <c r="AQ145" s="751"/>
      <c r="AR145" s="752"/>
      <c r="AS145" s="751"/>
      <c r="AT145" s="674">
        <f t="shared" si="160"/>
        <v>1.75</v>
      </c>
      <c r="AU145" s="712">
        <f t="shared" si="161"/>
        <v>1.8</v>
      </c>
      <c r="AV145" s="712">
        <f t="shared" si="162"/>
        <v>1.81</v>
      </c>
      <c r="AW145" s="712">
        <f t="shared" si="163"/>
        <v>1.83</v>
      </c>
      <c r="AX145" s="712">
        <f t="shared" si="164"/>
        <v>1.84</v>
      </c>
      <c r="AY145" s="712">
        <f t="shared" si="165"/>
        <v>1.86</v>
      </c>
      <c r="AZ145" s="712">
        <f t="shared" si="166"/>
        <v>1.88</v>
      </c>
      <c r="BA145" s="712">
        <f t="shared" si="167"/>
        <v>1.9</v>
      </c>
      <c r="BB145" s="712">
        <f t="shared" si="168"/>
        <v>1.92</v>
      </c>
      <c r="BC145" s="779">
        <f t="shared" si="169"/>
        <v>1000000</v>
      </c>
      <c r="BD145" s="780">
        <f t="shared" si="170"/>
        <v>1000000</v>
      </c>
      <c r="BF145" s="781">
        <f t="shared" si="198"/>
        <v>1.9307846093359828</v>
      </c>
      <c r="BG145" s="767">
        <f t="shared" si="198"/>
        <v>2.0099629684159503</v>
      </c>
      <c r="BH145" s="767">
        <f t="shared" si="198"/>
        <v>1.9936921754471728</v>
      </c>
      <c r="BI145" s="767">
        <f t="shared" si="198"/>
        <v>1.9909119539025515</v>
      </c>
      <c r="BJ145" s="767">
        <f t="shared" si="198"/>
        <v>1.989161195634797</v>
      </c>
      <c r="BK145" s="767">
        <f t="shared" si="198"/>
        <v>1.988704244716331</v>
      </c>
      <c r="BL145" s="767">
        <f t="shared" si="198"/>
        <v>1.9879094399046784</v>
      </c>
      <c r="BM145" s="767">
        <f t="shared" si="198"/>
        <v>1.987738000204206</v>
      </c>
      <c r="BN145" s="767">
        <f t="shared" si="198"/>
        <v>1.9875639598322146</v>
      </c>
      <c r="BO145" s="782">
        <f t="shared" si="198"/>
        <v>1.9870639152391265</v>
      </c>
      <c r="BP145" s="781">
        <f t="shared" si="189"/>
        <v>1.9307846093359828</v>
      </c>
      <c r="BQ145" s="767">
        <f t="shared" si="189"/>
        <v>-1000000</v>
      </c>
      <c r="BR145" s="767">
        <f t="shared" si="189"/>
        <v>-1000000</v>
      </c>
      <c r="BS145" s="767">
        <f t="shared" si="189"/>
        <v>-1000000</v>
      </c>
      <c r="BT145" s="767">
        <f t="shared" si="189"/>
        <v>-1000000</v>
      </c>
      <c r="BU145" s="767">
        <f t="shared" si="187"/>
        <v>-1000000</v>
      </c>
      <c r="BV145" s="767">
        <f t="shared" si="187"/>
        <v>-1000000</v>
      </c>
      <c r="BW145" s="767">
        <f t="shared" si="187"/>
        <v>-1000000</v>
      </c>
      <c r="BX145" s="767">
        <f t="shared" si="187"/>
        <v>-1000000</v>
      </c>
      <c r="BY145" s="767">
        <f t="shared" si="187"/>
        <v>-1000000</v>
      </c>
      <c r="BZ145" s="648">
        <f t="shared" si="151"/>
        <v>108</v>
      </c>
      <c r="CA145" s="767">
        <f t="shared" si="194"/>
        <v>1.9307846093359828</v>
      </c>
      <c r="CB145" s="767"/>
      <c r="CC145" s="767"/>
      <c r="CD145" s="767"/>
      <c r="CE145" s="767"/>
      <c r="CF145" s="767"/>
      <c r="CG145" s="767"/>
      <c r="CH145" s="767"/>
      <c r="CI145" s="767"/>
      <c r="CJ145" s="767"/>
      <c r="CK145" s="781">
        <f t="shared" si="153"/>
        <v>1.75</v>
      </c>
      <c r="CL145" s="783">
        <f t="shared" si="172"/>
        <v>1000000</v>
      </c>
    </row>
    <row r="146" spans="2:90" s="564" customFormat="1" ht="15" customHeight="1" x14ac:dyDescent="0.2">
      <c r="B146" s="626">
        <f>$M$4</f>
        <v>7</v>
      </c>
      <c r="C146" s="631">
        <f>$M$6</f>
        <v>97</v>
      </c>
      <c r="D146" s="744">
        <f>$B$6</f>
        <v>1.75</v>
      </c>
      <c r="E146" s="745">
        <f t="shared" si="149"/>
        <v>13.857142857142858</v>
      </c>
      <c r="F146" s="689"/>
      <c r="G146" s="747">
        <f t="shared" si="150"/>
        <v>1.7493734548888376</v>
      </c>
      <c r="H146" s="748">
        <f t="shared" si="154"/>
        <v>3.9255877632156242E-7</v>
      </c>
      <c r="I146" s="689"/>
      <c r="J146" s="773">
        <f t="shared" si="176"/>
        <v>109</v>
      </c>
      <c r="K146" s="774">
        <f t="shared" si="155"/>
        <v>122.625</v>
      </c>
      <c r="L146" s="747">
        <f t="shared" si="196"/>
        <v>2.0217192727272728</v>
      </c>
      <c r="M146" s="751">
        <f t="shared" si="196"/>
        <v>1.9979704545454546</v>
      </c>
      <c r="N146" s="751">
        <f t="shared" si="196"/>
        <v>1.9569556818181819</v>
      </c>
      <c r="O146" s="751">
        <f t="shared" si="196"/>
        <v>1.9159409090909092</v>
      </c>
      <c r="P146" s="751">
        <f t="shared" si="196"/>
        <v>1.8371636363636363</v>
      </c>
      <c r="Q146" s="751">
        <f t="shared" si="196"/>
        <v>1.7911981818181819</v>
      </c>
      <c r="R146" s="751">
        <f t="shared" si="196"/>
        <v>1.616009090909091</v>
      </c>
      <c r="S146" s="751">
        <f t="shared" si="196"/>
        <v>1.5393421818181818</v>
      </c>
      <c r="T146" s="752">
        <f t="shared" si="196"/>
        <v>1.4295454545454547</v>
      </c>
      <c r="U146" s="753">
        <f t="shared" si="196"/>
        <v>0.71838181818181823</v>
      </c>
      <c r="W146" s="773">
        <f t="shared" si="157"/>
        <v>122.625</v>
      </c>
      <c r="X146" s="775">
        <f t="shared" si="197"/>
        <v>-9.7926416370143474E-2</v>
      </c>
      <c r="Y146" s="776">
        <f t="shared" si="197"/>
        <v>-9.7930980259032366E-2</v>
      </c>
      <c r="Z146" s="776">
        <f t="shared" si="197"/>
        <v>-9.7938862203476806E-2</v>
      </c>
      <c r="AA146" s="776">
        <f t="shared" si="197"/>
        <v>-9.7946744147921247E-2</v>
      </c>
      <c r="AB146" s="776">
        <f t="shared" si="197"/>
        <v>-9.7961883036810138E-2</v>
      </c>
      <c r="AC146" s="776">
        <f t="shared" si="197"/>
        <v>-9.7970716370143471E-2</v>
      </c>
      <c r="AD146" s="776">
        <f t="shared" si="197"/>
        <v>-9.8004383036810139E-2</v>
      </c>
      <c r="AE146" s="776">
        <f t="shared" si="197"/>
        <v>-9.8019116370143475E-2</v>
      </c>
      <c r="AF146" s="777">
        <f t="shared" si="197"/>
        <v>-9.8040216370143471E-2</v>
      </c>
      <c r="AG146" s="778">
        <f t="shared" si="197"/>
        <v>-9.8176883036810131E-2</v>
      </c>
      <c r="AI146" s="773">
        <f t="shared" si="159"/>
        <v>122.625</v>
      </c>
      <c r="AJ146" s="747">
        <f t="shared" si="192"/>
        <v>1.9237928563571294</v>
      </c>
      <c r="AK146" s="751">
        <f t="shared" si="192"/>
        <v>1.9000394742864222</v>
      </c>
      <c r="AL146" s="751">
        <f t="shared" si="192"/>
        <v>1.859016819614705</v>
      </c>
      <c r="AM146" s="751">
        <f t="shared" si="192"/>
        <v>1.817994164942988</v>
      </c>
      <c r="AN146" s="751">
        <f t="shared" si="192"/>
        <v>1.7392017533268262</v>
      </c>
      <c r="AO146" s="751"/>
      <c r="AP146" s="751"/>
      <c r="AQ146" s="751"/>
      <c r="AR146" s="752"/>
      <c r="AS146" s="751"/>
      <c r="AT146" s="674">
        <f t="shared" si="160"/>
        <v>1.75</v>
      </c>
      <c r="AU146" s="712">
        <f t="shared" si="161"/>
        <v>1.8</v>
      </c>
      <c r="AV146" s="712">
        <f t="shared" si="162"/>
        <v>1.81</v>
      </c>
      <c r="AW146" s="712">
        <f t="shared" si="163"/>
        <v>1.83</v>
      </c>
      <c r="AX146" s="712">
        <f t="shared" si="164"/>
        <v>1.84</v>
      </c>
      <c r="AY146" s="712">
        <f t="shared" si="165"/>
        <v>1.86</v>
      </c>
      <c r="AZ146" s="712">
        <f t="shared" si="166"/>
        <v>1.88</v>
      </c>
      <c r="BA146" s="712">
        <f t="shared" si="167"/>
        <v>1.9</v>
      </c>
      <c r="BB146" s="712">
        <f t="shared" si="168"/>
        <v>1.92</v>
      </c>
      <c r="BC146" s="779">
        <f t="shared" si="169"/>
        <v>1000000</v>
      </c>
      <c r="BD146" s="780">
        <f t="shared" si="170"/>
        <v>1000000</v>
      </c>
      <c r="BF146" s="781">
        <f t="shared" si="198"/>
        <v>1.9262768970340323</v>
      </c>
      <c r="BG146" s="767">
        <f t="shared" si="198"/>
        <v>2.0087221575630134</v>
      </c>
      <c r="BH146" s="767">
        <f t="shared" si="198"/>
        <v>1.9934482346895326</v>
      </c>
      <c r="BI146" s="767">
        <f t="shared" si="198"/>
        <v>1.9907626666591973</v>
      </c>
      <c r="BJ146" s="767">
        <f t="shared" si="198"/>
        <v>1.9890594876592196</v>
      </c>
      <c r="BK146" s="767">
        <f t="shared" si="198"/>
        <v>1.9886133592899109</v>
      </c>
      <c r="BL146" s="767">
        <f t="shared" si="198"/>
        <v>1.9878355568815691</v>
      </c>
      <c r="BM146" s="767">
        <f t="shared" si="198"/>
        <v>1.9876674016132492</v>
      </c>
      <c r="BN146" s="767">
        <f t="shared" si="198"/>
        <v>1.9874964954737624</v>
      </c>
      <c r="BO146" s="782">
        <f t="shared" si="198"/>
        <v>1.9870036150081536</v>
      </c>
      <c r="BP146" s="781">
        <f t="shared" si="189"/>
        <v>1.9262768970340323</v>
      </c>
      <c r="BQ146" s="767">
        <f t="shared" si="189"/>
        <v>-1000000</v>
      </c>
      <c r="BR146" s="767">
        <f t="shared" si="189"/>
        <v>-1000000</v>
      </c>
      <c r="BS146" s="767">
        <f t="shared" si="189"/>
        <v>-1000000</v>
      </c>
      <c r="BT146" s="767">
        <f t="shared" si="189"/>
        <v>-1000000</v>
      </c>
      <c r="BU146" s="767">
        <f t="shared" si="187"/>
        <v>-1000000</v>
      </c>
      <c r="BV146" s="767">
        <f t="shared" si="187"/>
        <v>-1000000</v>
      </c>
      <c r="BW146" s="767">
        <f t="shared" si="187"/>
        <v>-1000000</v>
      </c>
      <c r="BX146" s="767">
        <f t="shared" si="187"/>
        <v>-1000000</v>
      </c>
      <c r="BY146" s="767">
        <f t="shared" si="187"/>
        <v>-1000000</v>
      </c>
      <c r="BZ146" s="648">
        <f t="shared" si="151"/>
        <v>109</v>
      </c>
      <c r="CA146" s="767">
        <f t="shared" si="194"/>
        <v>1.9262768970340323</v>
      </c>
      <c r="CB146" s="767"/>
      <c r="CC146" s="767"/>
      <c r="CD146" s="767"/>
      <c r="CE146" s="767"/>
      <c r="CF146" s="767"/>
      <c r="CG146" s="767"/>
      <c r="CH146" s="767"/>
      <c r="CI146" s="767"/>
      <c r="CJ146" s="767"/>
      <c r="CK146" s="781">
        <f t="shared" si="153"/>
        <v>1.75</v>
      </c>
      <c r="CL146" s="783">
        <f t="shared" si="172"/>
        <v>1000000</v>
      </c>
    </row>
    <row r="147" spans="2:90" s="564" customFormat="1" ht="15" customHeight="1" x14ac:dyDescent="0.2">
      <c r="B147" s="647">
        <f t="shared" ref="B147:B156" si="201">$M$4</f>
        <v>7</v>
      </c>
      <c r="C147" s="652">
        <f>$M$7</f>
        <v>96.2</v>
      </c>
      <c r="D147" s="771">
        <f>$B$7</f>
        <v>1.78</v>
      </c>
      <c r="E147" s="772">
        <f t="shared" si="149"/>
        <v>13.742857142857144</v>
      </c>
      <c r="F147" s="689"/>
      <c r="G147" s="747">
        <f t="shared" si="150"/>
        <v>1.7562342563249709</v>
      </c>
      <c r="H147" s="748">
        <f t="shared" si="154"/>
        <v>5.6481057242718802E-4</v>
      </c>
      <c r="I147" s="689"/>
      <c r="J147" s="773">
        <f t="shared" si="176"/>
        <v>110</v>
      </c>
      <c r="K147" s="774">
        <f t="shared" si="155"/>
        <v>123.75</v>
      </c>
      <c r="L147" s="747">
        <f t="shared" si="196"/>
        <v>2.0158912</v>
      </c>
      <c r="M147" s="751">
        <f t="shared" si="196"/>
        <v>1.9897675000000001</v>
      </c>
      <c r="N147" s="751">
        <f t="shared" si="196"/>
        <v>1.9446512500000002</v>
      </c>
      <c r="O147" s="751">
        <f t="shared" si="196"/>
        <v>1.8995350000000002</v>
      </c>
      <c r="P147" s="751">
        <f t="shared" si="196"/>
        <v>1.8128800000000003</v>
      </c>
      <c r="Q147" s="751">
        <f t="shared" si="196"/>
        <v>1.7623180000000003</v>
      </c>
      <c r="R147" s="751">
        <f t="shared" si="196"/>
        <v>1.5696100000000004</v>
      </c>
      <c r="S147" s="751">
        <f t="shared" si="196"/>
        <v>1.4852764000000003</v>
      </c>
      <c r="T147" s="752">
        <f t="shared" si="196"/>
        <v>1.3645000000000005</v>
      </c>
      <c r="U147" s="753">
        <f t="shared" si="196"/>
        <v>0.58222000000000063</v>
      </c>
      <c r="W147" s="773">
        <f t="shared" si="157"/>
        <v>123.75</v>
      </c>
      <c r="X147" s="775">
        <f t="shared" si="197"/>
        <v>-9.797730535937027E-2</v>
      </c>
      <c r="Y147" s="776">
        <f t="shared" si="197"/>
        <v>-9.7981869248259162E-2</v>
      </c>
      <c r="Z147" s="776">
        <f t="shared" si="197"/>
        <v>-9.7989751192703603E-2</v>
      </c>
      <c r="AA147" s="776">
        <f t="shared" si="197"/>
        <v>-9.7997633137148044E-2</v>
      </c>
      <c r="AB147" s="776">
        <f t="shared" si="197"/>
        <v>-9.8012772026036935E-2</v>
      </c>
      <c r="AC147" s="776">
        <f t="shared" si="197"/>
        <v>-9.8021605359370267E-2</v>
      </c>
      <c r="AD147" s="776">
        <f t="shared" si="197"/>
        <v>-9.8055272026036935E-2</v>
      </c>
      <c r="AE147" s="776">
        <f t="shared" si="197"/>
        <v>-9.8070005359370271E-2</v>
      </c>
      <c r="AF147" s="777">
        <f t="shared" si="197"/>
        <v>-9.8091105359370268E-2</v>
      </c>
      <c r="AG147" s="778">
        <f t="shared" si="197"/>
        <v>-9.8227772026036927E-2</v>
      </c>
      <c r="AI147" s="773">
        <f t="shared" si="159"/>
        <v>123.75</v>
      </c>
      <c r="AJ147" s="747">
        <f t="shared" si="192"/>
        <v>1.9179138946406298</v>
      </c>
      <c r="AK147" s="751">
        <f t="shared" si="192"/>
        <v>1.8917856307517409</v>
      </c>
      <c r="AL147" s="751">
        <f t="shared" si="192"/>
        <v>1.8466614988072965</v>
      </c>
      <c r="AM147" s="751">
        <f t="shared" si="192"/>
        <v>1.8015373668628523</v>
      </c>
      <c r="AN147" s="751"/>
      <c r="AO147" s="751"/>
      <c r="AP147" s="751"/>
      <c r="AQ147" s="751"/>
      <c r="AR147" s="752"/>
      <c r="AS147" s="751"/>
      <c r="AT147" s="674">
        <f t="shared" si="160"/>
        <v>1.75</v>
      </c>
      <c r="AU147" s="712">
        <f t="shared" si="161"/>
        <v>1.8</v>
      </c>
      <c r="AV147" s="712">
        <f t="shared" si="162"/>
        <v>1.81</v>
      </c>
      <c r="AW147" s="712">
        <f t="shared" si="163"/>
        <v>1.83</v>
      </c>
      <c r="AX147" s="712">
        <f t="shared" si="164"/>
        <v>1.84</v>
      </c>
      <c r="AY147" s="712">
        <f t="shared" si="165"/>
        <v>1.86</v>
      </c>
      <c r="AZ147" s="712">
        <f t="shared" si="166"/>
        <v>1.88</v>
      </c>
      <c r="BA147" s="712">
        <f t="shared" si="167"/>
        <v>1.9</v>
      </c>
      <c r="BB147" s="712">
        <f t="shared" si="168"/>
        <v>1.92</v>
      </c>
      <c r="BC147" s="779">
        <f t="shared" si="169"/>
        <v>1000000</v>
      </c>
      <c r="BD147" s="780">
        <f t="shared" si="170"/>
        <v>1000000</v>
      </c>
      <c r="BF147" s="781">
        <f t="shared" si="198"/>
        <v>1.9209265706911041</v>
      </c>
      <c r="BG147" s="767">
        <f t="shared" si="198"/>
        <v>2.0075831094429315</v>
      </c>
      <c r="BH147" s="767">
        <f t="shared" si="198"/>
        <v>1.99321353131544</v>
      </c>
      <c r="BI147" s="767">
        <f t="shared" si="198"/>
        <v>1.9906178244775228</v>
      </c>
      <c r="BJ147" s="767">
        <f t="shared" si="198"/>
        <v>1.9889602887800366</v>
      </c>
      <c r="BK147" s="767">
        <f t="shared" si="198"/>
        <v>1.9885245954791411</v>
      </c>
      <c r="BL147" s="767">
        <f t="shared" si="198"/>
        <v>1.9877632315891931</v>
      </c>
      <c r="BM147" s="767">
        <f t="shared" si="198"/>
        <v>1.9875982585622471</v>
      </c>
      <c r="BN147" s="767">
        <f t="shared" si="198"/>
        <v>1.9874303912838276</v>
      </c>
      <c r="BO147" s="782">
        <f t="shared" si="198"/>
        <v>1.9869444650975041</v>
      </c>
      <c r="BP147" s="781">
        <f t="shared" si="189"/>
        <v>1.9209265706911041</v>
      </c>
      <c r="BQ147" s="767">
        <f t="shared" si="189"/>
        <v>-1000000</v>
      </c>
      <c r="BR147" s="767">
        <f t="shared" si="189"/>
        <v>-1000000</v>
      </c>
      <c r="BS147" s="767">
        <f t="shared" si="189"/>
        <v>-1000000</v>
      </c>
      <c r="BT147" s="767">
        <f t="shared" si="189"/>
        <v>-1000000</v>
      </c>
      <c r="BU147" s="767">
        <f t="shared" si="187"/>
        <v>-1000000</v>
      </c>
      <c r="BV147" s="767">
        <f t="shared" si="187"/>
        <v>-1000000</v>
      </c>
      <c r="BW147" s="767">
        <f t="shared" si="187"/>
        <v>-1000000</v>
      </c>
      <c r="BX147" s="767">
        <f t="shared" si="187"/>
        <v>-1000000</v>
      </c>
      <c r="BY147" s="767">
        <f t="shared" si="187"/>
        <v>-1000000</v>
      </c>
      <c r="BZ147" s="648">
        <f t="shared" si="151"/>
        <v>110</v>
      </c>
      <c r="CA147" s="767">
        <f t="shared" si="194"/>
        <v>1.9209265706911041</v>
      </c>
      <c r="CB147" s="767"/>
      <c r="CC147" s="767"/>
      <c r="CD147" s="767"/>
      <c r="CE147" s="767"/>
      <c r="CF147" s="767"/>
      <c r="CG147" s="767"/>
      <c r="CH147" s="767"/>
      <c r="CI147" s="767"/>
      <c r="CJ147" s="767"/>
      <c r="CK147" s="781">
        <f t="shared" si="153"/>
        <v>1.75</v>
      </c>
      <c r="CL147" s="783">
        <f t="shared" si="172"/>
        <v>1000000</v>
      </c>
    </row>
    <row r="148" spans="2:90" s="564" customFormat="1" ht="15" customHeight="1" x14ac:dyDescent="0.2">
      <c r="B148" s="647">
        <f t="shared" si="201"/>
        <v>7</v>
      </c>
      <c r="C148" s="652">
        <f>$M$8</f>
        <v>96</v>
      </c>
      <c r="D148" s="771">
        <f>$B$8</f>
        <v>1.8</v>
      </c>
      <c r="E148" s="772">
        <f t="shared" si="149"/>
        <v>13.714285714285714</v>
      </c>
      <c r="F148" s="689"/>
      <c r="G148" s="747">
        <f t="shared" si="150"/>
        <v>1.7579069559844607</v>
      </c>
      <c r="H148" s="748">
        <f t="shared" si="154"/>
        <v>1.771824354494135E-3</v>
      </c>
      <c r="I148" s="689"/>
      <c r="J148" s="773">
        <f t="shared" si="176"/>
        <v>111</v>
      </c>
      <c r="K148" s="774">
        <f t="shared" si="155"/>
        <v>124.875</v>
      </c>
      <c r="L148" s="747">
        <f t="shared" si="196"/>
        <v>2.0087679999999999</v>
      </c>
      <c r="M148" s="751">
        <f t="shared" si="196"/>
        <v>1.9797416666666667</v>
      </c>
      <c r="N148" s="751">
        <f t="shared" si="196"/>
        <v>1.9296125</v>
      </c>
      <c r="O148" s="751">
        <f t="shared" si="196"/>
        <v>1.8794833333333334</v>
      </c>
      <c r="P148" s="751">
        <f t="shared" si="196"/>
        <v>1.7831999999999999</v>
      </c>
      <c r="Q148" s="751">
        <f t="shared" si="196"/>
        <v>1.7270199999999998</v>
      </c>
      <c r="R148" s="751">
        <f t="shared" si="196"/>
        <v>1.5128999999999997</v>
      </c>
      <c r="S148" s="751">
        <f t="shared" si="196"/>
        <v>1.4191959999999997</v>
      </c>
      <c r="T148" s="752">
        <f t="shared" si="196"/>
        <v>1.2849999999999997</v>
      </c>
      <c r="U148" s="753">
        <f t="shared" si="196"/>
        <v>0.41579999999999906</v>
      </c>
      <c r="W148" s="773">
        <f t="shared" si="157"/>
        <v>124.875</v>
      </c>
      <c r="X148" s="775">
        <f t="shared" si="197"/>
        <v>-9.8025657486476001E-2</v>
      </c>
      <c r="Y148" s="776">
        <f t="shared" si="197"/>
        <v>-9.8030221375364893E-2</v>
      </c>
      <c r="Z148" s="776">
        <f t="shared" si="197"/>
        <v>-9.8038103319809333E-2</v>
      </c>
      <c r="AA148" s="776">
        <f t="shared" si="197"/>
        <v>-9.8045985264253774E-2</v>
      </c>
      <c r="AB148" s="776">
        <f t="shared" si="197"/>
        <v>-9.8061124153142665E-2</v>
      </c>
      <c r="AC148" s="776">
        <f t="shared" si="197"/>
        <v>-9.8069957486475998E-2</v>
      </c>
      <c r="AD148" s="776">
        <f t="shared" si="197"/>
        <v>-9.8103624153142666E-2</v>
      </c>
      <c r="AE148" s="776">
        <f t="shared" si="197"/>
        <v>-9.8118357486476002E-2</v>
      </c>
      <c r="AF148" s="777">
        <f t="shared" si="197"/>
        <v>-9.8139457486475998E-2</v>
      </c>
      <c r="AG148" s="778">
        <f t="shared" si="197"/>
        <v>-9.8276124153142658E-2</v>
      </c>
      <c r="AI148" s="773">
        <f t="shared" si="159"/>
        <v>124.875</v>
      </c>
      <c r="AJ148" s="747">
        <f t="shared" si="192"/>
        <v>1.9107423425135239</v>
      </c>
      <c r="AK148" s="751">
        <f t="shared" si="192"/>
        <v>1.8817114452913017</v>
      </c>
      <c r="AL148" s="751">
        <f t="shared" si="192"/>
        <v>1.8315743966801907</v>
      </c>
      <c r="AM148" s="751">
        <f t="shared" si="192"/>
        <v>1.7814373480690797</v>
      </c>
      <c r="AN148" s="751"/>
      <c r="AO148" s="751"/>
      <c r="AP148" s="751"/>
      <c r="AQ148" s="751"/>
      <c r="AR148" s="752"/>
      <c r="AS148" s="751"/>
      <c r="AT148" s="674">
        <f t="shared" si="160"/>
        <v>1.75</v>
      </c>
      <c r="AU148" s="712">
        <f t="shared" si="161"/>
        <v>1.8</v>
      </c>
      <c r="AV148" s="712">
        <f t="shared" si="162"/>
        <v>1.81</v>
      </c>
      <c r="AW148" s="712">
        <f t="shared" si="163"/>
        <v>1.83</v>
      </c>
      <c r="AX148" s="712">
        <f t="shared" si="164"/>
        <v>1.84</v>
      </c>
      <c r="AY148" s="712">
        <f t="shared" si="165"/>
        <v>1.86</v>
      </c>
      <c r="AZ148" s="712">
        <f t="shared" si="166"/>
        <v>1.88</v>
      </c>
      <c r="BA148" s="712">
        <f t="shared" si="167"/>
        <v>1.9</v>
      </c>
      <c r="BB148" s="712">
        <f t="shared" si="168"/>
        <v>1.92</v>
      </c>
      <c r="BC148" s="779">
        <f t="shared" si="169"/>
        <v>1000000</v>
      </c>
      <c r="BD148" s="780">
        <f t="shared" si="170"/>
        <v>1000000</v>
      </c>
      <c r="BF148" s="781">
        <f t="shared" si="198"/>
        <v>1.9144675501888053</v>
      </c>
      <c r="BG148" s="767">
        <f t="shared" si="198"/>
        <v>2.0065338139937436</v>
      </c>
      <c r="BH148" s="767">
        <f t="shared" si="198"/>
        <v>1.992987550081484</v>
      </c>
      <c r="BI148" s="767">
        <f t="shared" si="198"/>
        <v>1.9904772316899184</v>
      </c>
      <c r="BJ148" s="767">
        <f t="shared" si="198"/>
        <v>1.9888635072807597</v>
      </c>
      <c r="BK148" s="767">
        <f t="shared" si="198"/>
        <v>1.9884378798511093</v>
      </c>
      <c r="BL148" s="767">
        <f t="shared" si="198"/>
        <v>1.9876924152772764</v>
      </c>
      <c r="BM148" s="767">
        <f t="shared" si="198"/>
        <v>1.9875305264969174</v>
      </c>
      <c r="BN148" s="767">
        <f t="shared" si="198"/>
        <v>1.9873656065388012</v>
      </c>
      <c r="BO148" s="782">
        <f t="shared" si="198"/>
        <v>1.9868864329019627</v>
      </c>
      <c r="BP148" s="781">
        <f t="shared" si="189"/>
        <v>1.9144675501888053</v>
      </c>
      <c r="BQ148" s="767">
        <f t="shared" si="189"/>
        <v>-1000000</v>
      </c>
      <c r="BR148" s="767">
        <f t="shared" si="189"/>
        <v>-1000000</v>
      </c>
      <c r="BS148" s="767">
        <f t="shared" si="189"/>
        <v>-1000000</v>
      </c>
      <c r="BT148" s="767">
        <f t="shared" si="189"/>
        <v>-1000000</v>
      </c>
      <c r="BU148" s="767">
        <f t="shared" si="187"/>
        <v>-1000000</v>
      </c>
      <c r="BV148" s="767">
        <f t="shared" si="187"/>
        <v>-1000000</v>
      </c>
      <c r="BW148" s="767">
        <f t="shared" si="187"/>
        <v>-1000000</v>
      </c>
      <c r="BX148" s="767">
        <f t="shared" si="187"/>
        <v>-1000000</v>
      </c>
      <c r="BY148" s="767">
        <f t="shared" si="187"/>
        <v>-1000000</v>
      </c>
      <c r="BZ148" s="648">
        <f t="shared" si="151"/>
        <v>111</v>
      </c>
      <c r="CA148" s="767">
        <f t="shared" si="194"/>
        <v>1.9144675501888053</v>
      </c>
      <c r="CB148" s="767"/>
      <c r="CC148" s="767"/>
      <c r="CD148" s="767"/>
      <c r="CE148" s="767"/>
      <c r="CF148" s="767"/>
      <c r="CG148" s="767"/>
      <c r="CH148" s="767"/>
      <c r="CI148" s="767"/>
      <c r="CJ148" s="767"/>
      <c r="CK148" s="781">
        <f t="shared" si="153"/>
        <v>1.75</v>
      </c>
      <c r="CL148" s="783">
        <f t="shared" si="172"/>
        <v>1000000</v>
      </c>
    </row>
    <row r="149" spans="2:90" s="564" customFormat="1" ht="15" customHeight="1" x14ac:dyDescent="0.2">
      <c r="B149" s="647">
        <f t="shared" si="201"/>
        <v>7</v>
      </c>
      <c r="C149" s="652">
        <f>$M$9</f>
        <v>95.1</v>
      </c>
      <c r="D149" s="771">
        <f>$B$9</f>
        <v>1.81</v>
      </c>
      <c r="E149" s="772">
        <f t="shared" si="149"/>
        <v>13.585714285714285</v>
      </c>
      <c r="F149" s="689"/>
      <c r="G149" s="747">
        <f t="shared" si="150"/>
        <v>1.7652340082517615</v>
      </c>
      <c r="H149" s="748">
        <f t="shared" si="154"/>
        <v>2.0039940172033653E-3</v>
      </c>
      <c r="I149" s="689"/>
      <c r="J149" s="773">
        <f t="shared" si="176"/>
        <v>112</v>
      </c>
      <c r="K149" s="774">
        <f t="shared" si="155"/>
        <v>126</v>
      </c>
      <c r="L149" s="747">
        <f t="shared" ref="L149:U157" si="202">$AB$21-($AD$24*L$34)/(1-($K149)/($AB$22))</f>
        <v>1.9998640000000001</v>
      </c>
      <c r="M149" s="751">
        <f t="shared" si="202"/>
        <v>1.9672093750000001</v>
      </c>
      <c r="N149" s="751">
        <f t="shared" si="202"/>
        <v>1.9108140625000001</v>
      </c>
      <c r="O149" s="751">
        <f t="shared" si="202"/>
        <v>1.85441875</v>
      </c>
      <c r="P149" s="751">
        <f t="shared" si="202"/>
        <v>1.7461</v>
      </c>
      <c r="Q149" s="751">
        <f t="shared" si="202"/>
        <v>1.6828974999999999</v>
      </c>
      <c r="R149" s="751">
        <f t="shared" si="202"/>
        <v>1.4420125000000001</v>
      </c>
      <c r="S149" s="751">
        <f t="shared" si="202"/>
        <v>1.3365955</v>
      </c>
      <c r="T149" s="752">
        <f t="shared" si="202"/>
        <v>1.1856249999999999</v>
      </c>
      <c r="U149" s="753">
        <f t="shared" si="202"/>
        <v>0.2077749999999996</v>
      </c>
      <c r="W149" s="773">
        <f t="shared" si="157"/>
        <v>126</v>
      </c>
      <c r="X149" s="775">
        <f t="shared" ref="X149:AG157" si="203">$AB$28*(1-(1-EXP(-(($W149)/($AB$23))))/(1-EXP(-1)))-$AD$25*X$34</f>
        <v>-9.8071599216330949E-2</v>
      </c>
      <c r="Y149" s="776">
        <f t="shared" si="203"/>
        <v>-9.8076163105219841E-2</v>
      </c>
      <c r="Z149" s="776">
        <f t="shared" si="203"/>
        <v>-9.8084045049664281E-2</v>
      </c>
      <c r="AA149" s="776">
        <f t="shared" si="203"/>
        <v>-9.8091926994108722E-2</v>
      </c>
      <c r="AB149" s="776">
        <f t="shared" si="203"/>
        <v>-9.8107065882997613E-2</v>
      </c>
      <c r="AC149" s="776">
        <f t="shared" si="203"/>
        <v>-9.8115899216330946E-2</v>
      </c>
      <c r="AD149" s="776">
        <f t="shared" si="203"/>
        <v>-9.8149565882997614E-2</v>
      </c>
      <c r="AE149" s="776">
        <f t="shared" si="203"/>
        <v>-9.816429921633095E-2</v>
      </c>
      <c r="AF149" s="777">
        <f t="shared" si="203"/>
        <v>-9.8185399216330946E-2</v>
      </c>
      <c r="AG149" s="778">
        <f t="shared" si="203"/>
        <v>-9.8322065882997606E-2</v>
      </c>
      <c r="AI149" s="773">
        <f t="shared" si="159"/>
        <v>126</v>
      </c>
      <c r="AJ149" s="747">
        <f t="shared" si="192"/>
        <v>1.9017924007836691</v>
      </c>
      <c r="AK149" s="751">
        <f t="shared" si="192"/>
        <v>1.8691332118947803</v>
      </c>
      <c r="AL149" s="751">
        <f t="shared" si="192"/>
        <v>1.8127300174503358</v>
      </c>
      <c r="AM149" s="751">
        <f t="shared" si="192"/>
        <v>1.7563268230058913</v>
      </c>
      <c r="AN149" s="751"/>
      <c r="AO149" s="751"/>
      <c r="AP149" s="751"/>
      <c r="AQ149" s="751"/>
      <c r="AR149" s="752"/>
      <c r="AS149" s="751"/>
      <c r="AT149" s="674">
        <f t="shared" si="160"/>
        <v>1.75</v>
      </c>
      <c r="AU149" s="712">
        <f t="shared" si="161"/>
        <v>1.8</v>
      </c>
      <c r="AV149" s="712">
        <f t="shared" si="162"/>
        <v>1.81</v>
      </c>
      <c r="AW149" s="712">
        <f t="shared" si="163"/>
        <v>1.83</v>
      </c>
      <c r="AX149" s="712">
        <f t="shared" si="164"/>
        <v>1.84</v>
      </c>
      <c r="AY149" s="712">
        <f t="shared" si="165"/>
        <v>1.86</v>
      </c>
      <c r="AZ149" s="712">
        <f t="shared" si="166"/>
        <v>1.88</v>
      </c>
      <c r="BA149" s="712">
        <f t="shared" si="167"/>
        <v>1.9</v>
      </c>
      <c r="BB149" s="712">
        <f t="shared" si="168"/>
        <v>1.92</v>
      </c>
      <c r="BC149" s="779">
        <f t="shared" si="169"/>
        <v>1000000</v>
      </c>
      <c r="BD149" s="780">
        <f t="shared" si="170"/>
        <v>1000000</v>
      </c>
      <c r="BF149" s="781">
        <f t="shared" ref="BF149:BO157" si="204">$AB$21-(($AD$24/(1-(BF$34*$BZ149)/($AB$22)))+$AD$25)*BF$34+$AB$28*(1-(1-EXP(-(BF$34*$BZ149)/($AB$23)))/(1-EXP(-1)))</f>
        <v>1.9065091349229735</v>
      </c>
      <c r="BG149" s="767">
        <f t="shared" si="204"/>
        <v>2.0055640803365771</v>
      </c>
      <c r="BH149" s="767">
        <f t="shared" si="204"/>
        <v>1.9927698133548377</v>
      </c>
      <c r="BI149" s="767">
        <f t="shared" si="204"/>
        <v>1.9903407039514061</v>
      </c>
      <c r="BJ149" s="767">
        <f t="shared" si="204"/>
        <v>1.9887690558612028</v>
      </c>
      <c r="BK149" s="767">
        <f t="shared" si="204"/>
        <v>1.9883531423231107</v>
      </c>
      <c r="BL149" s="767">
        <f t="shared" si="204"/>
        <v>1.9876230612087744</v>
      </c>
      <c r="BM149" s="767">
        <f t="shared" si="204"/>
        <v>1.9874641626630269</v>
      </c>
      <c r="BN149" s="767">
        <f t="shared" si="204"/>
        <v>1.9873021021247046</v>
      </c>
      <c r="BO149" s="782">
        <f t="shared" si="204"/>
        <v>1.9868294870370156</v>
      </c>
      <c r="BP149" s="781">
        <f t="shared" si="189"/>
        <v>1.9065091349229735</v>
      </c>
      <c r="BQ149" s="767">
        <f t="shared" si="189"/>
        <v>-1000000</v>
      </c>
      <c r="BR149" s="767">
        <f t="shared" si="189"/>
        <v>-1000000</v>
      </c>
      <c r="BS149" s="767">
        <f t="shared" si="189"/>
        <v>-1000000</v>
      </c>
      <c r="BT149" s="767">
        <f t="shared" si="189"/>
        <v>-1000000</v>
      </c>
      <c r="BU149" s="767">
        <f t="shared" si="187"/>
        <v>-1000000</v>
      </c>
      <c r="BV149" s="767">
        <f t="shared" si="187"/>
        <v>-1000000</v>
      </c>
      <c r="BW149" s="767">
        <f t="shared" si="187"/>
        <v>-1000000</v>
      </c>
      <c r="BX149" s="767">
        <f t="shared" si="187"/>
        <v>-1000000</v>
      </c>
      <c r="BY149" s="767">
        <f t="shared" si="187"/>
        <v>-1000000</v>
      </c>
      <c r="BZ149" s="648">
        <f t="shared" si="151"/>
        <v>112</v>
      </c>
      <c r="CA149" s="767">
        <f t="shared" si="194"/>
        <v>1.9065091349229735</v>
      </c>
      <c r="CB149" s="767"/>
      <c r="CC149" s="767"/>
      <c r="CD149" s="767"/>
      <c r="CE149" s="767"/>
      <c r="CF149" s="767"/>
      <c r="CG149" s="767"/>
      <c r="CH149" s="767"/>
      <c r="CI149" s="767"/>
      <c r="CJ149" s="767"/>
      <c r="CK149" s="781">
        <f t="shared" si="153"/>
        <v>1.75</v>
      </c>
      <c r="CL149" s="783">
        <f t="shared" si="172"/>
        <v>1000000</v>
      </c>
    </row>
    <row r="150" spans="2:90" s="564" customFormat="1" ht="15" customHeight="1" x14ac:dyDescent="0.2">
      <c r="B150" s="647">
        <f t="shared" si="201"/>
        <v>7</v>
      </c>
      <c r="C150" s="652">
        <f>$M$10</f>
        <v>94</v>
      </c>
      <c r="D150" s="771">
        <f>$B$10</f>
        <v>1.83</v>
      </c>
      <c r="E150" s="772">
        <f t="shared" si="149"/>
        <v>13.428571428571429</v>
      </c>
      <c r="F150" s="689"/>
      <c r="G150" s="747">
        <f t="shared" si="150"/>
        <v>1.7737691854179058</v>
      </c>
      <c r="H150" s="748">
        <f t="shared" si="154"/>
        <v>3.1619045085658605E-3</v>
      </c>
      <c r="I150" s="689"/>
      <c r="J150" s="773">
        <f t="shared" si="176"/>
        <v>113</v>
      </c>
      <c r="K150" s="774">
        <f t="shared" si="155"/>
        <v>127.125</v>
      </c>
      <c r="L150" s="747">
        <f t="shared" si="202"/>
        <v>1.9884160000000002</v>
      </c>
      <c r="M150" s="751">
        <f t="shared" si="202"/>
        <v>1.9510964285714287</v>
      </c>
      <c r="N150" s="751">
        <f t="shared" si="202"/>
        <v>1.8866446428571431</v>
      </c>
      <c r="O150" s="751">
        <f t="shared" si="202"/>
        <v>1.8221928571428574</v>
      </c>
      <c r="P150" s="751">
        <f t="shared" si="202"/>
        <v>1.6984000000000001</v>
      </c>
      <c r="Q150" s="751">
        <f t="shared" si="202"/>
        <v>1.6261685714285716</v>
      </c>
      <c r="R150" s="751">
        <f t="shared" si="202"/>
        <v>1.3508714285714289</v>
      </c>
      <c r="S150" s="751">
        <f t="shared" si="202"/>
        <v>1.2303948571428576</v>
      </c>
      <c r="T150" s="752">
        <f t="shared" si="202"/>
        <v>1.0578571428571433</v>
      </c>
      <c r="U150" s="753">
        <f t="shared" si="202"/>
        <v>-5.9685714285713676E-2</v>
      </c>
      <c r="W150" s="773">
        <f t="shared" si="157"/>
        <v>127.125</v>
      </c>
      <c r="X150" s="775">
        <f t="shared" si="203"/>
        <v>-9.8115250709417276E-2</v>
      </c>
      <c r="Y150" s="776">
        <f t="shared" si="203"/>
        <v>-9.8119814598306168E-2</v>
      </c>
      <c r="Z150" s="776">
        <f t="shared" si="203"/>
        <v>-9.8127696542750609E-2</v>
      </c>
      <c r="AA150" s="776">
        <f t="shared" si="203"/>
        <v>-9.8135578487195049E-2</v>
      </c>
      <c r="AB150" s="776">
        <f t="shared" si="203"/>
        <v>-9.815071737608394E-2</v>
      </c>
      <c r="AC150" s="776">
        <f t="shared" si="203"/>
        <v>-9.8159550709417273E-2</v>
      </c>
      <c r="AD150" s="776">
        <f t="shared" si="203"/>
        <v>-9.8193217376083941E-2</v>
      </c>
      <c r="AE150" s="776">
        <f t="shared" si="203"/>
        <v>-9.8207950709417277E-2</v>
      </c>
      <c r="AF150" s="777">
        <f t="shared" si="203"/>
        <v>-9.8229050709417273E-2</v>
      </c>
      <c r="AG150" s="778">
        <f t="shared" si="203"/>
        <v>-9.8365717376083933E-2</v>
      </c>
      <c r="AI150" s="773">
        <f t="shared" si="159"/>
        <v>127.125</v>
      </c>
      <c r="AJ150" s="747">
        <f t="shared" si="192"/>
        <v>1.890300749290583</v>
      </c>
      <c r="AK150" s="751">
        <f t="shared" si="192"/>
        <v>1.8529766139731225</v>
      </c>
      <c r="AL150" s="751">
        <f t="shared" si="192"/>
        <v>1.7885169463143924</v>
      </c>
      <c r="AM150" s="751">
        <f t="shared" si="192"/>
        <v>1.7240572786556623</v>
      </c>
      <c r="AN150" s="751"/>
      <c r="AO150" s="751"/>
      <c r="AP150" s="751"/>
      <c r="AQ150" s="751"/>
      <c r="AR150" s="752"/>
      <c r="AS150" s="751"/>
      <c r="AT150" s="674">
        <f t="shared" si="160"/>
        <v>1.75</v>
      </c>
      <c r="AU150" s="712">
        <f t="shared" si="161"/>
        <v>1.8</v>
      </c>
      <c r="AV150" s="712">
        <f t="shared" si="162"/>
        <v>1.81</v>
      </c>
      <c r="AW150" s="712">
        <f t="shared" si="163"/>
        <v>1.83</v>
      </c>
      <c r="AX150" s="712">
        <f t="shared" si="164"/>
        <v>1.84</v>
      </c>
      <c r="AY150" s="712">
        <f t="shared" si="165"/>
        <v>1.86</v>
      </c>
      <c r="AZ150" s="712">
        <f t="shared" si="166"/>
        <v>1.88</v>
      </c>
      <c r="BA150" s="712">
        <f t="shared" si="167"/>
        <v>1.9</v>
      </c>
      <c r="BB150" s="712">
        <f t="shared" si="168"/>
        <v>1.92</v>
      </c>
      <c r="BC150" s="779">
        <f t="shared" si="169"/>
        <v>1000000</v>
      </c>
      <c r="BD150" s="780">
        <f t="shared" si="170"/>
        <v>1000000</v>
      </c>
      <c r="BF150" s="781">
        <f t="shared" si="204"/>
        <v>1.896453312459538</v>
      </c>
      <c r="BG150" s="767">
        <f t="shared" si="204"/>
        <v>2.0046652046418481</v>
      </c>
      <c r="BH150" s="767">
        <f t="shared" si="204"/>
        <v>1.9925598777463254</v>
      </c>
      <c r="BI150" s="767">
        <f t="shared" si="204"/>
        <v>1.990208067431952</v>
      </c>
      <c r="BJ150" s="767">
        <f t="shared" si="204"/>
        <v>1.9886768513748236</v>
      </c>
      <c r="BK150" s="767">
        <f t="shared" si="204"/>
        <v>1.9882703159737471</v>
      </c>
      <c r="BL150" s="767">
        <f t="shared" si="204"/>
        <v>1.9875551245570102</v>
      </c>
      <c r="BM150" s="767">
        <f t="shared" si="204"/>
        <v>1.9873991260163983</v>
      </c>
      <c r="BN150" s="767">
        <f t="shared" si="204"/>
        <v>1.9872398404584375</v>
      </c>
      <c r="BO150" s="782">
        <f t="shared" si="204"/>
        <v>1.9867735972822571</v>
      </c>
      <c r="BP150" s="781">
        <f t="shared" si="189"/>
        <v>1.896453312459538</v>
      </c>
      <c r="BQ150" s="767">
        <f t="shared" si="189"/>
        <v>-1000000</v>
      </c>
      <c r="BR150" s="767">
        <f t="shared" si="189"/>
        <v>-1000000</v>
      </c>
      <c r="BS150" s="767">
        <f t="shared" si="189"/>
        <v>-1000000</v>
      </c>
      <c r="BT150" s="767">
        <f t="shared" si="189"/>
        <v>-1000000</v>
      </c>
      <c r="BU150" s="767">
        <f t="shared" si="187"/>
        <v>-1000000</v>
      </c>
      <c r="BV150" s="767">
        <f t="shared" si="187"/>
        <v>-1000000</v>
      </c>
      <c r="BW150" s="767">
        <f t="shared" si="187"/>
        <v>-1000000</v>
      </c>
      <c r="BX150" s="767">
        <f t="shared" si="187"/>
        <v>-1000000</v>
      </c>
      <c r="BY150" s="767">
        <f t="shared" si="187"/>
        <v>-1000000</v>
      </c>
      <c r="BZ150" s="648">
        <f t="shared" si="151"/>
        <v>113</v>
      </c>
      <c r="CA150" s="767">
        <f t="shared" si="194"/>
        <v>1.896453312459538</v>
      </c>
      <c r="CB150" s="767"/>
      <c r="CC150" s="767"/>
      <c r="CD150" s="767"/>
      <c r="CE150" s="767"/>
      <c r="CF150" s="767"/>
      <c r="CG150" s="767"/>
      <c r="CH150" s="767"/>
      <c r="CI150" s="767"/>
      <c r="CJ150" s="767"/>
      <c r="CK150" s="781">
        <f t="shared" si="153"/>
        <v>1.75</v>
      </c>
      <c r="CL150" s="783">
        <f t="shared" si="172"/>
        <v>1000000</v>
      </c>
    </row>
    <row r="151" spans="2:90" s="564" customFormat="1" ht="15" customHeight="1" x14ac:dyDescent="0.2">
      <c r="B151" s="647">
        <f t="shared" si="201"/>
        <v>7</v>
      </c>
      <c r="C151" s="652">
        <f>$M$11</f>
        <v>93.1</v>
      </c>
      <c r="D151" s="771">
        <f>$B$11</f>
        <v>1.84</v>
      </c>
      <c r="E151" s="772">
        <f t="shared" si="149"/>
        <v>13.299999999999999</v>
      </c>
      <c r="F151" s="689"/>
      <c r="G151" s="747">
        <f t="shared" si="150"/>
        <v>1.7804333362256304</v>
      </c>
      <c r="H151" s="748">
        <f t="shared" si="154"/>
        <v>3.5481874332088073E-3</v>
      </c>
      <c r="I151" s="689"/>
      <c r="J151" s="773">
        <f t="shared" si="176"/>
        <v>114</v>
      </c>
      <c r="K151" s="774">
        <f t="shared" si="155"/>
        <v>128.25</v>
      </c>
      <c r="L151" s="747">
        <f t="shared" si="202"/>
        <v>1.9731520000000002</v>
      </c>
      <c r="M151" s="751">
        <f t="shared" si="202"/>
        <v>1.9296125000000002</v>
      </c>
      <c r="N151" s="751">
        <f t="shared" si="202"/>
        <v>1.8544187500000002</v>
      </c>
      <c r="O151" s="751">
        <f t="shared" si="202"/>
        <v>1.7792250000000003</v>
      </c>
      <c r="P151" s="751">
        <f t="shared" si="202"/>
        <v>1.6348000000000005</v>
      </c>
      <c r="Q151" s="751">
        <f t="shared" si="202"/>
        <v>1.5505300000000006</v>
      </c>
      <c r="R151" s="751">
        <f t="shared" si="202"/>
        <v>1.2293500000000011</v>
      </c>
      <c r="S151" s="751">
        <f t="shared" si="202"/>
        <v>1.0887940000000009</v>
      </c>
      <c r="T151" s="752">
        <f t="shared" si="202"/>
        <v>0.88750000000000129</v>
      </c>
      <c r="U151" s="753">
        <f t="shared" si="202"/>
        <v>-0.41629999999999789</v>
      </c>
      <c r="W151" s="773">
        <f t="shared" si="157"/>
        <v>128.25</v>
      </c>
      <c r="X151" s="775">
        <f t="shared" si="203"/>
        <v>-9.8156726136108485E-2</v>
      </c>
      <c r="Y151" s="776">
        <f t="shared" si="203"/>
        <v>-9.8161290024997377E-2</v>
      </c>
      <c r="Z151" s="776">
        <f t="shared" si="203"/>
        <v>-9.8169171969441818E-2</v>
      </c>
      <c r="AA151" s="776">
        <f t="shared" si="203"/>
        <v>-9.8177053913886259E-2</v>
      </c>
      <c r="AB151" s="776">
        <f t="shared" si="203"/>
        <v>-9.8192192802775149E-2</v>
      </c>
      <c r="AC151" s="776">
        <f t="shared" si="203"/>
        <v>-9.8201026136108482E-2</v>
      </c>
      <c r="AD151" s="776">
        <f t="shared" si="203"/>
        <v>-9.823469280277515E-2</v>
      </c>
      <c r="AE151" s="776">
        <f t="shared" si="203"/>
        <v>-9.8249426136108486E-2</v>
      </c>
      <c r="AF151" s="777">
        <f t="shared" si="203"/>
        <v>-9.8270526136108483E-2</v>
      </c>
      <c r="AG151" s="778">
        <f t="shared" si="203"/>
        <v>-9.8407192802775142E-2</v>
      </c>
      <c r="AI151" s="773">
        <f t="shared" si="159"/>
        <v>128.25</v>
      </c>
      <c r="AJ151" s="747">
        <f t="shared" si="192"/>
        <v>1.8749952738638918</v>
      </c>
      <c r="AK151" s="751">
        <f t="shared" si="192"/>
        <v>1.8314512099750029</v>
      </c>
      <c r="AL151" s="751">
        <f t="shared" si="192"/>
        <v>1.7562495780305585</v>
      </c>
      <c r="AM151" s="751"/>
      <c r="AN151" s="751"/>
      <c r="AO151" s="751"/>
      <c r="AP151" s="751"/>
      <c r="AQ151" s="751"/>
      <c r="AR151" s="752"/>
      <c r="AS151" s="751"/>
      <c r="AT151" s="674">
        <f t="shared" si="160"/>
        <v>1.75</v>
      </c>
      <c r="AU151" s="712">
        <f t="shared" si="161"/>
        <v>1.8</v>
      </c>
      <c r="AV151" s="712">
        <f t="shared" si="162"/>
        <v>1.81</v>
      </c>
      <c r="AW151" s="712">
        <f t="shared" si="163"/>
        <v>1.83</v>
      </c>
      <c r="AX151" s="712">
        <f t="shared" si="164"/>
        <v>1.84</v>
      </c>
      <c r="AY151" s="712">
        <f t="shared" si="165"/>
        <v>1.86</v>
      </c>
      <c r="AZ151" s="712">
        <f t="shared" si="166"/>
        <v>1.88</v>
      </c>
      <c r="BA151" s="712">
        <f t="shared" si="167"/>
        <v>1.9</v>
      </c>
      <c r="BB151" s="712">
        <f t="shared" si="168"/>
        <v>1.92</v>
      </c>
      <c r="BC151" s="779">
        <f t="shared" si="169"/>
        <v>1000000</v>
      </c>
      <c r="BD151" s="780">
        <f t="shared" si="170"/>
        <v>1000000</v>
      </c>
      <c r="BF151" s="781">
        <f t="shared" si="204"/>
        <v>1.8833361541462592</v>
      </c>
      <c r="BG151" s="767">
        <f t="shared" si="204"/>
        <v>2.0038297082341123</v>
      </c>
      <c r="BH151" s="767">
        <f t="shared" si="204"/>
        <v>1.9923573310983844</v>
      </c>
      <c r="BI151" s="767">
        <f t="shared" si="204"/>
        <v>1.9900791580769646</v>
      </c>
      <c r="BJ151" s="767">
        <f t="shared" si="204"/>
        <v>1.9885868145845922</v>
      </c>
      <c r="BK151" s="767">
        <f t="shared" si="204"/>
        <v>1.9881893368666599</v>
      </c>
      <c r="BL151" s="767">
        <f t="shared" si="204"/>
        <v>1.9874885623090532</v>
      </c>
      <c r="BM151" s="767">
        <f t="shared" si="204"/>
        <v>1.9873353771382576</v>
      </c>
      <c r="BN151" s="767">
        <f t="shared" si="204"/>
        <v>1.98717878541361</v>
      </c>
      <c r="BO151" s="782">
        <f t="shared" si="204"/>
        <v>1.9867187345279074</v>
      </c>
      <c r="BP151" s="781">
        <f t="shared" si="189"/>
        <v>1.8833361541462592</v>
      </c>
      <c r="BQ151" s="767">
        <f t="shared" si="189"/>
        <v>-1000000</v>
      </c>
      <c r="BR151" s="767">
        <f t="shared" si="189"/>
        <v>-1000000</v>
      </c>
      <c r="BS151" s="767">
        <f t="shared" si="189"/>
        <v>-1000000</v>
      </c>
      <c r="BT151" s="767">
        <f t="shared" si="189"/>
        <v>-1000000</v>
      </c>
      <c r="BU151" s="767">
        <f t="shared" si="189"/>
        <v>-1000000</v>
      </c>
      <c r="BV151" s="767">
        <f t="shared" si="189"/>
        <v>-1000000</v>
      </c>
      <c r="BW151" s="767">
        <f t="shared" si="189"/>
        <v>-1000000</v>
      </c>
      <c r="BX151" s="767">
        <f t="shared" si="189"/>
        <v>-1000000</v>
      </c>
      <c r="BY151" s="767">
        <f t="shared" si="189"/>
        <v>-1000000</v>
      </c>
      <c r="BZ151" s="648">
        <f t="shared" si="151"/>
        <v>114</v>
      </c>
      <c r="CA151" s="767">
        <f t="shared" si="194"/>
        <v>1.8833361541462592</v>
      </c>
      <c r="CB151" s="767"/>
      <c r="CC151" s="767"/>
      <c r="CD151" s="767"/>
      <c r="CE151" s="767"/>
      <c r="CF151" s="767"/>
      <c r="CG151" s="767"/>
      <c r="CH151" s="767"/>
      <c r="CI151" s="767"/>
      <c r="CJ151" s="767"/>
      <c r="CK151" s="781">
        <f t="shared" si="153"/>
        <v>1.75</v>
      </c>
      <c r="CL151" s="783">
        <f t="shared" si="172"/>
        <v>1000000</v>
      </c>
    </row>
    <row r="152" spans="2:90" s="564" customFormat="1" ht="15" customHeight="1" x14ac:dyDescent="0.2">
      <c r="B152" s="647">
        <f t="shared" si="201"/>
        <v>7</v>
      </c>
      <c r="C152" s="652">
        <f>$M$12</f>
        <v>90</v>
      </c>
      <c r="D152" s="771">
        <f>$B$12</f>
        <v>1.86</v>
      </c>
      <c r="E152" s="772">
        <f t="shared" si="149"/>
        <v>12.857142857142858</v>
      </c>
      <c r="F152" s="689"/>
      <c r="G152" s="747">
        <f t="shared" si="150"/>
        <v>1.8014473666361233</v>
      </c>
      <c r="H152" s="748">
        <f t="shared" si="154"/>
        <v>3.4284108738445829E-3</v>
      </c>
      <c r="I152" s="689"/>
      <c r="J152" s="773">
        <f t="shared" si="176"/>
        <v>115</v>
      </c>
      <c r="K152" s="774">
        <f t="shared" si="155"/>
        <v>129.375</v>
      </c>
      <c r="L152" s="747">
        <f t="shared" si="202"/>
        <v>1.9517823999999999</v>
      </c>
      <c r="M152" s="751">
        <f t="shared" si="202"/>
        <v>1.899535</v>
      </c>
      <c r="N152" s="751">
        <f t="shared" si="202"/>
        <v>1.8093024999999998</v>
      </c>
      <c r="O152" s="751">
        <f t="shared" si="202"/>
        <v>1.7190699999999999</v>
      </c>
      <c r="P152" s="751">
        <f t="shared" si="202"/>
        <v>1.5457599999999996</v>
      </c>
      <c r="Q152" s="751">
        <f t="shared" si="202"/>
        <v>1.4446359999999996</v>
      </c>
      <c r="R152" s="751">
        <f t="shared" si="202"/>
        <v>1.0592199999999994</v>
      </c>
      <c r="S152" s="751">
        <f t="shared" si="202"/>
        <v>0.89055279999999892</v>
      </c>
      <c r="T152" s="752">
        <f t="shared" si="202"/>
        <v>0.64899999999999891</v>
      </c>
      <c r="U152" s="753">
        <f t="shared" si="202"/>
        <v>-0.91556000000000282</v>
      </c>
      <c r="W152" s="773">
        <f t="shared" si="157"/>
        <v>129.375</v>
      </c>
      <c r="X152" s="775">
        <f t="shared" si="203"/>
        <v>-9.819613397528168E-2</v>
      </c>
      <c r="Y152" s="776">
        <f t="shared" si="203"/>
        <v>-9.8200697864170572E-2</v>
      </c>
      <c r="Z152" s="776">
        <f t="shared" si="203"/>
        <v>-9.8208579808615012E-2</v>
      </c>
      <c r="AA152" s="776">
        <f t="shared" si="203"/>
        <v>-9.8216461753059453E-2</v>
      </c>
      <c r="AB152" s="776">
        <f t="shared" si="203"/>
        <v>-9.8231600641948344E-2</v>
      </c>
      <c r="AC152" s="776">
        <f t="shared" si="203"/>
        <v>-9.8240433975281677E-2</v>
      </c>
      <c r="AD152" s="776">
        <f t="shared" si="203"/>
        <v>-9.8274100641948345E-2</v>
      </c>
      <c r="AE152" s="776">
        <f t="shared" si="203"/>
        <v>-9.8288833975281681E-2</v>
      </c>
      <c r="AF152" s="777">
        <f t="shared" si="203"/>
        <v>-9.8309933975281677E-2</v>
      </c>
      <c r="AG152" s="778">
        <f t="shared" si="203"/>
        <v>-9.8446600641948337E-2</v>
      </c>
      <c r="AI152" s="773">
        <f t="shared" si="159"/>
        <v>129.375</v>
      </c>
      <c r="AJ152" s="747">
        <f t="shared" si="192"/>
        <v>1.8535862660247182</v>
      </c>
      <c r="AK152" s="751">
        <f t="shared" si="192"/>
        <v>1.8013343021358295</v>
      </c>
      <c r="AL152" s="751">
        <f t="shared" si="192"/>
        <v>1.7110939201913848</v>
      </c>
      <c r="AM152" s="751"/>
      <c r="AN152" s="751"/>
      <c r="AO152" s="751"/>
      <c r="AP152" s="751"/>
      <c r="AQ152" s="751"/>
      <c r="AR152" s="752"/>
      <c r="AS152" s="751"/>
      <c r="AT152" s="674">
        <f t="shared" si="160"/>
        <v>1.75</v>
      </c>
      <c r="AU152" s="712">
        <f t="shared" si="161"/>
        <v>1.8</v>
      </c>
      <c r="AV152" s="712">
        <f t="shared" si="162"/>
        <v>1.81</v>
      </c>
      <c r="AW152" s="712">
        <f t="shared" si="163"/>
        <v>1.83</v>
      </c>
      <c r="AX152" s="712">
        <f t="shared" si="164"/>
        <v>1.84</v>
      </c>
      <c r="AY152" s="712">
        <f t="shared" si="165"/>
        <v>1.86</v>
      </c>
      <c r="AZ152" s="712">
        <f t="shared" si="166"/>
        <v>1.88</v>
      </c>
      <c r="BA152" s="712">
        <f t="shared" si="167"/>
        <v>1.9</v>
      </c>
      <c r="BB152" s="712">
        <f t="shared" si="168"/>
        <v>1.92</v>
      </c>
      <c r="BC152" s="779">
        <f t="shared" si="169"/>
        <v>1000000</v>
      </c>
      <c r="BD152" s="780">
        <f t="shared" si="170"/>
        <v>1000000</v>
      </c>
      <c r="BF152" s="781">
        <f t="shared" si="204"/>
        <v>1.8654973043900032</v>
      </c>
      <c r="BG152" s="767">
        <f t="shared" si="204"/>
        <v>2.0030511291921682</v>
      </c>
      <c r="BH152" s="767">
        <f t="shared" si="204"/>
        <v>1.9921617897850707</v>
      </c>
      <c r="BI152" s="767">
        <f t="shared" si="204"/>
        <v>1.9899538209293626</v>
      </c>
      <c r="BJ152" s="767">
        <f t="shared" si="204"/>
        <v>1.9884988699358803</v>
      </c>
      <c r="BK152" s="767">
        <f t="shared" si="204"/>
        <v>1.9881101438859337</v>
      </c>
      <c r="BL152" s="767">
        <f t="shared" si="204"/>
        <v>1.9874233331749067</v>
      </c>
      <c r="BM152" s="767">
        <f t="shared" si="204"/>
        <v>1.9872728781555622</v>
      </c>
      <c r="BN152" s="767">
        <f t="shared" si="204"/>
        <v>1.9871189022506408</v>
      </c>
      <c r="BO152" s="782">
        <f t="shared" si="204"/>
        <v>1.9866648707242607</v>
      </c>
      <c r="BP152" s="781">
        <f t="shared" ref="BP152:BY157" si="205">IF($BZ152*BF$34&lt;$AB$22,BF152,-1000000)</f>
        <v>1.8654973043900032</v>
      </c>
      <c r="BQ152" s="767">
        <f t="shared" si="205"/>
        <v>-1000000</v>
      </c>
      <c r="BR152" s="767">
        <f t="shared" si="205"/>
        <v>-1000000</v>
      </c>
      <c r="BS152" s="767">
        <f t="shared" si="205"/>
        <v>-1000000</v>
      </c>
      <c r="BT152" s="767">
        <f t="shared" si="205"/>
        <v>-1000000</v>
      </c>
      <c r="BU152" s="767">
        <f t="shared" si="205"/>
        <v>-1000000</v>
      </c>
      <c r="BV152" s="767">
        <f t="shared" si="205"/>
        <v>-1000000</v>
      </c>
      <c r="BW152" s="767">
        <f t="shared" si="205"/>
        <v>-1000000</v>
      </c>
      <c r="BX152" s="767">
        <f t="shared" si="205"/>
        <v>-1000000</v>
      </c>
      <c r="BY152" s="767">
        <f t="shared" si="205"/>
        <v>-1000000</v>
      </c>
      <c r="BZ152" s="648">
        <f t="shared" si="151"/>
        <v>115</v>
      </c>
      <c r="CA152" s="767">
        <f t="shared" si="194"/>
        <v>1.8654973043900032</v>
      </c>
      <c r="CB152" s="767"/>
      <c r="CC152" s="767"/>
      <c r="CD152" s="767"/>
      <c r="CE152" s="767"/>
      <c r="CF152" s="767"/>
      <c r="CG152" s="767"/>
      <c r="CH152" s="767"/>
      <c r="CI152" s="767"/>
      <c r="CJ152" s="767"/>
      <c r="CK152" s="781">
        <f t="shared" si="153"/>
        <v>1.75</v>
      </c>
      <c r="CL152" s="783">
        <f t="shared" si="172"/>
        <v>1000000</v>
      </c>
    </row>
    <row r="153" spans="2:90" s="564" customFormat="1" ht="15" customHeight="1" x14ac:dyDescent="0.2">
      <c r="B153" s="647">
        <f t="shared" si="201"/>
        <v>7</v>
      </c>
      <c r="C153" s="652">
        <f>$M$13</f>
        <v>96.4</v>
      </c>
      <c r="D153" s="771">
        <f>$B$13</f>
        <v>1.88</v>
      </c>
      <c r="E153" s="772">
        <f t="shared" si="149"/>
        <v>13.771428571428572</v>
      </c>
      <c r="F153" s="689"/>
      <c r="G153" s="747">
        <f t="shared" si="150"/>
        <v>1.7545448274846676</v>
      </c>
      <c r="H153" s="748">
        <f t="shared" si="154"/>
        <v>1.5739000310851799E-2</v>
      </c>
      <c r="I153" s="689"/>
      <c r="J153" s="773">
        <f t="shared" si="176"/>
        <v>116</v>
      </c>
      <c r="K153" s="774">
        <f t="shared" si="155"/>
        <v>130.5</v>
      </c>
      <c r="L153" s="747">
        <f t="shared" si="202"/>
        <v>1.9197280000000001</v>
      </c>
      <c r="M153" s="751">
        <f t="shared" si="202"/>
        <v>1.85441875</v>
      </c>
      <c r="N153" s="751">
        <f t="shared" si="202"/>
        <v>1.7416281250000001</v>
      </c>
      <c r="O153" s="751">
        <f t="shared" si="202"/>
        <v>1.6288374999999999</v>
      </c>
      <c r="P153" s="751">
        <f t="shared" si="202"/>
        <v>1.4121999999999999</v>
      </c>
      <c r="Q153" s="751">
        <f t="shared" si="202"/>
        <v>1.2857949999999998</v>
      </c>
      <c r="R153" s="751">
        <f t="shared" si="202"/>
        <v>0.80402499999999999</v>
      </c>
      <c r="S153" s="751">
        <f t="shared" si="202"/>
        <v>0.5931909999999998</v>
      </c>
      <c r="T153" s="752">
        <f t="shared" si="202"/>
        <v>0.29124999999999979</v>
      </c>
      <c r="U153" s="753">
        <f t="shared" si="202"/>
        <v>-1.6644500000000009</v>
      </c>
      <c r="W153" s="773">
        <f t="shared" si="157"/>
        <v>130.5</v>
      </c>
      <c r="X153" s="775">
        <f t="shared" si="203"/>
        <v>-9.8233577298043911E-2</v>
      </c>
      <c r="Y153" s="776">
        <f t="shared" si="203"/>
        <v>-9.8238141186932804E-2</v>
      </c>
      <c r="Z153" s="776">
        <f t="shared" si="203"/>
        <v>-9.8246023131377244E-2</v>
      </c>
      <c r="AA153" s="776">
        <f t="shared" si="203"/>
        <v>-9.8253905075821685E-2</v>
      </c>
      <c r="AB153" s="776">
        <f t="shared" si="203"/>
        <v>-9.8269043964710576E-2</v>
      </c>
      <c r="AC153" s="776">
        <f t="shared" si="203"/>
        <v>-9.8277877298043909E-2</v>
      </c>
      <c r="AD153" s="776">
        <f t="shared" si="203"/>
        <v>-9.8311543964710577E-2</v>
      </c>
      <c r="AE153" s="776">
        <f t="shared" si="203"/>
        <v>-9.8326277298043913E-2</v>
      </c>
      <c r="AF153" s="777">
        <f t="shared" si="203"/>
        <v>-9.8347377298043909E-2</v>
      </c>
      <c r="AG153" s="778">
        <f t="shared" si="203"/>
        <v>-9.8484043964710569E-2</v>
      </c>
      <c r="AI153" s="773">
        <f t="shared" si="159"/>
        <v>130.5</v>
      </c>
      <c r="AJ153" s="747">
        <f>L153+X153</f>
        <v>1.8214944227019563</v>
      </c>
      <c r="AK153" s="751">
        <f>M153+Y153</f>
        <v>1.7561806088130671</v>
      </c>
      <c r="AL153" s="751"/>
      <c r="AM153" s="751"/>
      <c r="AN153" s="751"/>
      <c r="AO153" s="751"/>
      <c r="AP153" s="751"/>
      <c r="AQ153" s="751"/>
      <c r="AR153" s="752"/>
      <c r="AS153" s="751"/>
      <c r="AT153" s="674">
        <f t="shared" si="160"/>
        <v>1.75</v>
      </c>
      <c r="AU153" s="712">
        <f t="shared" si="161"/>
        <v>1.8</v>
      </c>
      <c r="AV153" s="712">
        <f t="shared" si="162"/>
        <v>1.81</v>
      </c>
      <c r="AW153" s="712">
        <f t="shared" si="163"/>
        <v>1.83</v>
      </c>
      <c r="AX153" s="712">
        <f t="shared" si="164"/>
        <v>1.84</v>
      </c>
      <c r="AY153" s="712">
        <f t="shared" si="165"/>
        <v>1.86</v>
      </c>
      <c r="AZ153" s="712">
        <f t="shared" si="166"/>
        <v>1.88</v>
      </c>
      <c r="BA153" s="712">
        <f t="shared" si="167"/>
        <v>1.9</v>
      </c>
      <c r="BB153" s="712">
        <f t="shared" si="168"/>
        <v>1.92</v>
      </c>
      <c r="BC153" s="779">
        <f t="shared" si="169"/>
        <v>1000000</v>
      </c>
      <c r="BD153" s="780">
        <f t="shared" si="170"/>
        <v>1000000</v>
      </c>
      <c r="BF153" s="781">
        <f t="shared" si="204"/>
        <v>1.8398122593104209</v>
      </c>
      <c r="BG153" s="767">
        <f t="shared" si="204"/>
        <v>2.0023238551126106</v>
      </c>
      <c r="BH153" s="767">
        <f t="shared" si="204"/>
        <v>1.9919728962870777</v>
      </c>
      <c r="BI153" s="767">
        <f t="shared" si="204"/>
        <v>1.9898319095073083</v>
      </c>
      <c r="BJ153" s="767">
        <f t="shared" si="204"/>
        <v>1.9884129453449992</v>
      </c>
      <c r="BK153" s="767">
        <f t="shared" si="204"/>
        <v>1.9880326785822673</v>
      </c>
      <c r="BL153" s="767">
        <f t="shared" si="204"/>
        <v>1.9873593975020933</v>
      </c>
      <c r="BM153" s="767">
        <f t="shared" si="204"/>
        <v>1.9872115926659715</v>
      </c>
      <c r="BN153" s="767">
        <f t="shared" si="204"/>
        <v>1.987060157550846</v>
      </c>
      <c r="BO153" s="782">
        <f t="shared" si="204"/>
        <v>1.9866119788338621</v>
      </c>
      <c r="BP153" s="781">
        <f t="shared" si="205"/>
        <v>1.8398122593104209</v>
      </c>
      <c r="BQ153" s="767">
        <f t="shared" si="205"/>
        <v>-1000000</v>
      </c>
      <c r="BR153" s="767">
        <f t="shared" si="205"/>
        <v>-1000000</v>
      </c>
      <c r="BS153" s="767">
        <f t="shared" si="205"/>
        <v>-1000000</v>
      </c>
      <c r="BT153" s="767">
        <f t="shared" si="205"/>
        <v>-1000000</v>
      </c>
      <c r="BU153" s="767">
        <f t="shared" si="205"/>
        <v>-1000000</v>
      </c>
      <c r="BV153" s="767">
        <f t="shared" si="205"/>
        <v>-1000000</v>
      </c>
      <c r="BW153" s="767">
        <f t="shared" si="205"/>
        <v>-1000000</v>
      </c>
      <c r="BX153" s="767">
        <f t="shared" si="205"/>
        <v>-1000000</v>
      </c>
      <c r="BY153" s="767">
        <f t="shared" si="205"/>
        <v>-1000000</v>
      </c>
      <c r="BZ153" s="648">
        <f t="shared" si="151"/>
        <v>116</v>
      </c>
      <c r="CA153" s="767">
        <f t="shared" si="194"/>
        <v>1.8398122593104209</v>
      </c>
      <c r="CB153" s="767"/>
      <c r="CC153" s="767"/>
      <c r="CD153" s="767"/>
      <c r="CE153" s="767"/>
      <c r="CF153" s="767"/>
      <c r="CG153" s="767"/>
      <c r="CH153" s="767"/>
      <c r="CI153" s="767"/>
      <c r="CJ153" s="767"/>
      <c r="CK153" s="781">
        <f t="shared" si="153"/>
        <v>1.75</v>
      </c>
      <c r="CL153" s="783">
        <f t="shared" si="172"/>
        <v>1000000</v>
      </c>
    </row>
    <row r="154" spans="2:90" s="564" customFormat="1" ht="15" customHeight="1" x14ac:dyDescent="0.2">
      <c r="B154" s="647">
        <f t="shared" si="201"/>
        <v>7</v>
      </c>
      <c r="C154" s="652">
        <f>$M$14</f>
        <v>82</v>
      </c>
      <c r="D154" s="771">
        <f>$B$14</f>
        <v>1.9</v>
      </c>
      <c r="E154" s="772">
        <f t="shared" si="149"/>
        <v>11.714285714285714</v>
      </c>
      <c r="F154" s="689"/>
      <c r="G154" s="747">
        <f t="shared" si="150"/>
        <v>1.8450884056593186</v>
      </c>
      <c r="H154" s="748">
        <f t="shared" si="154"/>
        <v>3.0152831930355391E-3</v>
      </c>
      <c r="I154" s="689"/>
      <c r="J154" s="773">
        <f t="shared" si="176"/>
        <v>117</v>
      </c>
      <c r="K154" s="774">
        <f t="shared" si="155"/>
        <v>131.625</v>
      </c>
      <c r="L154" s="747">
        <f t="shared" si="202"/>
        <v>1.8663040000000002</v>
      </c>
      <c r="M154" s="751">
        <f t="shared" si="202"/>
        <v>1.7792250000000003</v>
      </c>
      <c r="N154" s="751">
        <f t="shared" si="202"/>
        <v>1.6288375000000004</v>
      </c>
      <c r="O154" s="751">
        <f t="shared" si="202"/>
        <v>1.4784500000000005</v>
      </c>
      <c r="P154" s="751">
        <f t="shared" si="202"/>
        <v>1.1896000000000009</v>
      </c>
      <c r="Q154" s="751">
        <f t="shared" si="202"/>
        <v>1.021060000000001</v>
      </c>
      <c r="R154" s="751">
        <f t="shared" si="202"/>
        <v>0.37870000000000181</v>
      </c>
      <c r="S154" s="751">
        <f t="shared" si="202"/>
        <v>9.7588000000001784E-2</v>
      </c>
      <c r="T154" s="752">
        <f t="shared" si="202"/>
        <v>-0.3049999999999975</v>
      </c>
      <c r="U154" s="753">
        <f t="shared" si="202"/>
        <v>-2.9125999999999959</v>
      </c>
      <c r="W154" s="773">
        <f t="shared" si="157"/>
        <v>131.625</v>
      </c>
      <c r="X154" s="775">
        <f t="shared" si="203"/>
        <v>-9.8269154037314455E-2</v>
      </c>
      <c r="Y154" s="776">
        <f t="shared" si="203"/>
        <v>-9.8273717926203347E-2</v>
      </c>
      <c r="Z154" s="776">
        <f t="shared" si="203"/>
        <v>-9.8281599870647787E-2</v>
      </c>
      <c r="AA154" s="776">
        <f t="shared" si="203"/>
        <v>-9.8289481815092228E-2</v>
      </c>
      <c r="AB154" s="776">
        <f t="shared" si="203"/>
        <v>-9.8304620703981119E-2</v>
      </c>
      <c r="AC154" s="776">
        <f t="shared" si="203"/>
        <v>-9.8313454037314452E-2</v>
      </c>
      <c r="AD154" s="776">
        <f t="shared" si="203"/>
        <v>-9.834712070398112E-2</v>
      </c>
      <c r="AE154" s="776">
        <f t="shared" si="203"/>
        <v>-9.8361854037314456E-2</v>
      </c>
      <c r="AF154" s="777">
        <f t="shared" si="203"/>
        <v>-9.8382954037314452E-2</v>
      </c>
      <c r="AG154" s="778">
        <f t="shared" si="203"/>
        <v>-9.8519620703981112E-2</v>
      </c>
      <c r="AI154" s="773">
        <f t="shared" si="159"/>
        <v>131.625</v>
      </c>
      <c r="AJ154" s="747">
        <f>L154+X154</f>
        <v>1.7680348459626858</v>
      </c>
      <c r="AK154" s="751">
        <f>M154+Y154</f>
        <v>1.6809512820737968</v>
      </c>
      <c r="AL154" s="751"/>
      <c r="AM154" s="751"/>
      <c r="AN154" s="751"/>
      <c r="AO154" s="751"/>
      <c r="AP154" s="751"/>
      <c r="AQ154" s="751"/>
      <c r="AR154" s="752"/>
      <c r="AS154" s="751"/>
      <c r="AT154" s="674">
        <f t="shared" si="160"/>
        <v>1.75</v>
      </c>
      <c r="AU154" s="712">
        <f t="shared" si="161"/>
        <v>1.8</v>
      </c>
      <c r="AV154" s="712">
        <f t="shared" si="162"/>
        <v>1.81</v>
      </c>
      <c r="AW154" s="712">
        <f t="shared" si="163"/>
        <v>1.83</v>
      </c>
      <c r="AX154" s="712">
        <f t="shared" si="164"/>
        <v>1.84</v>
      </c>
      <c r="AY154" s="712">
        <f t="shared" si="165"/>
        <v>1.86</v>
      </c>
      <c r="AZ154" s="712">
        <f t="shared" si="166"/>
        <v>1.88</v>
      </c>
      <c r="BA154" s="712">
        <f t="shared" si="167"/>
        <v>1.9</v>
      </c>
      <c r="BB154" s="712">
        <f t="shared" si="168"/>
        <v>1.92</v>
      </c>
      <c r="BC154" s="779">
        <f t="shared" si="169"/>
        <v>1000000</v>
      </c>
      <c r="BD154" s="780">
        <f t="shared" si="170"/>
        <v>1000000</v>
      </c>
      <c r="BF154" s="781">
        <f t="shared" si="204"/>
        <v>1.799621846030504</v>
      </c>
      <c r="BG154" s="767">
        <f t="shared" si="204"/>
        <v>2.0016429878506528</v>
      </c>
      <c r="BH154" s="767">
        <f t="shared" si="204"/>
        <v>1.9917903170096554</v>
      </c>
      <c r="BI154" s="767">
        <f t="shared" si="204"/>
        <v>1.9897132852323449</v>
      </c>
      <c r="BJ154" s="767">
        <f t="shared" si="204"/>
        <v>1.9883289720021446</v>
      </c>
      <c r="BK154" s="767">
        <f t="shared" si="204"/>
        <v>1.9879568850291058</v>
      </c>
      <c r="BL154" s="767">
        <f t="shared" si="204"/>
        <v>1.9872967171952756</v>
      </c>
      <c r="BM154" s="767">
        <f t="shared" si="204"/>
        <v>1.9871514856671444</v>
      </c>
      <c r="BN154" s="767">
        <f t="shared" si="204"/>
        <v>1.9870025191542486</v>
      </c>
      <c r="BO154" s="782">
        <f t="shared" si="204"/>
        <v>1.9865600327862551</v>
      </c>
      <c r="BP154" s="781">
        <f t="shared" si="205"/>
        <v>1.799621846030504</v>
      </c>
      <c r="BQ154" s="767">
        <f t="shared" si="205"/>
        <v>-1000000</v>
      </c>
      <c r="BR154" s="767">
        <f t="shared" si="205"/>
        <v>-1000000</v>
      </c>
      <c r="BS154" s="767">
        <f t="shared" si="205"/>
        <v>-1000000</v>
      </c>
      <c r="BT154" s="767">
        <f t="shared" si="205"/>
        <v>-1000000</v>
      </c>
      <c r="BU154" s="767">
        <f t="shared" si="205"/>
        <v>-1000000</v>
      </c>
      <c r="BV154" s="767">
        <f t="shared" si="205"/>
        <v>-1000000</v>
      </c>
      <c r="BW154" s="767">
        <f t="shared" si="205"/>
        <v>-1000000</v>
      </c>
      <c r="BX154" s="767">
        <f t="shared" si="205"/>
        <v>-1000000</v>
      </c>
      <c r="BY154" s="767">
        <f t="shared" si="205"/>
        <v>-1000000</v>
      </c>
      <c r="BZ154" s="648">
        <f t="shared" si="151"/>
        <v>117</v>
      </c>
      <c r="CA154" s="767">
        <f t="shared" si="194"/>
        <v>1.799621846030504</v>
      </c>
      <c r="CB154" s="767"/>
      <c r="CC154" s="767"/>
      <c r="CD154" s="767"/>
      <c r="CE154" s="767"/>
      <c r="CF154" s="767"/>
      <c r="CG154" s="767"/>
      <c r="CH154" s="767"/>
      <c r="CI154" s="767"/>
      <c r="CJ154" s="767"/>
      <c r="CK154" s="781">
        <f t="shared" si="153"/>
        <v>1.75</v>
      </c>
      <c r="CL154" s="783">
        <f t="shared" si="172"/>
        <v>1000000</v>
      </c>
    </row>
    <row r="155" spans="2:90" s="564" customFormat="1" ht="15" customHeight="1" x14ac:dyDescent="0.2">
      <c r="B155" s="647">
        <f t="shared" si="201"/>
        <v>7</v>
      </c>
      <c r="C155" s="652">
        <f>$M$15</f>
        <v>77</v>
      </c>
      <c r="D155" s="771">
        <f>$B$15</f>
        <v>1.92</v>
      </c>
      <c r="E155" s="772">
        <f t="shared" si="149"/>
        <v>11</v>
      </c>
      <c r="F155" s="689"/>
      <c r="G155" s="747">
        <f t="shared" si="150"/>
        <v>1.8669466762773792</v>
      </c>
      <c r="H155" s="748">
        <f t="shared" si="154"/>
        <v>2.814655158017191E-3</v>
      </c>
      <c r="I155" s="689"/>
      <c r="J155" s="773">
        <f t="shared" si="176"/>
        <v>118</v>
      </c>
      <c r="K155" s="774">
        <f t="shared" si="155"/>
        <v>132.75</v>
      </c>
      <c r="L155" s="747">
        <f t="shared" si="202"/>
        <v>1.759456000000001</v>
      </c>
      <c r="M155" s="751">
        <f t="shared" si="202"/>
        <v>1.6288375000000015</v>
      </c>
      <c r="N155" s="751">
        <f t="shared" si="202"/>
        <v>1.4032562500000021</v>
      </c>
      <c r="O155" s="751">
        <f t="shared" si="202"/>
        <v>1.1776750000000029</v>
      </c>
      <c r="P155" s="751">
        <f t="shared" si="202"/>
        <v>0.74440000000000417</v>
      </c>
      <c r="Q155" s="751">
        <f t="shared" si="202"/>
        <v>0.49159000000000508</v>
      </c>
      <c r="R155" s="751">
        <f t="shared" si="202"/>
        <v>-0.47194999999999165</v>
      </c>
      <c r="S155" s="751">
        <f t="shared" si="202"/>
        <v>-0.8936179999999907</v>
      </c>
      <c r="T155" s="752">
        <f t="shared" si="202"/>
        <v>-1.4974999999999885</v>
      </c>
      <c r="U155" s="753">
        <f t="shared" si="202"/>
        <v>-5.4088999999999769</v>
      </c>
      <c r="W155" s="773">
        <f t="shared" si="157"/>
        <v>132.75</v>
      </c>
      <c r="X155" s="775">
        <f t="shared" si="203"/>
        <v>-9.8302957243967842E-2</v>
      </c>
      <c r="Y155" s="776">
        <f t="shared" si="203"/>
        <v>-9.8307521132856734E-2</v>
      </c>
      <c r="Z155" s="776">
        <f t="shared" si="203"/>
        <v>-9.8315403077301175E-2</v>
      </c>
      <c r="AA155" s="776">
        <f t="shared" si="203"/>
        <v>-9.8323285021745616E-2</v>
      </c>
      <c r="AB155" s="776">
        <f t="shared" si="203"/>
        <v>-9.8338423910634506E-2</v>
      </c>
      <c r="AC155" s="776">
        <f t="shared" si="203"/>
        <v>-9.8347257243967839E-2</v>
      </c>
      <c r="AD155" s="776">
        <f t="shared" si="203"/>
        <v>-9.8380923910634507E-2</v>
      </c>
      <c r="AE155" s="776">
        <f t="shared" si="203"/>
        <v>-9.8395657243967843E-2</v>
      </c>
      <c r="AF155" s="777">
        <f t="shared" si="203"/>
        <v>-9.841675724396784E-2</v>
      </c>
      <c r="AG155" s="778">
        <f t="shared" si="203"/>
        <v>-9.8553423910634499E-2</v>
      </c>
      <c r="AI155" s="773">
        <f t="shared" si="159"/>
        <v>132.75</v>
      </c>
      <c r="AJ155" s="747">
        <f>L155+X155</f>
        <v>1.6611530427560333</v>
      </c>
      <c r="AK155" s="751"/>
      <c r="AL155" s="751"/>
      <c r="AM155" s="751"/>
      <c r="AN155" s="751"/>
      <c r="AO155" s="751"/>
      <c r="AP155" s="751"/>
      <c r="AQ155" s="751"/>
      <c r="AR155" s="752"/>
      <c r="AS155" s="751"/>
      <c r="AT155" s="674">
        <f t="shared" si="160"/>
        <v>1.75</v>
      </c>
      <c r="AU155" s="712">
        <f t="shared" si="161"/>
        <v>1.8</v>
      </c>
      <c r="AV155" s="712">
        <f t="shared" si="162"/>
        <v>1.81</v>
      </c>
      <c r="AW155" s="712">
        <f t="shared" si="163"/>
        <v>1.83</v>
      </c>
      <c r="AX155" s="712">
        <f t="shared" si="164"/>
        <v>1.84</v>
      </c>
      <c r="AY155" s="712">
        <f t="shared" si="165"/>
        <v>1.86</v>
      </c>
      <c r="AZ155" s="712">
        <f t="shared" si="166"/>
        <v>1.88</v>
      </c>
      <c r="BA155" s="712">
        <f t="shared" si="167"/>
        <v>1.9</v>
      </c>
      <c r="BB155" s="712">
        <f t="shared" si="168"/>
        <v>1.92</v>
      </c>
      <c r="BC155" s="779">
        <f t="shared" si="169"/>
        <v>1000000</v>
      </c>
      <c r="BD155" s="780">
        <f t="shared" si="170"/>
        <v>1000000</v>
      </c>
      <c r="BF155" s="781">
        <f t="shared" si="204"/>
        <v>1.7277624423506182</v>
      </c>
      <c r="BG155" s="767">
        <f t="shared" si="204"/>
        <v>2.0010042333227784</v>
      </c>
      <c r="BH155" s="767">
        <f t="shared" si="204"/>
        <v>1.9916137403155516</v>
      </c>
      <c r="BI155" s="767">
        <f t="shared" si="204"/>
        <v>1.9895978169032389</v>
      </c>
      <c r="BJ155" s="767">
        <f t="shared" si="204"/>
        <v>1.9882468841876157</v>
      </c>
      <c r="BK155" s="767">
        <f t="shared" si="204"/>
        <v>1.9878827096879879</v>
      </c>
      <c r="BL155" s="767">
        <f t="shared" si="204"/>
        <v>1.9872352556405615</v>
      </c>
      <c r="BM155" s="767">
        <f t="shared" si="204"/>
        <v>1.987092523490076</v>
      </c>
      <c r="BN155" s="767">
        <f t="shared" si="204"/>
        <v>1.9869459561008715</v>
      </c>
      <c r="BO155" s="782">
        <f t="shared" si="204"/>
        <v>1.9865090074351348</v>
      </c>
      <c r="BP155" s="781">
        <f t="shared" si="205"/>
        <v>1.7277624423506182</v>
      </c>
      <c r="BQ155" s="767">
        <f t="shared" si="205"/>
        <v>-1000000</v>
      </c>
      <c r="BR155" s="767">
        <f t="shared" si="205"/>
        <v>-1000000</v>
      </c>
      <c r="BS155" s="767">
        <f t="shared" si="205"/>
        <v>-1000000</v>
      </c>
      <c r="BT155" s="767">
        <f t="shared" si="205"/>
        <v>-1000000</v>
      </c>
      <c r="BU155" s="767">
        <f t="shared" si="205"/>
        <v>-1000000</v>
      </c>
      <c r="BV155" s="767">
        <f t="shared" si="205"/>
        <v>-1000000</v>
      </c>
      <c r="BW155" s="767">
        <f t="shared" si="205"/>
        <v>-1000000</v>
      </c>
      <c r="BX155" s="767">
        <f t="shared" si="205"/>
        <v>-1000000</v>
      </c>
      <c r="BY155" s="767">
        <f t="shared" si="205"/>
        <v>-1000000</v>
      </c>
      <c r="BZ155" s="648">
        <f t="shared" si="151"/>
        <v>118</v>
      </c>
      <c r="CA155" s="767">
        <f t="shared" si="194"/>
        <v>1.7277624423506182</v>
      </c>
      <c r="CB155" s="767"/>
      <c r="CC155" s="767"/>
      <c r="CD155" s="767"/>
      <c r="CE155" s="767"/>
      <c r="CF155" s="767"/>
      <c r="CG155" s="767"/>
      <c r="CH155" s="767"/>
      <c r="CI155" s="767"/>
      <c r="CJ155" s="767"/>
      <c r="CK155" s="781">
        <f t="shared" si="153"/>
        <v>1.75</v>
      </c>
      <c r="CL155" s="783">
        <f t="shared" si="172"/>
        <v>1000000</v>
      </c>
    </row>
    <row r="156" spans="2:90" s="564" customFormat="1" ht="15" customHeight="1" x14ac:dyDescent="0.2">
      <c r="B156" s="682">
        <f t="shared" si="201"/>
        <v>7</v>
      </c>
      <c r="C156" s="704">
        <f>$M$16</f>
        <v>73</v>
      </c>
      <c r="D156" s="807">
        <f>$B$16</f>
        <v>1.94</v>
      </c>
      <c r="E156" s="790">
        <f t="shared" si="149"/>
        <v>10.428571428571429</v>
      </c>
      <c r="F156" s="689"/>
      <c r="G156" s="747">
        <f t="shared" si="150"/>
        <v>1.8823859969214032</v>
      </c>
      <c r="H156" s="748">
        <f t="shared" si="154"/>
        <v>3.3193733507405577E-3</v>
      </c>
      <c r="I156" s="689"/>
      <c r="J156" s="773">
        <f t="shared" si="176"/>
        <v>119</v>
      </c>
      <c r="K156" s="774">
        <f t="shared" si="155"/>
        <v>133.875</v>
      </c>
      <c r="L156" s="747">
        <f t="shared" si="202"/>
        <v>1.4389119999999977</v>
      </c>
      <c r="M156" s="751">
        <f t="shared" si="202"/>
        <v>1.1776749999999969</v>
      </c>
      <c r="N156" s="751">
        <f t="shared" si="202"/>
        <v>0.72651249999999523</v>
      </c>
      <c r="O156" s="751">
        <f t="shared" si="202"/>
        <v>0.27534999999999377</v>
      </c>
      <c r="P156" s="751">
        <f t="shared" si="202"/>
        <v>-0.5912000000000095</v>
      </c>
      <c r="Q156" s="751">
        <f t="shared" si="202"/>
        <v>-1.0968200000000112</v>
      </c>
      <c r="R156" s="751">
        <f t="shared" si="202"/>
        <v>-3.0239000000000171</v>
      </c>
      <c r="S156" s="751">
        <f t="shared" si="202"/>
        <v>-3.8672360000000214</v>
      </c>
      <c r="T156" s="752">
        <f t="shared" si="202"/>
        <v>-5.075000000000025</v>
      </c>
      <c r="U156" s="753">
        <f t="shared" si="202"/>
        <v>-12.897800000000053</v>
      </c>
      <c r="W156" s="773">
        <f t="shared" si="157"/>
        <v>133.875</v>
      </c>
      <c r="X156" s="775">
        <f t="shared" si="203"/>
        <v>-9.8335075330208466E-2</v>
      </c>
      <c r="Y156" s="776">
        <f t="shared" si="203"/>
        <v>-9.8339639219097358E-2</v>
      </c>
      <c r="Z156" s="776">
        <f t="shared" si="203"/>
        <v>-9.8347521163541798E-2</v>
      </c>
      <c r="AA156" s="776">
        <f t="shared" si="203"/>
        <v>-9.8355403107986239E-2</v>
      </c>
      <c r="AB156" s="776">
        <f t="shared" si="203"/>
        <v>-9.837054199687513E-2</v>
      </c>
      <c r="AC156" s="776">
        <f t="shared" si="203"/>
        <v>-9.8379375330208463E-2</v>
      </c>
      <c r="AD156" s="776">
        <f t="shared" si="203"/>
        <v>-9.8413041996875131E-2</v>
      </c>
      <c r="AE156" s="776">
        <f t="shared" si="203"/>
        <v>-9.8427775330208467E-2</v>
      </c>
      <c r="AF156" s="777">
        <f t="shared" si="203"/>
        <v>-9.8448875330208463E-2</v>
      </c>
      <c r="AG156" s="778">
        <f t="shared" si="203"/>
        <v>-9.8585541996875123E-2</v>
      </c>
      <c r="AI156" s="773">
        <f t="shared" si="159"/>
        <v>133.875</v>
      </c>
      <c r="AJ156" s="747"/>
      <c r="AK156" s="751"/>
      <c r="AL156" s="751"/>
      <c r="AM156" s="751"/>
      <c r="AN156" s="751"/>
      <c r="AO156" s="751"/>
      <c r="AP156" s="751"/>
      <c r="AQ156" s="751"/>
      <c r="AR156" s="752"/>
      <c r="AS156" s="751"/>
      <c r="AT156" s="674">
        <f t="shared" si="160"/>
        <v>1.75</v>
      </c>
      <c r="AU156" s="712">
        <f t="shared" si="161"/>
        <v>1.8</v>
      </c>
      <c r="AV156" s="712">
        <f t="shared" si="162"/>
        <v>1.81</v>
      </c>
      <c r="AW156" s="712">
        <f t="shared" si="163"/>
        <v>1.83</v>
      </c>
      <c r="AX156" s="712">
        <f t="shared" si="164"/>
        <v>1.84</v>
      </c>
      <c r="AY156" s="712">
        <f t="shared" si="165"/>
        <v>1.86</v>
      </c>
      <c r="AZ156" s="712">
        <f t="shared" si="166"/>
        <v>1.88</v>
      </c>
      <c r="BA156" s="712">
        <f t="shared" si="167"/>
        <v>1.9</v>
      </c>
      <c r="BB156" s="712">
        <f t="shared" si="168"/>
        <v>1.92</v>
      </c>
      <c r="BC156" s="779">
        <f t="shared" si="169"/>
        <v>1000000</v>
      </c>
      <c r="BD156" s="780">
        <f t="shared" si="170"/>
        <v>1000000</v>
      </c>
      <c r="BF156" s="781">
        <f t="shared" si="204"/>
        <v>1.5623654277944086</v>
      </c>
      <c r="BG156" s="767">
        <f t="shared" si="204"/>
        <v>2.0004038111139999</v>
      </c>
      <c r="BH156" s="767">
        <f t="shared" si="204"/>
        <v>1.9914428747486745</v>
      </c>
      <c r="BI156" s="767">
        <f t="shared" si="204"/>
        <v>1.989485380211323</v>
      </c>
      <c r="BJ156" s="767">
        <f t="shared" si="204"/>
        <v>1.9881666191002789</v>
      </c>
      <c r="BK156" s="767">
        <f t="shared" si="204"/>
        <v>1.9878101012824247</v>
      </c>
      <c r="BL156" s="767">
        <f t="shared" si="204"/>
        <v>1.9871749776341885</v>
      </c>
      <c r="BM156" s="767">
        <f t="shared" si="204"/>
        <v>1.9870346737362106</v>
      </c>
      <c r="BN156" s="767">
        <f t="shared" si="204"/>
        <v>1.9868904385752828</v>
      </c>
      <c r="BO156" s="782">
        <f t="shared" si="204"/>
        <v>1.986458878517755</v>
      </c>
      <c r="BP156" s="781">
        <f t="shared" si="205"/>
        <v>1.5623654277944086</v>
      </c>
      <c r="BQ156" s="767">
        <f t="shared" si="205"/>
        <v>-1000000</v>
      </c>
      <c r="BR156" s="767">
        <f t="shared" si="205"/>
        <v>-1000000</v>
      </c>
      <c r="BS156" s="767">
        <f t="shared" si="205"/>
        <v>-1000000</v>
      </c>
      <c r="BT156" s="767">
        <f t="shared" si="205"/>
        <v>-1000000</v>
      </c>
      <c r="BU156" s="767">
        <f t="shared" si="205"/>
        <v>-1000000</v>
      </c>
      <c r="BV156" s="767">
        <f t="shared" si="205"/>
        <v>-1000000</v>
      </c>
      <c r="BW156" s="767">
        <f t="shared" si="205"/>
        <v>-1000000</v>
      </c>
      <c r="BX156" s="767">
        <f t="shared" si="205"/>
        <v>-1000000</v>
      </c>
      <c r="BY156" s="767">
        <f t="shared" si="205"/>
        <v>-1000000</v>
      </c>
      <c r="BZ156" s="648">
        <f t="shared" si="151"/>
        <v>119</v>
      </c>
      <c r="CA156" s="767"/>
      <c r="CB156" s="767"/>
      <c r="CC156" s="767"/>
      <c r="CD156" s="767"/>
      <c r="CE156" s="767"/>
      <c r="CF156" s="767"/>
      <c r="CG156" s="767"/>
      <c r="CH156" s="767"/>
      <c r="CI156" s="767"/>
      <c r="CJ156" s="767"/>
      <c r="CK156" s="781">
        <f t="shared" si="153"/>
        <v>1.75</v>
      </c>
      <c r="CL156" s="783">
        <f t="shared" si="172"/>
        <v>1000000</v>
      </c>
    </row>
    <row r="157" spans="2:90" s="564" customFormat="1" ht="15" customHeight="1" x14ac:dyDescent="0.2">
      <c r="B157" s="626">
        <f t="shared" ref="B157:B167" si="206">$N$4</f>
        <v>6</v>
      </c>
      <c r="C157" s="631">
        <f>$N$6</f>
        <v>94</v>
      </c>
      <c r="D157" s="744">
        <f>$B$6</f>
        <v>1.75</v>
      </c>
      <c r="E157" s="745">
        <f t="shared" si="149"/>
        <v>15.666666666666666</v>
      </c>
      <c r="F157" s="689"/>
      <c r="G157" s="747">
        <f t="shared" si="150"/>
        <v>1.7385950623052462</v>
      </c>
      <c r="H157" s="748">
        <f t="shared" si="154"/>
        <v>1.3007260382121643E-4</v>
      </c>
      <c r="I157" s="689"/>
      <c r="J157" s="842">
        <f t="shared" si="176"/>
        <v>120</v>
      </c>
      <c r="K157" s="843">
        <f t="shared" si="155"/>
        <v>135</v>
      </c>
      <c r="L157" s="844" t="e">
        <f t="shared" si="202"/>
        <v>#DIV/0!</v>
      </c>
      <c r="M157" s="845" t="e">
        <f t="shared" si="202"/>
        <v>#DIV/0!</v>
      </c>
      <c r="N157" s="845" t="e">
        <f t="shared" si="202"/>
        <v>#DIV/0!</v>
      </c>
      <c r="O157" s="845" t="e">
        <f t="shared" si="202"/>
        <v>#DIV/0!</v>
      </c>
      <c r="P157" s="845" t="e">
        <f t="shared" si="202"/>
        <v>#DIV/0!</v>
      </c>
      <c r="Q157" s="845" t="e">
        <f t="shared" si="202"/>
        <v>#DIV/0!</v>
      </c>
      <c r="R157" s="845" t="e">
        <f t="shared" si="202"/>
        <v>#DIV/0!</v>
      </c>
      <c r="S157" s="845" t="e">
        <f t="shared" si="202"/>
        <v>#DIV/0!</v>
      </c>
      <c r="T157" s="845" t="e">
        <f t="shared" si="202"/>
        <v>#DIV/0!</v>
      </c>
      <c r="U157" s="846" t="e">
        <f t="shared" si="202"/>
        <v>#DIV/0!</v>
      </c>
      <c r="W157" s="842">
        <f t="shared" si="157"/>
        <v>135</v>
      </c>
      <c r="X157" s="847">
        <f t="shared" si="203"/>
        <v>-9.836559230081246E-2</v>
      </c>
      <c r="Y157" s="848">
        <f t="shared" si="203"/>
        <v>-9.8370156189701352E-2</v>
      </c>
      <c r="Z157" s="848">
        <f t="shared" si="203"/>
        <v>-9.8378038134145793E-2</v>
      </c>
      <c r="AA157" s="848">
        <f t="shared" si="203"/>
        <v>-9.8385920078590233E-2</v>
      </c>
      <c r="AB157" s="848">
        <f t="shared" si="203"/>
        <v>-9.8401058967479124E-2</v>
      </c>
      <c r="AC157" s="848">
        <f t="shared" si="203"/>
        <v>-9.8409892300812457E-2</v>
      </c>
      <c r="AD157" s="848">
        <f t="shared" si="203"/>
        <v>-9.8443558967479125E-2</v>
      </c>
      <c r="AE157" s="848">
        <f t="shared" si="203"/>
        <v>-9.8458292300812461E-2</v>
      </c>
      <c r="AF157" s="849">
        <f t="shared" si="203"/>
        <v>-9.8479392300812457E-2</v>
      </c>
      <c r="AG157" s="850">
        <f t="shared" si="203"/>
        <v>-9.8616058967479117E-2</v>
      </c>
      <c r="AI157" s="842">
        <f t="shared" si="159"/>
        <v>135</v>
      </c>
      <c r="AJ157" s="844"/>
      <c r="AK157" s="845"/>
      <c r="AL157" s="845"/>
      <c r="AM157" s="845"/>
      <c r="AN157" s="845"/>
      <c r="AO157" s="845"/>
      <c r="AP157" s="845"/>
      <c r="AQ157" s="845"/>
      <c r="AR157" s="851"/>
      <c r="AS157" s="846"/>
      <c r="AT157" s="702">
        <f t="shared" si="160"/>
        <v>1.75</v>
      </c>
      <c r="AU157" s="852">
        <f t="shared" si="161"/>
        <v>1.8</v>
      </c>
      <c r="AV157" s="852">
        <f t="shared" si="162"/>
        <v>1.81</v>
      </c>
      <c r="AW157" s="852">
        <f t="shared" si="163"/>
        <v>1.83</v>
      </c>
      <c r="AX157" s="852">
        <f t="shared" si="164"/>
        <v>1.84</v>
      </c>
      <c r="AY157" s="852">
        <f t="shared" si="165"/>
        <v>1.86</v>
      </c>
      <c r="AZ157" s="852">
        <f t="shared" si="166"/>
        <v>1.88</v>
      </c>
      <c r="BA157" s="852">
        <f t="shared" si="167"/>
        <v>1.9</v>
      </c>
      <c r="BB157" s="852">
        <f t="shared" si="168"/>
        <v>1.92</v>
      </c>
      <c r="BC157" s="853">
        <f t="shared" si="169"/>
        <v>0</v>
      </c>
      <c r="BD157" s="854">
        <f t="shared" si="170"/>
        <v>1000000</v>
      </c>
      <c r="BF157" s="855">
        <f t="shared" si="204"/>
        <v>0.77961048911811681</v>
      </c>
      <c r="BG157" s="856">
        <f t="shared" si="204"/>
        <v>1.999838379856371</v>
      </c>
      <c r="BH157" s="856">
        <f t="shared" si="204"/>
        <v>1.9912774474272681</v>
      </c>
      <c r="BI157" s="856">
        <f t="shared" si="204"/>
        <v>1.989375857293564</v>
      </c>
      <c r="BJ157" s="856">
        <f t="shared" si="204"/>
        <v>1.9880881166973303</v>
      </c>
      <c r="BK157" s="856">
        <f t="shared" si="204"/>
        <v>1.9877390106796915</v>
      </c>
      <c r="BL157" s="856">
        <f t="shared" si="204"/>
        <v>1.9871158493152807</v>
      </c>
      <c r="BM157" s="856">
        <f t="shared" si="204"/>
        <v>1.9869779052180754</v>
      </c>
      <c r="BN157" s="856">
        <f t="shared" si="204"/>
        <v>1.9868359378541924</v>
      </c>
      <c r="BO157" s="857">
        <f t="shared" si="204"/>
        <v>1.9864096226164631</v>
      </c>
      <c r="BP157" s="855">
        <f t="shared" si="205"/>
        <v>0.77961048911811681</v>
      </c>
      <c r="BQ157" s="856">
        <f t="shared" si="205"/>
        <v>-1000000</v>
      </c>
      <c r="BR157" s="856">
        <f t="shared" si="205"/>
        <v>-1000000</v>
      </c>
      <c r="BS157" s="856">
        <f t="shared" si="205"/>
        <v>-1000000</v>
      </c>
      <c r="BT157" s="856">
        <f t="shared" si="205"/>
        <v>-1000000</v>
      </c>
      <c r="BU157" s="856">
        <f t="shared" si="205"/>
        <v>-1000000</v>
      </c>
      <c r="BV157" s="856">
        <f t="shared" si="205"/>
        <v>-1000000</v>
      </c>
      <c r="BW157" s="856">
        <f t="shared" si="205"/>
        <v>-1000000</v>
      </c>
      <c r="BX157" s="856">
        <f t="shared" si="205"/>
        <v>-1000000</v>
      </c>
      <c r="BY157" s="856">
        <f t="shared" si="205"/>
        <v>-1000000</v>
      </c>
      <c r="BZ157" s="792">
        <f t="shared" si="151"/>
        <v>120</v>
      </c>
      <c r="CA157" s="856"/>
      <c r="CB157" s="856"/>
      <c r="CC157" s="856"/>
      <c r="CD157" s="856"/>
      <c r="CE157" s="856"/>
      <c r="CF157" s="856"/>
      <c r="CG157" s="856"/>
      <c r="CH157" s="856"/>
      <c r="CI157" s="856"/>
      <c r="CJ157" s="856"/>
      <c r="CK157" s="855">
        <f t="shared" si="153"/>
        <v>1.75</v>
      </c>
      <c r="CL157" s="858">
        <f t="shared" si="172"/>
        <v>1000000</v>
      </c>
    </row>
    <row r="158" spans="2:90" s="564" customFormat="1" ht="15" customHeight="1" x14ac:dyDescent="0.2">
      <c r="B158" s="647">
        <f t="shared" si="206"/>
        <v>6</v>
      </c>
      <c r="C158" s="652">
        <f>$N$7</f>
        <v>93</v>
      </c>
      <c r="D158" s="771">
        <f>$B$7</f>
        <v>1.78</v>
      </c>
      <c r="E158" s="772">
        <f t="shared" si="149"/>
        <v>15.5</v>
      </c>
      <c r="F158" s="689"/>
      <c r="G158" s="747">
        <f t="shared" si="150"/>
        <v>1.7471850960281743</v>
      </c>
      <c r="H158" s="748">
        <f t="shared" si="154"/>
        <v>1.0768179226801446E-3</v>
      </c>
      <c r="I158" s="689"/>
      <c r="J158" s="859"/>
      <c r="K158" s="689"/>
      <c r="L158" s="689"/>
      <c r="M158" s="689"/>
      <c r="N158" s="689"/>
      <c r="O158" s="689"/>
      <c r="P158" s="689"/>
      <c r="Q158" s="689"/>
      <c r="R158" s="689"/>
      <c r="S158" s="689"/>
      <c r="T158" s="860"/>
      <c r="U158" s="860"/>
      <c r="V158" s="860"/>
      <c r="W158" s="860"/>
      <c r="X158" s="860"/>
      <c r="Y158" s="860"/>
      <c r="Z158" s="860"/>
      <c r="AA158" s="860"/>
      <c r="AB158" s="860"/>
      <c r="AC158" s="860"/>
      <c r="AS158" s="689"/>
    </row>
    <row r="159" spans="2:90" s="564" customFormat="1" ht="15" customHeight="1" x14ac:dyDescent="0.2">
      <c r="B159" s="647">
        <f t="shared" si="206"/>
        <v>6</v>
      </c>
      <c r="C159" s="652">
        <f>$N$8</f>
        <v>92.1</v>
      </c>
      <c r="D159" s="771">
        <f>$B$8</f>
        <v>1.8</v>
      </c>
      <c r="E159" s="772">
        <f t="shared" si="149"/>
        <v>15.35</v>
      </c>
      <c r="F159" s="689"/>
      <c r="G159" s="747">
        <f t="shared" si="150"/>
        <v>1.75458766698507</v>
      </c>
      <c r="H159" s="748">
        <f t="shared" si="154"/>
        <v>2.062279989858909E-3</v>
      </c>
      <c r="I159" s="689"/>
      <c r="J159" s="859"/>
      <c r="K159" s="689"/>
      <c r="L159" s="689"/>
      <c r="M159" s="689"/>
      <c r="N159" s="689"/>
      <c r="O159" s="689"/>
      <c r="P159" s="689"/>
      <c r="Q159" s="689"/>
      <c r="R159" s="689"/>
      <c r="S159" s="689"/>
      <c r="T159" s="860"/>
      <c r="U159" s="860"/>
      <c r="V159" s="860"/>
      <c r="W159" s="860"/>
      <c r="X159" s="860"/>
      <c r="Y159" s="860"/>
      <c r="Z159" s="860"/>
      <c r="AA159" s="860"/>
      <c r="AB159" s="860"/>
      <c r="AC159" s="860"/>
      <c r="AS159" s="689"/>
    </row>
    <row r="160" spans="2:90" s="564" customFormat="1" ht="15" customHeight="1" x14ac:dyDescent="0.2">
      <c r="B160" s="647">
        <f t="shared" si="206"/>
        <v>6</v>
      </c>
      <c r="C160" s="652">
        <f>$N$9</f>
        <v>91.9</v>
      </c>
      <c r="D160" s="771">
        <f>$B$9</f>
        <v>1.81</v>
      </c>
      <c r="E160" s="772">
        <f t="shared" si="149"/>
        <v>15.316666666666668</v>
      </c>
      <c r="F160" s="689"/>
      <c r="G160" s="747">
        <f t="shared" si="150"/>
        <v>1.7561925558955009</v>
      </c>
      <c r="H160" s="748">
        <f t="shared" si="154"/>
        <v>2.8952410410587963E-3</v>
      </c>
      <c r="I160" s="689"/>
      <c r="J160" s="859"/>
      <c r="K160" s="689"/>
      <c r="L160" s="689"/>
      <c r="M160" s="689"/>
      <c r="N160" s="689"/>
      <c r="O160" s="689"/>
      <c r="P160" s="689"/>
      <c r="Q160" s="689"/>
      <c r="R160" s="689"/>
      <c r="S160" s="689"/>
      <c r="T160" s="689"/>
    </row>
    <row r="161" spans="2:147" s="564" customFormat="1" ht="15" customHeight="1" x14ac:dyDescent="0.2">
      <c r="B161" s="647">
        <f t="shared" si="206"/>
        <v>6</v>
      </c>
      <c r="C161" s="652">
        <f>$N$10</f>
        <v>90</v>
      </c>
      <c r="D161" s="771">
        <f>$B$10</f>
        <v>1.83</v>
      </c>
      <c r="E161" s="772">
        <f t="shared" si="149"/>
        <v>15</v>
      </c>
      <c r="F161" s="689"/>
      <c r="G161" s="747">
        <f t="shared" si="150"/>
        <v>1.7707616523504091</v>
      </c>
      <c r="H161" s="748">
        <f t="shared" si="154"/>
        <v>3.5091818322538055E-3</v>
      </c>
      <c r="I161" s="689"/>
      <c r="J161" s="689"/>
      <c r="K161" s="689"/>
      <c r="L161" s="689"/>
      <c r="M161" s="689"/>
      <c r="N161" s="689"/>
      <c r="O161" s="689"/>
      <c r="P161" s="689"/>
      <c r="Q161" s="689"/>
      <c r="R161" s="689"/>
      <c r="S161" s="689"/>
      <c r="T161" s="689"/>
    </row>
    <row r="162" spans="2:147" s="564" customFormat="1" ht="15" customHeight="1" x14ac:dyDescent="0.2">
      <c r="B162" s="647">
        <f t="shared" si="206"/>
        <v>6</v>
      </c>
      <c r="C162" s="652">
        <f>$N$11</f>
        <v>89</v>
      </c>
      <c r="D162" s="771">
        <f>$B$11</f>
        <v>1.84</v>
      </c>
      <c r="E162" s="772">
        <f t="shared" si="149"/>
        <v>14.833333333333334</v>
      </c>
      <c r="F162" s="689"/>
      <c r="G162" s="747">
        <f t="shared" si="150"/>
        <v>1.7779719336913611</v>
      </c>
      <c r="H162" s="748">
        <f t="shared" si="154"/>
        <v>3.8474810099889162E-3</v>
      </c>
      <c r="I162" s="689"/>
      <c r="J162" s="689"/>
      <c r="K162" s="689"/>
      <c r="L162" s="689"/>
      <c r="M162" s="689"/>
      <c r="N162" s="689"/>
      <c r="O162" s="689"/>
      <c r="P162" s="689"/>
      <c r="Q162" s="689"/>
      <c r="R162" s="689"/>
      <c r="S162" s="689"/>
      <c r="T162" s="689"/>
    </row>
    <row r="163" spans="2:147" s="564" customFormat="1" ht="15" customHeight="1" x14ac:dyDescent="0.2">
      <c r="B163" s="647">
        <f t="shared" si="206"/>
        <v>6</v>
      </c>
      <c r="C163" s="652">
        <f>$N$12</f>
        <v>88</v>
      </c>
      <c r="D163" s="771">
        <f>$B$12</f>
        <v>1.86</v>
      </c>
      <c r="E163" s="772">
        <f t="shared" si="149"/>
        <v>14.666666666666666</v>
      </c>
      <c r="F163" s="689"/>
      <c r="G163" s="747">
        <f t="shared" si="150"/>
        <v>1.7848940923912142</v>
      </c>
      <c r="H163" s="748">
        <f t="shared" si="154"/>
        <v>5.640897357739481E-3</v>
      </c>
      <c r="I163" s="689"/>
      <c r="J163" s="689"/>
      <c r="K163" s="689"/>
      <c r="L163" s="689"/>
      <c r="M163" s="689"/>
      <c r="N163" s="689"/>
      <c r="O163" s="689"/>
      <c r="P163" s="689"/>
      <c r="Q163" s="689"/>
      <c r="R163" s="689"/>
      <c r="S163" s="689"/>
      <c r="T163" s="689"/>
    </row>
    <row r="164" spans="2:147" ht="15" customHeight="1" x14ac:dyDescent="0.2">
      <c r="B164" s="647">
        <f t="shared" si="206"/>
        <v>6</v>
      </c>
      <c r="C164" s="652">
        <f>$N$13</f>
        <v>82.4</v>
      </c>
      <c r="D164" s="771">
        <f>$B$13</f>
        <v>1.88</v>
      </c>
      <c r="E164" s="772">
        <f t="shared" ref="E164:E222" si="207">C164/B164</f>
        <v>13.733333333333334</v>
      </c>
      <c r="F164" s="689"/>
      <c r="G164" s="747">
        <f t="shared" ref="G164:G222" si="208">$AB$21+$AB$28*(1-(1-EXP(-(C164)/($AB$23)))/(1-EXP(-1)))-($AD$24/(1-(C164)/($AB$22))+$AD$25)*E164</f>
        <v>1.8191513129943224</v>
      </c>
      <c r="H164" s="748">
        <f t="shared" si="154"/>
        <v>3.7025627103149023E-3</v>
      </c>
      <c r="I164" s="550"/>
      <c r="J164" s="550"/>
      <c r="K164" s="550"/>
      <c r="L164" s="550"/>
      <c r="M164" s="550"/>
      <c r="N164" s="689"/>
      <c r="O164" s="689"/>
      <c r="P164" s="689"/>
      <c r="Q164" s="689"/>
      <c r="R164" s="689"/>
      <c r="S164" s="689"/>
      <c r="T164" s="689"/>
      <c r="U164" s="564"/>
      <c r="V164" s="564"/>
      <c r="W164" s="564"/>
      <c r="X164" s="564"/>
      <c r="Y164" s="564"/>
      <c r="Z164" s="564"/>
      <c r="AA164" s="564"/>
      <c r="AB164" s="564"/>
      <c r="AC164" s="564"/>
      <c r="AD164" s="564"/>
      <c r="AE164" s="564"/>
      <c r="AF164" s="564"/>
      <c r="AG164" s="564"/>
      <c r="AH164" s="564"/>
      <c r="AI164" s="564"/>
      <c r="AJ164" s="564"/>
      <c r="AK164" s="564"/>
      <c r="AL164" s="564"/>
      <c r="AM164" s="564"/>
      <c r="AN164" s="564"/>
      <c r="AO164" s="564"/>
      <c r="AP164" s="564"/>
      <c r="AQ164" s="564"/>
      <c r="AR164" s="564"/>
      <c r="AS164" s="564"/>
      <c r="AT164" s="564"/>
      <c r="AU164" s="564"/>
      <c r="AV164" s="564"/>
      <c r="AW164" s="564"/>
      <c r="AX164" s="564"/>
      <c r="AY164" s="564"/>
      <c r="AZ164" s="564"/>
      <c r="BA164" s="564"/>
      <c r="BB164" s="564"/>
      <c r="BC164" s="564"/>
      <c r="BD164" s="564"/>
      <c r="BE164" s="564"/>
      <c r="BF164" s="564"/>
      <c r="BG164" s="564"/>
      <c r="BH164" s="564"/>
      <c r="BI164" s="564"/>
      <c r="BJ164" s="564"/>
      <c r="BK164" s="564"/>
      <c r="BL164" s="564"/>
      <c r="BM164" s="564"/>
      <c r="BN164" s="564"/>
      <c r="BO164" s="564"/>
      <c r="BP164" s="564"/>
      <c r="BQ164" s="564"/>
      <c r="BR164" s="564"/>
      <c r="BS164" s="564"/>
      <c r="BT164" s="564"/>
      <c r="BU164" s="564"/>
      <c r="BV164" s="564"/>
      <c r="BW164" s="564"/>
      <c r="BX164" s="564"/>
      <c r="BY164" s="564"/>
      <c r="BZ164" s="564"/>
      <c r="CA164" s="564"/>
      <c r="CB164" s="564"/>
      <c r="CC164" s="564"/>
      <c r="CD164" s="564"/>
      <c r="CE164" s="564"/>
      <c r="CF164" s="564"/>
      <c r="CG164" s="564"/>
      <c r="CH164" s="564"/>
      <c r="CI164" s="564"/>
      <c r="CJ164" s="564"/>
      <c r="CK164" s="564"/>
      <c r="CL164" s="564"/>
      <c r="CM164" s="564"/>
      <c r="CN164" s="564"/>
      <c r="CO164" s="564"/>
      <c r="CP164" s="564"/>
      <c r="CQ164" s="564"/>
      <c r="EN164" s="564"/>
      <c r="EO164" s="564"/>
      <c r="EP164" s="564"/>
      <c r="EQ164" s="564"/>
    </row>
    <row r="165" spans="2:147" ht="15" customHeight="1" x14ac:dyDescent="0.2">
      <c r="B165" s="647">
        <f t="shared" si="206"/>
        <v>6</v>
      </c>
      <c r="C165" s="652">
        <f>$N$14</f>
        <v>78.5</v>
      </c>
      <c r="D165" s="771">
        <f>$B$14</f>
        <v>1.9</v>
      </c>
      <c r="E165" s="772">
        <f t="shared" si="207"/>
        <v>13.083333333333334</v>
      </c>
      <c r="F165" s="689"/>
      <c r="G165" s="747">
        <f t="shared" si="208"/>
        <v>1.8394037648297865</v>
      </c>
      <c r="H165" s="748">
        <f t="shared" ref="H165:H222" si="209">(D165-G165)^2</f>
        <v>3.6719037168038071E-3</v>
      </c>
      <c r="I165" s="550"/>
      <c r="J165" s="550"/>
      <c r="K165" s="550"/>
      <c r="L165" s="550"/>
      <c r="M165" s="550"/>
      <c r="N165" s="689"/>
      <c r="O165" s="689"/>
      <c r="P165" s="689"/>
      <c r="Q165" s="689"/>
      <c r="R165" s="689"/>
      <c r="S165" s="689"/>
      <c r="T165" s="689"/>
      <c r="U165" s="564"/>
      <c r="V165" s="564"/>
      <c r="W165" s="564"/>
      <c r="X165" s="564"/>
      <c r="Y165" s="564"/>
      <c r="Z165" s="564"/>
      <c r="AA165" s="564"/>
      <c r="AB165" s="564"/>
      <c r="AC165" s="564"/>
      <c r="AD165" s="564"/>
      <c r="AE165" s="564"/>
      <c r="AF165" s="564"/>
      <c r="AG165" s="564"/>
      <c r="AH165" s="564"/>
      <c r="AI165" s="564"/>
      <c r="AJ165" s="564"/>
      <c r="AK165" s="564"/>
      <c r="AL165" s="564"/>
      <c r="AM165" s="564"/>
      <c r="AN165" s="564"/>
      <c r="AO165" s="564"/>
      <c r="AP165" s="564"/>
      <c r="AQ165" s="564"/>
      <c r="AR165" s="564"/>
      <c r="AS165" s="564"/>
      <c r="AT165" s="564"/>
      <c r="AU165" s="564"/>
      <c r="AV165" s="564"/>
      <c r="AW165" s="564"/>
      <c r="AX165" s="564"/>
      <c r="AY165" s="564"/>
      <c r="AZ165" s="564"/>
      <c r="BA165" s="564"/>
      <c r="BB165" s="564"/>
      <c r="BC165" s="564"/>
      <c r="BD165" s="564"/>
      <c r="BE165" s="564"/>
      <c r="BF165" s="564"/>
      <c r="BG165" s="564"/>
      <c r="BH165" s="564"/>
      <c r="BI165" s="564"/>
      <c r="BJ165" s="564"/>
      <c r="BK165" s="564"/>
      <c r="BL165" s="564"/>
      <c r="BM165" s="564"/>
      <c r="BN165" s="564"/>
      <c r="BO165" s="564"/>
      <c r="BP165" s="564"/>
      <c r="BQ165" s="564"/>
      <c r="BR165" s="564"/>
      <c r="BS165" s="564"/>
      <c r="BT165" s="564"/>
      <c r="BU165" s="564"/>
      <c r="BV165" s="564"/>
      <c r="BW165" s="564"/>
      <c r="BX165" s="564"/>
      <c r="BY165" s="564"/>
      <c r="BZ165" s="564"/>
      <c r="CA165" s="564"/>
      <c r="CB165" s="564"/>
      <c r="CC165" s="564"/>
      <c r="CD165" s="564"/>
      <c r="CE165" s="564"/>
      <c r="CF165" s="564"/>
      <c r="CG165" s="564"/>
      <c r="CH165" s="564"/>
      <c r="CI165" s="564"/>
      <c r="CJ165" s="564"/>
      <c r="CK165" s="564"/>
      <c r="CL165" s="564"/>
      <c r="CM165" s="564"/>
      <c r="CN165" s="564"/>
      <c r="CO165" s="564"/>
      <c r="CP165" s="564"/>
      <c r="CQ165" s="564"/>
      <c r="EN165" s="564"/>
      <c r="EO165" s="564"/>
      <c r="EP165" s="564"/>
      <c r="EQ165" s="564"/>
    </row>
    <row r="166" spans="2:147" ht="15" customHeight="1" x14ac:dyDescent="0.2">
      <c r="B166" s="647">
        <f t="shared" si="206"/>
        <v>6</v>
      </c>
      <c r="C166" s="652">
        <f>$N$15</f>
        <v>73</v>
      </c>
      <c r="D166" s="771">
        <f>$B$15</f>
        <v>1.92</v>
      </c>
      <c r="E166" s="772">
        <f t="shared" si="207"/>
        <v>12.166666666666666</v>
      </c>
      <c r="F166" s="689"/>
      <c r="G166" s="747">
        <f t="shared" si="208"/>
        <v>1.86431625421787</v>
      </c>
      <c r="H166" s="748">
        <f t="shared" si="209"/>
        <v>3.1006795443288783E-3</v>
      </c>
      <c r="I166" s="550"/>
      <c r="J166" s="550"/>
      <c r="K166" s="550"/>
      <c r="L166" s="550"/>
      <c r="M166" s="550"/>
      <c r="N166" s="689"/>
      <c r="O166" s="689"/>
      <c r="P166" s="689"/>
      <c r="Q166" s="689"/>
      <c r="R166" s="689"/>
      <c r="S166" s="689"/>
      <c r="T166" s="689"/>
      <c r="U166" s="564"/>
      <c r="V166" s="564"/>
      <c r="W166" s="564"/>
      <c r="X166" s="564"/>
      <c r="Y166" s="564"/>
      <c r="Z166" s="564"/>
      <c r="AA166" s="564"/>
      <c r="AB166" s="564"/>
      <c r="AC166" s="564"/>
      <c r="AD166" s="564"/>
      <c r="AE166" s="564"/>
      <c r="AF166" s="564"/>
      <c r="AG166" s="564"/>
      <c r="AH166" s="564"/>
      <c r="AI166" s="564"/>
      <c r="AJ166" s="564"/>
      <c r="AK166" s="564"/>
      <c r="AL166" s="564"/>
      <c r="AM166" s="564"/>
      <c r="AN166" s="564"/>
      <c r="AO166" s="564"/>
      <c r="AP166" s="564"/>
      <c r="AQ166" s="564"/>
      <c r="AR166" s="564"/>
      <c r="AS166" s="564"/>
      <c r="AT166" s="564"/>
      <c r="AU166" s="564"/>
      <c r="AV166" s="564"/>
      <c r="AW166" s="564"/>
      <c r="AX166" s="564"/>
      <c r="AY166" s="564"/>
      <c r="AZ166" s="564"/>
      <c r="BA166" s="564"/>
      <c r="BB166" s="564"/>
      <c r="BC166" s="564"/>
      <c r="BD166" s="564"/>
      <c r="BE166" s="564"/>
      <c r="BF166" s="564"/>
      <c r="BG166" s="564"/>
      <c r="BH166" s="564"/>
      <c r="BI166" s="564"/>
      <c r="BJ166" s="564"/>
      <c r="BK166" s="564"/>
      <c r="BL166" s="564"/>
      <c r="BM166" s="564"/>
      <c r="BN166" s="564"/>
      <c r="BO166" s="564"/>
      <c r="BP166" s="564"/>
      <c r="BQ166" s="564"/>
      <c r="BR166" s="564"/>
      <c r="BS166" s="564"/>
      <c r="BT166" s="564"/>
      <c r="BU166" s="564"/>
      <c r="BV166" s="564"/>
      <c r="BW166" s="564"/>
      <c r="BX166" s="564"/>
      <c r="BY166" s="564"/>
      <c r="BZ166" s="564"/>
      <c r="CA166" s="564"/>
      <c r="CB166" s="564"/>
      <c r="CC166" s="564"/>
      <c r="CD166" s="564"/>
      <c r="CE166" s="564"/>
      <c r="CF166" s="564"/>
      <c r="CG166" s="564"/>
      <c r="CH166" s="564"/>
      <c r="CI166" s="564"/>
      <c r="CJ166" s="564"/>
      <c r="CK166" s="564"/>
      <c r="CL166" s="564"/>
      <c r="CM166" s="564"/>
      <c r="CN166" s="564"/>
      <c r="CO166" s="564"/>
      <c r="CP166" s="564"/>
      <c r="CQ166" s="564"/>
      <c r="EN166" s="564"/>
      <c r="EO166" s="564"/>
      <c r="EP166" s="564"/>
      <c r="EQ166" s="564"/>
    </row>
    <row r="167" spans="2:147" ht="15" customHeight="1" x14ac:dyDescent="0.2">
      <c r="B167" s="682">
        <f t="shared" si="206"/>
        <v>6</v>
      </c>
      <c r="C167" s="704">
        <f>$N$16</f>
        <v>69</v>
      </c>
      <c r="D167" s="807">
        <f>$B$16</f>
        <v>1.94</v>
      </c>
      <c r="E167" s="790">
        <f t="shared" si="207"/>
        <v>11.5</v>
      </c>
      <c r="F167" s="689"/>
      <c r="G167" s="747">
        <f t="shared" si="208"/>
        <v>1.8804282604496851</v>
      </c>
      <c r="H167" s="748">
        <f t="shared" si="209"/>
        <v>3.5487921530505413E-3</v>
      </c>
      <c r="I167" s="550"/>
      <c r="J167" s="550"/>
      <c r="K167" s="550"/>
      <c r="L167" s="550"/>
      <c r="M167" s="550"/>
      <c r="N167" s="689"/>
      <c r="O167" s="689"/>
      <c r="P167" s="689"/>
      <c r="Q167" s="689"/>
      <c r="R167" s="689"/>
      <c r="S167" s="689"/>
      <c r="T167" s="689"/>
      <c r="U167" s="564"/>
      <c r="V167" s="564"/>
      <c r="W167" s="564"/>
      <c r="X167" s="564"/>
      <c r="Y167" s="564"/>
      <c r="Z167" s="564"/>
      <c r="AA167" s="564"/>
      <c r="AB167" s="564"/>
      <c r="AC167" s="564"/>
      <c r="AD167" s="564"/>
      <c r="AE167" s="564"/>
      <c r="AF167" s="564"/>
      <c r="AG167" s="564"/>
      <c r="AH167" s="564"/>
      <c r="AI167" s="564"/>
      <c r="AJ167" s="564"/>
      <c r="AK167" s="564"/>
      <c r="AL167" s="564"/>
      <c r="AM167" s="564"/>
      <c r="AN167" s="564"/>
      <c r="AO167" s="564"/>
      <c r="AP167" s="564"/>
      <c r="AQ167" s="564"/>
      <c r="AR167" s="564"/>
      <c r="AS167" s="564"/>
      <c r="AT167" s="564"/>
      <c r="AU167" s="564"/>
      <c r="AV167" s="564"/>
      <c r="AW167" s="564"/>
      <c r="AX167" s="564"/>
      <c r="AY167" s="564"/>
      <c r="AZ167" s="564"/>
      <c r="BA167" s="564"/>
      <c r="BB167" s="564"/>
      <c r="BC167" s="564"/>
      <c r="BD167" s="564"/>
      <c r="BE167" s="564"/>
      <c r="BF167" s="564"/>
      <c r="BG167" s="564"/>
      <c r="BH167" s="564"/>
      <c r="BI167" s="564"/>
      <c r="BJ167" s="564"/>
      <c r="BK167" s="564"/>
      <c r="BL167" s="564"/>
      <c r="BM167" s="564"/>
      <c r="BN167" s="564"/>
      <c r="BO167" s="564"/>
      <c r="BP167" s="564"/>
      <c r="BQ167" s="564"/>
      <c r="BR167" s="564"/>
      <c r="BS167" s="564"/>
      <c r="BT167" s="564"/>
      <c r="BU167" s="564"/>
      <c r="BV167" s="564"/>
      <c r="BW167" s="564"/>
      <c r="BX167" s="564"/>
      <c r="BY167" s="564"/>
      <c r="BZ167" s="564"/>
      <c r="CA167" s="564"/>
      <c r="CB167" s="564"/>
      <c r="CC167" s="564"/>
      <c r="CD167" s="564"/>
      <c r="CE167" s="564"/>
      <c r="CF167" s="564"/>
      <c r="CG167" s="564"/>
      <c r="CH167" s="564"/>
      <c r="CI167" s="564"/>
      <c r="CJ167" s="564"/>
      <c r="CK167" s="564"/>
      <c r="CL167" s="564"/>
      <c r="CM167" s="564"/>
      <c r="CN167" s="564"/>
      <c r="CO167" s="564"/>
      <c r="CP167" s="564"/>
      <c r="CQ167" s="564"/>
      <c r="EN167" s="564"/>
      <c r="EO167" s="564"/>
      <c r="EP167" s="564"/>
      <c r="EQ167" s="564"/>
    </row>
    <row r="168" spans="2:147" ht="15" customHeight="1" x14ac:dyDescent="0.2">
      <c r="B168" s="626">
        <f t="shared" ref="B168:B178" si="210">$O$4</f>
        <v>5</v>
      </c>
      <c r="C168" s="631">
        <f>$O$6</f>
        <v>90</v>
      </c>
      <c r="D168" s="744">
        <f>$B$6</f>
        <v>1.75</v>
      </c>
      <c r="E168" s="745">
        <f t="shared" si="207"/>
        <v>18</v>
      </c>
      <c r="F168" s="689"/>
      <c r="G168" s="747">
        <f t="shared" si="208"/>
        <v>1.7278016523504089</v>
      </c>
      <c r="H168" s="748">
        <f t="shared" si="209"/>
        <v>4.9276663837210469E-4</v>
      </c>
      <c r="I168" s="550"/>
      <c r="J168" s="550"/>
      <c r="K168" s="550"/>
      <c r="L168" s="550"/>
      <c r="M168" s="550"/>
      <c r="N168" s="689"/>
      <c r="O168" s="689"/>
      <c r="P168" s="689"/>
      <c r="Q168" s="689"/>
      <c r="R168" s="689"/>
      <c r="S168" s="689"/>
      <c r="T168" s="689"/>
      <c r="U168" s="564"/>
      <c r="V168" s="564"/>
      <c r="W168" s="564"/>
      <c r="X168" s="564"/>
      <c r="Y168" s="564"/>
      <c r="Z168" s="564"/>
      <c r="AA168" s="564"/>
      <c r="AB168" s="564"/>
      <c r="AC168" s="564"/>
      <c r="AD168" s="564"/>
      <c r="AE168" s="564"/>
      <c r="AF168" s="564"/>
      <c r="AG168" s="564"/>
      <c r="AH168" s="564"/>
      <c r="AI168" s="564"/>
      <c r="AJ168" s="564"/>
      <c r="AK168" s="564"/>
      <c r="AL168" s="564"/>
      <c r="AM168" s="564"/>
      <c r="AN168" s="564"/>
      <c r="AO168" s="564"/>
      <c r="AP168" s="564"/>
      <c r="AQ168" s="564"/>
      <c r="AR168" s="564"/>
      <c r="AS168" s="564"/>
      <c r="AT168" s="564"/>
      <c r="AU168" s="564"/>
      <c r="AV168" s="564"/>
      <c r="AW168" s="564"/>
      <c r="AX168" s="564"/>
      <c r="AY168" s="564"/>
      <c r="AZ168" s="564"/>
      <c r="BA168" s="564"/>
      <c r="BB168" s="564"/>
      <c r="BC168" s="564"/>
      <c r="BD168" s="564"/>
      <c r="BE168" s="564"/>
      <c r="BF168" s="564"/>
      <c r="BG168" s="564"/>
      <c r="BH168" s="564"/>
      <c r="BI168" s="564"/>
      <c r="BJ168" s="564"/>
      <c r="BK168" s="564"/>
      <c r="BL168" s="564"/>
      <c r="BM168" s="564"/>
      <c r="BN168" s="564"/>
      <c r="BO168" s="564"/>
      <c r="BP168" s="564"/>
      <c r="BQ168" s="564"/>
      <c r="BR168" s="564"/>
      <c r="BS168" s="564"/>
      <c r="BT168" s="564"/>
      <c r="BU168" s="564"/>
      <c r="BV168" s="564"/>
      <c r="BW168" s="564"/>
      <c r="BX168" s="564"/>
      <c r="BY168" s="564"/>
      <c r="BZ168" s="564"/>
      <c r="CA168" s="564"/>
      <c r="CB168" s="564"/>
      <c r="CC168" s="564"/>
      <c r="CD168" s="564"/>
      <c r="CE168" s="564"/>
      <c r="CF168" s="564"/>
      <c r="CG168" s="564"/>
      <c r="CH168" s="564"/>
      <c r="CI168" s="564"/>
      <c r="CJ168" s="564"/>
      <c r="CK168" s="564"/>
      <c r="CL168" s="564"/>
      <c r="CM168" s="564"/>
      <c r="CN168" s="564"/>
      <c r="CO168" s="564"/>
      <c r="CP168" s="564"/>
      <c r="CQ168" s="564"/>
      <c r="EN168" s="564"/>
      <c r="EO168" s="564"/>
      <c r="EP168" s="564"/>
      <c r="EQ168" s="564"/>
    </row>
    <row r="169" spans="2:147" ht="15" customHeight="1" x14ac:dyDescent="0.2">
      <c r="B169" s="647">
        <f t="shared" si="210"/>
        <v>5</v>
      </c>
      <c r="C169" s="652">
        <f>$O$7</f>
        <v>89</v>
      </c>
      <c r="D169" s="771">
        <f>$B$7</f>
        <v>1.78</v>
      </c>
      <c r="E169" s="772">
        <f t="shared" si="207"/>
        <v>17.8</v>
      </c>
      <c r="F169" s="689"/>
      <c r="G169" s="747">
        <f t="shared" si="208"/>
        <v>1.7364121583290422</v>
      </c>
      <c r="H169" s="748">
        <f t="shared" si="209"/>
        <v>1.8998999415324905E-3</v>
      </c>
      <c r="I169" s="550"/>
      <c r="J169" s="550"/>
      <c r="K169" s="550"/>
      <c r="L169" s="550"/>
      <c r="M169" s="550"/>
      <c r="N169" s="689"/>
      <c r="O169" s="689"/>
      <c r="P169" s="689"/>
      <c r="Q169" s="689"/>
      <c r="R169" s="689"/>
      <c r="S169" s="689"/>
      <c r="T169" s="689"/>
      <c r="U169" s="564"/>
      <c r="V169" s="564"/>
      <c r="W169" s="564"/>
      <c r="X169" s="564"/>
      <c r="Y169" s="564"/>
      <c r="Z169" s="564"/>
      <c r="AA169" s="564"/>
      <c r="AB169" s="564"/>
      <c r="AC169" s="564"/>
      <c r="AD169" s="564"/>
      <c r="AE169" s="564"/>
      <c r="AF169" s="564"/>
      <c r="AG169" s="564"/>
      <c r="AH169" s="564"/>
      <c r="AI169" s="564"/>
      <c r="AJ169" s="564"/>
      <c r="AK169" s="564"/>
      <c r="AL169" s="564"/>
      <c r="AM169" s="564"/>
      <c r="AN169" s="564"/>
      <c r="AO169" s="564"/>
      <c r="AP169" s="564"/>
      <c r="AQ169" s="564"/>
      <c r="AR169" s="564"/>
      <c r="AS169" s="564"/>
      <c r="AT169" s="564"/>
      <c r="AU169" s="564"/>
      <c r="AV169" s="564"/>
      <c r="AW169" s="564"/>
      <c r="AX169" s="564"/>
      <c r="AY169" s="564"/>
      <c r="AZ169" s="564"/>
      <c r="BA169" s="564"/>
      <c r="BB169" s="564"/>
      <c r="BC169" s="564"/>
      <c r="BD169" s="564"/>
      <c r="BE169" s="564"/>
      <c r="BF169" s="564"/>
      <c r="BG169" s="564"/>
      <c r="BH169" s="564"/>
      <c r="BI169" s="564"/>
      <c r="BJ169" s="564"/>
      <c r="BK169" s="564"/>
      <c r="BL169" s="564"/>
      <c r="BM169" s="564"/>
      <c r="BN169" s="564"/>
      <c r="BO169" s="564"/>
      <c r="BP169" s="564"/>
      <c r="BQ169" s="564"/>
      <c r="BR169" s="564"/>
      <c r="BS169" s="564"/>
      <c r="BT169" s="564"/>
      <c r="BU169" s="564"/>
      <c r="BV169" s="564"/>
      <c r="BW169" s="564"/>
      <c r="BX169" s="564"/>
      <c r="BY169" s="564"/>
      <c r="BZ169" s="564"/>
      <c r="CA169" s="564"/>
      <c r="CB169" s="564"/>
      <c r="CC169" s="564"/>
      <c r="CD169" s="564"/>
      <c r="CE169" s="564"/>
      <c r="CF169" s="564"/>
      <c r="CG169" s="564"/>
      <c r="CH169" s="564"/>
      <c r="CI169" s="564"/>
      <c r="CJ169" s="564"/>
      <c r="CK169" s="564"/>
      <c r="CL169" s="564"/>
      <c r="CM169" s="564"/>
      <c r="CN169" s="564"/>
      <c r="CO169" s="564"/>
      <c r="CP169" s="564"/>
      <c r="CQ169" s="564"/>
      <c r="EN169" s="564"/>
      <c r="EO169" s="564"/>
      <c r="EP169" s="564"/>
      <c r="EQ169" s="564"/>
    </row>
    <row r="170" spans="2:147" ht="15" customHeight="1" x14ac:dyDescent="0.2">
      <c r="B170" s="647">
        <f t="shared" si="210"/>
        <v>5</v>
      </c>
      <c r="C170" s="652">
        <f>$O$8</f>
        <v>88</v>
      </c>
      <c r="D170" s="771">
        <f>$B$8</f>
        <v>1.8</v>
      </c>
      <c r="E170" s="772">
        <f t="shared" si="207"/>
        <v>17.600000000000001</v>
      </c>
      <c r="F170" s="689"/>
      <c r="G170" s="747">
        <f t="shared" si="208"/>
        <v>1.7446749718238383</v>
      </c>
      <c r="H170" s="748">
        <f t="shared" si="209"/>
        <v>3.0608587426930855E-3</v>
      </c>
      <c r="I170" s="689"/>
      <c r="J170" s="550"/>
      <c r="K170" s="550"/>
      <c r="L170" s="550"/>
      <c r="M170" s="550"/>
      <c r="N170" s="689"/>
      <c r="O170" s="689"/>
      <c r="P170" s="689"/>
      <c r="Q170" s="689"/>
      <c r="R170" s="689"/>
      <c r="S170" s="689"/>
      <c r="T170" s="689"/>
      <c r="U170" s="564"/>
      <c r="V170" s="564"/>
      <c r="W170" s="564"/>
      <c r="X170" s="564"/>
      <c r="Y170" s="564"/>
      <c r="Z170" s="564"/>
      <c r="AA170" s="564"/>
      <c r="AB170" s="564"/>
      <c r="AC170" s="564"/>
      <c r="AD170" s="564"/>
      <c r="AE170" s="564"/>
      <c r="AF170" s="564"/>
      <c r="AG170" s="564"/>
      <c r="AH170" s="564"/>
      <c r="AI170" s="564"/>
      <c r="AJ170" s="564"/>
      <c r="AK170" s="564"/>
      <c r="AL170" s="564"/>
      <c r="AM170" s="564"/>
      <c r="AN170" s="564"/>
      <c r="AO170" s="564"/>
      <c r="AP170" s="564"/>
      <c r="AQ170" s="564"/>
      <c r="AR170" s="564"/>
      <c r="AS170" s="564"/>
      <c r="AT170" s="564"/>
      <c r="AU170" s="564"/>
      <c r="AV170" s="564"/>
      <c r="AW170" s="564"/>
      <c r="AX170" s="564"/>
      <c r="AY170" s="564"/>
      <c r="AZ170" s="564"/>
      <c r="BA170" s="564"/>
      <c r="BB170" s="564"/>
      <c r="BC170" s="564"/>
      <c r="BD170" s="564"/>
      <c r="BE170" s="564"/>
      <c r="BF170" s="564"/>
      <c r="BG170" s="564"/>
      <c r="BH170" s="564"/>
      <c r="BI170" s="564"/>
      <c r="BJ170" s="564"/>
      <c r="BK170" s="564"/>
      <c r="BL170" s="564"/>
      <c r="BM170" s="564"/>
      <c r="BN170" s="564"/>
      <c r="BO170" s="564"/>
      <c r="BP170" s="564"/>
      <c r="BQ170" s="564"/>
      <c r="BR170" s="564"/>
      <c r="BS170" s="564"/>
      <c r="BT170" s="564"/>
      <c r="BU170" s="564"/>
      <c r="BV170" s="564"/>
      <c r="BW170" s="564"/>
      <c r="BX170" s="564"/>
      <c r="BY170" s="564"/>
      <c r="BZ170" s="564"/>
      <c r="CA170" s="564"/>
      <c r="CB170" s="564"/>
      <c r="CC170" s="564"/>
      <c r="CD170" s="564"/>
      <c r="CE170" s="564"/>
      <c r="CF170" s="564"/>
      <c r="CG170" s="564"/>
      <c r="CH170" s="564"/>
      <c r="CI170" s="564"/>
      <c r="CJ170" s="564"/>
      <c r="CK170" s="564"/>
      <c r="CL170" s="564"/>
      <c r="CM170" s="564"/>
      <c r="CN170" s="564"/>
      <c r="CO170" s="564"/>
      <c r="CP170" s="564"/>
      <c r="CQ170" s="564"/>
      <c r="EN170" s="564"/>
      <c r="EO170" s="564"/>
      <c r="EP170" s="564"/>
      <c r="EQ170" s="564"/>
    </row>
    <row r="171" spans="2:147" ht="15" customHeight="1" x14ac:dyDescent="0.2">
      <c r="B171" s="647">
        <f t="shared" si="210"/>
        <v>5</v>
      </c>
      <c r="C171" s="652">
        <f>$O$9</f>
        <v>87.5</v>
      </c>
      <c r="D171" s="771">
        <f>$B$9</f>
        <v>1.81</v>
      </c>
      <c r="E171" s="772">
        <f t="shared" si="207"/>
        <v>17.5</v>
      </c>
      <c r="F171" s="689"/>
      <c r="G171" s="747">
        <f t="shared" si="208"/>
        <v>1.7486831887525698</v>
      </c>
      <c r="H171" s="748">
        <f t="shared" si="209"/>
        <v>3.7597513415529912E-3</v>
      </c>
      <c r="I171" s="689"/>
      <c r="J171" s="689"/>
      <c r="K171" s="689"/>
      <c r="L171" s="689"/>
      <c r="M171" s="689"/>
      <c r="N171" s="689"/>
      <c r="O171" s="689"/>
      <c r="P171" s="689"/>
      <c r="Q171" s="689"/>
      <c r="R171" s="689"/>
      <c r="S171" s="689"/>
      <c r="T171" s="689"/>
      <c r="U171" s="564"/>
      <c r="V171" s="564"/>
      <c r="W171" s="564"/>
      <c r="X171" s="564"/>
      <c r="Y171" s="564"/>
      <c r="Z171" s="564"/>
      <c r="AA171" s="564"/>
      <c r="AB171" s="564"/>
      <c r="AC171" s="564"/>
      <c r="AD171" s="564"/>
      <c r="AE171" s="564"/>
      <c r="AF171" s="564"/>
      <c r="AG171" s="564"/>
      <c r="AH171" s="564"/>
      <c r="AI171" s="564"/>
      <c r="AJ171" s="564"/>
      <c r="AK171" s="564"/>
      <c r="AL171" s="564"/>
      <c r="AM171" s="564"/>
      <c r="AN171" s="564"/>
      <c r="AO171" s="564"/>
      <c r="AP171" s="564"/>
      <c r="AQ171" s="564"/>
      <c r="AR171" s="564"/>
      <c r="AS171" s="564"/>
      <c r="AT171" s="564"/>
      <c r="AU171" s="564"/>
      <c r="AV171" s="564"/>
      <c r="AW171" s="564"/>
      <c r="AX171" s="564"/>
      <c r="AY171" s="564"/>
      <c r="AZ171" s="564"/>
      <c r="BA171" s="564"/>
      <c r="BB171" s="564"/>
      <c r="BC171" s="564"/>
      <c r="BD171" s="564"/>
      <c r="BE171" s="564"/>
      <c r="BF171" s="564"/>
      <c r="BG171" s="564"/>
      <c r="BH171" s="564"/>
      <c r="BI171" s="564"/>
      <c r="BJ171" s="564"/>
      <c r="BK171" s="564"/>
      <c r="BL171" s="564"/>
      <c r="BM171" s="564"/>
      <c r="BN171" s="564"/>
      <c r="BO171" s="564"/>
      <c r="BP171" s="564"/>
      <c r="BQ171" s="564"/>
      <c r="BR171" s="564"/>
      <c r="BS171" s="564"/>
      <c r="BT171" s="564"/>
      <c r="BU171" s="564"/>
      <c r="BV171" s="564"/>
      <c r="BW171" s="564"/>
      <c r="BX171" s="564"/>
      <c r="BY171" s="564"/>
      <c r="BZ171" s="564"/>
      <c r="CA171" s="564"/>
      <c r="CB171" s="564"/>
      <c r="CC171" s="564"/>
      <c r="CD171" s="564"/>
      <c r="CE171" s="564"/>
      <c r="CF171" s="564"/>
      <c r="CG171" s="564"/>
      <c r="CH171" s="564"/>
      <c r="CI171" s="564"/>
      <c r="CJ171" s="564"/>
      <c r="CK171" s="564"/>
      <c r="CL171" s="564"/>
      <c r="CM171" s="564"/>
      <c r="CN171" s="564"/>
      <c r="CO171" s="564"/>
      <c r="CP171" s="564"/>
      <c r="CQ171" s="564"/>
      <c r="EN171" s="564"/>
      <c r="EO171" s="564"/>
      <c r="EP171" s="564"/>
      <c r="EQ171" s="564"/>
    </row>
    <row r="172" spans="2:147" ht="15" customHeight="1" x14ac:dyDescent="0.2">
      <c r="B172" s="647">
        <f t="shared" si="210"/>
        <v>5</v>
      </c>
      <c r="C172" s="652">
        <f>$O$10</f>
        <v>86</v>
      </c>
      <c r="D172" s="771">
        <f>$B$10</f>
        <v>1.83</v>
      </c>
      <c r="E172" s="772">
        <f t="shared" si="207"/>
        <v>17.2</v>
      </c>
      <c r="F172" s="689"/>
      <c r="G172" s="747">
        <f t="shared" si="208"/>
        <v>1.7602468828699558</v>
      </c>
      <c r="H172" s="748">
        <f t="shared" si="209"/>
        <v>4.8654973493576772E-3</v>
      </c>
      <c r="I172" s="689"/>
      <c r="J172" s="689"/>
      <c r="K172" s="689"/>
      <c r="L172" s="689"/>
      <c r="M172" s="689"/>
      <c r="N172" s="689"/>
      <c r="O172" s="689"/>
      <c r="P172" s="689"/>
      <c r="Q172" s="689"/>
      <c r="R172" s="689"/>
      <c r="S172" s="689"/>
      <c r="T172" s="689"/>
      <c r="U172" s="564"/>
      <c r="V172" s="564"/>
      <c r="W172" s="564"/>
      <c r="X172" s="564"/>
      <c r="Y172" s="564"/>
      <c r="Z172" s="564"/>
      <c r="AA172" s="564"/>
      <c r="AB172" s="564"/>
      <c r="AC172" s="564"/>
      <c r="AD172" s="564"/>
      <c r="AE172" s="564"/>
      <c r="AF172" s="564"/>
      <c r="AG172" s="564"/>
      <c r="AH172" s="564"/>
      <c r="AI172" s="564"/>
      <c r="AJ172" s="564"/>
      <c r="AK172" s="564"/>
      <c r="AL172" s="564"/>
      <c r="AM172" s="564"/>
      <c r="AN172" s="564"/>
      <c r="AO172" s="564"/>
      <c r="AP172" s="564"/>
      <c r="AQ172" s="564"/>
      <c r="AR172" s="564"/>
      <c r="AS172" s="564"/>
      <c r="AT172" s="564"/>
      <c r="AU172" s="564"/>
      <c r="AV172" s="564"/>
      <c r="AW172" s="564"/>
      <c r="AX172" s="564"/>
      <c r="AY172" s="564"/>
      <c r="AZ172" s="564"/>
      <c r="BA172" s="564"/>
      <c r="BB172" s="564"/>
      <c r="BC172" s="564"/>
      <c r="BD172" s="564"/>
      <c r="BE172" s="564"/>
      <c r="BF172" s="564"/>
      <c r="BG172" s="564"/>
      <c r="BH172" s="564"/>
      <c r="BI172" s="564"/>
      <c r="BJ172" s="564"/>
      <c r="BK172" s="564"/>
      <c r="BL172" s="564"/>
      <c r="BM172" s="564"/>
      <c r="BN172" s="564"/>
      <c r="BO172" s="564"/>
      <c r="BP172" s="564"/>
      <c r="BQ172" s="564"/>
      <c r="BR172" s="564"/>
      <c r="BS172" s="564"/>
      <c r="BT172" s="564"/>
      <c r="BU172" s="564"/>
      <c r="BV172" s="564"/>
      <c r="BW172" s="564"/>
      <c r="BX172" s="564"/>
      <c r="BY172" s="564"/>
      <c r="BZ172" s="564"/>
      <c r="CA172" s="564"/>
      <c r="CB172" s="564"/>
      <c r="CC172" s="564"/>
      <c r="CD172" s="564"/>
      <c r="CE172" s="564"/>
      <c r="CF172" s="564"/>
      <c r="CG172" s="564"/>
      <c r="CH172" s="564"/>
      <c r="CI172" s="564"/>
      <c r="CJ172" s="564"/>
      <c r="CK172" s="564"/>
      <c r="CL172" s="564"/>
      <c r="CM172" s="564"/>
      <c r="CN172" s="564"/>
      <c r="CO172" s="564"/>
      <c r="CP172" s="564"/>
      <c r="CQ172" s="564"/>
      <c r="EN172" s="564"/>
      <c r="EO172" s="564"/>
      <c r="EP172" s="564"/>
      <c r="EQ172" s="564"/>
    </row>
    <row r="173" spans="2:147" ht="15" customHeight="1" x14ac:dyDescent="0.2">
      <c r="B173" s="647">
        <f t="shared" si="210"/>
        <v>5</v>
      </c>
      <c r="C173" s="652">
        <f>$O$11</f>
        <v>85</v>
      </c>
      <c r="D173" s="771">
        <f>$B$11</f>
        <v>1.84</v>
      </c>
      <c r="E173" s="772">
        <f t="shared" si="207"/>
        <v>17</v>
      </c>
      <c r="F173" s="689"/>
      <c r="G173" s="747">
        <f t="shared" si="208"/>
        <v>1.7675963381795636</v>
      </c>
      <c r="H173" s="748">
        <f t="shared" si="209"/>
        <v>5.2422902450081268E-3</v>
      </c>
      <c r="I173" s="689"/>
      <c r="J173" s="689"/>
      <c r="K173" s="689"/>
      <c r="L173" s="689"/>
      <c r="M173" s="689"/>
      <c r="N173" s="689"/>
      <c r="O173" s="689"/>
      <c r="P173" s="689"/>
      <c r="Q173" s="689"/>
      <c r="R173" s="689"/>
      <c r="S173" s="689"/>
      <c r="T173" s="689"/>
      <c r="U173" s="564"/>
      <c r="V173" s="564"/>
      <c r="W173" s="564"/>
      <c r="X173" s="564"/>
      <c r="Y173" s="564"/>
      <c r="Z173" s="564"/>
      <c r="AA173" s="564"/>
      <c r="AB173" s="564"/>
      <c r="AC173" s="564"/>
      <c r="AD173" s="564"/>
      <c r="AE173" s="564"/>
      <c r="AF173" s="564"/>
      <c r="AG173" s="564"/>
      <c r="AH173" s="564"/>
      <c r="AI173" s="564"/>
      <c r="AJ173" s="564"/>
      <c r="AK173" s="564"/>
      <c r="AL173" s="564"/>
      <c r="AM173" s="564"/>
      <c r="AN173" s="564"/>
      <c r="AO173" s="564"/>
      <c r="AP173" s="564"/>
      <c r="AQ173" s="564"/>
      <c r="AR173" s="564"/>
      <c r="AS173" s="564"/>
      <c r="AT173" s="564"/>
      <c r="AU173" s="564"/>
      <c r="AV173" s="564"/>
      <c r="AW173" s="564"/>
      <c r="AX173" s="564"/>
      <c r="AY173" s="564"/>
      <c r="AZ173" s="564"/>
      <c r="BA173" s="564"/>
      <c r="BB173" s="564"/>
      <c r="BC173" s="564"/>
      <c r="BD173" s="564"/>
      <c r="BE173" s="564"/>
      <c r="BF173" s="564"/>
      <c r="BG173" s="564"/>
      <c r="BH173" s="564"/>
      <c r="BI173" s="564"/>
      <c r="BJ173" s="564"/>
      <c r="BK173" s="564"/>
      <c r="BL173" s="564"/>
      <c r="BM173" s="564"/>
      <c r="BN173" s="564"/>
      <c r="BO173" s="564"/>
      <c r="BP173" s="564"/>
      <c r="BQ173" s="564"/>
      <c r="BR173" s="564"/>
      <c r="BS173" s="564"/>
      <c r="BT173" s="564"/>
      <c r="BU173" s="564"/>
      <c r="BV173" s="564"/>
      <c r="BW173" s="564"/>
      <c r="BX173" s="564"/>
      <c r="BY173" s="564"/>
      <c r="BZ173" s="564"/>
      <c r="CA173" s="564"/>
      <c r="CB173" s="564"/>
      <c r="CC173" s="564"/>
      <c r="CD173" s="564"/>
      <c r="CE173" s="564"/>
      <c r="CF173" s="564"/>
      <c r="CG173" s="564"/>
      <c r="CH173" s="564"/>
      <c r="CI173" s="564"/>
      <c r="CJ173" s="564"/>
      <c r="CK173" s="564"/>
      <c r="CL173" s="564"/>
      <c r="CM173" s="564"/>
      <c r="CN173" s="564"/>
      <c r="CO173" s="564"/>
      <c r="CP173" s="564"/>
      <c r="CQ173" s="564"/>
      <c r="EN173" s="564"/>
      <c r="EO173" s="564"/>
      <c r="EP173" s="564"/>
      <c r="EQ173" s="564"/>
    </row>
    <row r="174" spans="2:147" ht="15" customHeight="1" x14ac:dyDescent="0.2">
      <c r="B174" s="647">
        <f t="shared" si="210"/>
        <v>5</v>
      </c>
      <c r="C174" s="652">
        <f>$O$12</f>
        <v>82</v>
      </c>
      <c r="D174" s="771">
        <f>$B$12</f>
        <v>1.86</v>
      </c>
      <c r="E174" s="772">
        <f t="shared" si="207"/>
        <v>16.399999999999999</v>
      </c>
      <c r="F174" s="689"/>
      <c r="G174" s="747">
        <f t="shared" si="208"/>
        <v>1.7881101199450329</v>
      </c>
      <c r="H174" s="748">
        <f t="shared" si="209"/>
        <v>5.1681548543175727E-3</v>
      </c>
      <c r="I174" s="689"/>
      <c r="J174" s="689"/>
      <c r="K174" s="689"/>
      <c r="L174" s="689"/>
      <c r="M174" s="689"/>
      <c r="N174" s="689"/>
      <c r="O174" s="689"/>
      <c r="P174" s="689"/>
      <c r="Q174" s="689"/>
      <c r="R174" s="689"/>
      <c r="S174" s="689"/>
      <c r="T174" s="689"/>
      <c r="U174" s="564"/>
      <c r="V174" s="564"/>
      <c r="W174" s="564"/>
      <c r="X174" s="564"/>
      <c r="Y174" s="564"/>
      <c r="Z174" s="564"/>
      <c r="AA174" s="564"/>
      <c r="AB174" s="564"/>
      <c r="AC174" s="564"/>
      <c r="AD174" s="564"/>
      <c r="AE174" s="564"/>
      <c r="AF174" s="564"/>
      <c r="AG174" s="564"/>
      <c r="AH174" s="564"/>
      <c r="AI174" s="564"/>
      <c r="AJ174" s="564"/>
      <c r="AK174" s="564"/>
      <c r="AL174" s="564"/>
      <c r="AM174" s="564"/>
      <c r="AN174" s="564"/>
      <c r="AO174" s="564"/>
      <c r="AP174" s="564"/>
      <c r="AQ174" s="564"/>
      <c r="AR174" s="564"/>
      <c r="AS174" s="564"/>
      <c r="AT174" s="564"/>
      <c r="AU174" s="564"/>
      <c r="AV174" s="564"/>
      <c r="AW174" s="564"/>
      <c r="AX174" s="564"/>
      <c r="AY174" s="564"/>
      <c r="AZ174" s="564"/>
      <c r="BA174" s="564"/>
      <c r="BB174" s="564"/>
      <c r="BC174" s="564"/>
      <c r="BD174" s="564"/>
      <c r="BE174" s="564"/>
      <c r="BF174" s="564"/>
      <c r="BG174" s="564"/>
      <c r="BH174" s="564"/>
      <c r="BI174" s="564"/>
      <c r="BJ174" s="564"/>
      <c r="BK174" s="564"/>
      <c r="BL174" s="564"/>
      <c r="BM174" s="564"/>
      <c r="BN174" s="564"/>
      <c r="BO174" s="564"/>
      <c r="BP174" s="564"/>
      <c r="BQ174" s="564"/>
      <c r="BR174" s="564"/>
      <c r="BS174" s="564"/>
      <c r="BT174" s="564"/>
      <c r="BU174" s="564"/>
      <c r="BV174" s="564"/>
      <c r="BW174" s="564"/>
      <c r="BX174" s="564"/>
      <c r="BY174" s="564"/>
      <c r="BZ174" s="564"/>
      <c r="CA174" s="564"/>
      <c r="CB174" s="564"/>
      <c r="CC174" s="564"/>
      <c r="CD174" s="564"/>
      <c r="CE174" s="564"/>
      <c r="CF174" s="564"/>
      <c r="CG174" s="564"/>
      <c r="CH174" s="564"/>
      <c r="CI174" s="564"/>
      <c r="CJ174" s="564"/>
      <c r="CK174" s="564"/>
      <c r="CL174" s="564"/>
      <c r="CM174" s="564"/>
      <c r="CN174" s="564"/>
      <c r="CO174" s="564"/>
      <c r="CP174" s="564"/>
      <c r="CQ174" s="564"/>
      <c r="EN174" s="564"/>
      <c r="EO174" s="564"/>
      <c r="EP174" s="564"/>
      <c r="EQ174" s="564"/>
    </row>
    <row r="175" spans="2:147" ht="15" customHeight="1" x14ac:dyDescent="0.2">
      <c r="B175" s="647">
        <f t="shared" si="210"/>
        <v>5</v>
      </c>
      <c r="C175" s="652">
        <f>$O$13</f>
        <v>78</v>
      </c>
      <c r="D175" s="771">
        <f>$B$13</f>
        <v>1.88</v>
      </c>
      <c r="E175" s="772">
        <f t="shared" si="207"/>
        <v>15.6</v>
      </c>
      <c r="F175" s="689"/>
      <c r="G175" s="747">
        <f t="shared" si="208"/>
        <v>1.8124292972826528</v>
      </c>
      <c r="H175" s="748">
        <f t="shared" si="209"/>
        <v>4.5657998657161001E-3</v>
      </c>
      <c r="I175" s="689"/>
      <c r="J175" s="689"/>
      <c r="K175" s="689"/>
      <c r="L175" s="689"/>
      <c r="M175" s="689"/>
      <c r="N175" s="689"/>
      <c r="O175" s="689"/>
      <c r="P175" s="689"/>
      <c r="Q175" s="689"/>
      <c r="R175" s="689"/>
      <c r="S175" s="689"/>
      <c r="T175" s="689"/>
      <c r="U175" s="564"/>
      <c r="V175" s="564"/>
      <c r="W175" s="564"/>
      <c r="X175" s="564"/>
      <c r="Y175" s="564"/>
      <c r="Z175" s="564"/>
      <c r="AA175" s="564"/>
      <c r="AB175" s="564"/>
      <c r="AC175" s="564"/>
      <c r="AD175" s="564"/>
      <c r="AE175" s="564"/>
      <c r="AF175" s="564"/>
      <c r="AG175" s="564"/>
      <c r="AH175" s="564"/>
      <c r="AI175" s="564"/>
      <c r="AJ175" s="564"/>
      <c r="AK175" s="564"/>
      <c r="AL175" s="564"/>
      <c r="AM175" s="564"/>
      <c r="AN175" s="564"/>
      <c r="AO175" s="564"/>
      <c r="AP175" s="564"/>
      <c r="AQ175" s="564"/>
      <c r="AR175" s="564"/>
      <c r="AS175" s="564"/>
      <c r="AT175" s="564"/>
      <c r="AU175" s="564"/>
      <c r="AV175" s="564"/>
      <c r="AW175" s="564"/>
      <c r="AX175" s="564"/>
      <c r="AY175" s="564"/>
      <c r="AZ175" s="564"/>
      <c r="BA175" s="564"/>
      <c r="BB175" s="564"/>
      <c r="BC175" s="564"/>
      <c r="BD175" s="564"/>
      <c r="BE175" s="564"/>
      <c r="BF175" s="564"/>
      <c r="BG175" s="564"/>
      <c r="BH175" s="564"/>
      <c r="BI175" s="564"/>
      <c r="BJ175" s="564"/>
      <c r="BK175" s="564"/>
      <c r="BL175" s="564"/>
      <c r="BM175" s="564"/>
      <c r="BN175" s="564"/>
      <c r="BO175" s="564"/>
      <c r="BP175" s="564"/>
      <c r="BQ175" s="564"/>
      <c r="BR175" s="564"/>
      <c r="BS175" s="564"/>
      <c r="BT175" s="564"/>
      <c r="BU175" s="564"/>
      <c r="BV175" s="564"/>
      <c r="BW175" s="564"/>
      <c r="BX175" s="564"/>
      <c r="BY175" s="564"/>
      <c r="BZ175" s="564"/>
      <c r="CA175" s="564"/>
      <c r="CB175" s="564"/>
      <c r="CC175" s="564"/>
      <c r="CD175" s="564"/>
      <c r="CE175" s="564"/>
      <c r="CF175" s="564"/>
      <c r="CG175" s="564"/>
      <c r="CH175" s="564"/>
      <c r="CI175" s="564"/>
      <c r="CJ175" s="564"/>
      <c r="CK175" s="564"/>
      <c r="CL175" s="564"/>
      <c r="CM175" s="564"/>
      <c r="CN175" s="564"/>
      <c r="CO175" s="564"/>
      <c r="CP175" s="564"/>
      <c r="CQ175" s="564"/>
      <c r="EN175" s="564"/>
      <c r="EO175" s="564"/>
      <c r="EP175" s="564"/>
      <c r="EQ175" s="564"/>
    </row>
    <row r="176" spans="2:147" ht="15" customHeight="1" x14ac:dyDescent="0.2">
      <c r="B176" s="647">
        <f t="shared" si="210"/>
        <v>5</v>
      </c>
      <c r="C176" s="652">
        <f>$O$14</f>
        <v>74</v>
      </c>
      <c r="D176" s="771">
        <f>$B$14</f>
        <v>1.9</v>
      </c>
      <c r="E176" s="772">
        <f t="shared" si="207"/>
        <v>14.8</v>
      </c>
      <c r="F176" s="689"/>
      <c r="G176" s="747">
        <f t="shared" si="208"/>
        <v>1.8339865660143109</v>
      </c>
      <c r="H176" s="748">
        <f t="shared" si="209"/>
        <v>4.3577734665829248E-3</v>
      </c>
      <c r="I176" s="689"/>
      <c r="J176" s="689"/>
      <c r="K176" s="689"/>
      <c r="L176" s="689"/>
      <c r="M176" s="689"/>
      <c r="N176" s="689"/>
      <c r="O176" s="689"/>
      <c r="P176" s="689"/>
      <c r="Q176" s="689"/>
      <c r="R176" s="689"/>
      <c r="S176" s="689"/>
      <c r="T176" s="689"/>
      <c r="U176" s="564"/>
      <c r="V176" s="564"/>
      <c r="W176" s="564"/>
      <c r="X176" s="564"/>
      <c r="Y176" s="564"/>
      <c r="Z176" s="564"/>
      <c r="AA176" s="564"/>
      <c r="AB176" s="564"/>
      <c r="AC176" s="564"/>
      <c r="AD176" s="564"/>
      <c r="AE176" s="564"/>
      <c r="AF176" s="564"/>
      <c r="AG176" s="564"/>
      <c r="AH176" s="564"/>
      <c r="AI176" s="564"/>
      <c r="AJ176" s="564"/>
      <c r="AK176" s="564"/>
      <c r="AL176" s="564"/>
      <c r="AM176" s="564"/>
      <c r="AN176" s="564"/>
      <c r="AO176" s="564"/>
      <c r="AP176" s="564"/>
      <c r="AQ176" s="564"/>
      <c r="AR176" s="564"/>
      <c r="AS176" s="564"/>
      <c r="AT176" s="564"/>
      <c r="AU176" s="564"/>
      <c r="AV176" s="564"/>
      <c r="AW176" s="564"/>
      <c r="AX176" s="564"/>
      <c r="AY176" s="564"/>
      <c r="AZ176" s="564"/>
      <c r="BA176" s="564"/>
      <c r="BB176" s="564"/>
      <c r="BC176" s="564"/>
      <c r="BD176" s="564"/>
      <c r="BE176" s="564"/>
      <c r="BF176" s="564"/>
      <c r="BG176" s="564"/>
      <c r="BH176" s="564"/>
      <c r="BI176" s="564"/>
      <c r="BJ176" s="564"/>
      <c r="BK176" s="564"/>
      <c r="BL176" s="564"/>
      <c r="BM176" s="564"/>
      <c r="BN176" s="564"/>
      <c r="BO176" s="564"/>
      <c r="BP176" s="564"/>
      <c r="BQ176" s="564"/>
      <c r="BR176" s="564"/>
      <c r="BS176" s="564"/>
      <c r="BT176" s="564"/>
      <c r="BU176" s="564"/>
      <c r="BV176" s="564"/>
      <c r="BW176" s="564"/>
      <c r="BX176" s="564"/>
      <c r="BY176" s="564"/>
      <c r="BZ176" s="564"/>
      <c r="CA176" s="564"/>
      <c r="CB176" s="564"/>
      <c r="CC176" s="564"/>
      <c r="CD176" s="564"/>
      <c r="CE176" s="564"/>
      <c r="CF176" s="564"/>
      <c r="CG176" s="564"/>
      <c r="CH176" s="564"/>
      <c r="CI176" s="564"/>
      <c r="CJ176" s="564"/>
      <c r="CK176" s="564"/>
      <c r="CL176" s="564"/>
      <c r="CM176" s="564"/>
      <c r="CN176" s="564"/>
      <c r="CO176" s="564"/>
      <c r="CP176" s="564"/>
      <c r="CQ176" s="564"/>
      <c r="EN176" s="564"/>
      <c r="EO176" s="564"/>
      <c r="EP176" s="564"/>
      <c r="EQ176" s="564"/>
    </row>
    <row r="177" spans="2:147" ht="15" customHeight="1" x14ac:dyDescent="0.2">
      <c r="B177" s="647">
        <f t="shared" si="210"/>
        <v>5</v>
      </c>
      <c r="C177" s="652">
        <f>$O$15</f>
        <v>69</v>
      </c>
      <c r="D177" s="771">
        <f>$B$15</f>
        <v>1.92</v>
      </c>
      <c r="E177" s="772">
        <f t="shared" si="207"/>
        <v>13.8</v>
      </c>
      <c r="F177" s="689"/>
      <c r="G177" s="747">
        <f t="shared" si="208"/>
        <v>1.8579645786315033</v>
      </c>
      <c r="H177" s="748">
        <f t="shared" si="209"/>
        <v>3.8483935043669248E-3</v>
      </c>
      <c r="I177" s="689"/>
      <c r="J177" s="689"/>
      <c r="K177" s="689"/>
      <c r="L177" s="689"/>
      <c r="M177" s="689"/>
      <c r="N177" s="689"/>
      <c r="O177" s="689"/>
      <c r="P177" s="689"/>
      <c r="Q177" s="689"/>
      <c r="R177" s="689"/>
      <c r="S177" s="689"/>
      <c r="T177" s="689"/>
      <c r="U177" s="564"/>
      <c r="V177" s="564"/>
      <c r="W177" s="564"/>
      <c r="X177" s="564"/>
      <c r="Y177" s="564"/>
      <c r="Z177" s="564"/>
      <c r="AA177" s="564"/>
      <c r="AB177" s="564"/>
      <c r="AC177" s="564"/>
      <c r="AD177" s="564"/>
      <c r="AE177" s="564"/>
      <c r="AF177" s="564"/>
      <c r="AG177" s="564"/>
      <c r="AH177" s="564"/>
      <c r="AI177" s="564"/>
      <c r="AJ177" s="564"/>
      <c r="AK177" s="564"/>
      <c r="AL177" s="564"/>
      <c r="AM177" s="564"/>
      <c r="AN177" s="564"/>
      <c r="AO177" s="564"/>
      <c r="AP177" s="564"/>
      <c r="AQ177" s="564"/>
      <c r="AR177" s="564"/>
      <c r="AS177" s="564"/>
      <c r="AT177" s="564"/>
      <c r="AU177" s="564"/>
      <c r="AV177" s="564"/>
      <c r="AW177" s="564"/>
      <c r="AX177" s="564"/>
      <c r="AY177" s="564"/>
      <c r="AZ177" s="564"/>
      <c r="BA177" s="564"/>
      <c r="BB177" s="564"/>
      <c r="BC177" s="564"/>
      <c r="BD177" s="564"/>
      <c r="BE177" s="564"/>
      <c r="BF177" s="564"/>
      <c r="BG177" s="564"/>
      <c r="BH177" s="564"/>
      <c r="BI177" s="564"/>
      <c r="BJ177" s="564"/>
      <c r="BK177" s="564"/>
      <c r="BL177" s="564"/>
      <c r="BM177" s="564"/>
      <c r="BN177" s="564"/>
      <c r="BO177" s="564"/>
      <c r="BP177" s="564"/>
      <c r="BQ177" s="564"/>
      <c r="BR177" s="564"/>
      <c r="BS177" s="564"/>
      <c r="BT177" s="564"/>
      <c r="BU177" s="564"/>
      <c r="BV177" s="564"/>
      <c r="BW177" s="564"/>
      <c r="BX177" s="564"/>
      <c r="BY177" s="564"/>
      <c r="BZ177" s="564"/>
      <c r="CA177" s="564"/>
      <c r="CB177" s="564"/>
      <c r="CC177" s="564"/>
      <c r="CD177" s="564"/>
      <c r="CE177" s="564"/>
      <c r="CF177" s="564"/>
      <c r="CG177" s="564"/>
      <c r="CH177" s="564"/>
      <c r="CI177" s="564"/>
      <c r="CJ177" s="564"/>
      <c r="CK177" s="564"/>
      <c r="CL177" s="564"/>
      <c r="CM177" s="564"/>
      <c r="CN177" s="564"/>
      <c r="CO177" s="564"/>
      <c r="CP177" s="564"/>
      <c r="CQ177" s="564"/>
      <c r="EN177" s="564"/>
      <c r="EO177" s="564"/>
      <c r="EP177" s="564"/>
      <c r="EQ177" s="564"/>
    </row>
    <row r="178" spans="2:147" ht="15" customHeight="1" x14ac:dyDescent="0.2">
      <c r="B178" s="682">
        <f t="shared" si="210"/>
        <v>5</v>
      </c>
      <c r="C178" s="704">
        <f>$O$16</f>
        <v>65</v>
      </c>
      <c r="D178" s="807">
        <f>$B$16</f>
        <v>1.94</v>
      </c>
      <c r="E178" s="790">
        <f t="shared" si="207"/>
        <v>13</v>
      </c>
      <c r="F178" s="689"/>
      <c r="G178" s="747">
        <f t="shared" si="208"/>
        <v>1.8753554420319418</v>
      </c>
      <c r="H178" s="748">
        <f t="shared" si="209"/>
        <v>4.1789188748856268E-3</v>
      </c>
      <c r="I178" s="689"/>
      <c r="J178" s="689"/>
      <c r="K178" s="689"/>
      <c r="L178" s="689"/>
      <c r="M178" s="689"/>
      <c r="N178" s="689"/>
      <c r="O178" s="689"/>
      <c r="P178" s="689"/>
      <c r="Q178" s="689"/>
      <c r="R178" s="689"/>
      <c r="S178" s="689"/>
      <c r="T178" s="689"/>
      <c r="U178" s="564"/>
      <c r="V178" s="564"/>
      <c r="W178" s="564"/>
      <c r="X178" s="564"/>
      <c r="Y178" s="564"/>
      <c r="Z178" s="564"/>
      <c r="AA178" s="564"/>
      <c r="AB178" s="564"/>
      <c r="AC178" s="564"/>
      <c r="AD178" s="564"/>
      <c r="AE178" s="564"/>
      <c r="AF178" s="564"/>
      <c r="AG178" s="564"/>
      <c r="AH178" s="564"/>
      <c r="AI178" s="564"/>
      <c r="AJ178" s="564"/>
      <c r="AK178" s="564"/>
      <c r="AL178" s="564"/>
      <c r="AM178" s="564"/>
      <c r="AN178" s="564"/>
      <c r="AO178" s="564"/>
      <c r="AP178" s="564"/>
      <c r="AQ178" s="564"/>
      <c r="AR178" s="564"/>
      <c r="AS178" s="564"/>
      <c r="AT178" s="564"/>
      <c r="AU178" s="564"/>
      <c r="AV178" s="564"/>
      <c r="AW178" s="564"/>
      <c r="AX178" s="564"/>
      <c r="AY178" s="564"/>
      <c r="AZ178" s="564"/>
      <c r="BA178" s="564"/>
      <c r="BB178" s="564"/>
      <c r="BC178" s="564"/>
      <c r="BD178" s="564"/>
      <c r="BE178" s="564"/>
      <c r="BF178" s="564"/>
      <c r="BG178" s="564"/>
      <c r="BH178" s="564"/>
      <c r="BI178" s="564"/>
      <c r="BJ178" s="564"/>
      <c r="BK178" s="564"/>
      <c r="BL178" s="564"/>
      <c r="BM178" s="564"/>
      <c r="BN178" s="564"/>
      <c r="BO178" s="564"/>
      <c r="BP178" s="564"/>
      <c r="BQ178" s="564"/>
      <c r="BR178" s="564"/>
      <c r="BS178" s="564"/>
      <c r="BT178" s="564"/>
      <c r="BU178" s="564"/>
      <c r="BV178" s="564"/>
      <c r="BW178" s="564"/>
      <c r="BX178" s="564"/>
      <c r="BY178" s="564"/>
      <c r="BZ178" s="564"/>
      <c r="CA178" s="564"/>
      <c r="CB178" s="564"/>
      <c r="CC178" s="564"/>
      <c r="CD178" s="564"/>
      <c r="CE178" s="564"/>
      <c r="CF178" s="564"/>
      <c r="CG178" s="564"/>
      <c r="CH178" s="564"/>
      <c r="CI178" s="564"/>
      <c r="CJ178" s="564"/>
      <c r="CK178" s="564"/>
      <c r="CL178" s="564"/>
      <c r="CM178" s="564"/>
      <c r="CN178" s="564"/>
      <c r="CO178" s="564"/>
      <c r="CP178" s="564"/>
      <c r="CQ178" s="564"/>
      <c r="EN178" s="564"/>
      <c r="EO178" s="564"/>
      <c r="EP178" s="564"/>
      <c r="EQ178" s="564"/>
    </row>
    <row r="179" spans="2:147" ht="15" customHeight="1" x14ac:dyDescent="0.2">
      <c r="B179" s="626">
        <f t="shared" ref="B179:B189" si="211">$P$4</f>
        <v>4</v>
      </c>
      <c r="C179" s="631">
        <f>$P$6</f>
        <v>85</v>
      </c>
      <c r="D179" s="744">
        <f>$B$6</f>
        <v>1.75</v>
      </c>
      <c r="E179" s="745">
        <f t="shared" si="207"/>
        <v>21.25</v>
      </c>
      <c r="F179" s="689"/>
      <c r="G179" s="747">
        <f t="shared" si="208"/>
        <v>1.7128180881795636</v>
      </c>
      <c r="H179" s="748">
        <f t="shared" si="209"/>
        <v>1.3824945666227079E-3</v>
      </c>
      <c r="I179" s="689"/>
      <c r="J179" s="689"/>
      <c r="K179" s="689"/>
      <c r="L179" s="689"/>
      <c r="M179" s="689"/>
      <c r="N179" s="689"/>
      <c r="O179" s="689"/>
      <c r="P179" s="689"/>
      <c r="Q179" s="689"/>
      <c r="R179" s="689"/>
      <c r="S179" s="689"/>
      <c r="T179" s="689"/>
      <c r="U179" s="564"/>
      <c r="V179" s="564"/>
      <c r="W179" s="564"/>
      <c r="X179" s="564"/>
      <c r="Y179" s="564"/>
      <c r="Z179" s="564"/>
      <c r="AA179" s="564"/>
      <c r="AB179" s="564"/>
      <c r="AC179" s="564"/>
      <c r="AD179" s="564"/>
      <c r="AE179" s="564"/>
      <c r="AF179" s="564"/>
      <c r="AG179" s="564"/>
      <c r="AH179" s="564"/>
      <c r="AI179" s="564"/>
      <c r="AJ179" s="564"/>
      <c r="AK179" s="564"/>
      <c r="AL179" s="564"/>
      <c r="AM179" s="564"/>
      <c r="AN179" s="564"/>
      <c r="AO179" s="564"/>
      <c r="AP179" s="564"/>
      <c r="AQ179" s="564"/>
      <c r="AR179" s="564"/>
      <c r="AS179" s="564"/>
      <c r="AT179" s="564"/>
      <c r="AU179" s="564"/>
      <c r="AV179" s="564"/>
      <c r="AW179" s="564"/>
      <c r="AX179" s="564"/>
      <c r="AY179" s="564"/>
      <c r="AZ179" s="564"/>
      <c r="BA179" s="564"/>
      <c r="BB179" s="564"/>
      <c r="BC179" s="564"/>
      <c r="BD179" s="564"/>
      <c r="BE179" s="564"/>
      <c r="BF179" s="564"/>
      <c r="BG179" s="564"/>
      <c r="BH179" s="564"/>
      <c r="BI179" s="564"/>
      <c r="BJ179" s="564"/>
      <c r="BK179" s="564"/>
      <c r="BL179" s="564"/>
      <c r="BM179" s="564"/>
      <c r="BN179" s="564"/>
      <c r="BO179" s="564"/>
      <c r="BP179" s="564"/>
      <c r="BQ179" s="564"/>
      <c r="BR179" s="564"/>
      <c r="BS179" s="564"/>
      <c r="BT179" s="564"/>
      <c r="BU179" s="564"/>
      <c r="BV179" s="564"/>
      <c r="BW179" s="564"/>
      <c r="BX179" s="564"/>
      <c r="BY179" s="564"/>
      <c r="BZ179" s="564"/>
      <c r="CA179" s="564"/>
      <c r="CB179" s="564"/>
      <c r="CC179" s="564"/>
      <c r="CD179" s="564"/>
      <c r="CE179" s="564"/>
      <c r="CF179" s="564"/>
      <c r="CG179" s="564"/>
      <c r="CH179" s="564"/>
      <c r="CI179" s="564"/>
      <c r="CJ179" s="564"/>
      <c r="CK179" s="564"/>
      <c r="CL179" s="564"/>
      <c r="CM179" s="564"/>
      <c r="CN179" s="564"/>
      <c r="CO179" s="564"/>
      <c r="CP179" s="564"/>
      <c r="CQ179" s="564"/>
      <c r="EN179" s="564"/>
      <c r="EO179" s="564"/>
      <c r="EP179" s="564"/>
      <c r="EQ179" s="564"/>
    </row>
    <row r="180" spans="2:147" ht="15" customHeight="1" x14ac:dyDescent="0.2">
      <c r="B180" s="647">
        <f t="shared" si="211"/>
        <v>4</v>
      </c>
      <c r="C180" s="652">
        <f>$P$7</f>
        <v>84</v>
      </c>
      <c r="D180" s="771">
        <f>$B$7</f>
        <v>1.78</v>
      </c>
      <c r="E180" s="772">
        <f t="shared" si="207"/>
        <v>21</v>
      </c>
      <c r="F180" s="689"/>
      <c r="G180" s="747">
        <f t="shared" si="208"/>
        <v>1.7216059853127488</v>
      </c>
      <c r="H180" s="748">
        <f t="shared" si="209"/>
        <v>3.4098609512949146E-3</v>
      </c>
      <c r="I180" s="689"/>
      <c r="J180" s="689"/>
      <c r="K180" s="689"/>
      <c r="L180" s="689"/>
      <c r="M180" s="689"/>
      <c r="N180" s="689"/>
      <c r="O180" s="689"/>
      <c r="P180" s="689"/>
      <c r="Q180" s="689"/>
      <c r="R180" s="689"/>
      <c r="S180" s="689"/>
      <c r="T180" s="689"/>
      <c r="U180" s="564"/>
      <c r="V180" s="564"/>
      <c r="W180" s="564"/>
      <c r="X180" s="564"/>
      <c r="Y180" s="564"/>
      <c r="Z180" s="564"/>
      <c r="AA180" s="564"/>
      <c r="AB180" s="564"/>
      <c r="AC180" s="564"/>
      <c r="AD180" s="564"/>
      <c r="AE180" s="564"/>
      <c r="AF180" s="564"/>
      <c r="AG180" s="564"/>
      <c r="AH180" s="564"/>
      <c r="AI180" s="564"/>
      <c r="AJ180" s="564"/>
      <c r="AK180" s="564"/>
      <c r="AL180" s="564"/>
      <c r="AM180" s="564"/>
      <c r="AN180" s="564"/>
      <c r="AO180" s="564"/>
      <c r="AP180" s="564"/>
      <c r="AQ180" s="564"/>
      <c r="AR180" s="564"/>
      <c r="AS180" s="564"/>
      <c r="AT180" s="564"/>
      <c r="AU180" s="564"/>
      <c r="AV180" s="564"/>
      <c r="AW180" s="564"/>
      <c r="AX180" s="564"/>
      <c r="AY180" s="564"/>
      <c r="AZ180" s="564"/>
      <c r="BA180" s="564"/>
      <c r="BB180" s="564"/>
      <c r="BC180" s="564"/>
      <c r="BD180" s="564"/>
      <c r="BE180" s="564"/>
      <c r="BF180" s="564"/>
      <c r="BG180" s="564"/>
      <c r="BH180" s="564"/>
      <c r="BI180" s="564"/>
      <c r="BJ180" s="564"/>
      <c r="BK180" s="564"/>
      <c r="BL180" s="564"/>
      <c r="BM180" s="564"/>
      <c r="BN180" s="564"/>
      <c r="BO180" s="564"/>
      <c r="BP180" s="564"/>
      <c r="BQ180" s="564"/>
      <c r="BR180" s="564"/>
      <c r="BS180" s="564"/>
      <c r="BT180" s="564"/>
      <c r="BU180" s="564"/>
      <c r="BV180" s="564"/>
      <c r="BW180" s="564"/>
      <c r="BX180" s="564"/>
      <c r="BY180" s="564"/>
      <c r="BZ180" s="564"/>
      <c r="CA180" s="564"/>
      <c r="CB180" s="564"/>
      <c r="CC180" s="564"/>
      <c r="CD180" s="564"/>
      <c r="CE180" s="564"/>
      <c r="CF180" s="564"/>
      <c r="CG180" s="564"/>
      <c r="CH180" s="564"/>
      <c r="CI180" s="564"/>
      <c r="CJ180" s="564"/>
      <c r="CK180" s="564"/>
      <c r="CL180" s="564"/>
      <c r="CM180" s="564"/>
      <c r="CN180" s="564"/>
      <c r="CO180" s="564"/>
      <c r="CP180" s="564"/>
      <c r="CQ180" s="564"/>
      <c r="EN180" s="564"/>
      <c r="EO180" s="564"/>
      <c r="EP180" s="564"/>
      <c r="EQ180" s="564"/>
    </row>
    <row r="181" spans="2:147" ht="15" customHeight="1" x14ac:dyDescent="0.2">
      <c r="B181" s="647">
        <f t="shared" si="211"/>
        <v>4</v>
      </c>
      <c r="C181" s="652">
        <f>$P$8</f>
        <v>83</v>
      </c>
      <c r="D181" s="771">
        <f>$B$8</f>
        <v>1.8</v>
      </c>
      <c r="E181" s="772">
        <f t="shared" si="207"/>
        <v>20.75</v>
      </c>
      <c r="F181" s="689"/>
      <c r="G181" s="747">
        <f t="shared" si="208"/>
        <v>1.7300782883670691</v>
      </c>
      <c r="H181" s="748">
        <f t="shared" si="209"/>
        <v>4.8890457576787486E-3</v>
      </c>
      <c r="I181" s="689"/>
      <c r="J181" s="689"/>
      <c r="K181" s="689"/>
      <c r="L181" s="689"/>
      <c r="M181" s="689"/>
      <c r="N181" s="689"/>
      <c r="O181" s="689"/>
      <c r="P181" s="689"/>
      <c r="Q181" s="689"/>
      <c r="R181" s="689"/>
      <c r="S181" s="689"/>
      <c r="T181" s="689"/>
      <c r="U181" s="564"/>
      <c r="V181" s="564"/>
      <c r="W181" s="564"/>
      <c r="X181" s="564"/>
      <c r="Y181" s="564"/>
      <c r="Z181" s="564"/>
      <c r="AA181" s="564"/>
      <c r="AB181" s="564"/>
      <c r="AC181" s="564"/>
      <c r="AD181" s="564"/>
      <c r="AE181" s="564"/>
      <c r="AF181" s="564"/>
      <c r="AG181" s="564"/>
      <c r="AH181" s="564"/>
      <c r="AI181" s="564"/>
      <c r="AJ181" s="564"/>
      <c r="AK181" s="564"/>
      <c r="AL181" s="564"/>
      <c r="AM181" s="564"/>
      <c r="AN181" s="564"/>
      <c r="AO181" s="564"/>
      <c r="AP181" s="564"/>
      <c r="AQ181" s="564"/>
      <c r="AR181" s="564"/>
      <c r="AS181" s="564"/>
      <c r="AT181" s="564"/>
      <c r="AU181" s="564"/>
      <c r="AV181" s="564"/>
      <c r="AW181" s="564"/>
      <c r="AX181" s="564"/>
      <c r="AY181" s="564"/>
      <c r="AZ181" s="564"/>
      <c r="BA181" s="564"/>
      <c r="BB181" s="564"/>
      <c r="BC181" s="564"/>
      <c r="BD181" s="564"/>
      <c r="BE181" s="564"/>
      <c r="BF181" s="564"/>
      <c r="BG181" s="564"/>
      <c r="BH181" s="564"/>
      <c r="BI181" s="564"/>
      <c r="BJ181" s="564"/>
      <c r="BK181" s="564"/>
      <c r="BL181" s="564"/>
      <c r="BM181" s="564"/>
      <c r="BN181" s="564"/>
      <c r="BO181" s="564"/>
      <c r="BP181" s="564"/>
      <c r="BQ181" s="564"/>
      <c r="BR181" s="564"/>
      <c r="BS181" s="564"/>
      <c r="BT181" s="564"/>
      <c r="BU181" s="564"/>
      <c r="BV181" s="564"/>
      <c r="BW181" s="564"/>
      <c r="BX181" s="564"/>
      <c r="BY181" s="564"/>
      <c r="BZ181" s="564"/>
      <c r="CA181" s="564"/>
      <c r="CB181" s="564"/>
      <c r="CC181" s="564"/>
      <c r="CD181" s="564"/>
      <c r="CE181" s="564"/>
      <c r="CF181" s="564"/>
      <c r="CG181" s="564"/>
      <c r="CH181" s="564"/>
      <c r="CI181" s="564"/>
      <c r="CJ181" s="564"/>
      <c r="CK181" s="564"/>
      <c r="CL181" s="564"/>
      <c r="CM181" s="564"/>
      <c r="CN181" s="564"/>
      <c r="CO181" s="564"/>
      <c r="CP181" s="564"/>
      <c r="CQ181" s="564"/>
      <c r="EN181" s="564"/>
      <c r="EO181" s="564"/>
      <c r="EP181" s="564"/>
      <c r="EQ181" s="564"/>
    </row>
    <row r="182" spans="2:147" ht="15" customHeight="1" x14ac:dyDescent="0.2">
      <c r="B182" s="647">
        <f t="shared" si="211"/>
        <v>4</v>
      </c>
      <c r="C182" s="652">
        <f>$P$9</f>
        <v>82.5</v>
      </c>
      <c r="D182" s="771">
        <f>$B$9</f>
        <v>1.81</v>
      </c>
      <c r="E182" s="772">
        <f t="shared" si="207"/>
        <v>20.625</v>
      </c>
      <c r="F182" s="689"/>
      <c r="G182" s="747">
        <f t="shared" si="208"/>
        <v>1.7342021221335449</v>
      </c>
      <c r="H182" s="748">
        <f t="shared" si="209"/>
        <v>5.7453182890580589E-3</v>
      </c>
      <c r="I182" s="689"/>
      <c r="J182" s="689"/>
      <c r="K182" s="689"/>
      <c r="L182" s="689"/>
      <c r="M182" s="689"/>
      <c r="N182" s="689"/>
      <c r="O182" s="689"/>
      <c r="P182" s="689"/>
      <c r="Q182" s="689"/>
      <c r="R182" s="689"/>
      <c r="S182" s="689"/>
      <c r="T182" s="689"/>
      <c r="U182" s="564"/>
      <c r="V182" s="564"/>
      <c r="W182" s="564"/>
      <c r="X182" s="564"/>
      <c r="Y182" s="564"/>
      <c r="Z182" s="564"/>
      <c r="AA182" s="564"/>
      <c r="AB182" s="564"/>
      <c r="AC182" s="564"/>
      <c r="AD182" s="564"/>
      <c r="AE182" s="564"/>
      <c r="AF182" s="564"/>
      <c r="AG182" s="564"/>
      <c r="AH182" s="564"/>
      <c r="AI182" s="564"/>
      <c r="AJ182" s="564"/>
      <c r="AK182" s="564"/>
      <c r="AL182" s="564"/>
      <c r="AM182" s="564"/>
      <c r="AN182" s="564"/>
      <c r="AO182" s="564"/>
      <c r="AP182" s="564"/>
      <c r="AQ182" s="564"/>
      <c r="AR182" s="564"/>
      <c r="AS182" s="564"/>
      <c r="AT182" s="564"/>
      <c r="AU182" s="564"/>
      <c r="AV182" s="564"/>
      <c r="AW182" s="564"/>
      <c r="AX182" s="564"/>
      <c r="AY182" s="564"/>
      <c r="AZ182" s="564"/>
      <c r="BA182" s="564"/>
      <c r="BB182" s="564"/>
      <c r="BC182" s="564"/>
      <c r="BD182" s="564"/>
      <c r="BE182" s="564"/>
      <c r="BF182" s="564"/>
      <c r="BG182" s="564"/>
      <c r="BH182" s="564"/>
      <c r="BI182" s="564"/>
      <c r="BJ182" s="564"/>
      <c r="BK182" s="564"/>
      <c r="BL182" s="564"/>
      <c r="BM182" s="564"/>
      <c r="BN182" s="564"/>
      <c r="BO182" s="564"/>
      <c r="BP182" s="564"/>
      <c r="BQ182" s="564"/>
      <c r="BR182" s="564"/>
      <c r="BS182" s="564"/>
      <c r="BT182" s="564"/>
      <c r="BU182" s="564"/>
      <c r="BV182" s="564"/>
      <c r="BW182" s="564"/>
      <c r="BX182" s="564"/>
      <c r="BY182" s="564"/>
      <c r="BZ182" s="564"/>
      <c r="CA182" s="564"/>
      <c r="CB182" s="564"/>
      <c r="CC182" s="564"/>
      <c r="CD182" s="564"/>
      <c r="CE182" s="564"/>
      <c r="CF182" s="564"/>
      <c r="CG182" s="564"/>
      <c r="CH182" s="564"/>
      <c r="CI182" s="564"/>
      <c r="CJ182" s="564"/>
      <c r="CK182" s="564"/>
      <c r="CL182" s="564"/>
      <c r="CM182" s="564"/>
      <c r="CN182" s="564"/>
      <c r="CO182" s="564"/>
      <c r="CP182" s="564"/>
      <c r="CQ182" s="564"/>
      <c r="EN182" s="564"/>
      <c r="EO182" s="564"/>
      <c r="EP182" s="564"/>
      <c r="EQ182" s="564"/>
    </row>
    <row r="183" spans="2:147" ht="15" customHeight="1" x14ac:dyDescent="0.2">
      <c r="B183" s="647">
        <f t="shared" si="211"/>
        <v>4</v>
      </c>
      <c r="C183" s="652">
        <f>$P$10</f>
        <v>80.5</v>
      </c>
      <c r="D183" s="771">
        <f>$B$10</f>
        <v>1.83</v>
      </c>
      <c r="E183" s="772">
        <f t="shared" si="207"/>
        <v>20.125</v>
      </c>
      <c r="F183" s="689"/>
      <c r="G183" s="747">
        <f t="shared" si="208"/>
        <v>1.7500005278949529</v>
      </c>
      <c r="H183" s="748">
        <f t="shared" si="209"/>
        <v>6.3999155370862261E-3</v>
      </c>
      <c r="I183" s="689"/>
      <c r="J183" s="689"/>
      <c r="K183" s="689"/>
      <c r="L183" s="689"/>
      <c r="M183" s="689"/>
      <c r="N183" s="689"/>
      <c r="O183" s="689"/>
      <c r="P183" s="689"/>
      <c r="Q183" s="689"/>
      <c r="R183" s="689"/>
      <c r="S183" s="689"/>
      <c r="T183" s="689"/>
      <c r="U183" s="564"/>
      <c r="V183" s="564"/>
      <c r="W183" s="564"/>
      <c r="X183" s="564"/>
      <c r="Y183" s="564"/>
      <c r="Z183" s="564"/>
      <c r="AA183" s="564"/>
      <c r="AB183" s="564"/>
      <c r="AC183" s="564"/>
      <c r="AD183" s="564"/>
      <c r="AE183" s="564"/>
      <c r="AF183" s="564"/>
      <c r="AG183" s="564"/>
      <c r="AH183" s="564"/>
      <c r="AI183" s="564"/>
      <c r="AJ183" s="564"/>
      <c r="AK183" s="564"/>
      <c r="AL183" s="564"/>
      <c r="AM183" s="564"/>
      <c r="AN183" s="564"/>
      <c r="AO183" s="564"/>
      <c r="AP183" s="564"/>
      <c r="AQ183" s="564"/>
      <c r="AR183" s="564"/>
      <c r="AS183" s="564"/>
      <c r="AT183" s="564"/>
      <c r="AU183" s="564"/>
      <c r="AV183" s="564"/>
      <c r="AW183" s="564"/>
      <c r="AX183" s="564"/>
      <c r="AY183" s="564"/>
      <c r="AZ183" s="564"/>
      <c r="BA183" s="564"/>
      <c r="BB183" s="564"/>
      <c r="BC183" s="564"/>
      <c r="BD183" s="564"/>
      <c r="BE183" s="564"/>
      <c r="BF183" s="564"/>
      <c r="BG183" s="564"/>
      <c r="BH183" s="564"/>
      <c r="BI183" s="564"/>
      <c r="BJ183" s="564"/>
      <c r="BK183" s="564"/>
      <c r="BL183" s="564"/>
      <c r="BM183" s="564"/>
      <c r="BN183" s="564"/>
      <c r="BO183" s="564"/>
      <c r="BP183" s="564"/>
      <c r="BQ183" s="564"/>
      <c r="BR183" s="564"/>
      <c r="BS183" s="564"/>
      <c r="BT183" s="564"/>
      <c r="BU183" s="564"/>
      <c r="BV183" s="564"/>
      <c r="BW183" s="564"/>
      <c r="BX183" s="564"/>
      <c r="BY183" s="564"/>
      <c r="BZ183" s="564"/>
      <c r="CA183" s="564"/>
      <c r="CB183" s="564"/>
      <c r="CC183" s="564"/>
      <c r="CD183" s="564"/>
      <c r="CE183" s="564"/>
      <c r="CF183" s="564"/>
      <c r="CG183" s="564"/>
      <c r="CH183" s="564"/>
      <c r="CI183" s="564"/>
      <c r="CJ183" s="564"/>
      <c r="CK183" s="564"/>
      <c r="CL183" s="564"/>
      <c r="CM183" s="564"/>
      <c r="CN183" s="564"/>
      <c r="CO183" s="564"/>
      <c r="CP183" s="564"/>
      <c r="CQ183" s="564"/>
      <c r="EN183" s="564"/>
      <c r="EO183" s="564"/>
      <c r="EP183" s="564"/>
      <c r="EQ183" s="564"/>
    </row>
    <row r="184" spans="2:147" ht="15" customHeight="1" x14ac:dyDescent="0.2">
      <c r="B184" s="647">
        <f t="shared" si="211"/>
        <v>4</v>
      </c>
      <c r="C184" s="652">
        <f>$P$11</f>
        <v>79.5</v>
      </c>
      <c r="D184" s="771">
        <f>$B$11</f>
        <v>1.84</v>
      </c>
      <c r="E184" s="772">
        <f t="shared" si="207"/>
        <v>19.875</v>
      </c>
      <c r="F184" s="689"/>
      <c r="G184" s="747">
        <f t="shared" si="208"/>
        <v>1.757510302900813</v>
      </c>
      <c r="H184" s="748">
        <f t="shared" si="209"/>
        <v>6.804550127515633E-3</v>
      </c>
      <c r="I184" s="689"/>
      <c r="J184" s="689"/>
      <c r="K184" s="689"/>
      <c r="L184" s="689"/>
      <c r="M184" s="689"/>
      <c r="N184" s="689"/>
      <c r="O184" s="689"/>
      <c r="P184" s="689"/>
      <c r="Q184" s="689"/>
      <c r="R184" s="689"/>
      <c r="S184" s="689"/>
      <c r="T184" s="689"/>
      <c r="U184" s="564"/>
      <c r="V184" s="564"/>
      <c r="W184" s="564"/>
      <c r="X184" s="564"/>
      <c r="Y184" s="564"/>
      <c r="Z184" s="564"/>
      <c r="AA184" s="564"/>
      <c r="AB184" s="564"/>
      <c r="AC184" s="564"/>
      <c r="AD184" s="564"/>
      <c r="AE184" s="564"/>
      <c r="AF184" s="564"/>
      <c r="AG184" s="564"/>
      <c r="AH184" s="564"/>
      <c r="AI184" s="564"/>
      <c r="AJ184" s="564"/>
      <c r="AK184" s="564"/>
      <c r="AL184" s="564"/>
      <c r="AM184" s="564"/>
      <c r="AN184" s="564"/>
      <c r="AO184" s="564"/>
      <c r="AP184" s="564"/>
      <c r="AQ184" s="564"/>
      <c r="AR184" s="564"/>
      <c r="AS184" s="564"/>
      <c r="AT184" s="564"/>
      <c r="AU184" s="564"/>
      <c r="AV184" s="564"/>
      <c r="AW184" s="564"/>
      <c r="AX184" s="564"/>
      <c r="AY184" s="564"/>
      <c r="AZ184" s="564"/>
      <c r="BA184" s="564"/>
      <c r="BB184" s="564"/>
      <c r="BC184" s="564"/>
      <c r="BD184" s="564"/>
      <c r="BE184" s="564"/>
      <c r="BF184" s="564"/>
      <c r="BG184" s="564"/>
      <c r="BH184" s="564"/>
      <c r="BI184" s="564"/>
      <c r="BJ184" s="564"/>
      <c r="BK184" s="564"/>
      <c r="BL184" s="564"/>
      <c r="BM184" s="564"/>
      <c r="BN184" s="564"/>
      <c r="BO184" s="564"/>
      <c r="BP184" s="564"/>
      <c r="BQ184" s="564"/>
      <c r="BR184" s="564"/>
      <c r="BS184" s="564"/>
      <c r="BT184" s="564"/>
      <c r="BU184" s="564"/>
      <c r="BV184" s="564"/>
      <c r="BW184" s="564"/>
      <c r="BX184" s="564"/>
      <c r="BY184" s="564"/>
      <c r="BZ184" s="564"/>
      <c r="CA184" s="564"/>
      <c r="CB184" s="564"/>
      <c r="CC184" s="564"/>
      <c r="CD184" s="564"/>
      <c r="CE184" s="564"/>
      <c r="CF184" s="564"/>
      <c r="CG184" s="564"/>
      <c r="CH184" s="564"/>
      <c r="CI184" s="564"/>
      <c r="CJ184" s="564"/>
      <c r="CK184" s="564"/>
      <c r="CL184" s="564"/>
      <c r="CM184" s="564"/>
      <c r="CN184" s="564"/>
      <c r="CO184" s="564"/>
      <c r="CP184" s="564"/>
      <c r="CQ184" s="564"/>
      <c r="EN184" s="564"/>
      <c r="EO184" s="564"/>
      <c r="EP184" s="564"/>
      <c r="EQ184" s="564"/>
    </row>
    <row r="185" spans="2:147" ht="15" customHeight="1" x14ac:dyDescent="0.2">
      <c r="B185" s="647">
        <f t="shared" si="211"/>
        <v>4</v>
      </c>
      <c r="C185" s="652">
        <f>$P$12</f>
        <v>77</v>
      </c>
      <c r="D185" s="771">
        <f>$B$12</f>
        <v>1.86</v>
      </c>
      <c r="E185" s="772">
        <f t="shared" si="207"/>
        <v>19.25</v>
      </c>
      <c r="F185" s="689"/>
      <c r="G185" s="747">
        <f t="shared" si="208"/>
        <v>1.7752678400704827</v>
      </c>
      <c r="H185" s="748">
        <f t="shared" si="209"/>
        <v>7.1795389263213201E-3</v>
      </c>
      <c r="I185" s="550"/>
      <c r="J185" s="550"/>
      <c r="K185" s="550"/>
      <c r="L185" s="689"/>
      <c r="M185" s="689"/>
      <c r="N185" s="689"/>
      <c r="O185" s="689"/>
      <c r="P185" s="689"/>
      <c r="Q185" s="689"/>
      <c r="R185" s="689"/>
      <c r="S185" s="689"/>
      <c r="T185" s="689"/>
      <c r="U185" s="564"/>
      <c r="V185" s="564"/>
      <c r="W185" s="564"/>
      <c r="X185" s="564"/>
      <c r="Y185" s="564"/>
      <c r="Z185" s="564"/>
      <c r="AA185" s="564"/>
      <c r="AB185" s="564"/>
      <c r="AC185" s="564"/>
      <c r="AD185" s="564"/>
      <c r="AE185" s="564"/>
      <c r="AF185" s="564"/>
      <c r="AG185" s="564"/>
      <c r="AH185" s="564"/>
      <c r="AI185" s="564"/>
      <c r="AJ185" s="564"/>
      <c r="AK185" s="564"/>
      <c r="AL185" s="564"/>
      <c r="AM185" s="564"/>
      <c r="AN185" s="564"/>
      <c r="AO185" s="564"/>
      <c r="AP185" s="564"/>
      <c r="AQ185" s="564"/>
      <c r="AR185" s="564"/>
      <c r="AS185" s="564"/>
      <c r="AT185" s="564"/>
      <c r="AU185" s="564"/>
      <c r="AV185" s="564"/>
      <c r="AW185" s="564"/>
      <c r="AX185" s="564"/>
      <c r="AY185" s="564"/>
      <c r="AZ185" s="564"/>
      <c r="BA185" s="564"/>
      <c r="BB185" s="564"/>
      <c r="BC185" s="564"/>
      <c r="BD185" s="564"/>
      <c r="BE185" s="564"/>
      <c r="BF185" s="564"/>
      <c r="BG185" s="564"/>
      <c r="BH185" s="564"/>
      <c r="BI185" s="564"/>
      <c r="BJ185" s="564"/>
      <c r="BK185" s="564"/>
      <c r="BL185" s="564"/>
      <c r="BM185" s="564"/>
      <c r="BN185" s="564"/>
      <c r="BO185" s="564"/>
      <c r="BP185" s="564"/>
      <c r="BQ185" s="564"/>
      <c r="BR185" s="564"/>
      <c r="BS185" s="564"/>
      <c r="BT185" s="564"/>
      <c r="BU185" s="564"/>
      <c r="BV185" s="564"/>
      <c r="BW185" s="564"/>
      <c r="BX185" s="564"/>
      <c r="BY185" s="564"/>
      <c r="BZ185" s="564"/>
      <c r="CA185" s="564"/>
      <c r="CB185" s="564"/>
      <c r="CC185" s="564"/>
      <c r="CD185" s="564"/>
      <c r="CE185" s="564"/>
      <c r="CF185" s="564"/>
      <c r="CG185" s="564"/>
      <c r="CH185" s="564"/>
      <c r="CI185" s="564"/>
      <c r="CJ185" s="564"/>
      <c r="CK185" s="564"/>
      <c r="CL185" s="564"/>
      <c r="CM185" s="564"/>
      <c r="CN185" s="564"/>
      <c r="CO185" s="564"/>
      <c r="CP185" s="564"/>
      <c r="CQ185" s="564"/>
      <c r="EN185" s="564"/>
      <c r="EO185" s="564"/>
      <c r="EP185" s="564"/>
      <c r="EQ185" s="564"/>
    </row>
    <row r="186" spans="2:147" ht="15" customHeight="1" x14ac:dyDescent="0.2">
      <c r="B186" s="647">
        <f t="shared" si="211"/>
        <v>4</v>
      </c>
      <c r="C186" s="652">
        <f>$P$13</f>
        <v>73</v>
      </c>
      <c r="D186" s="771">
        <f>$B$13</f>
        <v>1.88</v>
      </c>
      <c r="E186" s="772">
        <f t="shared" si="207"/>
        <v>18.25</v>
      </c>
      <c r="F186" s="689"/>
      <c r="G186" s="747">
        <f t="shared" si="208"/>
        <v>1.8010721547555044</v>
      </c>
      <c r="H186" s="748">
        <f t="shared" si="209"/>
        <v>6.2296047549390268E-3</v>
      </c>
      <c r="I186" s="550"/>
      <c r="J186" s="550"/>
      <c r="K186" s="550"/>
      <c r="L186" s="689"/>
      <c r="M186" s="689"/>
      <c r="N186" s="689"/>
      <c r="O186" s="689"/>
      <c r="P186" s="689"/>
      <c r="Q186" s="689"/>
      <c r="R186" s="689"/>
      <c r="S186" s="689"/>
      <c r="T186" s="689"/>
      <c r="U186" s="564"/>
      <c r="V186" s="564"/>
      <c r="W186" s="564"/>
      <c r="X186" s="564"/>
      <c r="Y186" s="564"/>
      <c r="Z186" s="564"/>
      <c r="AA186" s="564"/>
      <c r="AB186" s="564"/>
      <c r="AC186" s="564"/>
      <c r="AD186" s="564"/>
      <c r="AE186" s="564"/>
      <c r="AF186" s="564"/>
      <c r="AG186" s="564"/>
      <c r="AH186" s="564"/>
      <c r="AI186" s="564"/>
      <c r="AJ186" s="564"/>
      <c r="AK186" s="564"/>
      <c r="AL186" s="564"/>
      <c r="AM186" s="564"/>
      <c r="AN186" s="564"/>
      <c r="AO186" s="564"/>
      <c r="AP186" s="564"/>
      <c r="AQ186" s="564"/>
      <c r="AR186" s="564"/>
      <c r="AS186" s="564"/>
      <c r="AT186" s="564"/>
      <c r="AU186" s="564"/>
      <c r="AV186" s="564"/>
      <c r="AW186" s="564"/>
      <c r="AX186" s="564"/>
      <c r="AY186" s="564"/>
      <c r="AZ186" s="564"/>
      <c r="BA186" s="564"/>
      <c r="BB186" s="564"/>
      <c r="BC186" s="564"/>
      <c r="BD186" s="564"/>
      <c r="BE186" s="564"/>
      <c r="BF186" s="564"/>
      <c r="BG186" s="564"/>
      <c r="BH186" s="564"/>
      <c r="BI186" s="564"/>
      <c r="BJ186" s="564"/>
      <c r="BK186" s="564"/>
      <c r="BL186" s="564"/>
      <c r="BM186" s="564"/>
      <c r="BN186" s="564"/>
      <c r="BO186" s="564"/>
      <c r="BP186" s="564"/>
      <c r="BQ186" s="564"/>
      <c r="BR186" s="564"/>
      <c r="BS186" s="564"/>
      <c r="BT186" s="564"/>
      <c r="BU186" s="564"/>
      <c r="BV186" s="564"/>
      <c r="BW186" s="564"/>
      <c r="BX186" s="564"/>
      <c r="BY186" s="564"/>
      <c r="BZ186" s="564"/>
      <c r="CA186" s="564"/>
      <c r="CB186" s="564"/>
      <c r="CC186" s="564"/>
      <c r="CD186" s="564"/>
      <c r="CE186" s="564"/>
      <c r="CF186" s="564"/>
      <c r="CG186" s="564"/>
      <c r="CH186" s="564"/>
      <c r="CI186" s="564"/>
      <c r="CJ186" s="564"/>
      <c r="CK186" s="564"/>
      <c r="CL186" s="564"/>
      <c r="CM186" s="564"/>
      <c r="CN186" s="564"/>
      <c r="CO186" s="564"/>
      <c r="CP186" s="564"/>
      <c r="CQ186" s="564"/>
      <c r="EN186" s="564"/>
      <c r="EO186" s="564"/>
      <c r="EP186" s="564"/>
      <c r="EQ186" s="564"/>
    </row>
    <row r="187" spans="2:147" ht="15" customHeight="1" x14ac:dyDescent="0.2">
      <c r="B187" s="647">
        <f t="shared" si="211"/>
        <v>4</v>
      </c>
      <c r="C187" s="652">
        <f>$P$14</f>
        <v>69</v>
      </c>
      <c r="D187" s="771">
        <f>$B$14</f>
        <v>1.9</v>
      </c>
      <c r="E187" s="772">
        <f t="shared" si="207"/>
        <v>17.25</v>
      </c>
      <c r="F187" s="689"/>
      <c r="G187" s="747">
        <f t="shared" si="208"/>
        <v>1.8242690559042307</v>
      </c>
      <c r="H187" s="748">
        <f t="shared" si="209"/>
        <v>5.7351758936365184E-3</v>
      </c>
      <c r="I187" s="550"/>
      <c r="J187" s="550"/>
      <c r="K187" s="550"/>
      <c r="L187" s="689"/>
      <c r="M187" s="689"/>
      <c r="N187" s="689"/>
      <c r="O187" s="689"/>
      <c r="P187" s="689"/>
      <c r="Q187" s="689"/>
      <c r="R187" s="689"/>
      <c r="S187" s="689"/>
      <c r="T187" s="689"/>
      <c r="U187" s="564"/>
      <c r="V187" s="564"/>
      <c r="W187" s="564"/>
      <c r="X187" s="564"/>
      <c r="Y187" s="564"/>
      <c r="Z187" s="564"/>
      <c r="AA187" s="564"/>
      <c r="AB187" s="564"/>
      <c r="AC187" s="564"/>
      <c r="AD187" s="564"/>
      <c r="AE187" s="564"/>
      <c r="AF187" s="564"/>
      <c r="AG187" s="564"/>
      <c r="AH187" s="564"/>
      <c r="AI187" s="564"/>
      <c r="AJ187" s="564"/>
      <c r="AK187" s="564"/>
      <c r="AL187" s="564"/>
      <c r="AM187" s="564"/>
      <c r="AN187" s="564"/>
      <c r="AO187" s="564"/>
      <c r="AP187" s="564"/>
      <c r="AQ187" s="564"/>
      <c r="AR187" s="564"/>
      <c r="AS187" s="564"/>
      <c r="AT187" s="564"/>
      <c r="AU187" s="564"/>
      <c r="AV187" s="564"/>
      <c r="AW187" s="564"/>
      <c r="AX187" s="564"/>
      <c r="AY187" s="564"/>
      <c r="AZ187" s="564"/>
      <c r="BA187" s="564"/>
      <c r="BB187" s="564"/>
      <c r="BC187" s="564"/>
      <c r="BD187" s="564"/>
      <c r="BE187" s="564"/>
      <c r="BF187" s="564"/>
      <c r="BG187" s="564"/>
      <c r="BH187" s="564"/>
      <c r="BI187" s="564"/>
      <c r="BJ187" s="564"/>
      <c r="BK187" s="564"/>
      <c r="BL187" s="564"/>
      <c r="BM187" s="564"/>
      <c r="BN187" s="564"/>
      <c r="BO187" s="564"/>
      <c r="BP187" s="564"/>
      <c r="BQ187" s="564"/>
      <c r="BR187" s="564"/>
      <c r="BS187" s="564"/>
      <c r="BT187" s="564"/>
      <c r="BU187" s="564"/>
      <c r="BV187" s="564"/>
      <c r="BW187" s="564"/>
      <c r="BX187" s="564"/>
      <c r="BY187" s="564"/>
      <c r="BZ187" s="564"/>
      <c r="CA187" s="564"/>
      <c r="CB187" s="564"/>
      <c r="CC187" s="564"/>
      <c r="CD187" s="564"/>
      <c r="CE187" s="564"/>
      <c r="CF187" s="564"/>
      <c r="CG187" s="564"/>
      <c r="CH187" s="564"/>
      <c r="CI187" s="564"/>
      <c r="CJ187" s="564"/>
      <c r="CK187" s="564"/>
      <c r="CL187" s="564"/>
      <c r="CM187" s="564"/>
      <c r="CN187" s="564"/>
      <c r="CO187" s="564"/>
      <c r="CP187" s="564"/>
      <c r="CQ187" s="564"/>
      <c r="EN187" s="564"/>
      <c r="EO187" s="564"/>
      <c r="EP187" s="564"/>
      <c r="EQ187" s="564"/>
    </row>
    <row r="188" spans="2:147" ht="15" customHeight="1" x14ac:dyDescent="0.2">
      <c r="B188" s="647">
        <f t="shared" si="211"/>
        <v>4</v>
      </c>
      <c r="C188" s="652">
        <f>$P$15</f>
        <v>64</v>
      </c>
      <c r="D188" s="771">
        <f>$B$15</f>
        <v>1.92</v>
      </c>
      <c r="E188" s="772">
        <f t="shared" si="207"/>
        <v>16</v>
      </c>
      <c r="F188" s="689"/>
      <c r="G188" s="747">
        <f t="shared" si="208"/>
        <v>1.8504522786311079</v>
      </c>
      <c r="H188" s="748">
        <f t="shared" si="209"/>
        <v>4.8368855476050342E-3</v>
      </c>
      <c r="I188" s="550"/>
      <c r="J188" s="550"/>
      <c r="K188" s="550"/>
      <c r="L188" s="689"/>
      <c r="M188" s="689"/>
      <c r="N188" s="689"/>
      <c r="O188" s="689"/>
      <c r="P188" s="689"/>
      <c r="Q188" s="689"/>
      <c r="R188" s="689"/>
      <c r="S188" s="689"/>
      <c r="T188" s="689"/>
      <c r="U188" s="564"/>
      <c r="V188" s="564"/>
      <c r="W188" s="564"/>
      <c r="X188" s="564"/>
      <c r="Y188" s="564"/>
      <c r="Z188" s="564"/>
      <c r="AA188" s="564"/>
      <c r="AB188" s="564"/>
      <c r="AC188" s="564"/>
      <c r="AD188" s="564"/>
      <c r="AE188" s="564"/>
      <c r="AF188" s="564"/>
      <c r="AG188" s="564"/>
      <c r="AH188" s="564"/>
      <c r="AI188" s="564"/>
      <c r="AJ188" s="564"/>
      <c r="AK188" s="564"/>
      <c r="AL188" s="564"/>
      <c r="AM188" s="564"/>
      <c r="AN188" s="564"/>
      <c r="AO188" s="564"/>
      <c r="AP188" s="564"/>
      <c r="AQ188" s="564"/>
      <c r="AR188" s="564"/>
      <c r="AS188" s="564"/>
      <c r="AT188" s="564"/>
      <c r="AU188" s="564"/>
      <c r="AV188" s="564"/>
      <c r="AW188" s="564"/>
      <c r="AX188" s="564"/>
      <c r="AY188" s="564"/>
      <c r="AZ188" s="564"/>
      <c r="BA188" s="564"/>
      <c r="BB188" s="564"/>
      <c r="BC188" s="564"/>
      <c r="BD188" s="564"/>
      <c r="BE188" s="564"/>
      <c r="BF188" s="564"/>
      <c r="BG188" s="564"/>
      <c r="BH188" s="564"/>
      <c r="BI188" s="564"/>
      <c r="BJ188" s="564"/>
      <c r="BK188" s="564"/>
      <c r="BL188" s="564"/>
      <c r="BM188" s="564"/>
      <c r="BN188" s="564"/>
      <c r="BO188" s="564"/>
      <c r="BP188" s="564"/>
      <c r="BQ188" s="564"/>
      <c r="BR188" s="564"/>
      <c r="BS188" s="564"/>
      <c r="BT188" s="564"/>
      <c r="BU188" s="564"/>
      <c r="BV188" s="564"/>
      <c r="BW188" s="564"/>
      <c r="BX188" s="564"/>
      <c r="BY188" s="564"/>
      <c r="BZ188" s="564"/>
      <c r="CA188" s="564"/>
      <c r="CB188" s="564"/>
      <c r="CC188" s="564"/>
      <c r="CD188" s="564"/>
      <c r="CE188" s="564"/>
      <c r="CF188" s="564"/>
      <c r="CG188" s="564"/>
      <c r="CH188" s="564"/>
      <c r="CI188" s="564"/>
      <c r="CJ188" s="564"/>
      <c r="CK188" s="564"/>
      <c r="CL188" s="564"/>
      <c r="CM188" s="564"/>
      <c r="CN188" s="564"/>
      <c r="CO188" s="564"/>
      <c r="CP188" s="564"/>
      <c r="CQ188" s="564"/>
      <c r="EN188" s="564"/>
      <c r="EO188" s="564"/>
      <c r="EP188" s="564"/>
      <c r="EQ188" s="564"/>
    </row>
    <row r="189" spans="2:147" ht="15" customHeight="1" x14ac:dyDescent="0.2">
      <c r="B189" s="682">
        <f t="shared" si="211"/>
        <v>4</v>
      </c>
      <c r="C189" s="704">
        <f>$P$16</f>
        <v>60</v>
      </c>
      <c r="D189" s="807">
        <f>$B$16</f>
        <v>1.94</v>
      </c>
      <c r="E189" s="790">
        <f t="shared" si="207"/>
        <v>15</v>
      </c>
      <c r="F189" s="689"/>
      <c r="G189" s="747">
        <f t="shared" si="208"/>
        <v>1.869711678494109</v>
      </c>
      <c r="H189" s="748">
        <f t="shared" si="209"/>
        <v>4.9404481401154887E-3</v>
      </c>
      <c r="I189" s="550"/>
      <c r="J189" s="550"/>
      <c r="K189" s="550"/>
      <c r="L189" s="689"/>
      <c r="M189" s="689"/>
      <c r="N189" s="689"/>
      <c r="O189" s="689"/>
      <c r="P189" s="689"/>
      <c r="Q189" s="689"/>
      <c r="R189" s="689"/>
      <c r="S189" s="689"/>
      <c r="T189" s="689"/>
      <c r="U189" s="564"/>
      <c r="V189" s="564"/>
      <c r="W189" s="564"/>
      <c r="X189" s="564"/>
      <c r="Y189" s="564"/>
      <c r="Z189" s="564"/>
      <c r="AA189" s="564"/>
      <c r="AB189" s="564"/>
      <c r="AC189" s="564"/>
      <c r="AD189" s="564"/>
      <c r="AE189" s="564"/>
      <c r="AF189" s="564"/>
      <c r="AG189" s="564"/>
      <c r="AH189" s="564"/>
      <c r="AI189" s="564"/>
      <c r="AJ189" s="564"/>
      <c r="AK189" s="564"/>
      <c r="AL189" s="564"/>
      <c r="AM189" s="564"/>
      <c r="AN189" s="564"/>
      <c r="AO189" s="564"/>
      <c r="AP189" s="564"/>
      <c r="AQ189" s="564"/>
      <c r="AR189" s="564"/>
      <c r="AS189" s="564"/>
      <c r="AT189" s="564"/>
      <c r="AU189" s="564"/>
      <c r="AV189" s="564"/>
      <c r="AW189" s="564"/>
      <c r="AX189" s="564"/>
      <c r="AY189" s="564"/>
      <c r="AZ189" s="564"/>
      <c r="BA189" s="564"/>
      <c r="BB189" s="564"/>
      <c r="BC189" s="564"/>
      <c r="BD189" s="564"/>
      <c r="BE189" s="564"/>
      <c r="BF189" s="564"/>
      <c r="BG189" s="564"/>
      <c r="BH189" s="564"/>
      <c r="BI189" s="564"/>
      <c r="BJ189" s="564"/>
      <c r="BK189" s="564"/>
      <c r="BL189" s="564"/>
      <c r="BM189" s="564"/>
      <c r="BN189" s="564"/>
      <c r="BO189" s="564"/>
      <c r="BP189" s="564"/>
      <c r="BQ189" s="564"/>
      <c r="BR189" s="564"/>
      <c r="BS189" s="564"/>
      <c r="BT189" s="564"/>
      <c r="BU189" s="564"/>
      <c r="BV189" s="564"/>
      <c r="BW189" s="564"/>
      <c r="BX189" s="564"/>
      <c r="BY189" s="564"/>
      <c r="BZ189" s="564"/>
      <c r="CA189" s="564"/>
      <c r="CB189" s="564"/>
      <c r="CC189" s="564"/>
      <c r="CD189" s="564"/>
      <c r="CE189" s="564"/>
      <c r="CF189" s="564"/>
      <c r="CG189" s="564"/>
      <c r="CH189" s="564"/>
      <c r="CI189" s="564"/>
      <c r="CJ189" s="564"/>
      <c r="CK189" s="564"/>
      <c r="CL189" s="564"/>
      <c r="CM189" s="564"/>
      <c r="CN189" s="564"/>
      <c r="CO189" s="564"/>
      <c r="CP189" s="564"/>
      <c r="CQ189" s="564"/>
      <c r="EN189" s="564"/>
      <c r="EO189" s="564"/>
      <c r="EP189" s="564"/>
      <c r="EQ189" s="564"/>
    </row>
    <row r="190" spans="2:147" ht="15" customHeight="1" x14ac:dyDescent="0.2">
      <c r="B190" s="861">
        <f t="shared" ref="B190:B200" si="212">$Q$4</f>
        <v>3</v>
      </c>
      <c r="C190" s="862">
        <f>$Q$6</f>
        <v>78.5</v>
      </c>
      <c r="D190" s="863">
        <f>$B$6</f>
        <v>1.75</v>
      </c>
      <c r="E190" s="864">
        <f t="shared" si="207"/>
        <v>26.166666666666668</v>
      </c>
      <c r="F190" s="791"/>
      <c r="G190" s="747">
        <f t="shared" si="208"/>
        <v>1.6901576660097275</v>
      </c>
      <c r="H190" s="789">
        <f t="shared" si="209"/>
        <v>3.5811049374033233E-3</v>
      </c>
      <c r="I190" s="550"/>
      <c r="J190" s="550"/>
      <c r="K190" s="550"/>
      <c r="L190" s="689"/>
      <c r="M190" s="689"/>
      <c r="N190" s="689"/>
      <c r="O190" s="689"/>
      <c r="P190" s="689"/>
      <c r="Q190" s="689"/>
      <c r="R190" s="689"/>
      <c r="S190" s="689"/>
      <c r="T190" s="689"/>
      <c r="U190" s="564"/>
      <c r="V190" s="564"/>
      <c r="W190" s="564"/>
      <c r="X190" s="564"/>
      <c r="Y190" s="564"/>
      <c r="Z190" s="564"/>
      <c r="AA190" s="564"/>
      <c r="AB190" s="564"/>
      <c r="AC190" s="564"/>
      <c r="AD190" s="564"/>
      <c r="AE190" s="564"/>
      <c r="AF190" s="564"/>
      <c r="AG190" s="564"/>
      <c r="AH190" s="564"/>
      <c r="AI190" s="564"/>
      <c r="AJ190" s="564"/>
      <c r="AK190" s="564"/>
      <c r="AL190" s="564"/>
      <c r="AM190" s="564"/>
      <c r="AN190" s="564"/>
      <c r="AO190" s="564"/>
      <c r="AP190" s="564"/>
      <c r="AQ190" s="564"/>
      <c r="AR190" s="564"/>
      <c r="AS190" s="564"/>
      <c r="AT190" s="564"/>
      <c r="AU190" s="564"/>
      <c r="AV190" s="564"/>
      <c r="AW190" s="564"/>
      <c r="AX190" s="564"/>
      <c r="AY190" s="564"/>
      <c r="AZ190" s="564"/>
      <c r="BA190" s="564"/>
      <c r="BB190" s="564"/>
      <c r="BC190" s="564"/>
      <c r="BD190" s="564"/>
      <c r="BE190" s="564"/>
      <c r="BF190" s="564"/>
      <c r="BG190" s="564"/>
      <c r="BH190" s="564"/>
      <c r="BI190" s="564"/>
      <c r="BJ190" s="564"/>
      <c r="BK190" s="564"/>
      <c r="BL190" s="564"/>
      <c r="BM190" s="564"/>
      <c r="BN190" s="564"/>
      <c r="BO190" s="564"/>
      <c r="BP190" s="564"/>
      <c r="BQ190" s="564"/>
      <c r="BR190" s="564"/>
      <c r="BS190" s="564"/>
      <c r="BT190" s="564"/>
      <c r="BU190" s="564"/>
      <c r="BV190" s="564"/>
      <c r="BW190" s="564"/>
      <c r="BX190" s="564"/>
      <c r="BY190" s="564"/>
      <c r="BZ190" s="564"/>
      <c r="CA190" s="564"/>
      <c r="CB190" s="564"/>
      <c r="CC190" s="564"/>
      <c r="CD190" s="564"/>
      <c r="CE190" s="564"/>
      <c r="CF190" s="564"/>
      <c r="CG190" s="564"/>
      <c r="CH190" s="564"/>
      <c r="CI190" s="564"/>
      <c r="CJ190" s="564"/>
      <c r="CK190" s="564"/>
      <c r="CL190" s="564"/>
      <c r="CM190" s="564"/>
      <c r="CN190" s="564"/>
      <c r="CO190" s="564"/>
      <c r="CP190" s="564"/>
      <c r="CQ190" s="564"/>
      <c r="EN190" s="564"/>
      <c r="EO190" s="564"/>
      <c r="EP190" s="564"/>
      <c r="EQ190" s="564"/>
    </row>
    <row r="191" spans="2:147" ht="15" customHeight="1" x14ac:dyDescent="0.2">
      <c r="B191" s="647">
        <f t="shared" si="212"/>
        <v>3</v>
      </c>
      <c r="C191" s="652">
        <f>$Q$7</f>
        <v>78</v>
      </c>
      <c r="D191" s="771">
        <f>$B$7</f>
        <v>1.78</v>
      </c>
      <c r="E191" s="772">
        <f t="shared" si="207"/>
        <v>26</v>
      </c>
      <c r="F191" s="689"/>
      <c r="G191" s="747">
        <f t="shared" si="208"/>
        <v>1.6948326657037054</v>
      </c>
      <c r="H191" s="748">
        <f t="shared" si="209"/>
        <v>7.2534748311368054E-3</v>
      </c>
      <c r="I191" s="550"/>
      <c r="J191" s="550"/>
      <c r="K191" s="550"/>
      <c r="L191" s="689"/>
      <c r="M191" s="689"/>
      <c r="N191" s="689"/>
      <c r="O191" s="689"/>
      <c r="P191" s="689"/>
      <c r="Q191" s="689"/>
      <c r="R191" s="689"/>
      <c r="S191" s="689"/>
      <c r="T191" s="689"/>
      <c r="U191" s="564"/>
      <c r="V191" s="564"/>
      <c r="W191" s="564"/>
      <c r="X191" s="564"/>
      <c r="Y191" s="564"/>
      <c r="Z191" s="564"/>
      <c r="AA191" s="564"/>
      <c r="AB191" s="564"/>
      <c r="AC191" s="564"/>
      <c r="AD191" s="564"/>
      <c r="AE191" s="564"/>
      <c r="AF191" s="564"/>
      <c r="AG191" s="564"/>
      <c r="AH191" s="564"/>
      <c r="AI191" s="564"/>
      <c r="AJ191" s="564"/>
      <c r="AK191" s="564"/>
      <c r="AL191" s="564"/>
      <c r="AM191" s="564"/>
      <c r="AN191" s="564"/>
      <c r="AO191" s="564"/>
      <c r="AP191" s="564"/>
      <c r="AQ191" s="564"/>
      <c r="AR191" s="564"/>
      <c r="AS191" s="564"/>
      <c r="AT191" s="564"/>
      <c r="AU191" s="564"/>
      <c r="AV191" s="564"/>
      <c r="AW191" s="564"/>
      <c r="AX191" s="564"/>
      <c r="AY191" s="564"/>
      <c r="AZ191" s="564"/>
      <c r="BA191" s="564"/>
      <c r="BB191" s="564"/>
      <c r="BC191" s="564"/>
      <c r="BD191" s="564"/>
      <c r="BE191" s="564"/>
      <c r="BF191" s="564"/>
      <c r="BG191" s="564"/>
      <c r="BH191" s="564"/>
      <c r="BI191" s="564"/>
      <c r="BJ191" s="564"/>
      <c r="BK191" s="564"/>
      <c r="BL191" s="564"/>
      <c r="BM191" s="564"/>
      <c r="BN191" s="564"/>
      <c r="BO191" s="564"/>
      <c r="BP191" s="564"/>
      <c r="BQ191" s="564"/>
      <c r="BR191" s="564"/>
      <c r="BS191" s="564"/>
      <c r="BT191" s="564"/>
      <c r="BU191" s="564"/>
      <c r="BV191" s="564"/>
      <c r="BW191" s="564"/>
      <c r="BX191" s="564"/>
      <c r="BY191" s="564"/>
      <c r="BZ191" s="564"/>
      <c r="CA191" s="564"/>
      <c r="CB191" s="564"/>
      <c r="CC191" s="564"/>
      <c r="CD191" s="564"/>
      <c r="CE191" s="564"/>
      <c r="CF191" s="564"/>
      <c r="CG191" s="564"/>
      <c r="CH191" s="564"/>
      <c r="CI191" s="564"/>
      <c r="CJ191" s="564"/>
      <c r="CK191" s="564"/>
      <c r="CL191" s="564"/>
      <c r="CM191" s="564"/>
      <c r="CN191" s="564"/>
      <c r="CO191" s="564"/>
      <c r="CP191" s="564"/>
      <c r="CQ191" s="564"/>
      <c r="EN191" s="564"/>
      <c r="EO191" s="564"/>
      <c r="EP191" s="564"/>
      <c r="EQ191" s="564"/>
    </row>
    <row r="192" spans="2:147" ht="15" customHeight="1" x14ac:dyDescent="0.2">
      <c r="B192" s="647">
        <f t="shared" si="212"/>
        <v>3</v>
      </c>
      <c r="C192" s="652">
        <f>$Q$8</f>
        <v>76.5</v>
      </c>
      <c r="D192" s="771">
        <f>$B$8</f>
        <v>1.8</v>
      </c>
      <c r="E192" s="772">
        <f t="shared" si="207"/>
        <v>25.5</v>
      </c>
      <c r="F192" s="689"/>
      <c r="G192" s="747">
        <f t="shared" si="208"/>
        <v>1.7084206560209587</v>
      </c>
      <c r="H192" s="748">
        <f t="shared" si="209"/>
        <v>8.3867762436315735E-3</v>
      </c>
      <c r="I192" s="550"/>
      <c r="J192" s="550"/>
      <c r="K192" s="550"/>
      <c r="L192" s="689"/>
      <c r="M192" s="689"/>
      <c r="N192" s="689"/>
      <c r="O192" s="689"/>
      <c r="P192" s="689"/>
      <c r="Q192" s="689"/>
      <c r="R192" s="689"/>
      <c r="S192" s="689"/>
      <c r="T192" s="689"/>
      <c r="U192" s="564"/>
      <c r="V192" s="564"/>
      <c r="W192" s="564"/>
      <c r="X192" s="564"/>
      <c r="Y192" s="564"/>
      <c r="Z192" s="564"/>
      <c r="AA192" s="564"/>
      <c r="AB192" s="564"/>
      <c r="AC192" s="564"/>
      <c r="AD192" s="564"/>
      <c r="AE192" s="564"/>
      <c r="AF192" s="564"/>
      <c r="AG192" s="564"/>
      <c r="AH192" s="564"/>
      <c r="AI192" s="564"/>
      <c r="AJ192" s="564"/>
      <c r="AK192" s="564"/>
      <c r="AL192" s="564"/>
      <c r="AM192" s="564"/>
      <c r="AN192" s="564"/>
      <c r="AO192" s="564"/>
      <c r="AP192" s="564"/>
      <c r="AQ192" s="564"/>
      <c r="AR192" s="564"/>
      <c r="AS192" s="564"/>
      <c r="AT192" s="564"/>
      <c r="AU192" s="564"/>
      <c r="AV192" s="564"/>
      <c r="AW192" s="564"/>
      <c r="AX192" s="564"/>
      <c r="AY192" s="564"/>
      <c r="AZ192" s="564"/>
      <c r="BA192" s="564"/>
      <c r="BB192" s="564"/>
      <c r="BC192" s="564"/>
      <c r="BD192" s="564"/>
      <c r="BE192" s="564"/>
      <c r="BF192" s="564"/>
      <c r="BG192" s="564"/>
      <c r="BH192" s="564"/>
      <c r="BI192" s="564"/>
      <c r="BJ192" s="564"/>
      <c r="BK192" s="564"/>
      <c r="BL192" s="564"/>
      <c r="BM192" s="564"/>
      <c r="BN192" s="564"/>
      <c r="BO192" s="564"/>
      <c r="BP192" s="564"/>
      <c r="BQ192" s="564"/>
      <c r="BR192" s="564"/>
      <c r="BS192" s="564"/>
      <c r="BT192" s="564"/>
      <c r="BU192" s="564"/>
      <c r="BV192" s="564"/>
      <c r="BW192" s="564"/>
      <c r="BX192" s="564"/>
      <c r="BY192" s="564"/>
      <c r="BZ192" s="564"/>
      <c r="CA192" s="564"/>
      <c r="CB192" s="564"/>
      <c r="CC192" s="564"/>
      <c r="CD192" s="564"/>
      <c r="CE192" s="564"/>
      <c r="CF192" s="564"/>
      <c r="CG192" s="564"/>
      <c r="CH192" s="564"/>
      <c r="CI192" s="564"/>
      <c r="CJ192" s="564"/>
      <c r="CK192" s="564"/>
      <c r="CL192" s="564"/>
      <c r="CM192" s="564"/>
      <c r="CN192" s="564"/>
      <c r="CO192" s="564"/>
      <c r="CP192" s="564"/>
      <c r="CQ192" s="564"/>
      <c r="EN192" s="564"/>
      <c r="EO192" s="564"/>
      <c r="EP192" s="564"/>
      <c r="EQ192" s="564"/>
    </row>
    <row r="193" spans="2:147" ht="15" customHeight="1" x14ac:dyDescent="0.2">
      <c r="B193" s="647">
        <f t="shared" si="212"/>
        <v>3</v>
      </c>
      <c r="C193" s="652">
        <f>$Q$9</f>
        <v>76</v>
      </c>
      <c r="D193" s="771">
        <f>$B$9</f>
        <v>1.81</v>
      </c>
      <c r="E193" s="772">
        <f t="shared" si="207"/>
        <v>25.333333333333332</v>
      </c>
      <c r="F193" s="689"/>
      <c r="G193" s="747">
        <f t="shared" si="208"/>
        <v>1.7128111481924733</v>
      </c>
      <c r="H193" s="748">
        <f t="shared" si="209"/>
        <v>9.4456729156654033E-3</v>
      </c>
      <c r="I193" s="550"/>
      <c r="J193" s="550"/>
      <c r="K193" s="550"/>
      <c r="L193" s="689"/>
      <c r="M193" s="689"/>
      <c r="N193" s="689"/>
      <c r="O193" s="689"/>
      <c r="P193" s="689"/>
      <c r="Q193" s="689"/>
      <c r="R193" s="689"/>
      <c r="S193" s="689"/>
      <c r="T193" s="689"/>
      <c r="U193" s="564"/>
      <c r="V193" s="564"/>
      <c r="W193" s="564"/>
      <c r="X193" s="564"/>
      <c r="Y193" s="564"/>
      <c r="Z193" s="564"/>
      <c r="AA193" s="564"/>
      <c r="AB193" s="564"/>
      <c r="AC193" s="564"/>
      <c r="AD193" s="564"/>
      <c r="AE193" s="564"/>
      <c r="AF193" s="564"/>
      <c r="AG193" s="564"/>
      <c r="AH193" s="564"/>
      <c r="AI193" s="564"/>
      <c r="AJ193" s="564"/>
      <c r="AK193" s="564"/>
      <c r="AL193" s="564"/>
      <c r="AM193" s="564"/>
      <c r="AN193" s="564"/>
      <c r="AO193" s="564"/>
      <c r="AP193" s="564"/>
      <c r="AQ193" s="564"/>
      <c r="AR193" s="564"/>
      <c r="AS193" s="564"/>
      <c r="AT193" s="564"/>
      <c r="AU193" s="564"/>
      <c r="AV193" s="564"/>
      <c r="AW193" s="564"/>
      <c r="AX193" s="564"/>
      <c r="AY193" s="564"/>
      <c r="AZ193" s="564"/>
      <c r="BA193" s="564"/>
      <c r="BB193" s="564"/>
      <c r="BC193" s="564"/>
      <c r="BD193" s="564"/>
      <c r="BE193" s="564"/>
      <c r="BF193" s="564"/>
      <c r="BG193" s="564"/>
      <c r="BH193" s="564"/>
      <c r="BI193" s="564"/>
      <c r="BJ193" s="564"/>
      <c r="BK193" s="564"/>
      <c r="BL193" s="564"/>
      <c r="BM193" s="564"/>
      <c r="BN193" s="564"/>
      <c r="BO193" s="564"/>
      <c r="BP193" s="564"/>
      <c r="BQ193" s="564"/>
      <c r="BR193" s="564"/>
      <c r="BS193" s="564"/>
      <c r="BT193" s="564"/>
      <c r="BU193" s="564"/>
      <c r="BV193" s="564"/>
      <c r="BW193" s="564"/>
      <c r="BX193" s="564"/>
      <c r="BY193" s="564"/>
      <c r="BZ193" s="564"/>
      <c r="CA193" s="564"/>
      <c r="CB193" s="564"/>
      <c r="CC193" s="564"/>
      <c r="CD193" s="564"/>
      <c r="CE193" s="564"/>
      <c r="CF193" s="564"/>
      <c r="CG193" s="564"/>
      <c r="CH193" s="564"/>
      <c r="CI193" s="564"/>
      <c r="CJ193" s="564"/>
      <c r="CK193" s="564"/>
      <c r="CL193" s="564"/>
      <c r="CM193" s="564"/>
      <c r="CN193" s="564"/>
      <c r="CO193" s="564"/>
      <c r="CP193" s="564"/>
      <c r="CQ193" s="564"/>
      <c r="EN193" s="564"/>
      <c r="EO193" s="564"/>
      <c r="EP193" s="564"/>
      <c r="EQ193" s="564"/>
    </row>
    <row r="194" spans="2:147" ht="15" customHeight="1" x14ac:dyDescent="0.2">
      <c r="B194" s="647">
        <f t="shared" si="212"/>
        <v>3</v>
      </c>
      <c r="C194" s="652">
        <f>$Q$10</f>
        <v>74</v>
      </c>
      <c r="D194" s="771">
        <f>$B$10</f>
        <v>1.83</v>
      </c>
      <c r="E194" s="772">
        <f t="shared" si="207"/>
        <v>24.666666666666668</v>
      </c>
      <c r="F194" s="689"/>
      <c r="G194" s="747">
        <f t="shared" si="208"/>
        <v>1.729729866560759</v>
      </c>
      <c r="H194" s="748">
        <f t="shared" si="209"/>
        <v>1.005409965992321E-2</v>
      </c>
      <c r="I194" s="550"/>
      <c r="J194" s="550"/>
      <c r="K194" s="550"/>
      <c r="L194" s="689"/>
      <c r="M194" s="689"/>
      <c r="N194" s="689"/>
      <c r="O194" s="689"/>
      <c r="P194" s="689"/>
      <c r="Q194" s="689"/>
      <c r="R194" s="689"/>
      <c r="S194" s="689"/>
      <c r="T194" s="689"/>
      <c r="U194" s="564"/>
      <c r="V194" s="564"/>
      <c r="W194" s="564"/>
      <c r="X194" s="564"/>
      <c r="Y194" s="564"/>
      <c r="Z194" s="564"/>
      <c r="AA194" s="564"/>
      <c r="AB194" s="564"/>
      <c r="AC194" s="564"/>
      <c r="AD194" s="564"/>
      <c r="AE194" s="564"/>
      <c r="AF194" s="564"/>
      <c r="AG194" s="564"/>
      <c r="AH194" s="564"/>
      <c r="AI194" s="564"/>
      <c r="AJ194" s="564"/>
      <c r="AK194" s="564"/>
      <c r="AL194" s="564"/>
      <c r="AM194" s="564"/>
      <c r="AN194" s="564"/>
      <c r="AO194" s="564"/>
      <c r="AP194" s="564"/>
      <c r="AQ194" s="564"/>
      <c r="AR194" s="564"/>
      <c r="AS194" s="564"/>
      <c r="AT194" s="564"/>
      <c r="AU194" s="564"/>
      <c r="AV194" s="564"/>
      <c r="AW194" s="564"/>
      <c r="AX194" s="564"/>
      <c r="AY194" s="564"/>
      <c r="AZ194" s="564"/>
      <c r="BA194" s="564"/>
      <c r="BB194" s="564"/>
      <c r="BC194" s="564"/>
      <c r="BD194" s="564"/>
      <c r="BE194" s="564"/>
      <c r="BF194" s="564"/>
      <c r="BG194" s="564"/>
      <c r="BH194" s="564"/>
      <c r="BI194" s="564"/>
      <c r="BJ194" s="564"/>
      <c r="BK194" s="564"/>
      <c r="BL194" s="564"/>
      <c r="BM194" s="564"/>
      <c r="BN194" s="564"/>
      <c r="BO194" s="564"/>
      <c r="BP194" s="564"/>
      <c r="BQ194" s="564"/>
      <c r="BR194" s="564"/>
      <c r="BS194" s="564"/>
      <c r="BT194" s="564"/>
      <c r="BU194" s="564"/>
      <c r="BV194" s="564"/>
      <c r="BW194" s="564"/>
      <c r="BX194" s="564"/>
      <c r="BY194" s="564"/>
      <c r="BZ194" s="564"/>
      <c r="CA194" s="564"/>
      <c r="CB194" s="564"/>
      <c r="CC194" s="564"/>
      <c r="CD194" s="564"/>
      <c r="CE194" s="564"/>
      <c r="CF194" s="564"/>
      <c r="CG194" s="564"/>
      <c r="CH194" s="564"/>
      <c r="CI194" s="564"/>
      <c r="CJ194" s="564"/>
      <c r="CK194" s="564"/>
      <c r="CL194" s="564"/>
      <c r="CM194" s="564"/>
      <c r="CN194" s="564"/>
      <c r="CO194" s="564"/>
      <c r="CP194" s="564"/>
      <c r="CQ194" s="564"/>
      <c r="EN194" s="564"/>
      <c r="EO194" s="564"/>
      <c r="EP194" s="564"/>
      <c r="EQ194" s="564"/>
    </row>
    <row r="195" spans="2:147" ht="15" customHeight="1" x14ac:dyDescent="0.2">
      <c r="B195" s="647">
        <f t="shared" si="212"/>
        <v>3</v>
      </c>
      <c r="C195" s="652">
        <f>$Q$11</f>
        <v>73</v>
      </c>
      <c r="D195" s="771">
        <f>$B$11</f>
        <v>1.84</v>
      </c>
      <c r="E195" s="772">
        <f t="shared" si="207"/>
        <v>24.333333333333332</v>
      </c>
      <c r="F195" s="689"/>
      <c r="G195" s="747">
        <f t="shared" si="208"/>
        <v>1.7378280552931389</v>
      </c>
      <c r="H195" s="748">
        <f t="shared" si="209"/>
        <v>1.0439106285181901E-2</v>
      </c>
      <c r="I195" s="550"/>
      <c r="J195" s="550"/>
      <c r="K195" s="550"/>
      <c r="L195" s="689"/>
      <c r="M195" s="689"/>
      <c r="N195" s="689"/>
      <c r="O195" s="689"/>
      <c r="P195" s="689"/>
      <c r="Q195" s="689"/>
      <c r="R195" s="689"/>
      <c r="S195" s="689"/>
      <c r="T195" s="689"/>
      <c r="U195" s="564"/>
      <c r="V195" s="564"/>
      <c r="W195" s="564"/>
      <c r="X195" s="564"/>
      <c r="Y195" s="564"/>
      <c r="Z195" s="564"/>
      <c r="AA195" s="564"/>
      <c r="AB195" s="564"/>
      <c r="AC195" s="564"/>
      <c r="AD195" s="564"/>
      <c r="AE195" s="564"/>
      <c r="AF195" s="564"/>
      <c r="AG195" s="564"/>
      <c r="AH195" s="564"/>
      <c r="AI195" s="564"/>
      <c r="AJ195" s="564"/>
      <c r="AK195" s="564"/>
      <c r="AL195" s="564"/>
      <c r="AM195" s="564"/>
      <c r="AN195" s="564"/>
      <c r="AO195" s="564"/>
      <c r="AP195" s="564"/>
      <c r="AQ195" s="564"/>
      <c r="AR195" s="564"/>
      <c r="AS195" s="564"/>
      <c r="AT195" s="564"/>
      <c r="AU195" s="564"/>
      <c r="AV195" s="564"/>
      <c r="AW195" s="564"/>
      <c r="AX195" s="564"/>
      <c r="AY195" s="564"/>
      <c r="AZ195" s="564"/>
      <c r="BA195" s="564"/>
      <c r="BB195" s="564"/>
      <c r="BC195" s="564"/>
      <c r="BD195" s="564"/>
      <c r="BE195" s="564"/>
      <c r="BF195" s="564"/>
      <c r="BG195" s="564"/>
      <c r="BH195" s="564"/>
      <c r="BI195" s="564"/>
      <c r="BJ195" s="564"/>
      <c r="BK195" s="564"/>
      <c r="BL195" s="564"/>
      <c r="BM195" s="564"/>
      <c r="BN195" s="564"/>
      <c r="BO195" s="564"/>
      <c r="BP195" s="564"/>
      <c r="BQ195" s="564"/>
      <c r="BR195" s="564"/>
      <c r="BS195" s="564"/>
      <c r="BT195" s="564"/>
      <c r="BU195" s="564"/>
      <c r="BV195" s="564"/>
      <c r="BW195" s="564"/>
      <c r="BX195" s="564"/>
      <c r="BY195" s="564"/>
      <c r="BZ195" s="564"/>
      <c r="CA195" s="564"/>
      <c r="CB195" s="564"/>
      <c r="CC195" s="564"/>
      <c r="CD195" s="564"/>
      <c r="CE195" s="564"/>
      <c r="CF195" s="564"/>
      <c r="CG195" s="564"/>
      <c r="CH195" s="564"/>
      <c r="CI195" s="564"/>
      <c r="CJ195" s="564"/>
      <c r="CK195" s="564"/>
      <c r="CL195" s="564"/>
      <c r="CM195" s="564"/>
      <c r="CN195" s="564"/>
      <c r="CO195" s="564"/>
      <c r="CP195" s="564"/>
      <c r="CQ195" s="564"/>
      <c r="EN195" s="564"/>
      <c r="EO195" s="564"/>
      <c r="EP195" s="564"/>
      <c r="EQ195" s="564"/>
    </row>
    <row r="196" spans="2:147" ht="15" customHeight="1" x14ac:dyDescent="0.2">
      <c r="B196" s="647">
        <f t="shared" si="212"/>
        <v>3</v>
      </c>
      <c r="C196" s="652">
        <f>$Q$12</f>
        <v>70</v>
      </c>
      <c r="D196" s="771">
        <f>$B$12</f>
        <v>1.86</v>
      </c>
      <c r="E196" s="772">
        <f t="shared" si="207"/>
        <v>23.333333333333332</v>
      </c>
      <c r="F196" s="689"/>
      <c r="G196" s="747">
        <f t="shared" si="208"/>
        <v>1.7608326535981229</v>
      </c>
      <c r="H196" s="748">
        <f t="shared" si="209"/>
        <v>9.8341625923899049E-3</v>
      </c>
      <c r="I196" s="689"/>
      <c r="J196" s="689"/>
      <c r="K196" s="689"/>
      <c r="L196" s="689"/>
      <c r="M196" s="689"/>
      <c r="N196" s="689"/>
      <c r="O196" s="689"/>
      <c r="P196" s="689"/>
      <c r="Q196" s="689"/>
      <c r="R196" s="689"/>
      <c r="S196" s="689"/>
      <c r="T196" s="689"/>
      <c r="U196" s="564"/>
      <c r="V196" s="564"/>
      <c r="W196" s="564"/>
      <c r="X196" s="564"/>
      <c r="Y196" s="564"/>
      <c r="Z196" s="564"/>
      <c r="AA196" s="564"/>
      <c r="AB196" s="564"/>
      <c r="AC196" s="564"/>
      <c r="AD196" s="564"/>
      <c r="AE196" s="564"/>
      <c r="AF196" s="564"/>
      <c r="AG196" s="564"/>
      <c r="AH196" s="564"/>
      <c r="AI196" s="564"/>
      <c r="AJ196" s="564"/>
      <c r="AK196" s="564"/>
      <c r="AL196" s="564"/>
      <c r="AM196" s="564"/>
      <c r="AN196" s="564"/>
      <c r="AO196" s="564"/>
      <c r="AP196" s="564"/>
      <c r="AQ196" s="564"/>
      <c r="AR196" s="564"/>
      <c r="AS196" s="564"/>
      <c r="AT196" s="564"/>
      <c r="AU196" s="564"/>
      <c r="AV196" s="564"/>
      <c r="AW196" s="564"/>
      <c r="AX196" s="564"/>
      <c r="AY196" s="564"/>
      <c r="AZ196" s="564"/>
      <c r="BA196" s="564"/>
      <c r="BB196" s="564"/>
      <c r="BC196" s="564"/>
      <c r="BD196" s="564"/>
      <c r="BE196" s="564"/>
      <c r="BF196" s="564"/>
      <c r="BG196" s="564"/>
      <c r="BH196" s="564"/>
      <c r="BI196" s="564"/>
      <c r="BJ196" s="564"/>
      <c r="BK196" s="564"/>
      <c r="BL196" s="564"/>
      <c r="BM196" s="564"/>
      <c r="BN196" s="564"/>
      <c r="BO196" s="564"/>
      <c r="BP196" s="564"/>
      <c r="BQ196" s="564"/>
      <c r="BR196" s="564"/>
      <c r="BS196" s="564"/>
      <c r="BT196" s="564"/>
      <c r="BU196" s="564"/>
      <c r="BV196" s="564"/>
      <c r="BW196" s="564"/>
      <c r="BX196" s="564"/>
      <c r="BY196" s="564"/>
      <c r="BZ196" s="564"/>
      <c r="CA196" s="564"/>
      <c r="CB196" s="564"/>
      <c r="CC196" s="564"/>
      <c r="CD196" s="564"/>
      <c r="CE196" s="564"/>
      <c r="CF196" s="564"/>
      <c r="CG196" s="564"/>
      <c r="CH196" s="564"/>
      <c r="CI196" s="564"/>
      <c r="CJ196" s="564"/>
      <c r="CK196" s="564"/>
      <c r="CL196" s="564"/>
      <c r="CM196" s="564"/>
      <c r="CN196" s="564"/>
      <c r="CO196" s="564"/>
      <c r="CP196" s="564"/>
      <c r="CQ196" s="564"/>
      <c r="EN196" s="564"/>
      <c r="EO196" s="564"/>
      <c r="EP196" s="564"/>
      <c r="EQ196" s="564"/>
    </row>
    <row r="197" spans="2:147" ht="15" customHeight="1" x14ac:dyDescent="0.2">
      <c r="B197" s="647">
        <f t="shared" si="212"/>
        <v>3</v>
      </c>
      <c r="C197" s="652">
        <f>$Q$13</f>
        <v>66</v>
      </c>
      <c r="D197" s="771">
        <f>$B$13</f>
        <v>1.88</v>
      </c>
      <c r="E197" s="772">
        <f t="shared" si="207"/>
        <v>22</v>
      </c>
      <c r="F197" s="689"/>
      <c r="G197" s="747">
        <f t="shared" si="208"/>
        <v>1.7889161055462828</v>
      </c>
      <c r="H197" s="748">
        <f t="shared" si="209"/>
        <v>8.2962758288558803E-3</v>
      </c>
      <c r="I197" s="689"/>
      <c r="J197" s="689"/>
      <c r="K197" s="689"/>
      <c r="L197" s="689"/>
      <c r="M197" s="689"/>
      <c r="N197" s="689"/>
      <c r="O197" s="689"/>
      <c r="P197" s="689"/>
      <c r="Q197" s="689"/>
      <c r="R197" s="689"/>
      <c r="S197" s="689"/>
      <c r="T197" s="689"/>
      <c r="U197" s="564"/>
      <c r="V197" s="564"/>
      <c r="W197" s="564"/>
      <c r="X197" s="564"/>
      <c r="Y197" s="564"/>
      <c r="Z197" s="564"/>
      <c r="AA197" s="564"/>
      <c r="AB197" s="564"/>
      <c r="AC197" s="564"/>
      <c r="AD197" s="564"/>
      <c r="AE197" s="564"/>
      <c r="AF197" s="564"/>
      <c r="AG197" s="564"/>
      <c r="AH197" s="564"/>
      <c r="AI197" s="564"/>
      <c r="AJ197" s="564"/>
      <c r="AK197" s="564"/>
      <c r="AL197" s="564"/>
      <c r="AM197" s="564"/>
      <c r="AN197" s="564"/>
      <c r="AO197" s="564"/>
      <c r="AP197" s="564"/>
      <c r="AQ197" s="564"/>
      <c r="AR197" s="564"/>
      <c r="AS197" s="564"/>
      <c r="AT197" s="564"/>
      <c r="AU197" s="564"/>
      <c r="AV197" s="564"/>
      <c r="AW197" s="564"/>
      <c r="AX197" s="564"/>
      <c r="AY197" s="564"/>
      <c r="AZ197" s="564"/>
      <c r="BA197" s="564"/>
      <c r="BB197" s="564"/>
      <c r="BC197" s="564"/>
      <c r="BD197" s="564"/>
      <c r="BE197" s="564"/>
      <c r="BF197" s="564"/>
      <c r="BG197" s="564"/>
      <c r="BH197" s="564"/>
      <c r="BI197" s="564"/>
      <c r="BJ197" s="564"/>
      <c r="BK197" s="564"/>
      <c r="BL197" s="564"/>
      <c r="BM197" s="564"/>
      <c r="BN197" s="564"/>
      <c r="BO197" s="564"/>
      <c r="BP197" s="564"/>
      <c r="BQ197" s="564"/>
      <c r="BR197" s="564"/>
      <c r="BS197" s="564"/>
      <c r="BT197" s="564"/>
      <c r="BU197" s="564"/>
      <c r="BV197" s="564"/>
      <c r="BW197" s="564"/>
      <c r="BX197" s="564"/>
      <c r="BY197" s="564"/>
      <c r="BZ197" s="564"/>
      <c r="CA197" s="564"/>
      <c r="CB197" s="564"/>
      <c r="CC197" s="564"/>
      <c r="CD197" s="564"/>
      <c r="CE197" s="564"/>
      <c r="CF197" s="564"/>
      <c r="CG197" s="564"/>
      <c r="CH197" s="564"/>
      <c r="CI197" s="564"/>
      <c r="CJ197" s="564"/>
      <c r="CK197" s="564"/>
      <c r="CL197" s="564"/>
      <c r="CM197" s="564"/>
      <c r="CN197" s="564"/>
      <c r="CO197" s="564"/>
      <c r="CP197" s="564"/>
      <c r="CQ197" s="564"/>
      <c r="EN197" s="564"/>
      <c r="EO197" s="564"/>
      <c r="EP197" s="564"/>
      <c r="EQ197" s="564"/>
    </row>
    <row r="198" spans="2:147" ht="15" customHeight="1" x14ac:dyDescent="0.2">
      <c r="B198" s="647">
        <f t="shared" si="212"/>
        <v>3</v>
      </c>
      <c r="C198" s="652">
        <f>$Q$14</f>
        <v>62.5</v>
      </c>
      <c r="D198" s="771">
        <f>$B$14</f>
        <v>1.9</v>
      </c>
      <c r="E198" s="772">
        <f t="shared" si="207"/>
        <v>20.833333333333332</v>
      </c>
      <c r="F198" s="689"/>
      <c r="G198" s="747">
        <f t="shared" si="208"/>
        <v>1.8115110124563136</v>
      </c>
      <c r="H198" s="748">
        <f t="shared" si="209"/>
        <v>7.8303009165066658E-3</v>
      </c>
      <c r="I198" s="689"/>
      <c r="J198" s="689"/>
      <c r="K198" s="689"/>
      <c r="L198" s="689"/>
      <c r="M198" s="689"/>
      <c r="N198" s="689"/>
      <c r="O198" s="689"/>
      <c r="P198" s="689"/>
      <c r="Q198" s="689"/>
      <c r="R198" s="689"/>
      <c r="S198" s="689"/>
      <c r="T198" s="689"/>
      <c r="U198" s="564"/>
      <c r="V198" s="564"/>
      <c r="W198" s="564"/>
      <c r="X198" s="564"/>
      <c r="Y198" s="564"/>
      <c r="Z198" s="564"/>
      <c r="AA198" s="564"/>
      <c r="AB198" s="564"/>
      <c r="AC198" s="564"/>
      <c r="AD198" s="564"/>
      <c r="AE198" s="564"/>
      <c r="AF198" s="564"/>
      <c r="AG198" s="564"/>
      <c r="AH198" s="564"/>
      <c r="AI198" s="564"/>
      <c r="AJ198" s="564"/>
      <c r="AK198" s="564"/>
      <c r="AL198" s="564"/>
      <c r="AM198" s="564"/>
      <c r="AN198" s="564"/>
      <c r="AO198" s="564"/>
      <c r="AP198" s="564"/>
      <c r="AQ198" s="564"/>
      <c r="AR198" s="564"/>
      <c r="AS198" s="564"/>
      <c r="AT198" s="564"/>
      <c r="AU198" s="564"/>
      <c r="AV198" s="564"/>
      <c r="AW198" s="564"/>
      <c r="AX198" s="564"/>
      <c r="AY198" s="564"/>
      <c r="AZ198" s="564"/>
      <c r="BA198" s="564"/>
      <c r="BB198" s="564"/>
      <c r="BC198" s="564"/>
      <c r="BD198" s="564"/>
      <c r="BE198" s="564"/>
      <c r="BF198" s="564"/>
      <c r="BG198" s="564"/>
      <c r="BH198" s="564"/>
      <c r="BI198" s="564"/>
      <c r="BJ198" s="564"/>
      <c r="BK198" s="564"/>
      <c r="BL198" s="564"/>
      <c r="BM198" s="564"/>
      <c r="BN198" s="564"/>
      <c r="BO198" s="564"/>
      <c r="BP198" s="564"/>
      <c r="BQ198" s="564"/>
      <c r="BR198" s="564"/>
      <c r="BS198" s="564"/>
      <c r="BT198" s="564"/>
      <c r="BU198" s="564"/>
      <c r="BV198" s="564"/>
      <c r="BW198" s="564"/>
      <c r="BX198" s="564"/>
      <c r="BY198" s="564"/>
      <c r="BZ198" s="564"/>
      <c r="CA198" s="564"/>
      <c r="CB198" s="564"/>
      <c r="CC198" s="564"/>
      <c r="CD198" s="564"/>
      <c r="CE198" s="564"/>
      <c r="CF198" s="564"/>
      <c r="CG198" s="564"/>
      <c r="CH198" s="564"/>
      <c r="CI198" s="564"/>
      <c r="CJ198" s="564"/>
      <c r="CK198" s="564"/>
      <c r="CL198" s="564"/>
      <c r="CM198" s="564"/>
      <c r="CN198" s="564"/>
      <c r="CO198" s="564"/>
      <c r="CP198" s="564"/>
      <c r="CQ198" s="564"/>
      <c r="EN198" s="564"/>
      <c r="EO198" s="564"/>
      <c r="EP198" s="564"/>
      <c r="EQ198" s="564"/>
    </row>
    <row r="199" spans="2:147" ht="15" customHeight="1" x14ac:dyDescent="0.2">
      <c r="B199" s="647">
        <f t="shared" si="212"/>
        <v>3</v>
      </c>
      <c r="C199" s="652">
        <f>$Q$15</f>
        <v>58</v>
      </c>
      <c r="D199" s="771">
        <f>$B$15</f>
        <v>1.92</v>
      </c>
      <c r="E199" s="772">
        <f t="shared" si="207"/>
        <v>19.333333333333332</v>
      </c>
      <c r="F199" s="689"/>
      <c r="G199" s="747">
        <f t="shared" si="208"/>
        <v>1.8384477429100861</v>
      </c>
      <c r="H199" s="748">
        <f t="shared" si="209"/>
        <v>6.6507706364594072E-3</v>
      </c>
      <c r="I199" s="689"/>
      <c r="J199" s="689"/>
      <c r="K199" s="689"/>
      <c r="L199" s="689"/>
      <c r="M199" s="689"/>
      <c r="N199" s="689"/>
      <c r="O199" s="689"/>
      <c r="P199" s="689"/>
      <c r="Q199" s="689"/>
      <c r="R199" s="689"/>
      <c r="S199" s="689"/>
      <c r="T199" s="689"/>
      <c r="U199" s="564"/>
      <c r="V199" s="564"/>
      <c r="W199" s="564"/>
      <c r="X199" s="564"/>
      <c r="Y199" s="564"/>
      <c r="Z199" s="564"/>
      <c r="AA199" s="564"/>
      <c r="AB199" s="564"/>
      <c r="AC199" s="564"/>
      <c r="AD199" s="564"/>
      <c r="AE199" s="564"/>
      <c r="AF199" s="564"/>
      <c r="AG199" s="564"/>
      <c r="AH199" s="564"/>
      <c r="AI199" s="564"/>
      <c r="AJ199" s="564"/>
      <c r="AK199" s="564"/>
      <c r="AL199" s="564"/>
      <c r="AM199" s="564"/>
      <c r="AN199" s="564"/>
      <c r="AO199" s="564"/>
      <c r="AP199" s="564"/>
      <c r="AQ199" s="564"/>
      <c r="AR199" s="564"/>
      <c r="AS199" s="564"/>
      <c r="AT199" s="564"/>
      <c r="AU199" s="564"/>
      <c r="AV199" s="564"/>
      <c r="AW199" s="564"/>
      <c r="AX199" s="564"/>
      <c r="AY199" s="564"/>
      <c r="AZ199" s="564"/>
      <c r="BA199" s="564"/>
      <c r="BB199" s="564"/>
      <c r="BC199" s="564"/>
      <c r="BD199" s="564"/>
      <c r="BE199" s="564"/>
      <c r="BF199" s="564"/>
      <c r="BG199" s="564"/>
      <c r="BH199" s="564"/>
      <c r="BI199" s="564"/>
      <c r="BJ199" s="564"/>
      <c r="BK199" s="564"/>
      <c r="BL199" s="564"/>
      <c r="BM199" s="564"/>
      <c r="BN199" s="564"/>
      <c r="BO199" s="564"/>
      <c r="BP199" s="564"/>
      <c r="BQ199" s="564"/>
      <c r="BR199" s="564"/>
      <c r="BS199" s="564"/>
      <c r="BT199" s="564"/>
      <c r="BU199" s="564"/>
      <c r="BV199" s="564"/>
      <c r="BW199" s="564"/>
      <c r="BX199" s="564"/>
      <c r="BY199" s="564"/>
      <c r="BZ199" s="564"/>
      <c r="CA199" s="564"/>
      <c r="CB199" s="564"/>
      <c r="CC199" s="564"/>
      <c r="CD199" s="564"/>
      <c r="CE199" s="564"/>
      <c r="CF199" s="564"/>
      <c r="CG199" s="564"/>
      <c r="CH199" s="564"/>
      <c r="CI199" s="564"/>
      <c r="CJ199" s="564"/>
      <c r="CK199" s="564"/>
      <c r="CL199" s="564"/>
      <c r="CM199" s="564"/>
      <c r="CN199" s="564"/>
      <c r="CO199" s="564"/>
      <c r="CP199" s="564"/>
      <c r="CQ199" s="564"/>
      <c r="EN199" s="564"/>
      <c r="EO199" s="564"/>
      <c r="EP199" s="564"/>
      <c r="EQ199" s="564"/>
    </row>
    <row r="200" spans="2:147" ht="15" customHeight="1" x14ac:dyDescent="0.2">
      <c r="B200" s="682">
        <f t="shared" si="212"/>
        <v>3</v>
      </c>
      <c r="C200" s="704">
        <f>$Q$16</f>
        <v>54</v>
      </c>
      <c r="D200" s="807">
        <f>$B$16</f>
        <v>1.94</v>
      </c>
      <c r="E200" s="790">
        <f t="shared" si="207"/>
        <v>18</v>
      </c>
      <c r="F200" s="689"/>
      <c r="G200" s="747">
        <f t="shared" si="208"/>
        <v>1.8608861662269913</v>
      </c>
      <c r="H200" s="748">
        <f t="shared" si="209"/>
        <v>6.2589986942632398E-3</v>
      </c>
      <c r="I200" s="689"/>
      <c r="J200" s="689"/>
      <c r="K200" s="689"/>
      <c r="L200" s="689"/>
      <c r="M200" s="689"/>
      <c r="N200" s="689"/>
      <c r="O200" s="689"/>
      <c r="P200" s="689"/>
      <c r="Q200" s="689"/>
      <c r="R200" s="689"/>
      <c r="S200" s="689"/>
      <c r="T200" s="689"/>
      <c r="U200" s="564"/>
      <c r="V200" s="564"/>
      <c r="W200" s="564"/>
      <c r="X200" s="564"/>
      <c r="Y200" s="564"/>
      <c r="Z200" s="564"/>
      <c r="AA200" s="564"/>
      <c r="AB200" s="564"/>
      <c r="AC200" s="564"/>
      <c r="AD200" s="564"/>
      <c r="AE200" s="564"/>
      <c r="AF200" s="564"/>
      <c r="AG200" s="564"/>
      <c r="AH200" s="564"/>
      <c r="AI200" s="564"/>
      <c r="AJ200" s="564"/>
      <c r="AK200" s="564"/>
      <c r="AL200" s="564"/>
      <c r="AM200" s="564"/>
      <c r="AN200" s="564"/>
      <c r="AO200" s="564"/>
      <c r="AP200" s="564"/>
      <c r="AQ200" s="564"/>
      <c r="AR200" s="564"/>
      <c r="AS200" s="564"/>
      <c r="AT200" s="564"/>
      <c r="AU200" s="564"/>
      <c r="AV200" s="564"/>
      <c r="AW200" s="564"/>
      <c r="AX200" s="564"/>
      <c r="AY200" s="564"/>
      <c r="AZ200" s="564"/>
      <c r="BA200" s="564"/>
      <c r="BB200" s="564"/>
      <c r="BC200" s="564"/>
      <c r="BD200" s="564"/>
      <c r="BE200" s="564"/>
      <c r="BF200" s="564"/>
      <c r="BG200" s="564"/>
      <c r="BH200" s="564"/>
      <c r="BI200" s="564"/>
      <c r="BJ200" s="564"/>
      <c r="BK200" s="564"/>
      <c r="BL200" s="564"/>
      <c r="BM200" s="564"/>
      <c r="BN200" s="564"/>
      <c r="BO200" s="564"/>
      <c r="BP200" s="564"/>
      <c r="BQ200" s="564"/>
      <c r="BR200" s="564"/>
      <c r="BS200" s="564"/>
      <c r="BT200" s="564"/>
      <c r="BU200" s="564"/>
      <c r="BV200" s="564"/>
      <c r="BW200" s="564"/>
      <c r="BX200" s="564"/>
      <c r="BY200" s="564"/>
      <c r="BZ200" s="564"/>
      <c r="CA200" s="564"/>
      <c r="CB200" s="564"/>
      <c r="CC200" s="564"/>
      <c r="CD200" s="564"/>
      <c r="CE200" s="564"/>
      <c r="CF200" s="564"/>
      <c r="CG200" s="564"/>
      <c r="CH200" s="564"/>
      <c r="CI200" s="564"/>
      <c r="CJ200" s="564"/>
      <c r="CK200" s="564"/>
      <c r="CL200" s="564"/>
      <c r="CM200" s="564"/>
      <c r="CN200" s="564"/>
      <c r="CO200" s="564"/>
      <c r="CP200" s="564"/>
      <c r="CQ200" s="564"/>
      <c r="EN200" s="564"/>
      <c r="EO200" s="564"/>
      <c r="EP200" s="564"/>
      <c r="EQ200" s="564"/>
    </row>
    <row r="201" spans="2:147" ht="15" customHeight="1" x14ac:dyDescent="0.2">
      <c r="B201" s="626">
        <f t="shared" ref="B201:B211" si="213">$R$4</f>
        <v>2</v>
      </c>
      <c r="C201" s="631">
        <f>$R$6</f>
        <v>71</v>
      </c>
      <c r="D201" s="744">
        <f>$B$6</f>
        <v>1.75</v>
      </c>
      <c r="E201" s="745">
        <f t="shared" si="207"/>
        <v>35.5</v>
      </c>
      <c r="F201" s="689"/>
      <c r="G201" s="747">
        <f t="shared" si="208"/>
        <v>1.6341854348100537</v>
      </c>
      <c r="H201" s="748">
        <f t="shared" si="209"/>
        <v>1.3413013510136313E-2</v>
      </c>
      <c r="I201" s="689"/>
      <c r="J201" s="689"/>
      <c r="K201" s="689"/>
      <c r="L201" s="689"/>
      <c r="M201" s="689"/>
      <c r="N201" s="689"/>
      <c r="O201" s="689"/>
      <c r="P201" s="689"/>
      <c r="Q201" s="689"/>
      <c r="R201" s="689"/>
      <c r="S201" s="689"/>
      <c r="T201" s="689"/>
      <c r="U201" s="564"/>
      <c r="V201" s="564"/>
      <c r="W201" s="564"/>
      <c r="X201" s="564"/>
      <c r="Y201" s="564"/>
      <c r="Z201" s="564"/>
      <c r="AA201" s="564"/>
      <c r="AB201" s="564"/>
      <c r="AC201" s="564"/>
      <c r="AD201" s="564"/>
      <c r="AE201" s="564"/>
      <c r="AF201" s="564"/>
      <c r="AG201" s="564"/>
      <c r="AH201" s="564"/>
      <c r="AI201" s="564"/>
      <c r="AJ201" s="564"/>
      <c r="AK201" s="564"/>
      <c r="AL201" s="564"/>
      <c r="AM201" s="564"/>
      <c r="AN201" s="564"/>
      <c r="AO201" s="564"/>
      <c r="AP201" s="564"/>
      <c r="AQ201" s="564"/>
      <c r="AR201" s="564"/>
      <c r="AS201" s="564"/>
      <c r="AT201" s="564"/>
      <c r="AU201" s="564"/>
      <c r="AV201" s="564"/>
      <c r="AW201" s="564"/>
      <c r="AX201" s="564"/>
      <c r="AY201" s="564"/>
      <c r="AZ201" s="564"/>
      <c r="BA201" s="564"/>
      <c r="BB201" s="564"/>
      <c r="BC201" s="564"/>
      <c r="BD201" s="564"/>
      <c r="BE201" s="564"/>
      <c r="BF201" s="564"/>
      <c r="BG201" s="564"/>
      <c r="BH201" s="564"/>
      <c r="BI201" s="564"/>
      <c r="BJ201" s="564"/>
      <c r="BK201" s="564"/>
      <c r="BL201" s="564"/>
      <c r="BM201" s="564"/>
      <c r="BN201" s="564"/>
      <c r="BO201" s="564"/>
      <c r="BP201" s="564"/>
      <c r="BQ201" s="564"/>
      <c r="BR201" s="564"/>
      <c r="BS201" s="564"/>
      <c r="BT201" s="564"/>
      <c r="BU201" s="564"/>
      <c r="BV201" s="564"/>
      <c r="BW201" s="564"/>
      <c r="BX201" s="564"/>
      <c r="BY201" s="564"/>
      <c r="BZ201" s="564"/>
      <c r="CA201" s="564"/>
      <c r="CB201" s="564"/>
      <c r="CC201" s="564"/>
      <c r="CD201" s="564"/>
      <c r="CE201" s="564"/>
      <c r="CF201" s="564"/>
      <c r="CG201" s="564"/>
      <c r="CH201" s="564"/>
      <c r="CI201" s="564"/>
      <c r="CJ201" s="564"/>
      <c r="CK201" s="564"/>
      <c r="CL201" s="564"/>
      <c r="CM201" s="564"/>
      <c r="CN201" s="564"/>
      <c r="CO201" s="564"/>
      <c r="CP201" s="564"/>
      <c r="CQ201" s="564"/>
      <c r="EN201" s="564"/>
      <c r="EO201" s="564"/>
      <c r="EP201" s="564"/>
      <c r="EQ201" s="564"/>
    </row>
    <row r="202" spans="2:147" ht="15" customHeight="1" x14ac:dyDescent="0.2">
      <c r="B202" s="647">
        <f t="shared" si="213"/>
        <v>2</v>
      </c>
      <c r="C202" s="652">
        <f>$R$7</f>
        <v>69.5</v>
      </c>
      <c r="D202" s="771">
        <f>$B$7</f>
        <v>1.78</v>
      </c>
      <c r="E202" s="772">
        <f t="shared" si="207"/>
        <v>34.75</v>
      </c>
      <c r="F202" s="689"/>
      <c r="G202" s="747">
        <f t="shared" si="208"/>
        <v>1.6504990524912502</v>
      </c>
      <c r="H202" s="748">
        <f t="shared" si="209"/>
        <v>1.6770495405663985E-2</v>
      </c>
      <c r="I202" s="689"/>
      <c r="J202" s="689"/>
      <c r="K202" s="689"/>
      <c r="L202" s="689"/>
      <c r="M202" s="689"/>
      <c r="N202" s="689"/>
      <c r="O202" s="689"/>
      <c r="P202" s="689"/>
      <c r="Q202" s="689"/>
      <c r="R202" s="689"/>
      <c r="S202" s="689"/>
      <c r="T202" s="689"/>
      <c r="U202" s="564"/>
      <c r="V202" s="564"/>
      <c r="W202" s="564"/>
      <c r="X202" s="564"/>
      <c r="Y202" s="564"/>
      <c r="Z202" s="564"/>
      <c r="AA202" s="564"/>
      <c r="AB202" s="564"/>
      <c r="AC202" s="564"/>
      <c r="AD202" s="564"/>
      <c r="AE202" s="564"/>
      <c r="AF202" s="564"/>
      <c r="AG202" s="564"/>
      <c r="AH202" s="564"/>
      <c r="AI202" s="564"/>
      <c r="AJ202" s="564"/>
      <c r="AK202" s="564"/>
      <c r="AL202" s="564"/>
      <c r="AM202" s="564"/>
      <c r="AN202" s="564"/>
      <c r="AO202" s="564"/>
      <c r="AP202" s="564"/>
      <c r="AQ202" s="564"/>
      <c r="AR202" s="564"/>
      <c r="AS202" s="564"/>
      <c r="AT202" s="564"/>
      <c r="AU202" s="564"/>
      <c r="AV202" s="564"/>
      <c r="AW202" s="564"/>
      <c r="AX202" s="564"/>
      <c r="AY202" s="564"/>
      <c r="AZ202" s="564"/>
      <c r="BA202" s="564"/>
      <c r="BB202" s="564"/>
      <c r="BC202" s="564"/>
      <c r="BD202" s="564"/>
      <c r="BE202" s="564"/>
      <c r="BF202" s="564"/>
      <c r="BG202" s="564"/>
      <c r="BH202" s="564"/>
      <c r="BI202" s="564"/>
      <c r="BJ202" s="564"/>
      <c r="BK202" s="564"/>
      <c r="BL202" s="564"/>
      <c r="BM202" s="564"/>
      <c r="BN202" s="564"/>
      <c r="BO202" s="564"/>
      <c r="BP202" s="564"/>
      <c r="BQ202" s="564"/>
      <c r="BR202" s="564"/>
      <c r="BS202" s="564"/>
      <c r="BT202" s="564"/>
      <c r="BU202" s="564"/>
      <c r="BV202" s="564"/>
      <c r="BW202" s="564"/>
      <c r="BX202" s="564"/>
      <c r="BY202" s="564"/>
      <c r="BZ202" s="564"/>
      <c r="CA202" s="564"/>
      <c r="CB202" s="564"/>
      <c r="CC202" s="564"/>
      <c r="CD202" s="564"/>
      <c r="CE202" s="564"/>
      <c r="CF202" s="564"/>
      <c r="CG202" s="564"/>
      <c r="CH202" s="564"/>
      <c r="CI202" s="564"/>
      <c r="CJ202" s="564"/>
      <c r="CK202" s="564"/>
      <c r="CL202" s="564"/>
      <c r="CM202" s="564"/>
      <c r="CN202" s="564"/>
      <c r="CO202" s="564"/>
      <c r="CP202" s="564"/>
      <c r="CQ202" s="564"/>
      <c r="EN202" s="564"/>
      <c r="EO202" s="564"/>
      <c r="EP202" s="564"/>
      <c r="EQ202" s="564"/>
    </row>
    <row r="203" spans="2:147" ht="15" customHeight="1" x14ac:dyDescent="0.2">
      <c r="B203" s="647">
        <f t="shared" si="213"/>
        <v>2</v>
      </c>
      <c r="C203" s="652">
        <f>$R$8</f>
        <v>68</v>
      </c>
      <c r="D203" s="771">
        <f>$B$8</f>
        <v>1.8</v>
      </c>
      <c r="E203" s="772">
        <f t="shared" si="207"/>
        <v>34</v>
      </c>
      <c r="F203" s="689"/>
      <c r="G203" s="747">
        <f t="shared" si="208"/>
        <v>1.666169358659493</v>
      </c>
      <c r="H203" s="748">
        <f t="shared" si="209"/>
        <v>1.7910640561611433E-2</v>
      </c>
      <c r="I203" s="689"/>
      <c r="J203" s="689"/>
      <c r="K203" s="689"/>
      <c r="L203" s="689"/>
      <c r="M203" s="689"/>
      <c r="N203" s="689"/>
      <c r="O203" s="689"/>
      <c r="P203" s="689"/>
      <c r="Q203" s="689"/>
      <c r="R203" s="689"/>
      <c r="S203" s="689"/>
      <c r="T203" s="689"/>
      <c r="U203" s="564"/>
      <c r="V203" s="564"/>
      <c r="W203" s="564"/>
      <c r="X203" s="564"/>
      <c r="Y203" s="564"/>
      <c r="Z203" s="564"/>
      <c r="AA203" s="564"/>
      <c r="AB203" s="564"/>
      <c r="AC203" s="564"/>
      <c r="AD203" s="564"/>
      <c r="AE203" s="564"/>
      <c r="AF203" s="564"/>
      <c r="AG203" s="564"/>
      <c r="AH203" s="564"/>
      <c r="AI203" s="564"/>
      <c r="AJ203" s="564"/>
      <c r="AK203" s="564"/>
      <c r="AL203" s="564"/>
      <c r="AM203" s="564"/>
      <c r="AN203" s="564"/>
      <c r="AO203" s="564"/>
      <c r="AP203" s="564"/>
      <c r="AQ203" s="564"/>
      <c r="AR203" s="564"/>
      <c r="AS203" s="564"/>
      <c r="AT203" s="564"/>
      <c r="AU203" s="564"/>
      <c r="AV203" s="564"/>
      <c r="AW203" s="564"/>
      <c r="AX203" s="564"/>
      <c r="AY203" s="564"/>
      <c r="AZ203" s="564"/>
      <c r="BA203" s="564"/>
      <c r="BB203" s="564"/>
      <c r="BC203" s="564"/>
      <c r="BD203" s="564"/>
      <c r="BE203" s="564"/>
      <c r="BF203" s="564"/>
      <c r="BG203" s="564"/>
      <c r="BH203" s="564"/>
      <c r="BI203" s="564"/>
      <c r="BJ203" s="564"/>
      <c r="BK203" s="564"/>
      <c r="BL203" s="564"/>
      <c r="BM203" s="564"/>
      <c r="BN203" s="564"/>
      <c r="BO203" s="564"/>
      <c r="BP203" s="564"/>
      <c r="BQ203" s="564"/>
      <c r="BR203" s="564"/>
      <c r="BS203" s="564"/>
      <c r="BT203" s="564"/>
      <c r="BU203" s="564"/>
      <c r="BV203" s="564"/>
      <c r="BW203" s="564"/>
      <c r="BX203" s="564"/>
      <c r="BY203" s="564"/>
      <c r="BZ203" s="564"/>
      <c r="CA203" s="564"/>
      <c r="CB203" s="564"/>
      <c r="CC203" s="564"/>
      <c r="CD203" s="564"/>
      <c r="CE203" s="564"/>
      <c r="CF203" s="564"/>
      <c r="CG203" s="564"/>
      <c r="CH203" s="564"/>
      <c r="CI203" s="564"/>
      <c r="CJ203" s="564"/>
      <c r="CK203" s="564"/>
      <c r="CL203" s="564"/>
      <c r="CM203" s="564"/>
      <c r="CN203" s="564"/>
      <c r="CO203" s="564"/>
      <c r="CP203" s="564"/>
      <c r="CQ203" s="564"/>
      <c r="EN203" s="564"/>
      <c r="EO203" s="564"/>
      <c r="EP203" s="564"/>
      <c r="EQ203" s="564"/>
    </row>
    <row r="204" spans="2:147" ht="15" customHeight="1" x14ac:dyDescent="0.2">
      <c r="B204" s="647">
        <f t="shared" si="213"/>
        <v>2</v>
      </c>
      <c r="C204" s="652">
        <f>$R$9</f>
        <v>67.5</v>
      </c>
      <c r="D204" s="771">
        <f>$B$9</f>
        <v>1.81</v>
      </c>
      <c r="E204" s="772">
        <f t="shared" si="207"/>
        <v>33.75</v>
      </c>
      <c r="F204" s="689"/>
      <c r="G204" s="747">
        <f t="shared" si="208"/>
        <v>1.6712585008138281</v>
      </c>
      <c r="H204" s="748">
        <f t="shared" si="209"/>
        <v>1.9249203596426553E-2</v>
      </c>
      <c r="I204" s="689"/>
      <c r="J204" s="689"/>
      <c r="K204" s="689"/>
      <c r="L204" s="689"/>
      <c r="M204" s="689"/>
      <c r="N204" s="689"/>
      <c r="O204" s="689"/>
      <c r="P204" s="689"/>
      <c r="Q204" s="689"/>
      <c r="R204" s="689"/>
      <c r="S204" s="689"/>
      <c r="T204" s="689"/>
      <c r="U204" s="564"/>
      <c r="V204" s="564"/>
      <c r="W204" s="564"/>
      <c r="X204" s="564"/>
      <c r="Y204" s="564"/>
      <c r="Z204" s="564"/>
      <c r="AA204" s="564"/>
      <c r="AB204" s="564"/>
      <c r="AC204" s="564"/>
      <c r="AD204" s="564"/>
      <c r="AE204" s="564"/>
      <c r="AF204" s="564"/>
      <c r="AG204" s="564"/>
      <c r="AH204" s="564"/>
      <c r="AI204" s="564"/>
      <c r="AJ204" s="564"/>
      <c r="AK204" s="564"/>
      <c r="AL204" s="564"/>
      <c r="AM204" s="564"/>
      <c r="AN204" s="564"/>
      <c r="AO204" s="564"/>
      <c r="AP204" s="564"/>
      <c r="AQ204" s="564"/>
      <c r="AR204" s="564"/>
      <c r="AS204" s="564"/>
      <c r="AT204" s="564"/>
      <c r="AU204" s="564"/>
      <c r="AV204" s="564"/>
      <c r="AW204" s="564"/>
      <c r="AX204" s="564"/>
      <c r="AY204" s="564"/>
      <c r="AZ204" s="564"/>
      <c r="BA204" s="564"/>
      <c r="BB204" s="564"/>
      <c r="BC204" s="564"/>
      <c r="BD204" s="564"/>
      <c r="BE204" s="564"/>
      <c r="BF204" s="564"/>
      <c r="BG204" s="564"/>
      <c r="BH204" s="564"/>
      <c r="BI204" s="564"/>
      <c r="BJ204" s="564"/>
      <c r="BK204" s="564"/>
      <c r="BL204" s="564"/>
      <c r="BM204" s="564"/>
      <c r="BN204" s="564"/>
      <c r="BO204" s="564"/>
      <c r="BP204" s="564"/>
      <c r="BQ204" s="564"/>
      <c r="BR204" s="564"/>
      <c r="BS204" s="564"/>
      <c r="BT204" s="564"/>
      <c r="BU204" s="564"/>
      <c r="BV204" s="564"/>
      <c r="BW204" s="564"/>
      <c r="BX204" s="564"/>
      <c r="BY204" s="564"/>
      <c r="BZ204" s="564"/>
      <c r="CA204" s="564"/>
      <c r="CB204" s="564"/>
      <c r="CC204" s="564"/>
      <c r="CD204" s="564"/>
      <c r="CE204" s="564"/>
      <c r="CF204" s="564"/>
      <c r="CG204" s="564"/>
      <c r="CH204" s="564"/>
      <c r="CI204" s="564"/>
      <c r="CJ204" s="564"/>
      <c r="CK204" s="564"/>
      <c r="CL204" s="564"/>
      <c r="CM204" s="564"/>
      <c r="CN204" s="564"/>
      <c r="CO204" s="564"/>
      <c r="CP204" s="564"/>
      <c r="CQ204" s="564"/>
      <c r="EN204" s="564"/>
      <c r="EO204" s="564"/>
      <c r="EP204" s="564"/>
      <c r="EQ204" s="564"/>
    </row>
    <row r="205" spans="2:147" ht="15" customHeight="1" x14ac:dyDescent="0.2">
      <c r="B205" s="647">
        <f t="shared" si="213"/>
        <v>2</v>
      </c>
      <c r="C205" s="652">
        <f>$R$10</f>
        <v>65</v>
      </c>
      <c r="D205" s="771">
        <f>$B$10</f>
        <v>1.83</v>
      </c>
      <c r="E205" s="772">
        <f t="shared" si="207"/>
        <v>32.5</v>
      </c>
      <c r="F205" s="689"/>
      <c r="G205" s="747">
        <f t="shared" si="208"/>
        <v>1.6957743706033703</v>
      </c>
      <c r="H205" s="748">
        <f t="shared" si="209"/>
        <v>1.8016519586921395E-2</v>
      </c>
      <c r="I205" s="689"/>
      <c r="J205" s="689"/>
      <c r="K205" s="689"/>
      <c r="L205" s="689"/>
      <c r="M205" s="689"/>
      <c r="N205" s="689"/>
      <c r="O205" s="689"/>
      <c r="P205" s="689"/>
      <c r="Q205" s="689"/>
      <c r="R205" s="689"/>
      <c r="S205" s="689"/>
      <c r="T205" s="689"/>
      <c r="U205" s="564"/>
      <c r="V205" s="564"/>
      <c r="W205" s="564"/>
      <c r="X205" s="564"/>
      <c r="Y205" s="564"/>
      <c r="Z205" s="564"/>
      <c r="AA205" s="564"/>
      <c r="AB205" s="564"/>
      <c r="AC205" s="564"/>
      <c r="AD205" s="564"/>
      <c r="AE205" s="564"/>
      <c r="AF205" s="564"/>
      <c r="AG205" s="564"/>
      <c r="AH205" s="564"/>
      <c r="AI205" s="564"/>
      <c r="AJ205" s="564"/>
      <c r="AK205" s="564"/>
      <c r="AL205" s="564"/>
      <c r="AM205" s="564"/>
      <c r="AN205" s="564"/>
      <c r="AO205" s="564"/>
      <c r="AP205" s="564"/>
      <c r="AQ205" s="564"/>
      <c r="AR205" s="564"/>
      <c r="AS205" s="564"/>
      <c r="AT205" s="564"/>
      <c r="AU205" s="564"/>
      <c r="AV205" s="564"/>
      <c r="AW205" s="564"/>
      <c r="AX205" s="564"/>
      <c r="AY205" s="564"/>
      <c r="AZ205" s="564"/>
      <c r="BA205" s="564"/>
      <c r="BB205" s="564"/>
      <c r="BC205" s="564"/>
      <c r="BD205" s="564"/>
      <c r="BE205" s="564"/>
      <c r="BF205" s="564"/>
      <c r="BG205" s="564"/>
      <c r="BH205" s="564"/>
      <c r="BI205" s="564"/>
      <c r="BJ205" s="564"/>
      <c r="BK205" s="564"/>
      <c r="BL205" s="564"/>
      <c r="BM205" s="564"/>
      <c r="BN205" s="564"/>
      <c r="BO205" s="564"/>
      <c r="BP205" s="564"/>
      <c r="BQ205" s="564"/>
      <c r="BR205" s="564"/>
      <c r="BS205" s="564"/>
      <c r="BT205" s="564"/>
      <c r="BU205" s="564"/>
      <c r="BV205" s="564"/>
      <c r="BW205" s="564"/>
      <c r="BX205" s="564"/>
      <c r="BY205" s="564"/>
      <c r="BZ205" s="564"/>
      <c r="CA205" s="564"/>
      <c r="CB205" s="564"/>
      <c r="CC205" s="564"/>
      <c r="CD205" s="564"/>
      <c r="CE205" s="564"/>
      <c r="CF205" s="564"/>
      <c r="CG205" s="564"/>
      <c r="CH205" s="564"/>
      <c r="CI205" s="564"/>
      <c r="CJ205" s="564"/>
      <c r="CK205" s="564"/>
      <c r="CL205" s="564"/>
      <c r="CM205" s="564"/>
      <c r="CN205" s="564"/>
      <c r="CO205" s="564"/>
      <c r="CP205" s="564"/>
      <c r="CQ205" s="564"/>
      <c r="EN205" s="564"/>
      <c r="EO205" s="564"/>
      <c r="EP205" s="564"/>
      <c r="EQ205" s="564"/>
    </row>
    <row r="206" spans="2:147" ht="15" customHeight="1" x14ac:dyDescent="0.2">
      <c r="B206" s="647">
        <f t="shared" si="213"/>
        <v>2</v>
      </c>
      <c r="C206" s="652">
        <f>$R$11</f>
        <v>64</v>
      </c>
      <c r="D206" s="771">
        <f>$B$11</f>
        <v>1.84</v>
      </c>
      <c r="E206" s="772">
        <f t="shared" si="207"/>
        <v>32</v>
      </c>
      <c r="F206" s="689"/>
      <c r="G206" s="747">
        <f t="shared" si="208"/>
        <v>1.7051767856733615</v>
      </c>
      <c r="H206" s="748">
        <f t="shared" si="209"/>
        <v>1.817729912136672E-2</v>
      </c>
      <c r="I206" s="689"/>
      <c r="J206" s="689"/>
      <c r="K206" s="689"/>
      <c r="L206" s="689"/>
      <c r="M206" s="689"/>
      <c r="N206" s="689"/>
      <c r="O206" s="689"/>
      <c r="P206" s="689"/>
      <c r="Q206" s="689"/>
      <c r="R206" s="689"/>
      <c r="S206" s="689"/>
      <c r="T206" s="689"/>
      <c r="U206" s="564"/>
      <c r="V206" s="564"/>
      <c r="W206" s="564"/>
      <c r="X206" s="564"/>
      <c r="Y206" s="564"/>
      <c r="Z206" s="564"/>
      <c r="AA206" s="564"/>
      <c r="AB206" s="564"/>
      <c r="AC206" s="564"/>
      <c r="AD206" s="564"/>
      <c r="AE206" s="564"/>
      <c r="AF206" s="564"/>
      <c r="AG206" s="564"/>
      <c r="AH206" s="564"/>
      <c r="AI206" s="564"/>
      <c r="AJ206" s="564"/>
      <c r="AK206" s="564"/>
      <c r="AL206" s="564"/>
      <c r="AM206" s="564"/>
      <c r="AN206" s="564"/>
      <c r="AO206" s="564"/>
      <c r="AP206" s="564"/>
      <c r="AQ206" s="564"/>
      <c r="AR206" s="564"/>
      <c r="AS206" s="564"/>
      <c r="AT206" s="564"/>
      <c r="AU206" s="564"/>
      <c r="AV206" s="564"/>
      <c r="AW206" s="564"/>
      <c r="AX206" s="564"/>
      <c r="AY206" s="564"/>
      <c r="AZ206" s="564"/>
      <c r="BA206" s="564"/>
      <c r="BB206" s="564"/>
      <c r="BC206" s="564"/>
      <c r="BD206" s="564"/>
      <c r="BE206" s="564"/>
      <c r="BF206" s="564"/>
      <c r="BG206" s="564"/>
      <c r="BH206" s="564"/>
      <c r="BI206" s="564"/>
      <c r="BJ206" s="564"/>
      <c r="BK206" s="564"/>
      <c r="BL206" s="564"/>
      <c r="BM206" s="564"/>
      <c r="BN206" s="564"/>
      <c r="BO206" s="564"/>
      <c r="BP206" s="564"/>
      <c r="BQ206" s="564"/>
      <c r="BR206" s="564"/>
      <c r="BS206" s="564"/>
      <c r="BT206" s="564"/>
      <c r="BU206" s="564"/>
      <c r="BV206" s="564"/>
      <c r="BW206" s="564"/>
      <c r="BX206" s="564"/>
      <c r="BY206" s="564"/>
      <c r="BZ206" s="564"/>
      <c r="CA206" s="564"/>
      <c r="CB206" s="564"/>
      <c r="CC206" s="564"/>
      <c r="CD206" s="564"/>
      <c r="CE206" s="564"/>
      <c r="CF206" s="564"/>
      <c r="CG206" s="564"/>
      <c r="CH206" s="564"/>
      <c r="CI206" s="564"/>
      <c r="CJ206" s="564"/>
      <c r="CK206" s="564"/>
      <c r="CL206" s="564"/>
      <c r="CM206" s="564"/>
      <c r="CN206" s="564"/>
      <c r="CO206" s="564"/>
      <c r="CP206" s="564"/>
      <c r="CQ206" s="564"/>
      <c r="EN206" s="564"/>
      <c r="EO206" s="564"/>
      <c r="EP206" s="564"/>
      <c r="EQ206" s="564"/>
    </row>
    <row r="207" spans="2:147" ht="15" customHeight="1" x14ac:dyDescent="0.2">
      <c r="B207" s="647">
        <f t="shared" si="213"/>
        <v>2</v>
      </c>
      <c r="C207" s="652">
        <f>$R$12</f>
        <v>61</v>
      </c>
      <c r="D207" s="771">
        <f>$B$12</f>
        <v>1.86</v>
      </c>
      <c r="E207" s="772">
        <f t="shared" si="207"/>
        <v>30.5</v>
      </c>
      <c r="F207" s="689"/>
      <c r="G207" s="747">
        <f t="shared" si="208"/>
        <v>1.7321533093534827</v>
      </c>
      <c r="H207" s="748">
        <f t="shared" si="209"/>
        <v>1.634477630926633E-2</v>
      </c>
      <c r="I207" s="689"/>
      <c r="J207" s="689"/>
      <c r="K207" s="689"/>
      <c r="L207" s="689"/>
      <c r="M207" s="689"/>
      <c r="N207" s="689"/>
      <c r="O207" s="689"/>
      <c r="P207" s="689"/>
      <c r="Q207" s="689"/>
      <c r="R207" s="689"/>
      <c r="S207" s="689"/>
      <c r="T207" s="689"/>
      <c r="U207" s="564"/>
      <c r="V207" s="564"/>
      <c r="W207" s="564"/>
      <c r="X207" s="564"/>
      <c r="Y207" s="564"/>
      <c r="Z207" s="564"/>
      <c r="AA207" s="564"/>
      <c r="AB207" s="564"/>
      <c r="AC207" s="564"/>
      <c r="AD207" s="564"/>
      <c r="AE207" s="564"/>
      <c r="AF207" s="564"/>
      <c r="AG207" s="564"/>
      <c r="AH207" s="564"/>
      <c r="AI207" s="564"/>
      <c r="AJ207" s="564"/>
      <c r="AK207" s="564"/>
      <c r="AL207" s="564"/>
      <c r="AM207" s="564"/>
      <c r="AN207" s="564"/>
      <c r="AO207" s="564"/>
      <c r="AP207" s="564"/>
      <c r="AQ207" s="564"/>
      <c r="AR207" s="564"/>
      <c r="AS207" s="564"/>
      <c r="AT207" s="564"/>
      <c r="AU207" s="564"/>
      <c r="AV207" s="564"/>
      <c r="AW207" s="564"/>
      <c r="AX207" s="564"/>
      <c r="AY207" s="564"/>
      <c r="AZ207" s="564"/>
      <c r="BA207" s="564"/>
      <c r="BB207" s="564"/>
      <c r="BC207" s="564"/>
      <c r="BD207" s="564"/>
      <c r="BE207" s="564"/>
      <c r="BF207" s="564"/>
      <c r="BG207" s="564"/>
      <c r="BH207" s="564"/>
      <c r="BI207" s="564"/>
      <c r="BJ207" s="564"/>
      <c r="BK207" s="564"/>
      <c r="BL207" s="564"/>
      <c r="BM207" s="564"/>
      <c r="BN207" s="564"/>
      <c r="BO207" s="564"/>
      <c r="BP207" s="564"/>
      <c r="BQ207" s="564"/>
      <c r="BR207" s="564"/>
      <c r="BS207" s="564"/>
      <c r="BT207" s="564"/>
      <c r="BU207" s="564"/>
      <c r="BV207" s="564"/>
      <c r="BW207" s="564"/>
      <c r="BX207" s="564"/>
      <c r="BY207" s="564"/>
      <c r="BZ207" s="564"/>
      <c r="CA207" s="564"/>
      <c r="CB207" s="564"/>
      <c r="CC207" s="564"/>
      <c r="CD207" s="564"/>
      <c r="CE207" s="564"/>
      <c r="CF207" s="564"/>
      <c r="CG207" s="564"/>
      <c r="CH207" s="564"/>
      <c r="CI207" s="564"/>
      <c r="CJ207" s="564"/>
      <c r="CK207" s="564"/>
      <c r="CL207" s="564"/>
      <c r="CM207" s="564"/>
      <c r="CN207" s="564"/>
      <c r="CO207" s="564"/>
      <c r="CP207" s="564"/>
      <c r="CQ207" s="564"/>
      <c r="EN207" s="564"/>
      <c r="EO207" s="564"/>
      <c r="EP207" s="564"/>
      <c r="EQ207" s="564"/>
    </row>
    <row r="208" spans="2:147" ht="15" customHeight="1" x14ac:dyDescent="0.2">
      <c r="B208" s="647">
        <f t="shared" si="213"/>
        <v>2</v>
      </c>
      <c r="C208" s="652">
        <f>$R$13</f>
        <v>57</v>
      </c>
      <c r="D208" s="771">
        <f>$B$13</f>
        <v>1.88</v>
      </c>
      <c r="E208" s="772">
        <f t="shared" si="207"/>
        <v>28.5</v>
      </c>
      <c r="F208" s="689"/>
      <c r="G208" s="747">
        <f t="shared" si="208"/>
        <v>1.7656467961558242</v>
      </c>
      <c r="H208" s="748">
        <f t="shared" si="209"/>
        <v>1.3076655229427598E-2</v>
      </c>
      <c r="I208" s="689"/>
      <c r="J208" s="689"/>
      <c r="K208" s="689"/>
      <c r="L208" s="689"/>
      <c r="M208" s="689"/>
      <c r="N208" s="689"/>
      <c r="O208" s="689"/>
      <c r="P208" s="689"/>
      <c r="Q208" s="689"/>
      <c r="R208" s="689"/>
      <c r="S208" s="689"/>
      <c r="T208" s="689"/>
      <c r="U208" s="564"/>
      <c r="V208" s="564"/>
      <c r="W208" s="564"/>
      <c r="X208" s="564"/>
      <c r="Y208" s="564"/>
      <c r="Z208" s="564"/>
      <c r="AA208" s="564"/>
      <c r="AB208" s="564"/>
      <c r="AC208" s="564"/>
      <c r="AD208" s="564"/>
      <c r="AE208" s="564"/>
      <c r="AF208" s="564"/>
      <c r="AG208" s="564"/>
      <c r="AH208" s="564"/>
      <c r="AI208" s="564"/>
      <c r="AJ208" s="564"/>
      <c r="AK208" s="564"/>
      <c r="AL208" s="564"/>
      <c r="AM208" s="564"/>
      <c r="AN208" s="564"/>
      <c r="AO208" s="564"/>
      <c r="AP208" s="564"/>
      <c r="AQ208" s="564"/>
      <c r="AR208" s="564"/>
      <c r="AS208" s="564"/>
      <c r="AT208" s="564"/>
      <c r="AU208" s="564"/>
      <c r="AV208" s="564"/>
      <c r="AW208" s="564"/>
      <c r="AX208" s="564"/>
      <c r="AY208" s="564"/>
      <c r="AZ208" s="564"/>
      <c r="BA208" s="564"/>
      <c r="BB208" s="564"/>
      <c r="BC208" s="564"/>
      <c r="BD208" s="564"/>
      <c r="BE208" s="564"/>
      <c r="BF208" s="564"/>
      <c r="BG208" s="564"/>
      <c r="BH208" s="564"/>
      <c r="BI208" s="564"/>
      <c r="BJ208" s="564"/>
      <c r="BK208" s="564"/>
      <c r="BL208" s="564"/>
      <c r="BM208" s="564"/>
      <c r="BN208" s="564"/>
      <c r="BO208" s="564"/>
      <c r="BP208" s="564"/>
      <c r="BQ208" s="564"/>
      <c r="BR208" s="564"/>
      <c r="BS208" s="564"/>
      <c r="BT208" s="564"/>
      <c r="BU208" s="564"/>
      <c r="BV208" s="564"/>
      <c r="BW208" s="564"/>
      <c r="BX208" s="564"/>
      <c r="BY208" s="564"/>
      <c r="BZ208" s="564"/>
      <c r="CA208" s="564"/>
      <c r="CB208" s="564"/>
      <c r="CC208" s="564"/>
      <c r="CD208" s="564"/>
      <c r="CE208" s="564"/>
      <c r="CF208" s="564"/>
      <c r="CG208" s="564"/>
      <c r="CH208" s="564"/>
      <c r="CI208" s="564"/>
      <c r="CJ208" s="564"/>
      <c r="CK208" s="564"/>
      <c r="CL208" s="564"/>
      <c r="CM208" s="564"/>
      <c r="CN208" s="564"/>
      <c r="CO208" s="564"/>
      <c r="CP208" s="564"/>
      <c r="CQ208" s="564"/>
      <c r="EN208" s="564"/>
      <c r="EO208" s="564"/>
      <c r="EP208" s="564"/>
      <c r="EQ208" s="564"/>
    </row>
    <row r="209" spans="2:174" ht="15" customHeight="1" x14ac:dyDescent="0.2">
      <c r="B209" s="647">
        <f t="shared" si="213"/>
        <v>2</v>
      </c>
      <c r="C209" s="652">
        <f>$R$14</f>
        <v>54</v>
      </c>
      <c r="D209" s="771">
        <f>$B$14</f>
        <v>1.9</v>
      </c>
      <c r="E209" s="772">
        <f t="shared" si="207"/>
        <v>27</v>
      </c>
      <c r="F209" s="689"/>
      <c r="G209" s="747">
        <f t="shared" si="208"/>
        <v>1.7892461662269914</v>
      </c>
      <c r="H209" s="748">
        <f t="shared" si="209"/>
        <v>1.2266411695419201E-2</v>
      </c>
      <c r="I209" s="689"/>
      <c r="J209" s="689"/>
      <c r="K209" s="689"/>
      <c r="L209" s="689"/>
      <c r="M209" s="689"/>
      <c r="N209" s="689"/>
      <c r="O209" s="689"/>
      <c r="P209" s="689"/>
      <c r="Q209" s="689"/>
      <c r="R209" s="689"/>
      <c r="S209" s="689"/>
      <c r="T209" s="689"/>
      <c r="U209" s="564"/>
      <c r="V209" s="564"/>
      <c r="W209" s="564"/>
      <c r="X209" s="564"/>
      <c r="Y209" s="564"/>
      <c r="Z209" s="564"/>
      <c r="AA209" s="564"/>
      <c r="AB209" s="564"/>
      <c r="AC209" s="564"/>
      <c r="AD209" s="564"/>
      <c r="AE209" s="564"/>
      <c r="AF209" s="564"/>
      <c r="AG209" s="564"/>
      <c r="AH209" s="564"/>
      <c r="AI209" s="564"/>
      <c r="AJ209" s="564"/>
      <c r="AK209" s="564"/>
      <c r="AL209" s="564"/>
      <c r="AM209" s="564"/>
      <c r="AN209" s="564"/>
      <c r="AO209" s="564"/>
      <c r="AP209" s="564"/>
      <c r="AQ209" s="564"/>
      <c r="AR209" s="564"/>
      <c r="AS209" s="564"/>
      <c r="AT209" s="564"/>
      <c r="AU209" s="564"/>
      <c r="AV209" s="564"/>
      <c r="AW209" s="564"/>
      <c r="AX209" s="564"/>
      <c r="AY209" s="564"/>
      <c r="AZ209" s="564"/>
      <c r="BA209" s="564"/>
      <c r="BB209" s="564"/>
      <c r="BC209" s="564"/>
      <c r="BD209" s="564"/>
      <c r="BE209" s="564"/>
      <c r="BF209" s="564"/>
      <c r="BG209" s="564"/>
      <c r="BH209" s="564"/>
      <c r="BI209" s="564"/>
      <c r="BJ209" s="564"/>
      <c r="BK209" s="564"/>
      <c r="BL209" s="564"/>
      <c r="BM209" s="564"/>
      <c r="BN209" s="564"/>
      <c r="BO209" s="564"/>
      <c r="BP209" s="564"/>
      <c r="BQ209" s="564"/>
      <c r="BR209" s="564"/>
      <c r="BS209" s="564"/>
      <c r="BT209" s="564"/>
      <c r="BU209" s="564"/>
      <c r="BV209" s="564"/>
      <c r="BW209" s="564"/>
      <c r="BX209" s="564"/>
      <c r="BY209" s="564"/>
      <c r="BZ209" s="564"/>
      <c r="CA209" s="564"/>
      <c r="CB209" s="564"/>
      <c r="CC209" s="564"/>
      <c r="CD209" s="564"/>
      <c r="CE209" s="564"/>
      <c r="CF209" s="564"/>
      <c r="CG209" s="564"/>
      <c r="CH209" s="564"/>
      <c r="CI209" s="564"/>
      <c r="CJ209" s="564"/>
      <c r="CK209" s="564"/>
      <c r="CL209" s="564"/>
      <c r="CM209" s="564"/>
      <c r="CN209" s="564"/>
      <c r="CO209" s="564"/>
      <c r="CP209" s="564"/>
      <c r="CQ209" s="564"/>
      <c r="EN209" s="564"/>
      <c r="EO209" s="564"/>
      <c r="EP209" s="564"/>
      <c r="EQ209" s="564"/>
    </row>
    <row r="210" spans="2:174" ht="15" customHeight="1" x14ac:dyDescent="0.2">
      <c r="B210" s="647">
        <f t="shared" si="213"/>
        <v>2</v>
      </c>
      <c r="C210" s="652">
        <f>$R$15</f>
        <v>49</v>
      </c>
      <c r="D210" s="771">
        <f>$B$15</f>
        <v>1.92</v>
      </c>
      <c r="E210" s="772">
        <f t="shared" si="207"/>
        <v>24.5</v>
      </c>
      <c r="F210" s="689"/>
      <c r="G210" s="747">
        <f t="shared" si="208"/>
        <v>1.8263653336001462</v>
      </c>
      <c r="H210" s="748">
        <f t="shared" si="209"/>
        <v>8.7674507518118987E-3</v>
      </c>
      <c r="I210" s="689"/>
      <c r="J210" s="689"/>
      <c r="K210" s="689"/>
      <c r="L210" s="689"/>
      <c r="M210" s="689"/>
      <c r="N210" s="689"/>
      <c r="O210" s="689"/>
      <c r="P210" s="689"/>
      <c r="Q210" s="689"/>
      <c r="R210" s="689"/>
      <c r="S210" s="689"/>
      <c r="T210" s="689"/>
      <c r="U210" s="564"/>
      <c r="V210" s="564"/>
      <c r="W210" s="564"/>
      <c r="X210" s="564"/>
      <c r="Y210" s="564"/>
      <c r="Z210" s="564"/>
      <c r="AA210" s="564"/>
      <c r="AB210" s="564"/>
      <c r="AC210" s="564"/>
      <c r="AD210" s="564"/>
      <c r="AE210" s="564"/>
      <c r="AF210" s="564"/>
      <c r="AG210" s="564"/>
      <c r="AH210" s="564"/>
      <c r="AI210" s="564"/>
      <c r="AJ210" s="564"/>
      <c r="AK210" s="564"/>
      <c r="AL210" s="564"/>
      <c r="AM210" s="564"/>
      <c r="AN210" s="564"/>
      <c r="AO210" s="564"/>
      <c r="AP210" s="564"/>
      <c r="AQ210" s="564"/>
      <c r="AR210" s="564"/>
      <c r="AS210" s="564"/>
      <c r="AT210" s="564"/>
      <c r="AU210" s="564"/>
      <c r="AV210" s="564"/>
      <c r="AW210" s="564"/>
      <c r="AX210" s="564"/>
      <c r="AY210" s="564"/>
      <c r="AZ210" s="564"/>
      <c r="BA210" s="564"/>
      <c r="BB210" s="564"/>
      <c r="BC210" s="564"/>
      <c r="BD210" s="564"/>
      <c r="BE210" s="564"/>
      <c r="BF210" s="564"/>
      <c r="BG210" s="564"/>
      <c r="BH210" s="564"/>
      <c r="BI210" s="564"/>
      <c r="BJ210" s="564"/>
      <c r="BK210" s="564"/>
      <c r="BL210" s="564"/>
      <c r="BM210" s="564"/>
      <c r="BN210" s="564"/>
      <c r="BO210" s="564"/>
      <c r="BP210" s="564"/>
      <c r="BQ210" s="564"/>
      <c r="BR210" s="564"/>
      <c r="BS210" s="564"/>
      <c r="BT210" s="564"/>
      <c r="BU210" s="564"/>
      <c r="BV210" s="564"/>
      <c r="BW210" s="564"/>
      <c r="BX210" s="564"/>
      <c r="BY210" s="564"/>
      <c r="BZ210" s="564"/>
      <c r="CA210" s="564"/>
      <c r="CB210" s="564"/>
      <c r="CC210" s="564"/>
      <c r="CD210" s="564"/>
      <c r="CE210" s="564"/>
      <c r="CF210" s="564"/>
      <c r="CG210" s="564"/>
      <c r="CH210" s="564"/>
      <c r="CI210" s="564"/>
      <c r="CJ210" s="564"/>
      <c r="CK210" s="564"/>
      <c r="CL210" s="564"/>
      <c r="CM210" s="564"/>
      <c r="CN210" s="564"/>
      <c r="CO210" s="564"/>
      <c r="CP210" s="564"/>
      <c r="CQ210" s="564"/>
      <c r="EN210" s="564"/>
      <c r="EO210" s="564"/>
      <c r="EP210" s="564"/>
      <c r="EQ210" s="564"/>
    </row>
    <row r="211" spans="2:174" ht="15" customHeight="1" x14ac:dyDescent="0.2">
      <c r="B211" s="647">
        <f t="shared" si="213"/>
        <v>2</v>
      </c>
      <c r="C211" s="652">
        <f>$R$16</f>
        <v>46</v>
      </c>
      <c r="D211" s="771">
        <f>$B$16</f>
        <v>1.94</v>
      </c>
      <c r="E211" s="790">
        <f t="shared" si="207"/>
        <v>23</v>
      </c>
      <c r="F211" s="689"/>
      <c r="G211" s="747">
        <f t="shared" si="208"/>
        <v>1.8476536172210725</v>
      </c>
      <c r="H211" s="748">
        <f t="shared" si="209"/>
        <v>8.5278544123521937E-3</v>
      </c>
      <c r="I211" s="689"/>
      <c r="J211" s="689"/>
      <c r="K211" s="689"/>
      <c r="L211" s="689"/>
      <c r="M211" s="689"/>
      <c r="N211" s="689"/>
      <c r="O211" s="689"/>
      <c r="P211" s="689"/>
      <c r="Q211" s="689"/>
      <c r="R211" s="689"/>
      <c r="S211" s="689"/>
      <c r="T211" s="689"/>
      <c r="U211" s="564"/>
      <c r="V211" s="564"/>
      <c r="W211" s="564"/>
      <c r="X211" s="564"/>
      <c r="Y211" s="564"/>
      <c r="Z211" s="564"/>
      <c r="AA211" s="564"/>
      <c r="AB211" s="564"/>
      <c r="AC211" s="564"/>
      <c r="AD211" s="564"/>
      <c r="AE211" s="564"/>
      <c r="AF211" s="564"/>
      <c r="AG211" s="564"/>
      <c r="AH211" s="564"/>
      <c r="AI211" s="564"/>
      <c r="AJ211" s="564"/>
      <c r="AK211" s="564"/>
      <c r="AL211" s="564"/>
      <c r="AM211" s="564"/>
      <c r="AN211" s="564"/>
      <c r="AO211" s="564"/>
      <c r="AP211" s="564"/>
      <c r="AQ211" s="564"/>
      <c r="AR211" s="564"/>
      <c r="AS211" s="564"/>
      <c r="AT211" s="564"/>
      <c r="AU211" s="564"/>
      <c r="AV211" s="564"/>
      <c r="AW211" s="564"/>
      <c r="AX211" s="564"/>
      <c r="AY211" s="564"/>
      <c r="AZ211" s="564"/>
      <c r="BA211" s="564"/>
      <c r="BB211" s="564"/>
      <c r="BC211" s="564"/>
      <c r="BD211" s="564"/>
      <c r="BE211" s="564"/>
      <c r="BF211" s="564"/>
      <c r="BG211" s="564"/>
      <c r="BH211" s="564"/>
      <c r="BI211" s="564"/>
      <c r="BJ211" s="564"/>
      <c r="BK211" s="564"/>
      <c r="BL211" s="564"/>
      <c r="BM211" s="564"/>
      <c r="BN211" s="564"/>
      <c r="BO211" s="564"/>
      <c r="BP211" s="564"/>
      <c r="BQ211" s="564"/>
      <c r="BR211" s="564"/>
      <c r="BS211" s="564"/>
      <c r="BT211" s="564"/>
      <c r="BU211" s="564"/>
      <c r="BV211" s="564"/>
      <c r="BW211" s="564"/>
      <c r="BX211" s="564"/>
      <c r="BY211" s="564"/>
      <c r="BZ211" s="564"/>
      <c r="CA211" s="564"/>
      <c r="CB211" s="564"/>
      <c r="CC211" s="564"/>
      <c r="CD211" s="564"/>
      <c r="CE211" s="564"/>
      <c r="CF211" s="564"/>
      <c r="CG211" s="564"/>
      <c r="CH211" s="564"/>
      <c r="CI211" s="564"/>
      <c r="CJ211" s="564"/>
      <c r="CK211" s="564"/>
      <c r="CL211" s="564"/>
      <c r="CM211" s="564"/>
      <c r="CN211" s="564"/>
      <c r="CO211" s="564"/>
      <c r="CP211" s="564"/>
      <c r="CQ211" s="564"/>
      <c r="EN211" s="564"/>
      <c r="EO211" s="564"/>
      <c r="EP211" s="564"/>
      <c r="EQ211" s="564"/>
    </row>
    <row r="212" spans="2:174" ht="15" customHeight="1" x14ac:dyDescent="0.2">
      <c r="B212" s="626">
        <f t="shared" ref="B212:B222" si="214">$S$4</f>
        <v>1</v>
      </c>
      <c r="C212" s="631">
        <f>$S$6</f>
        <v>52</v>
      </c>
      <c r="D212" s="744">
        <f>$B$6</f>
        <v>1.75</v>
      </c>
      <c r="E212" s="745">
        <f t="shared" si="207"/>
        <v>52</v>
      </c>
      <c r="F212" s="689"/>
      <c r="G212" s="747">
        <f t="shared" si="208"/>
        <v>1.6024062360525839</v>
      </c>
      <c r="H212" s="748">
        <f t="shared" si="209"/>
        <v>2.1783919156165579E-2</v>
      </c>
      <c r="I212" s="689"/>
      <c r="J212" s="689"/>
      <c r="K212" s="689"/>
      <c r="L212" s="689"/>
      <c r="M212" s="689"/>
      <c r="N212" s="689"/>
      <c r="O212" s="689"/>
      <c r="P212" s="689"/>
      <c r="Q212" s="689"/>
      <c r="R212" s="689"/>
      <c r="S212" s="689"/>
      <c r="T212" s="689"/>
      <c r="U212" s="564"/>
      <c r="V212" s="564"/>
      <c r="W212" s="564"/>
      <c r="X212" s="564"/>
      <c r="Y212" s="564"/>
      <c r="Z212" s="564"/>
      <c r="AA212" s="564"/>
      <c r="AB212" s="564"/>
      <c r="AC212" s="564"/>
      <c r="AD212" s="564"/>
      <c r="AE212" s="564"/>
      <c r="AF212" s="564"/>
      <c r="AG212" s="564"/>
      <c r="AH212" s="564"/>
      <c r="AI212" s="564"/>
      <c r="AJ212" s="564"/>
      <c r="AK212" s="564"/>
      <c r="AL212" s="564"/>
      <c r="AM212" s="564"/>
      <c r="AN212" s="564"/>
      <c r="AO212" s="564"/>
      <c r="AP212" s="564"/>
      <c r="AQ212" s="564"/>
      <c r="AR212" s="564"/>
      <c r="AS212" s="564"/>
      <c r="AT212" s="564"/>
      <c r="AU212" s="564"/>
      <c r="AV212" s="564"/>
      <c r="AW212" s="564"/>
      <c r="AX212" s="564"/>
      <c r="AY212" s="564"/>
      <c r="AZ212" s="564"/>
      <c r="BA212" s="564"/>
      <c r="BB212" s="564"/>
      <c r="BC212" s="564"/>
      <c r="BD212" s="564"/>
      <c r="BE212" s="564"/>
      <c r="BF212" s="564"/>
      <c r="BG212" s="564"/>
      <c r="BH212" s="564"/>
      <c r="BI212" s="564"/>
      <c r="BJ212" s="564"/>
      <c r="BK212" s="564"/>
      <c r="BL212" s="564"/>
      <c r="BM212" s="564"/>
      <c r="BN212" s="564"/>
      <c r="BO212" s="564"/>
      <c r="BP212" s="564"/>
      <c r="BQ212" s="564"/>
      <c r="BR212" s="564"/>
      <c r="BS212" s="564"/>
      <c r="BT212" s="564"/>
      <c r="BU212" s="564"/>
      <c r="BV212" s="564"/>
      <c r="BW212" s="564"/>
      <c r="BX212" s="564"/>
      <c r="BY212" s="564"/>
      <c r="BZ212" s="564"/>
      <c r="CA212" s="564"/>
      <c r="CB212" s="564"/>
      <c r="CC212" s="564"/>
      <c r="CD212" s="564"/>
      <c r="CE212" s="564"/>
      <c r="CF212" s="564"/>
      <c r="CG212" s="564"/>
      <c r="CH212" s="564"/>
      <c r="CI212" s="564"/>
      <c r="CJ212" s="564"/>
      <c r="CK212" s="564"/>
      <c r="CL212" s="564"/>
      <c r="CM212" s="564"/>
      <c r="CN212" s="564"/>
      <c r="CO212" s="564"/>
      <c r="CP212" s="564"/>
      <c r="CQ212" s="564"/>
      <c r="EN212" s="564"/>
      <c r="EO212" s="564"/>
      <c r="EP212" s="564"/>
      <c r="EQ212" s="564"/>
    </row>
    <row r="213" spans="2:174" ht="15" customHeight="1" x14ac:dyDescent="0.2">
      <c r="B213" s="647">
        <f t="shared" si="214"/>
        <v>1</v>
      </c>
      <c r="C213" s="652">
        <f>$S$7</f>
        <v>51.5</v>
      </c>
      <c r="D213" s="771">
        <f>$B$7</f>
        <v>1.78</v>
      </c>
      <c r="E213" s="772">
        <f t="shared" si="207"/>
        <v>51.5</v>
      </c>
      <c r="F213" s="689"/>
      <c r="G213" s="747">
        <f t="shared" si="208"/>
        <v>1.6092646267662003</v>
      </c>
      <c r="H213" s="748">
        <f t="shared" si="209"/>
        <v>2.9150567673284895E-2</v>
      </c>
      <c r="I213" s="689"/>
      <c r="J213" s="689"/>
      <c r="K213" s="689"/>
      <c r="L213" s="689"/>
      <c r="M213" s="689"/>
      <c r="N213" s="689"/>
      <c r="O213" s="689"/>
      <c r="P213" s="689"/>
      <c r="Q213" s="689"/>
      <c r="R213" s="689"/>
      <c r="S213" s="689"/>
      <c r="T213" s="689"/>
      <c r="U213" s="564"/>
      <c r="V213" s="564"/>
      <c r="W213" s="564"/>
      <c r="X213" s="564"/>
      <c r="Y213" s="564"/>
      <c r="Z213" s="564"/>
      <c r="AA213" s="564"/>
      <c r="AB213" s="564"/>
      <c r="AC213" s="564"/>
      <c r="AD213" s="564"/>
      <c r="AE213" s="564"/>
      <c r="AF213" s="564"/>
      <c r="AG213" s="564"/>
      <c r="AH213" s="564"/>
      <c r="AI213" s="564"/>
      <c r="AJ213" s="564"/>
      <c r="AK213" s="564"/>
      <c r="AL213" s="564"/>
      <c r="AM213" s="564"/>
      <c r="AN213" s="564"/>
      <c r="AO213" s="564"/>
      <c r="AP213" s="564"/>
      <c r="AQ213" s="564"/>
      <c r="AR213" s="564"/>
      <c r="AS213" s="564"/>
      <c r="AT213" s="564"/>
      <c r="AU213" s="564"/>
      <c r="AV213" s="564"/>
      <c r="AW213" s="564"/>
      <c r="AX213" s="564"/>
      <c r="AY213" s="564"/>
      <c r="AZ213" s="564"/>
      <c r="BA213" s="564"/>
      <c r="BB213" s="564"/>
      <c r="BC213" s="564"/>
      <c r="BD213" s="564"/>
      <c r="BE213" s="564"/>
      <c r="BF213" s="564"/>
      <c r="BG213" s="564"/>
      <c r="BH213" s="564"/>
      <c r="BI213" s="564"/>
      <c r="BJ213" s="564"/>
      <c r="BK213" s="564"/>
      <c r="BL213" s="564"/>
      <c r="BM213" s="564"/>
      <c r="BN213" s="564"/>
      <c r="BO213" s="564"/>
      <c r="BP213" s="564"/>
      <c r="BQ213" s="564"/>
      <c r="BR213" s="564"/>
      <c r="BS213" s="564"/>
      <c r="BT213" s="564"/>
      <c r="BU213" s="564"/>
      <c r="BV213" s="564"/>
      <c r="BW213" s="564"/>
      <c r="BX213" s="564"/>
      <c r="BY213" s="564"/>
      <c r="BZ213" s="564"/>
      <c r="CA213" s="564"/>
      <c r="CB213" s="564"/>
      <c r="CC213" s="564"/>
      <c r="CD213" s="564"/>
      <c r="CE213" s="564"/>
      <c r="CF213" s="564"/>
      <c r="CG213" s="564"/>
      <c r="CH213" s="564"/>
      <c r="CI213" s="564"/>
      <c r="CJ213" s="564"/>
      <c r="CK213" s="564"/>
      <c r="CL213" s="564"/>
      <c r="CM213" s="564"/>
      <c r="CN213" s="564"/>
      <c r="CO213" s="564"/>
      <c r="CP213" s="564"/>
      <c r="CQ213" s="564"/>
      <c r="EN213" s="564"/>
      <c r="EO213" s="564"/>
      <c r="EP213" s="564"/>
      <c r="EQ213" s="564"/>
    </row>
    <row r="214" spans="2:174" ht="15" customHeight="1" x14ac:dyDescent="0.2">
      <c r="B214" s="647">
        <f t="shared" si="214"/>
        <v>1</v>
      </c>
      <c r="C214" s="652">
        <f>$S$8</f>
        <v>50.1</v>
      </c>
      <c r="D214" s="771">
        <f>$B$8</f>
        <v>1.8</v>
      </c>
      <c r="E214" s="772">
        <f t="shared" si="207"/>
        <v>50.1</v>
      </c>
      <c r="F214" s="689"/>
      <c r="G214" s="747">
        <f t="shared" si="208"/>
        <v>1.6281472300737532</v>
      </c>
      <c r="H214" s="748">
        <f t="shared" si="209"/>
        <v>2.9533374531323542E-2</v>
      </c>
      <c r="I214" s="689"/>
      <c r="J214" s="689"/>
      <c r="K214" s="689"/>
      <c r="L214" s="689"/>
      <c r="M214" s="689"/>
      <c r="N214" s="689"/>
      <c r="O214" s="689"/>
      <c r="P214" s="689"/>
      <c r="Q214" s="689"/>
      <c r="R214" s="689"/>
      <c r="S214" s="689"/>
      <c r="T214" s="689"/>
      <c r="U214" s="564"/>
      <c r="V214" s="564"/>
      <c r="W214" s="564"/>
      <c r="X214" s="564"/>
      <c r="Y214" s="564"/>
      <c r="Z214" s="564"/>
      <c r="AA214" s="564"/>
      <c r="AB214" s="564"/>
      <c r="AC214" s="564"/>
      <c r="AD214" s="564"/>
      <c r="AE214" s="564"/>
      <c r="AF214" s="564"/>
      <c r="AG214" s="564"/>
      <c r="AH214" s="564"/>
      <c r="AI214" s="564"/>
      <c r="AJ214" s="564"/>
      <c r="AK214" s="564"/>
      <c r="AL214" s="564"/>
      <c r="AM214" s="564"/>
      <c r="AN214" s="564"/>
      <c r="AO214" s="564"/>
      <c r="AP214" s="564"/>
      <c r="AQ214" s="564"/>
      <c r="AR214" s="564"/>
      <c r="AS214" s="564"/>
      <c r="AT214" s="564"/>
      <c r="AU214" s="564"/>
      <c r="AV214" s="564"/>
      <c r="AW214" s="564"/>
      <c r="AX214" s="564"/>
      <c r="AY214" s="564"/>
      <c r="AZ214" s="564"/>
      <c r="BA214" s="564"/>
      <c r="BB214" s="564"/>
      <c r="BC214" s="564"/>
      <c r="BD214" s="564"/>
      <c r="BE214" s="564"/>
      <c r="BF214" s="564"/>
      <c r="BG214" s="564"/>
      <c r="BH214" s="564"/>
      <c r="BI214" s="564"/>
      <c r="BJ214" s="564"/>
      <c r="BK214" s="564"/>
      <c r="BL214" s="564"/>
      <c r="BM214" s="564"/>
      <c r="BN214" s="564"/>
      <c r="BO214" s="564"/>
      <c r="BP214" s="564"/>
      <c r="BQ214" s="564"/>
      <c r="BR214" s="564"/>
      <c r="BS214" s="564"/>
      <c r="BT214" s="564"/>
      <c r="BU214" s="564"/>
      <c r="BV214" s="564"/>
      <c r="BW214" s="564"/>
      <c r="BX214" s="564"/>
      <c r="BY214" s="564"/>
      <c r="BZ214" s="564"/>
      <c r="CA214" s="564"/>
      <c r="CB214" s="564"/>
      <c r="CC214" s="564"/>
      <c r="CD214" s="564"/>
      <c r="CE214" s="564"/>
      <c r="CF214" s="564"/>
      <c r="CG214" s="564"/>
      <c r="CH214" s="564"/>
      <c r="CI214" s="564"/>
      <c r="CJ214" s="564"/>
      <c r="CK214" s="564"/>
      <c r="CL214" s="564"/>
      <c r="CM214" s="564"/>
      <c r="CN214" s="564"/>
      <c r="CO214" s="564"/>
      <c r="CP214" s="564"/>
      <c r="CQ214" s="564"/>
      <c r="EN214" s="564"/>
      <c r="EO214" s="564"/>
      <c r="EP214" s="564"/>
      <c r="EQ214" s="564"/>
    </row>
    <row r="215" spans="2:174" ht="15" customHeight="1" x14ac:dyDescent="0.2">
      <c r="B215" s="647">
        <f t="shared" si="214"/>
        <v>1</v>
      </c>
      <c r="C215" s="652">
        <f>$S$9</f>
        <v>49.9</v>
      </c>
      <c r="D215" s="771">
        <f>$B$9</f>
        <v>1.81</v>
      </c>
      <c r="E215" s="772">
        <f t="shared" si="207"/>
        <v>49.9</v>
      </c>
      <c r="F215" s="689"/>
      <c r="G215" s="747">
        <f t="shared" si="208"/>
        <v>1.6308075882583899</v>
      </c>
      <c r="H215" s="748">
        <f t="shared" si="209"/>
        <v>3.2109920425774749E-2</v>
      </c>
      <c r="I215" s="689"/>
      <c r="J215" s="689"/>
      <c r="K215" s="689"/>
      <c r="L215" s="689"/>
      <c r="M215" s="689"/>
      <c r="N215" s="689"/>
      <c r="O215" s="689"/>
      <c r="P215" s="689"/>
      <c r="Q215" s="689"/>
      <c r="R215" s="689"/>
      <c r="S215" s="689"/>
      <c r="T215" s="689"/>
      <c r="U215" s="564"/>
      <c r="V215" s="564"/>
      <c r="W215" s="564"/>
      <c r="X215" s="564"/>
      <c r="Y215" s="564"/>
      <c r="Z215" s="564"/>
      <c r="AA215" s="564"/>
      <c r="AB215" s="564"/>
      <c r="AC215" s="564"/>
      <c r="AD215" s="564"/>
      <c r="AE215" s="564"/>
      <c r="AF215" s="564"/>
      <c r="AG215" s="564"/>
      <c r="AH215" s="564"/>
      <c r="AI215" s="564"/>
      <c r="AJ215" s="564"/>
      <c r="AK215" s="564"/>
      <c r="AL215" s="564"/>
      <c r="AM215" s="564"/>
      <c r="AN215" s="564"/>
      <c r="AO215" s="564"/>
      <c r="AP215" s="564"/>
      <c r="AQ215" s="564"/>
      <c r="AR215" s="564"/>
      <c r="AS215" s="564"/>
      <c r="AT215" s="564"/>
      <c r="AU215" s="564"/>
      <c r="AV215" s="564"/>
      <c r="AW215" s="564"/>
      <c r="AX215" s="564"/>
      <c r="AY215" s="564"/>
      <c r="AZ215" s="564"/>
      <c r="BA215" s="564"/>
      <c r="BB215" s="564"/>
      <c r="BC215" s="564"/>
      <c r="BD215" s="564"/>
      <c r="BE215" s="564"/>
      <c r="BF215" s="564"/>
      <c r="BG215" s="564"/>
      <c r="BH215" s="564"/>
      <c r="BI215" s="564"/>
      <c r="BJ215" s="564"/>
      <c r="BK215" s="564"/>
      <c r="BL215" s="564"/>
      <c r="BM215" s="564"/>
      <c r="BN215" s="564"/>
      <c r="BO215" s="564"/>
      <c r="BP215" s="564"/>
      <c r="BQ215" s="564"/>
      <c r="BR215" s="564"/>
      <c r="BS215" s="564"/>
      <c r="BT215" s="564"/>
      <c r="BU215" s="564"/>
      <c r="BV215" s="564"/>
      <c r="BW215" s="564"/>
      <c r="BX215" s="564"/>
      <c r="BY215" s="564"/>
      <c r="BZ215" s="564"/>
      <c r="CA215" s="564"/>
      <c r="CB215" s="564"/>
      <c r="CC215" s="564"/>
      <c r="CD215" s="564"/>
      <c r="CE215" s="564"/>
      <c r="CF215" s="564"/>
      <c r="CG215" s="564"/>
      <c r="CH215" s="564"/>
      <c r="CI215" s="564"/>
      <c r="CJ215" s="564"/>
      <c r="CK215" s="564"/>
      <c r="CL215" s="564"/>
      <c r="CM215" s="564"/>
      <c r="CN215" s="564"/>
      <c r="CO215" s="564"/>
      <c r="CP215" s="564"/>
      <c r="CQ215" s="564"/>
      <c r="EN215" s="564"/>
      <c r="EO215" s="564"/>
      <c r="EP215" s="564"/>
      <c r="EQ215" s="564"/>
    </row>
    <row r="216" spans="2:174" ht="15" customHeight="1" x14ac:dyDescent="0.2">
      <c r="B216" s="647">
        <f t="shared" si="214"/>
        <v>1</v>
      </c>
      <c r="C216" s="652">
        <f>$S$10</f>
        <v>48</v>
      </c>
      <c r="D216" s="771">
        <f>$B$10</f>
        <v>1.83</v>
      </c>
      <c r="E216" s="772">
        <f t="shared" si="207"/>
        <v>48</v>
      </c>
      <c r="F216" s="689"/>
      <c r="G216" s="747">
        <f t="shared" si="208"/>
        <v>1.6556469186162048</v>
      </c>
      <c r="H216" s="748">
        <f t="shared" si="209"/>
        <v>3.0398996988024327E-2</v>
      </c>
      <c r="I216" s="689"/>
      <c r="J216" s="689"/>
      <c r="K216" s="689"/>
      <c r="L216" s="689"/>
      <c r="M216" s="689"/>
      <c r="N216" s="689"/>
      <c r="O216" s="689"/>
      <c r="P216" s="689"/>
      <c r="Q216" s="689"/>
      <c r="R216" s="689"/>
      <c r="S216" s="689"/>
      <c r="T216" s="689"/>
      <c r="U216" s="564"/>
      <c r="V216" s="564"/>
      <c r="W216" s="564"/>
      <c r="X216" s="564"/>
      <c r="Y216" s="564"/>
      <c r="Z216" s="564"/>
      <c r="AA216" s="564"/>
      <c r="AB216" s="564"/>
      <c r="AC216" s="564"/>
      <c r="AD216" s="564"/>
      <c r="AE216" s="564"/>
      <c r="AF216" s="564"/>
      <c r="AG216" s="564"/>
      <c r="AH216" s="564"/>
      <c r="AI216" s="564"/>
      <c r="AJ216" s="564"/>
      <c r="AK216" s="564"/>
      <c r="AL216" s="564"/>
      <c r="AM216" s="564"/>
      <c r="AN216" s="564"/>
      <c r="AO216" s="564"/>
      <c r="AP216" s="564"/>
      <c r="AQ216" s="564"/>
      <c r="AR216" s="564"/>
      <c r="AS216" s="564"/>
      <c r="AT216" s="564"/>
      <c r="AU216" s="564"/>
      <c r="AV216" s="564"/>
      <c r="AW216" s="564"/>
      <c r="AX216" s="564"/>
      <c r="AY216" s="564"/>
      <c r="AZ216" s="564"/>
      <c r="BA216" s="564"/>
      <c r="BB216" s="564"/>
      <c r="BC216" s="564"/>
      <c r="BD216" s="564"/>
      <c r="BE216" s="564"/>
      <c r="BF216" s="564"/>
      <c r="BG216" s="564"/>
      <c r="BH216" s="564"/>
      <c r="BI216" s="564"/>
      <c r="BJ216" s="564"/>
      <c r="BK216" s="564"/>
      <c r="BL216" s="564"/>
      <c r="BM216" s="564"/>
      <c r="BN216" s="564"/>
      <c r="BO216" s="564"/>
      <c r="BP216" s="564"/>
      <c r="BQ216" s="564"/>
      <c r="BR216" s="564"/>
      <c r="BS216" s="564"/>
      <c r="BT216" s="564"/>
      <c r="BU216" s="564"/>
      <c r="BV216" s="564"/>
      <c r="BW216" s="564"/>
      <c r="BX216" s="564"/>
      <c r="BY216" s="564"/>
      <c r="BZ216" s="564"/>
      <c r="CA216" s="564"/>
      <c r="CB216" s="564"/>
      <c r="CC216" s="564"/>
      <c r="CD216" s="564"/>
      <c r="CE216" s="564"/>
      <c r="CF216" s="564"/>
      <c r="CG216" s="564"/>
      <c r="CH216" s="564"/>
      <c r="CI216" s="564"/>
      <c r="CJ216" s="564"/>
      <c r="CK216" s="564"/>
      <c r="CL216" s="564"/>
      <c r="CM216" s="564"/>
      <c r="CN216" s="564"/>
      <c r="CO216" s="564"/>
      <c r="CP216" s="564"/>
      <c r="CQ216" s="564"/>
      <c r="EN216" s="564"/>
      <c r="EO216" s="564"/>
      <c r="EP216" s="564"/>
      <c r="EQ216" s="564"/>
    </row>
    <row r="217" spans="2:174" ht="15" customHeight="1" x14ac:dyDescent="0.2">
      <c r="B217" s="647">
        <f t="shared" si="214"/>
        <v>1</v>
      </c>
      <c r="C217" s="652">
        <f>$S$11</f>
        <v>47</v>
      </c>
      <c r="D217" s="771">
        <f>$B$11</f>
        <v>1.84</v>
      </c>
      <c r="E217" s="772">
        <f t="shared" si="207"/>
        <v>47</v>
      </c>
      <c r="F217" s="689"/>
      <c r="G217" s="747">
        <f t="shared" si="208"/>
        <v>1.6684230164305738</v>
      </c>
      <c r="H217" s="748">
        <f t="shared" si="209"/>
        <v>2.9438661290783184E-2</v>
      </c>
      <c r="I217" s="689"/>
      <c r="J217" s="689"/>
      <c r="K217" s="689"/>
      <c r="L217" s="689"/>
      <c r="M217" s="689"/>
      <c r="N217" s="689"/>
      <c r="O217" s="689"/>
      <c r="P217" s="689"/>
      <c r="Q217" s="689"/>
      <c r="R217" s="689"/>
      <c r="S217" s="689"/>
      <c r="T217" s="689"/>
      <c r="U217" s="564"/>
      <c r="V217" s="564"/>
      <c r="W217" s="564"/>
      <c r="X217" s="564"/>
      <c r="Y217" s="564"/>
      <c r="Z217" s="564"/>
      <c r="AA217" s="564"/>
      <c r="AB217" s="564"/>
      <c r="AC217" s="564"/>
      <c r="AD217" s="564"/>
      <c r="AE217" s="564"/>
      <c r="AF217" s="564"/>
      <c r="AG217" s="564"/>
      <c r="AH217" s="564"/>
      <c r="AI217" s="564"/>
      <c r="AJ217" s="564"/>
      <c r="AK217" s="564"/>
      <c r="AL217" s="564"/>
      <c r="AM217" s="564"/>
      <c r="AN217" s="564"/>
      <c r="AO217" s="564"/>
      <c r="AP217" s="564"/>
      <c r="AQ217" s="564"/>
      <c r="AR217" s="564"/>
      <c r="AS217" s="564"/>
      <c r="AT217" s="564"/>
      <c r="AU217" s="564"/>
      <c r="AV217" s="564"/>
      <c r="AW217" s="564"/>
      <c r="AX217" s="564"/>
      <c r="AY217" s="564"/>
      <c r="AZ217" s="564"/>
      <c r="BA217" s="564"/>
      <c r="BB217" s="564"/>
      <c r="BC217" s="564"/>
      <c r="BD217" s="564"/>
      <c r="BE217" s="564"/>
      <c r="BF217" s="564"/>
      <c r="BG217" s="564"/>
      <c r="BH217" s="564"/>
      <c r="BI217" s="564"/>
      <c r="BJ217" s="564"/>
      <c r="BK217" s="564"/>
      <c r="BL217" s="564"/>
      <c r="BM217" s="564"/>
      <c r="BN217" s="564"/>
      <c r="BO217" s="564"/>
      <c r="BP217" s="564"/>
      <c r="BQ217" s="564"/>
      <c r="BR217" s="564"/>
      <c r="BS217" s="564"/>
      <c r="BT217" s="564"/>
      <c r="BU217" s="564"/>
      <c r="BV217" s="564"/>
      <c r="BW217" s="564"/>
      <c r="BX217" s="564"/>
      <c r="BY217" s="564"/>
      <c r="BZ217" s="564"/>
      <c r="CA217" s="564"/>
      <c r="CB217" s="564"/>
      <c r="CC217" s="564"/>
      <c r="CD217" s="564"/>
      <c r="CE217" s="564"/>
      <c r="CF217" s="564"/>
      <c r="CG217" s="564"/>
      <c r="CH217" s="564"/>
      <c r="CI217" s="564"/>
      <c r="CJ217" s="564"/>
      <c r="CK217" s="564"/>
      <c r="CL217" s="564"/>
      <c r="CM217" s="564"/>
      <c r="CN217" s="564"/>
      <c r="CO217" s="564"/>
      <c r="CP217" s="564"/>
      <c r="CQ217" s="564"/>
      <c r="EN217" s="564"/>
      <c r="EO217" s="564"/>
      <c r="EP217" s="564"/>
      <c r="EQ217" s="564"/>
    </row>
    <row r="218" spans="2:174" ht="15" customHeight="1" x14ac:dyDescent="0.2">
      <c r="B218" s="647">
        <f t="shared" si="214"/>
        <v>1</v>
      </c>
      <c r="C218" s="652">
        <f>$S$12</f>
        <v>44.5</v>
      </c>
      <c r="D218" s="771">
        <f>$B$12</f>
        <v>1.86</v>
      </c>
      <c r="E218" s="772">
        <f t="shared" si="207"/>
        <v>44.5</v>
      </c>
      <c r="F218" s="689"/>
      <c r="G218" s="747">
        <f t="shared" si="208"/>
        <v>1.6995592323524735</v>
      </c>
      <c r="H218" s="748">
        <f t="shared" si="209"/>
        <v>2.5741239923327608E-2</v>
      </c>
      <c r="I218" s="689"/>
      <c r="J218" s="689"/>
      <c r="K218" s="689"/>
      <c r="L218" s="689"/>
      <c r="M218" s="689"/>
      <c r="N218" s="689"/>
      <c r="O218" s="689"/>
      <c r="P218" s="689"/>
      <c r="Q218" s="689"/>
      <c r="R218" s="689"/>
      <c r="S218" s="689"/>
      <c r="T218" s="689"/>
      <c r="U218" s="564"/>
      <c r="V218" s="564"/>
      <c r="W218" s="564"/>
      <c r="X218" s="564"/>
      <c r="Y218" s="564"/>
      <c r="Z218" s="564"/>
      <c r="AA218" s="564"/>
      <c r="AB218" s="564"/>
      <c r="AC218" s="564"/>
      <c r="AD218" s="564"/>
      <c r="AE218" s="564"/>
      <c r="AF218" s="564"/>
      <c r="AG218" s="564"/>
      <c r="AH218" s="564"/>
      <c r="AI218" s="564"/>
      <c r="AJ218" s="564"/>
      <c r="AK218" s="564"/>
      <c r="AL218" s="564"/>
      <c r="AM218" s="564"/>
      <c r="AN218" s="564"/>
      <c r="AO218" s="564"/>
      <c r="AP218" s="564"/>
      <c r="AQ218" s="564"/>
      <c r="AR218" s="564"/>
      <c r="AS218" s="564"/>
      <c r="AT218" s="564"/>
      <c r="AU218" s="564"/>
      <c r="AV218" s="564"/>
      <c r="AW218" s="564"/>
      <c r="AX218" s="564"/>
      <c r="AY218" s="564"/>
      <c r="AZ218" s="564"/>
      <c r="BA218" s="564"/>
      <c r="BB218" s="564"/>
      <c r="BC218" s="564"/>
      <c r="BD218" s="564"/>
      <c r="BE218" s="564"/>
      <c r="BF218" s="564"/>
      <c r="BG218" s="564"/>
      <c r="BH218" s="564"/>
      <c r="BI218" s="564"/>
      <c r="BJ218" s="564"/>
      <c r="BK218" s="564"/>
      <c r="BL218" s="564"/>
      <c r="BM218" s="564"/>
      <c r="BN218" s="564"/>
      <c r="BO218" s="564"/>
      <c r="BP218" s="564"/>
      <c r="BQ218" s="564"/>
      <c r="BR218" s="564"/>
      <c r="BS218" s="564"/>
      <c r="BT218" s="564"/>
      <c r="BU218" s="564"/>
      <c r="BV218" s="564"/>
      <c r="BW218" s="564"/>
      <c r="BX218" s="564"/>
      <c r="BY218" s="564"/>
      <c r="BZ218" s="564"/>
      <c r="CA218" s="564"/>
      <c r="CB218" s="564"/>
      <c r="CC218" s="564"/>
      <c r="CD218" s="564"/>
      <c r="CE218" s="564"/>
      <c r="CF218" s="564"/>
      <c r="CG218" s="564"/>
      <c r="CH218" s="564"/>
      <c r="CI218" s="564"/>
      <c r="CJ218" s="564"/>
      <c r="CK218" s="564"/>
      <c r="CL218" s="564"/>
      <c r="CM218" s="564"/>
      <c r="CN218" s="564"/>
      <c r="CO218" s="564"/>
      <c r="CP218" s="564"/>
      <c r="CQ218" s="564"/>
      <c r="EN218" s="564"/>
      <c r="EO218" s="564"/>
      <c r="EP218" s="564"/>
      <c r="EQ218" s="564"/>
    </row>
    <row r="219" spans="2:174" ht="15" customHeight="1" x14ac:dyDescent="0.2">
      <c r="B219" s="647">
        <f t="shared" si="214"/>
        <v>1</v>
      </c>
      <c r="C219" s="652">
        <f>$S$13</f>
        <v>41</v>
      </c>
      <c r="D219" s="771">
        <f>$B$13</f>
        <v>1.88</v>
      </c>
      <c r="E219" s="772">
        <f t="shared" si="207"/>
        <v>41</v>
      </c>
      <c r="F219" s="564"/>
      <c r="G219" s="747">
        <f t="shared" si="208"/>
        <v>1.7414961686298254</v>
      </c>
      <c r="H219" s="748">
        <f t="shared" si="209"/>
        <v>1.9183311304217739E-2</v>
      </c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  <c r="AB219" s="564"/>
      <c r="AC219" s="564"/>
      <c r="AD219" s="564"/>
      <c r="AE219" s="564"/>
      <c r="AF219" s="564"/>
      <c r="AG219" s="564"/>
      <c r="AH219" s="564"/>
      <c r="AI219" s="564"/>
      <c r="AJ219" s="564"/>
      <c r="AK219" s="564"/>
      <c r="AL219" s="564"/>
      <c r="AM219" s="564"/>
      <c r="AN219" s="564"/>
      <c r="AO219" s="564"/>
      <c r="AP219" s="564"/>
      <c r="AQ219" s="564"/>
      <c r="AR219" s="564"/>
      <c r="AS219" s="564"/>
      <c r="AT219" s="564"/>
      <c r="AU219" s="564"/>
      <c r="AV219" s="564"/>
      <c r="AW219" s="564"/>
      <c r="AX219" s="564"/>
      <c r="AY219" s="564"/>
      <c r="AZ219" s="564"/>
      <c r="BA219" s="564"/>
      <c r="BB219" s="564"/>
      <c r="BC219" s="564"/>
      <c r="BD219" s="564"/>
      <c r="BE219" s="564"/>
      <c r="BF219" s="564"/>
      <c r="BG219" s="564"/>
      <c r="BH219" s="564"/>
      <c r="BI219" s="564"/>
      <c r="BJ219" s="564"/>
      <c r="BK219" s="564"/>
      <c r="BL219" s="564"/>
      <c r="BM219" s="564"/>
      <c r="BN219" s="564"/>
      <c r="BO219" s="564"/>
      <c r="BP219" s="564"/>
      <c r="BQ219" s="564"/>
      <c r="BR219" s="564"/>
      <c r="BS219" s="564"/>
      <c r="BT219" s="564"/>
      <c r="BU219" s="564"/>
      <c r="BV219" s="564"/>
      <c r="BW219" s="564"/>
      <c r="BX219" s="564"/>
      <c r="BY219" s="564"/>
      <c r="BZ219" s="564"/>
      <c r="CA219" s="564"/>
      <c r="CB219" s="564"/>
      <c r="CC219" s="564"/>
      <c r="CD219" s="564"/>
      <c r="CE219" s="564"/>
      <c r="CF219" s="564"/>
      <c r="CG219" s="564"/>
      <c r="CH219" s="564"/>
      <c r="CI219" s="564"/>
      <c r="CJ219" s="564"/>
      <c r="CK219" s="564"/>
      <c r="CL219" s="564"/>
      <c r="CM219" s="564"/>
      <c r="CN219" s="564"/>
      <c r="CO219" s="564"/>
      <c r="CP219" s="564"/>
      <c r="CQ219" s="564"/>
      <c r="EN219" s="564"/>
      <c r="EO219" s="564"/>
      <c r="EP219" s="564"/>
      <c r="EQ219" s="564"/>
    </row>
    <row r="220" spans="2:174" ht="15" customHeight="1" x14ac:dyDescent="0.2">
      <c r="B220" s="647">
        <f t="shared" si="214"/>
        <v>1</v>
      </c>
      <c r="C220" s="652">
        <f>$S$14</f>
        <v>38</v>
      </c>
      <c r="D220" s="771">
        <f>$B$14</f>
        <v>1.9</v>
      </c>
      <c r="E220" s="772">
        <f t="shared" si="207"/>
        <v>38</v>
      </c>
      <c r="F220" s="564"/>
      <c r="G220" s="747">
        <f t="shared" si="208"/>
        <v>1.7762232637099442</v>
      </c>
      <c r="H220" s="748">
        <f t="shared" si="209"/>
        <v>1.5320680446617992E-2</v>
      </c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  <c r="AB220" s="564"/>
      <c r="AC220" s="564"/>
      <c r="AD220" s="564"/>
      <c r="AE220" s="564"/>
      <c r="AF220" s="564"/>
      <c r="AG220" s="564"/>
      <c r="AH220" s="564"/>
      <c r="AI220" s="564"/>
      <c r="AJ220" s="564"/>
      <c r="AK220" s="564"/>
      <c r="AL220" s="564"/>
      <c r="AM220" s="564"/>
      <c r="AN220" s="564"/>
      <c r="AO220" s="564"/>
      <c r="AP220" s="564"/>
      <c r="AQ220" s="564"/>
      <c r="AR220" s="564"/>
      <c r="AS220" s="564"/>
      <c r="AT220" s="564"/>
      <c r="AU220" s="564"/>
      <c r="AV220" s="564"/>
      <c r="AW220" s="564"/>
      <c r="AX220" s="564"/>
      <c r="AY220" s="564"/>
      <c r="AZ220" s="564"/>
      <c r="BA220" s="564"/>
      <c r="BB220" s="564"/>
      <c r="BC220" s="564"/>
      <c r="BD220" s="564"/>
      <c r="BE220" s="564"/>
      <c r="BF220" s="564"/>
      <c r="BG220" s="564"/>
      <c r="BH220" s="564"/>
      <c r="BI220" s="564"/>
      <c r="BJ220" s="564"/>
      <c r="BK220" s="564"/>
      <c r="BL220" s="564"/>
      <c r="BM220" s="564"/>
      <c r="BN220" s="564"/>
      <c r="BO220" s="564"/>
      <c r="BP220" s="564"/>
      <c r="BQ220" s="564"/>
      <c r="BR220" s="564"/>
      <c r="BS220" s="564"/>
      <c r="BT220" s="564"/>
      <c r="BU220" s="564"/>
      <c r="BV220" s="564"/>
      <c r="BW220" s="564"/>
      <c r="BX220" s="564"/>
      <c r="BY220" s="564"/>
      <c r="BZ220" s="564"/>
      <c r="CA220" s="564"/>
      <c r="CB220" s="564"/>
      <c r="CC220" s="564"/>
      <c r="CD220" s="564"/>
      <c r="CE220" s="564"/>
      <c r="CF220" s="564"/>
      <c r="CG220" s="564"/>
      <c r="CH220" s="564"/>
      <c r="CI220" s="564"/>
      <c r="CJ220" s="564"/>
      <c r="CK220" s="564"/>
      <c r="CL220" s="564"/>
      <c r="CM220" s="564"/>
      <c r="CN220" s="564"/>
      <c r="CO220" s="564"/>
      <c r="CP220" s="564"/>
      <c r="CQ220" s="564"/>
      <c r="EN220" s="564"/>
      <c r="EO220" s="564"/>
      <c r="EP220" s="564"/>
      <c r="EQ220" s="564"/>
    </row>
    <row r="221" spans="2:174" ht="15" customHeight="1" x14ac:dyDescent="0.2">
      <c r="B221" s="647">
        <f t="shared" si="214"/>
        <v>1</v>
      </c>
      <c r="C221" s="652">
        <f>$S$15</f>
        <v>34.5</v>
      </c>
      <c r="D221" s="771">
        <f>$B$15</f>
        <v>1.92</v>
      </c>
      <c r="E221" s="772">
        <f t="shared" si="207"/>
        <v>34.5</v>
      </c>
      <c r="F221" s="564"/>
      <c r="G221" s="747">
        <f t="shared" si="208"/>
        <v>1.8157141660152143</v>
      </c>
      <c r="H221" s="748">
        <f t="shared" si="209"/>
        <v>1.0875535169902271E-2</v>
      </c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  <c r="AB221" s="564"/>
      <c r="AC221" s="564"/>
      <c r="AD221" s="564"/>
      <c r="AE221" s="564"/>
      <c r="AF221" s="564"/>
      <c r="AG221" s="564"/>
      <c r="AH221" s="564"/>
      <c r="AI221" s="564"/>
      <c r="AJ221" s="564"/>
      <c r="AK221" s="564"/>
      <c r="AL221" s="564"/>
      <c r="AM221" s="564"/>
      <c r="AN221" s="564"/>
      <c r="AO221" s="564"/>
      <c r="AP221" s="564"/>
      <c r="AQ221" s="564"/>
      <c r="AR221" s="564"/>
      <c r="AS221" s="564"/>
      <c r="AT221" s="564"/>
      <c r="AU221" s="564"/>
      <c r="AV221" s="564"/>
      <c r="AW221" s="564"/>
      <c r="AX221" s="564"/>
      <c r="AY221" s="564"/>
      <c r="AZ221" s="564"/>
      <c r="BA221" s="564"/>
      <c r="BB221" s="564"/>
      <c r="BC221" s="564"/>
      <c r="BD221" s="564"/>
      <c r="BE221" s="564"/>
      <c r="BF221" s="564"/>
      <c r="BG221" s="564"/>
      <c r="BH221" s="564"/>
      <c r="BI221" s="564"/>
      <c r="BJ221" s="564"/>
      <c r="BK221" s="564"/>
      <c r="BL221" s="564"/>
      <c r="BM221" s="564"/>
      <c r="BN221" s="564"/>
      <c r="BO221" s="564"/>
      <c r="BP221" s="564"/>
      <c r="BQ221" s="564"/>
      <c r="BR221" s="564"/>
      <c r="BS221" s="564"/>
      <c r="BT221" s="564"/>
      <c r="BU221" s="564"/>
      <c r="BV221" s="564"/>
      <c r="BW221" s="564"/>
      <c r="BX221" s="564"/>
      <c r="BY221" s="564"/>
      <c r="BZ221" s="564"/>
      <c r="CA221" s="564"/>
      <c r="CB221" s="564"/>
      <c r="CC221" s="564"/>
      <c r="CD221" s="564"/>
      <c r="CE221" s="564"/>
      <c r="CF221" s="564"/>
      <c r="CG221" s="564"/>
      <c r="CH221" s="564"/>
      <c r="CI221" s="564"/>
      <c r="CJ221" s="564"/>
      <c r="CK221" s="564"/>
      <c r="CL221" s="564"/>
      <c r="CM221" s="564"/>
      <c r="CN221" s="564"/>
      <c r="CO221" s="564"/>
      <c r="CP221" s="564"/>
      <c r="CQ221" s="564"/>
      <c r="EN221" s="564"/>
      <c r="EO221" s="564"/>
      <c r="EP221" s="564"/>
      <c r="EQ221" s="564"/>
    </row>
    <row r="222" spans="2:174" ht="15" customHeight="1" x14ac:dyDescent="0.2">
      <c r="B222" s="682">
        <f t="shared" si="214"/>
        <v>1</v>
      </c>
      <c r="C222" s="704">
        <f>$S$16</f>
        <v>31</v>
      </c>
      <c r="D222" s="807">
        <f>$B$16</f>
        <v>1.94</v>
      </c>
      <c r="E222" s="790">
        <f t="shared" si="207"/>
        <v>31</v>
      </c>
      <c r="F222" s="564"/>
      <c r="G222" s="844">
        <f t="shared" si="208"/>
        <v>1.8545259700960579</v>
      </c>
      <c r="H222" s="865">
        <f t="shared" si="209"/>
        <v>7.3058097880199782E-3</v>
      </c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  <c r="AB222" s="564"/>
      <c r="AC222" s="564"/>
      <c r="AD222" s="564"/>
      <c r="AE222" s="564"/>
      <c r="AF222" s="564"/>
      <c r="AG222" s="564"/>
      <c r="AH222" s="564"/>
      <c r="AI222" s="564"/>
      <c r="AJ222" s="564"/>
      <c r="AK222" s="564"/>
      <c r="AL222" s="564"/>
      <c r="AM222" s="564"/>
      <c r="AN222" s="564"/>
      <c r="AO222" s="564"/>
      <c r="AP222" s="564"/>
      <c r="AQ222" s="564"/>
      <c r="AR222" s="564"/>
      <c r="AS222" s="564"/>
      <c r="AT222" s="564"/>
      <c r="AU222" s="564"/>
      <c r="AV222" s="564"/>
      <c r="AW222" s="564"/>
      <c r="AX222" s="564"/>
      <c r="AY222" s="564"/>
      <c r="AZ222" s="564"/>
      <c r="BA222" s="564"/>
      <c r="BB222" s="564"/>
      <c r="BC222" s="564"/>
      <c r="BD222" s="564"/>
      <c r="BE222" s="564"/>
      <c r="BF222" s="564"/>
      <c r="BG222" s="564"/>
      <c r="BH222" s="564"/>
      <c r="BI222" s="564"/>
      <c r="BJ222" s="564"/>
      <c r="BK222" s="564"/>
      <c r="BL222" s="564"/>
      <c r="BM222" s="564"/>
      <c r="BN222" s="564"/>
      <c r="BO222" s="564"/>
      <c r="BP222" s="564"/>
      <c r="BQ222" s="564"/>
      <c r="BR222" s="564"/>
      <c r="BS222" s="564"/>
      <c r="BT222" s="564"/>
      <c r="BU222" s="564"/>
      <c r="BV222" s="564"/>
      <c r="BW222" s="564"/>
      <c r="BX222" s="564"/>
      <c r="BY222" s="564"/>
      <c r="BZ222" s="564"/>
      <c r="CA222" s="564"/>
      <c r="CB222" s="564"/>
      <c r="CC222" s="564"/>
      <c r="CD222" s="564"/>
      <c r="CE222" s="564"/>
      <c r="CF222" s="564"/>
      <c r="CG222" s="564"/>
      <c r="CH222" s="564"/>
      <c r="CI222" s="564"/>
      <c r="CJ222" s="564"/>
      <c r="CK222" s="564"/>
      <c r="CL222" s="564"/>
      <c r="CM222" s="564"/>
      <c r="CN222" s="564"/>
      <c r="CO222" s="564"/>
      <c r="CP222" s="564"/>
      <c r="CQ222" s="564"/>
      <c r="EN222" s="564"/>
      <c r="EO222" s="564"/>
      <c r="EP222" s="564"/>
      <c r="EQ222" s="564"/>
    </row>
    <row r="223" spans="2:174" ht="15" customHeight="1" x14ac:dyDescent="0.2">
      <c r="B223" s="860"/>
      <c r="C223" s="860"/>
      <c r="D223" s="712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64"/>
      <c r="AC223" s="564"/>
      <c r="AD223" s="564"/>
      <c r="AE223" s="564"/>
      <c r="AF223" s="564"/>
      <c r="AG223" s="564"/>
      <c r="AH223" s="564"/>
      <c r="AI223" s="564"/>
      <c r="AJ223" s="564"/>
      <c r="AK223" s="564"/>
      <c r="AL223" s="564"/>
      <c r="AM223" s="564"/>
      <c r="AN223" s="564"/>
      <c r="AO223" s="564"/>
      <c r="AP223" s="564"/>
      <c r="AQ223" s="564"/>
      <c r="AR223" s="564"/>
      <c r="AS223" s="564"/>
      <c r="AT223" s="564"/>
      <c r="AU223" s="564"/>
      <c r="AV223" s="564"/>
      <c r="AW223" s="564"/>
      <c r="AX223" s="564"/>
      <c r="AY223" s="564"/>
      <c r="AZ223" s="564"/>
      <c r="BA223" s="564"/>
      <c r="BB223" s="564"/>
      <c r="BC223" s="564"/>
      <c r="BD223" s="564"/>
      <c r="BE223" s="564"/>
      <c r="BF223" s="564"/>
      <c r="BG223" s="564"/>
      <c r="BH223" s="564"/>
      <c r="BI223" s="564"/>
      <c r="BJ223" s="564"/>
      <c r="BK223" s="564"/>
      <c r="BL223" s="564"/>
      <c r="BM223" s="564"/>
      <c r="BN223" s="564"/>
      <c r="BO223" s="564"/>
      <c r="BP223" s="564"/>
      <c r="BQ223" s="564"/>
      <c r="BR223" s="564"/>
      <c r="BS223" s="564"/>
      <c r="BT223" s="564"/>
      <c r="BU223" s="564"/>
      <c r="BV223" s="564"/>
      <c r="BW223" s="564"/>
      <c r="BX223" s="564"/>
      <c r="BY223" s="564"/>
      <c r="BZ223" s="564"/>
      <c r="CA223" s="564"/>
      <c r="CB223" s="564"/>
      <c r="CC223" s="564"/>
      <c r="CD223" s="564"/>
      <c r="CE223" s="564"/>
      <c r="CF223" s="564"/>
      <c r="CG223" s="564"/>
      <c r="CH223" s="564"/>
      <c r="CI223" s="564"/>
      <c r="CJ223" s="564"/>
      <c r="CK223" s="564"/>
      <c r="CL223" s="564"/>
      <c r="CM223" s="564"/>
      <c r="CN223" s="564"/>
      <c r="CO223" s="564"/>
      <c r="CP223" s="564"/>
      <c r="CQ223" s="564"/>
      <c r="EN223" s="564"/>
      <c r="EO223" s="564"/>
      <c r="EP223" s="564"/>
      <c r="EQ223" s="564"/>
    </row>
    <row r="224" spans="2:174" s="867" customFormat="1" ht="15" customHeight="1" x14ac:dyDescent="0.2">
      <c r="B224" s="866"/>
      <c r="I224" s="866"/>
      <c r="J224" s="866"/>
      <c r="K224" s="866"/>
      <c r="L224" s="866"/>
      <c r="M224" s="866"/>
      <c r="N224" s="866"/>
      <c r="O224" s="866"/>
      <c r="P224" s="866"/>
      <c r="Q224" s="866"/>
      <c r="R224" s="866"/>
      <c r="S224" s="866"/>
      <c r="T224" s="866"/>
      <c r="U224" s="866"/>
      <c r="V224" s="866"/>
      <c r="W224" s="866"/>
      <c r="X224" s="866"/>
      <c r="Y224" s="866"/>
      <c r="Z224" s="866"/>
      <c r="AA224" s="866"/>
      <c r="AB224" s="866"/>
      <c r="AC224" s="866"/>
      <c r="AD224" s="866"/>
      <c r="AE224" s="866"/>
      <c r="AF224" s="866"/>
      <c r="AG224" s="866"/>
      <c r="AH224" s="866"/>
      <c r="AI224" s="866"/>
      <c r="AJ224" s="866"/>
      <c r="AK224" s="866"/>
      <c r="AL224" s="866"/>
      <c r="AM224" s="866"/>
      <c r="AN224" s="866"/>
      <c r="AO224" s="866"/>
      <c r="AP224" s="866"/>
      <c r="AQ224" s="866"/>
      <c r="AR224" s="866"/>
      <c r="AS224" s="866"/>
      <c r="AT224" s="866"/>
      <c r="AU224" s="866"/>
      <c r="AV224" s="866"/>
      <c r="AW224" s="866"/>
      <c r="AX224" s="866"/>
      <c r="AY224" s="866"/>
      <c r="AZ224" s="866"/>
      <c r="BA224" s="866"/>
      <c r="BB224" s="866"/>
      <c r="BC224" s="866"/>
      <c r="BD224" s="866"/>
      <c r="BE224" s="866"/>
      <c r="BF224" s="866"/>
      <c r="BG224" s="866"/>
      <c r="BH224" s="866"/>
      <c r="BI224" s="866"/>
      <c r="BJ224" s="866"/>
      <c r="BK224" s="866"/>
      <c r="BL224" s="866"/>
      <c r="BM224" s="866"/>
      <c r="BN224" s="866"/>
      <c r="BO224" s="866"/>
      <c r="BP224" s="866"/>
      <c r="BQ224" s="866"/>
      <c r="BR224" s="866"/>
      <c r="BS224" s="866"/>
      <c r="BT224" s="866"/>
      <c r="BU224" s="866"/>
      <c r="BV224" s="866"/>
      <c r="BW224" s="866"/>
      <c r="BX224" s="866"/>
      <c r="BY224" s="866"/>
      <c r="BZ224" s="866"/>
      <c r="CA224" s="866"/>
      <c r="CB224" s="866"/>
      <c r="CC224" s="866"/>
      <c r="CD224" s="866"/>
      <c r="CE224" s="866"/>
      <c r="CF224" s="866"/>
      <c r="CG224" s="866"/>
      <c r="CH224" s="866"/>
      <c r="CI224" s="866"/>
      <c r="CJ224" s="866"/>
      <c r="CK224" s="866"/>
      <c r="CL224" s="866"/>
      <c r="CM224" s="866"/>
      <c r="CN224" s="866"/>
      <c r="CO224" s="866"/>
      <c r="CP224" s="866"/>
      <c r="CQ224" s="866"/>
      <c r="EN224" s="866"/>
      <c r="EO224" s="866"/>
      <c r="EP224" s="866"/>
      <c r="EQ224" s="866"/>
      <c r="ER224" s="866"/>
      <c r="ES224" s="866"/>
      <c r="ET224" s="866"/>
      <c r="EU224" s="866"/>
      <c r="EV224" s="866"/>
      <c r="EW224" s="866"/>
      <c r="EX224" s="866"/>
      <c r="EY224" s="866"/>
      <c r="EZ224" s="866"/>
      <c r="FA224" s="866"/>
      <c r="FB224" s="866"/>
      <c r="FC224" s="866"/>
      <c r="FD224" s="866"/>
      <c r="FE224" s="866"/>
      <c r="FF224" s="866"/>
      <c r="FG224" s="866"/>
      <c r="FH224" s="866"/>
      <c r="FI224" s="866"/>
      <c r="FJ224" s="866"/>
      <c r="FK224" s="866"/>
      <c r="FL224" s="866"/>
      <c r="FM224" s="866"/>
      <c r="FN224" s="866"/>
      <c r="FO224" s="866"/>
      <c r="FP224" s="866"/>
      <c r="FQ224" s="866"/>
      <c r="FR224" s="866"/>
    </row>
    <row r="225" spans="2:147" ht="15" customHeight="1" x14ac:dyDescent="0.2">
      <c r="B225" s="564"/>
      <c r="C225" s="860"/>
      <c r="D225" s="712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  <c r="AB225" s="564"/>
      <c r="AC225" s="564"/>
      <c r="AD225" s="564"/>
      <c r="AE225" s="564"/>
      <c r="AF225" s="564"/>
      <c r="AG225" s="564"/>
      <c r="AH225" s="564"/>
      <c r="AI225" s="564"/>
      <c r="AJ225" s="564"/>
      <c r="AK225" s="564"/>
      <c r="AL225" s="564"/>
      <c r="AM225" s="564"/>
      <c r="AN225" s="564"/>
      <c r="AO225" s="564"/>
      <c r="AP225" s="564"/>
      <c r="AQ225" s="564"/>
      <c r="AR225" s="564"/>
      <c r="AS225" s="564"/>
      <c r="AT225" s="564"/>
      <c r="AU225" s="564"/>
      <c r="AV225" s="564"/>
      <c r="AW225" s="564"/>
      <c r="AX225" s="564"/>
      <c r="AY225" s="564"/>
      <c r="AZ225" s="564"/>
      <c r="BA225" s="564"/>
      <c r="BB225" s="564"/>
      <c r="BC225" s="564"/>
      <c r="BD225" s="564"/>
      <c r="BE225" s="564"/>
      <c r="BF225" s="564"/>
      <c r="BG225" s="564"/>
      <c r="BH225" s="564"/>
      <c r="BI225" s="564"/>
      <c r="BJ225" s="564"/>
      <c r="BK225" s="564"/>
      <c r="BL225" s="564"/>
      <c r="BM225" s="564"/>
      <c r="BN225" s="564"/>
      <c r="BO225" s="564"/>
      <c r="BP225" s="564"/>
      <c r="BQ225" s="564"/>
      <c r="BR225" s="564"/>
      <c r="BS225" s="564"/>
      <c r="BT225" s="564"/>
      <c r="BU225" s="564"/>
      <c r="BV225" s="564"/>
      <c r="BW225" s="564"/>
      <c r="BX225" s="564"/>
      <c r="BY225" s="564"/>
      <c r="BZ225" s="564"/>
      <c r="CA225" s="564"/>
      <c r="CB225" s="564"/>
      <c r="CC225" s="564"/>
      <c r="CD225" s="564"/>
      <c r="CE225" s="564"/>
      <c r="CF225" s="564"/>
      <c r="CG225" s="564"/>
      <c r="CH225" s="564"/>
      <c r="CI225" s="564"/>
      <c r="CJ225" s="564"/>
      <c r="CK225" s="564"/>
      <c r="CL225" s="564"/>
      <c r="CM225" s="564"/>
      <c r="CN225" s="564"/>
      <c r="CO225" s="564"/>
      <c r="CP225" s="564"/>
      <c r="CQ225" s="564"/>
      <c r="EN225" s="564"/>
      <c r="EO225" s="564"/>
      <c r="EP225" s="564"/>
      <c r="EQ225" s="564"/>
    </row>
    <row r="226" spans="2:147" ht="15" customHeight="1" x14ac:dyDescent="0.2">
      <c r="B226" s="564"/>
      <c r="C226" s="860"/>
      <c r="D226" s="712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  <c r="AB226" s="564"/>
      <c r="AC226" s="564"/>
      <c r="AD226" s="564"/>
      <c r="AE226" s="564"/>
      <c r="AF226" s="564"/>
      <c r="AG226" s="564"/>
      <c r="AH226" s="564"/>
      <c r="AI226" s="564"/>
      <c r="AJ226" s="564"/>
      <c r="AK226" s="564"/>
      <c r="AL226" s="564"/>
      <c r="AM226" s="564"/>
      <c r="AN226" s="564"/>
      <c r="AO226" s="564"/>
      <c r="AP226" s="564"/>
      <c r="AQ226" s="564"/>
      <c r="AR226" s="564"/>
      <c r="AS226" s="564"/>
      <c r="AT226" s="564"/>
      <c r="AU226" s="564"/>
      <c r="AV226" s="564"/>
      <c r="AW226" s="564"/>
      <c r="AX226" s="564"/>
      <c r="AY226" s="564"/>
      <c r="AZ226" s="564"/>
      <c r="BA226" s="564"/>
      <c r="BB226" s="564"/>
      <c r="BC226" s="564"/>
      <c r="BD226" s="564"/>
      <c r="BE226" s="564"/>
      <c r="BF226" s="564"/>
      <c r="BG226" s="564"/>
      <c r="BH226" s="564"/>
      <c r="BI226" s="564"/>
      <c r="BJ226" s="564"/>
      <c r="BK226" s="564"/>
      <c r="BL226" s="564"/>
      <c r="BM226" s="564"/>
      <c r="BN226" s="564"/>
      <c r="BO226" s="564"/>
      <c r="BP226" s="564"/>
      <c r="BQ226" s="564"/>
      <c r="BR226" s="564"/>
      <c r="BS226" s="564"/>
      <c r="BT226" s="564"/>
      <c r="BU226" s="564"/>
      <c r="BV226" s="564"/>
      <c r="BW226" s="564"/>
      <c r="BX226" s="564"/>
      <c r="BY226" s="564"/>
      <c r="BZ226" s="564"/>
      <c r="CA226" s="564"/>
      <c r="CB226" s="564"/>
      <c r="CC226" s="564"/>
      <c r="CD226" s="564"/>
      <c r="CE226" s="564"/>
      <c r="CF226" s="564"/>
      <c r="CG226" s="564"/>
      <c r="CH226" s="564"/>
      <c r="CI226" s="564"/>
      <c r="CJ226" s="564"/>
      <c r="CK226" s="564"/>
      <c r="CL226" s="564"/>
      <c r="CM226" s="564"/>
      <c r="CN226" s="564"/>
      <c r="CO226" s="564"/>
      <c r="CP226" s="564"/>
      <c r="CQ226" s="564"/>
      <c r="EN226" s="564"/>
      <c r="EO226" s="564"/>
      <c r="EP226" s="564"/>
      <c r="EQ226" s="564"/>
    </row>
    <row r="227" spans="2:147" ht="15" customHeight="1" x14ac:dyDescent="0.2">
      <c r="B227" s="564"/>
      <c r="C227" s="860"/>
      <c r="D227" s="712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  <c r="AB227" s="564"/>
      <c r="AC227" s="564"/>
      <c r="AD227" s="564"/>
      <c r="AE227" s="564"/>
      <c r="AF227" s="564"/>
      <c r="AG227" s="564"/>
      <c r="AH227" s="564"/>
      <c r="AI227" s="564"/>
      <c r="AJ227" s="564"/>
      <c r="AK227" s="564"/>
      <c r="AL227" s="564"/>
      <c r="AM227" s="564"/>
      <c r="AN227" s="564"/>
      <c r="AO227" s="564"/>
      <c r="AP227" s="564"/>
      <c r="AQ227" s="564"/>
      <c r="AR227" s="564"/>
      <c r="AS227" s="564"/>
      <c r="AT227" s="564"/>
      <c r="AU227" s="564"/>
      <c r="AV227" s="564"/>
      <c r="AW227" s="564"/>
      <c r="AX227" s="564"/>
      <c r="AY227" s="564"/>
      <c r="AZ227" s="564"/>
      <c r="BA227" s="564"/>
      <c r="BB227" s="564"/>
      <c r="BC227" s="564"/>
      <c r="BD227" s="564"/>
      <c r="BE227" s="564"/>
      <c r="BF227" s="564"/>
      <c r="BG227" s="564"/>
      <c r="BH227" s="564"/>
      <c r="BI227" s="564"/>
      <c r="BJ227" s="564"/>
      <c r="BK227" s="564"/>
      <c r="BL227" s="564"/>
      <c r="BM227" s="564"/>
      <c r="BN227" s="564"/>
      <c r="BO227" s="564"/>
      <c r="BP227" s="564"/>
      <c r="BQ227" s="564"/>
      <c r="BR227" s="564"/>
      <c r="BS227" s="564"/>
      <c r="BT227" s="564"/>
      <c r="BU227" s="564"/>
      <c r="BV227" s="564"/>
      <c r="BW227" s="564"/>
      <c r="BX227" s="564"/>
      <c r="BY227" s="564"/>
      <c r="BZ227" s="564"/>
      <c r="CA227" s="564"/>
      <c r="CB227" s="564"/>
      <c r="CC227" s="564"/>
      <c r="CD227" s="564"/>
      <c r="CE227" s="564"/>
      <c r="CF227" s="564"/>
      <c r="CG227" s="564"/>
      <c r="CH227" s="564"/>
      <c r="CI227" s="564"/>
      <c r="CJ227" s="564"/>
      <c r="CK227" s="564"/>
      <c r="CL227" s="564"/>
      <c r="CM227" s="564"/>
      <c r="CN227" s="564"/>
      <c r="CO227" s="564"/>
      <c r="CP227" s="564"/>
      <c r="CQ227" s="564"/>
      <c r="EN227" s="564"/>
      <c r="EO227" s="564"/>
      <c r="EP227" s="564"/>
      <c r="EQ227" s="564"/>
    </row>
    <row r="228" spans="2:147" ht="15" customHeight="1" x14ac:dyDescent="0.2">
      <c r="B228" s="564"/>
      <c r="C228" s="860"/>
      <c r="D228" s="712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  <c r="AB228" s="564"/>
      <c r="AC228" s="564"/>
      <c r="AD228" s="564"/>
      <c r="AE228" s="564"/>
      <c r="AF228" s="564"/>
      <c r="AG228" s="564"/>
      <c r="AH228" s="564"/>
      <c r="AI228" s="564"/>
      <c r="AJ228" s="564"/>
      <c r="AK228" s="564"/>
      <c r="AL228" s="564"/>
      <c r="AM228" s="564"/>
      <c r="AN228" s="564"/>
      <c r="AO228" s="564"/>
      <c r="AP228" s="564"/>
      <c r="AQ228" s="564"/>
      <c r="AR228" s="564"/>
      <c r="AS228" s="564"/>
      <c r="AT228" s="564"/>
      <c r="AU228" s="564"/>
      <c r="AV228" s="564"/>
      <c r="AW228" s="564"/>
      <c r="AX228" s="564"/>
      <c r="AY228" s="564"/>
      <c r="AZ228" s="564"/>
      <c r="BA228" s="564"/>
      <c r="BB228" s="564"/>
      <c r="BC228" s="564"/>
      <c r="BD228" s="564"/>
      <c r="BE228" s="564"/>
      <c r="BF228" s="564"/>
      <c r="BG228" s="564"/>
      <c r="BH228" s="564"/>
      <c r="BI228" s="564"/>
      <c r="BJ228" s="564"/>
      <c r="BK228" s="564"/>
      <c r="BL228" s="564"/>
      <c r="BM228" s="564"/>
      <c r="BN228" s="564"/>
      <c r="BO228" s="564"/>
      <c r="BP228" s="564"/>
      <c r="BQ228" s="564"/>
      <c r="BR228" s="564"/>
      <c r="BS228" s="564"/>
      <c r="BT228" s="564"/>
      <c r="BU228" s="564"/>
      <c r="BV228" s="564"/>
      <c r="BW228" s="564"/>
      <c r="BX228" s="564"/>
      <c r="BY228" s="564"/>
      <c r="BZ228" s="564"/>
      <c r="CA228" s="564"/>
      <c r="CB228" s="564"/>
      <c r="CC228" s="564"/>
      <c r="CD228" s="564"/>
      <c r="CE228" s="564"/>
      <c r="CF228" s="564"/>
      <c r="CG228" s="564"/>
      <c r="CH228" s="564"/>
      <c r="CI228" s="564"/>
      <c r="CJ228" s="564"/>
      <c r="CK228" s="564"/>
      <c r="CL228" s="564"/>
      <c r="CM228" s="564"/>
      <c r="CN228" s="564"/>
      <c r="CO228" s="564"/>
      <c r="CP228" s="564"/>
      <c r="CQ228" s="564"/>
      <c r="EN228" s="564"/>
      <c r="EO228" s="564"/>
      <c r="EP228" s="564"/>
      <c r="EQ228" s="564"/>
    </row>
    <row r="229" spans="2:147" ht="15" customHeight="1" x14ac:dyDescent="0.2">
      <c r="B229" s="564"/>
      <c r="C229" s="860"/>
      <c r="D229" s="712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  <c r="AB229" s="564"/>
      <c r="AC229" s="564"/>
      <c r="AD229" s="564"/>
      <c r="AE229" s="564"/>
      <c r="AF229" s="564"/>
      <c r="AG229" s="564"/>
      <c r="AH229" s="564"/>
      <c r="AI229" s="564"/>
      <c r="AJ229" s="564"/>
      <c r="AK229" s="564"/>
      <c r="AL229" s="564"/>
      <c r="AM229" s="564"/>
      <c r="AN229" s="564"/>
      <c r="AO229" s="564"/>
      <c r="AP229" s="564"/>
      <c r="AQ229" s="564"/>
      <c r="AR229" s="564"/>
      <c r="AS229" s="564"/>
      <c r="AT229" s="564"/>
      <c r="AU229" s="564"/>
      <c r="AV229" s="564"/>
      <c r="AW229" s="564"/>
      <c r="AX229" s="564"/>
      <c r="AY229" s="564"/>
      <c r="AZ229" s="564"/>
      <c r="BA229" s="564"/>
      <c r="BB229" s="564"/>
      <c r="BC229" s="564"/>
      <c r="BD229" s="564"/>
      <c r="BE229" s="564"/>
      <c r="BF229" s="564"/>
      <c r="BG229" s="564"/>
      <c r="BH229" s="564"/>
      <c r="BI229" s="564"/>
      <c r="BJ229" s="564"/>
      <c r="BK229" s="564"/>
      <c r="BL229" s="564"/>
      <c r="BM229" s="564"/>
      <c r="BN229" s="564"/>
      <c r="BO229" s="564"/>
      <c r="BP229" s="564"/>
      <c r="BQ229" s="564"/>
      <c r="BR229" s="564"/>
      <c r="BS229" s="564"/>
      <c r="BT229" s="564"/>
      <c r="BU229" s="564"/>
      <c r="BV229" s="564"/>
      <c r="BW229" s="564"/>
      <c r="BX229" s="564"/>
      <c r="BY229" s="564"/>
      <c r="BZ229" s="564"/>
      <c r="CA229" s="564"/>
      <c r="CB229" s="564"/>
      <c r="CC229" s="564"/>
      <c r="CD229" s="564"/>
      <c r="CE229" s="564"/>
      <c r="CF229" s="564"/>
      <c r="CG229" s="564"/>
      <c r="CH229" s="564"/>
      <c r="CI229" s="564"/>
      <c r="CJ229" s="564"/>
      <c r="CK229" s="564"/>
      <c r="CL229" s="564"/>
      <c r="CM229" s="564"/>
      <c r="CN229" s="564"/>
      <c r="CO229" s="564"/>
      <c r="CP229" s="564"/>
      <c r="CQ229" s="564"/>
      <c r="EN229" s="564"/>
      <c r="EO229" s="564"/>
      <c r="EP229" s="564"/>
      <c r="EQ229" s="564"/>
    </row>
    <row r="230" spans="2:147" ht="15" customHeight="1" x14ac:dyDescent="0.2">
      <c r="B230" s="564"/>
      <c r="C230" s="860"/>
      <c r="D230" s="712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  <c r="AB230" s="564"/>
      <c r="AC230" s="564"/>
      <c r="AD230" s="564"/>
      <c r="AE230" s="564"/>
      <c r="AF230" s="564"/>
      <c r="AG230" s="564"/>
      <c r="AH230" s="564"/>
      <c r="AI230" s="564"/>
      <c r="AJ230" s="564"/>
      <c r="AK230" s="564"/>
      <c r="AL230" s="564"/>
      <c r="AM230" s="564"/>
      <c r="AN230" s="564"/>
      <c r="AO230" s="564"/>
      <c r="AP230" s="564"/>
      <c r="AQ230" s="564"/>
      <c r="AR230" s="564"/>
      <c r="AS230" s="564"/>
      <c r="AT230" s="564"/>
      <c r="AU230" s="564"/>
      <c r="AV230" s="564"/>
      <c r="AW230" s="564"/>
      <c r="AX230" s="564"/>
      <c r="AY230" s="564"/>
      <c r="AZ230" s="564"/>
      <c r="BA230" s="564"/>
      <c r="BB230" s="564"/>
      <c r="BC230" s="564"/>
      <c r="BD230" s="564"/>
      <c r="BE230" s="564"/>
      <c r="BF230" s="564"/>
      <c r="BG230" s="564"/>
      <c r="BH230" s="564"/>
      <c r="BI230" s="564"/>
      <c r="BJ230" s="564"/>
      <c r="BK230" s="564"/>
      <c r="BL230" s="564"/>
      <c r="BM230" s="564"/>
      <c r="BN230" s="564"/>
      <c r="BO230" s="564"/>
      <c r="BP230" s="564"/>
      <c r="BQ230" s="564"/>
      <c r="BR230" s="564"/>
      <c r="BS230" s="564"/>
      <c r="BT230" s="564"/>
      <c r="BU230" s="564"/>
      <c r="BV230" s="564"/>
      <c r="BW230" s="564"/>
      <c r="BX230" s="564"/>
      <c r="BY230" s="564"/>
      <c r="BZ230" s="564"/>
      <c r="CA230" s="564"/>
      <c r="CB230" s="564"/>
      <c r="CC230" s="564"/>
      <c r="CD230" s="564"/>
      <c r="CE230" s="564"/>
      <c r="CF230" s="564"/>
      <c r="CG230" s="564"/>
      <c r="CH230" s="564"/>
      <c r="CI230" s="564"/>
      <c r="CJ230" s="564"/>
      <c r="CK230" s="564"/>
      <c r="CL230" s="564"/>
      <c r="CM230" s="564"/>
      <c r="CN230" s="564"/>
      <c r="CO230" s="564"/>
      <c r="CP230" s="564"/>
      <c r="CQ230" s="564"/>
      <c r="EN230" s="564"/>
      <c r="EO230" s="564"/>
      <c r="EP230" s="564"/>
      <c r="EQ230" s="564"/>
    </row>
    <row r="231" spans="2:147" ht="15" customHeight="1" x14ac:dyDescent="0.2">
      <c r="B231" s="564"/>
      <c r="C231" s="860"/>
      <c r="D231" s="712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  <c r="AB231" s="564"/>
      <c r="AC231" s="564"/>
      <c r="AD231" s="564"/>
      <c r="AE231" s="564"/>
      <c r="AF231" s="564"/>
      <c r="AG231" s="564"/>
      <c r="AH231" s="564"/>
      <c r="AI231" s="564"/>
      <c r="AJ231" s="564"/>
      <c r="AK231" s="564"/>
      <c r="AL231" s="564"/>
      <c r="AM231" s="564"/>
      <c r="AN231" s="564"/>
      <c r="AO231" s="564"/>
      <c r="AP231" s="564"/>
      <c r="AQ231" s="564"/>
      <c r="AR231" s="564"/>
      <c r="AS231" s="564"/>
      <c r="AT231" s="564"/>
      <c r="AU231" s="564"/>
      <c r="AV231" s="564"/>
      <c r="AW231" s="564"/>
      <c r="AX231" s="564"/>
      <c r="AY231" s="564"/>
      <c r="AZ231" s="564"/>
      <c r="BA231" s="564"/>
      <c r="BB231" s="564"/>
      <c r="BC231" s="564"/>
      <c r="BD231" s="564"/>
      <c r="BE231" s="564"/>
      <c r="BF231" s="564"/>
      <c r="BG231" s="564"/>
      <c r="BH231" s="564"/>
      <c r="BI231" s="564"/>
      <c r="BJ231" s="564"/>
      <c r="BK231" s="564"/>
      <c r="BL231" s="564"/>
      <c r="BM231" s="564"/>
      <c r="BN231" s="564"/>
      <c r="BO231" s="564"/>
      <c r="BP231" s="564"/>
      <c r="BQ231" s="564"/>
      <c r="BR231" s="564"/>
      <c r="BS231" s="564"/>
      <c r="BT231" s="564"/>
      <c r="BU231" s="564"/>
      <c r="BV231" s="564"/>
      <c r="BW231" s="564"/>
      <c r="BX231" s="564"/>
      <c r="BY231" s="564"/>
      <c r="BZ231" s="564"/>
      <c r="CA231" s="564"/>
      <c r="CB231" s="564"/>
      <c r="CC231" s="564"/>
      <c r="CD231" s="564"/>
      <c r="CE231" s="564"/>
      <c r="CF231" s="564"/>
      <c r="CG231" s="564"/>
      <c r="CH231" s="564"/>
      <c r="CI231" s="564"/>
      <c r="CJ231" s="564"/>
      <c r="CK231" s="564"/>
      <c r="CL231" s="564"/>
      <c r="CM231" s="564"/>
      <c r="CN231" s="564"/>
      <c r="CO231" s="564"/>
      <c r="CP231" s="564"/>
      <c r="CQ231" s="564"/>
      <c r="EN231" s="564"/>
      <c r="EO231" s="564"/>
      <c r="EP231" s="564"/>
      <c r="EQ231" s="564"/>
    </row>
    <row r="232" spans="2:147" ht="15" customHeight="1" x14ac:dyDescent="0.2">
      <c r="B232" s="564"/>
      <c r="C232" s="860"/>
      <c r="D232" s="712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  <c r="AB232" s="564"/>
      <c r="AC232" s="564"/>
      <c r="AD232" s="564"/>
      <c r="AE232" s="564"/>
      <c r="AF232" s="564"/>
      <c r="AG232" s="564"/>
      <c r="AH232" s="564"/>
      <c r="AI232" s="564"/>
      <c r="AJ232" s="564"/>
      <c r="AK232" s="564"/>
      <c r="AL232" s="564"/>
      <c r="AM232" s="564"/>
      <c r="AN232" s="564"/>
      <c r="AO232" s="564"/>
      <c r="AP232" s="564"/>
      <c r="AQ232" s="564"/>
      <c r="AR232" s="564"/>
      <c r="AS232" s="564"/>
      <c r="AT232" s="564"/>
      <c r="AU232" s="564"/>
      <c r="AV232" s="564"/>
      <c r="AW232" s="564"/>
      <c r="AX232" s="564"/>
      <c r="AY232" s="564"/>
      <c r="AZ232" s="564"/>
      <c r="BA232" s="564"/>
      <c r="BB232" s="564"/>
      <c r="BC232" s="564"/>
      <c r="BD232" s="564"/>
      <c r="BE232" s="564"/>
      <c r="BF232" s="564"/>
      <c r="BG232" s="564"/>
      <c r="BH232" s="564"/>
      <c r="BI232" s="564"/>
      <c r="BJ232" s="564"/>
      <c r="BK232" s="564"/>
      <c r="BL232" s="564"/>
      <c r="BM232" s="564"/>
      <c r="BN232" s="564"/>
      <c r="BO232" s="564"/>
      <c r="BP232" s="564"/>
      <c r="BQ232" s="564"/>
      <c r="BR232" s="564"/>
      <c r="BS232" s="564"/>
      <c r="BT232" s="564"/>
      <c r="BU232" s="564"/>
      <c r="BV232" s="564"/>
      <c r="BW232" s="564"/>
      <c r="BX232" s="564"/>
      <c r="BY232" s="564"/>
      <c r="BZ232" s="564"/>
      <c r="CA232" s="564"/>
      <c r="CB232" s="564"/>
      <c r="CC232" s="564"/>
      <c r="CD232" s="564"/>
      <c r="CE232" s="564"/>
      <c r="CF232" s="564"/>
      <c r="CG232" s="564"/>
      <c r="CH232" s="564"/>
      <c r="CI232" s="564"/>
      <c r="CJ232" s="564"/>
      <c r="CK232" s="564"/>
      <c r="CL232" s="564"/>
      <c r="CM232" s="564"/>
      <c r="CN232" s="564"/>
      <c r="CO232" s="564"/>
      <c r="CP232" s="564"/>
      <c r="CQ232" s="564"/>
      <c r="EN232" s="564"/>
      <c r="EO232" s="564"/>
      <c r="EP232" s="564"/>
      <c r="EQ232" s="564"/>
    </row>
    <row r="233" spans="2:147" ht="15" customHeight="1" x14ac:dyDescent="0.2">
      <c r="B233" s="564"/>
      <c r="C233" s="860"/>
      <c r="D233" s="712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  <c r="AB233" s="564"/>
      <c r="AC233" s="564"/>
      <c r="AD233" s="564"/>
      <c r="AE233" s="564"/>
      <c r="AF233" s="564"/>
      <c r="AG233" s="564"/>
      <c r="AH233" s="564"/>
      <c r="AI233" s="564"/>
      <c r="AJ233" s="564"/>
      <c r="AK233" s="564"/>
      <c r="AL233" s="564"/>
      <c r="AM233" s="564"/>
      <c r="AN233" s="564"/>
      <c r="AO233" s="564"/>
      <c r="AP233" s="564"/>
      <c r="AQ233" s="564"/>
      <c r="AR233" s="564"/>
      <c r="AS233" s="564"/>
      <c r="AT233" s="564"/>
      <c r="AU233" s="564"/>
      <c r="AV233" s="564"/>
      <c r="AW233" s="564"/>
      <c r="AX233" s="564"/>
      <c r="AY233" s="564"/>
      <c r="AZ233" s="564"/>
      <c r="BA233" s="564"/>
      <c r="BB233" s="564"/>
      <c r="BC233" s="564"/>
      <c r="BD233" s="564"/>
      <c r="BE233" s="564"/>
      <c r="BF233" s="564"/>
      <c r="BG233" s="564"/>
      <c r="BH233" s="564"/>
      <c r="BI233" s="564"/>
      <c r="BJ233" s="564"/>
      <c r="BK233" s="564"/>
      <c r="BL233" s="564"/>
      <c r="BM233" s="564"/>
      <c r="BN233" s="564"/>
      <c r="BO233" s="564"/>
      <c r="BP233" s="564"/>
      <c r="BQ233" s="564"/>
      <c r="BR233" s="564"/>
      <c r="BS233" s="564"/>
      <c r="BT233" s="564"/>
      <c r="BU233" s="564"/>
      <c r="BV233" s="564"/>
      <c r="BW233" s="564"/>
      <c r="BX233" s="564"/>
      <c r="BY233" s="564"/>
      <c r="BZ233" s="564"/>
      <c r="CA233" s="564"/>
      <c r="CB233" s="564"/>
      <c r="CC233" s="564"/>
      <c r="CD233" s="564"/>
      <c r="CE233" s="564"/>
      <c r="CF233" s="564"/>
      <c r="CG233" s="564"/>
      <c r="CH233" s="564"/>
      <c r="CI233" s="564"/>
      <c r="CJ233" s="564"/>
      <c r="CK233" s="564"/>
      <c r="CL233" s="564"/>
      <c r="CM233" s="564"/>
      <c r="CN233" s="564"/>
      <c r="CO233" s="564"/>
      <c r="CP233" s="564"/>
      <c r="CQ233" s="564"/>
      <c r="EN233" s="564"/>
      <c r="EO233" s="564"/>
      <c r="EP233" s="564"/>
      <c r="EQ233" s="564"/>
    </row>
    <row r="234" spans="2:147" ht="15" customHeight="1" x14ac:dyDescent="0.2">
      <c r="B234" s="564"/>
      <c r="C234" s="860"/>
      <c r="D234" s="860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64"/>
      <c r="AC234" s="564"/>
      <c r="AD234" s="564"/>
      <c r="AE234" s="564"/>
      <c r="AF234" s="564"/>
      <c r="AG234" s="564"/>
      <c r="AH234" s="564"/>
      <c r="AI234" s="564"/>
      <c r="AJ234" s="564"/>
      <c r="AK234" s="564"/>
      <c r="AL234" s="564"/>
      <c r="AM234" s="564"/>
      <c r="AN234" s="564"/>
      <c r="AO234" s="564"/>
      <c r="AP234" s="564"/>
      <c r="AQ234" s="564"/>
      <c r="AR234" s="564"/>
      <c r="AS234" s="564"/>
      <c r="AT234" s="564"/>
      <c r="AU234" s="564"/>
      <c r="AV234" s="564"/>
      <c r="AW234" s="564"/>
      <c r="AX234" s="564"/>
      <c r="AY234" s="564"/>
      <c r="AZ234" s="564"/>
      <c r="BA234" s="564"/>
      <c r="BB234" s="564"/>
      <c r="BC234" s="564"/>
      <c r="BD234" s="564"/>
      <c r="BE234" s="564"/>
      <c r="BF234" s="564"/>
      <c r="BG234" s="564"/>
      <c r="BH234" s="564"/>
      <c r="BI234" s="564"/>
      <c r="BJ234" s="564"/>
      <c r="BK234" s="564"/>
      <c r="BL234" s="564"/>
      <c r="BM234" s="564"/>
      <c r="BN234" s="564"/>
      <c r="BO234" s="564"/>
      <c r="BP234" s="564"/>
      <c r="BQ234" s="564"/>
      <c r="BR234" s="564"/>
      <c r="BS234" s="564"/>
      <c r="BT234" s="564"/>
      <c r="BU234" s="564"/>
      <c r="BV234" s="564"/>
      <c r="BW234" s="564"/>
      <c r="BX234" s="564"/>
      <c r="BY234" s="564"/>
      <c r="BZ234" s="564"/>
      <c r="CA234" s="564"/>
      <c r="CB234" s="564"/>
      <c r="CC234" s="564"/>
      <c r="CD234" s="564"/>
      <c r="CE234" s="564"/>
      <c r="CF234" s="564"/>
      <c r="CG234" s="564"/>
      <c r="CH234" s="564"/>
      <c r="CI234" s="564"/>
      <c r="CJ234" s="564"/>
      <c r="CK234" s="564"/>
      <c r="CL234" s="564"/>
      <c r="CM234" s="564"/>
      <c r="CN234" s="564"/>
      <c r="CO234" s="564"/>
      <c r="CP234" s="564"/>
      <c r="CQ234" s="564"/>
      <c r="EN234" s="564"/>
      <c r="EO234" s="564"/>
      <c r="EP234" s="564"/>
      <c r="EQ234" s="564"/>
    </row>
    <row r="235" spans="2:147" ht="15" customHeight="1" x14ac:dyDescent="0.2">
      <c r="B235" s="564"/>
      <c r="C235" s="860"/>
      <c r="D235" s="860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  <c r="AB235" s="564"/>
      <c r="AC235" s="564"/>
      <c r="AD235" s="564"/>
      <c r="AE235" s="564"/>
      <c r="AF235" s="564"/>
      <c r="AG235" s="564"/>
      <c r="AH235" s="564"/>
      <c r="AI235" s="564"/>
      <c r="AJ235" s="564"/>
      <c r="AK235" s="564"/>
      <c r="AL235" s="564"/>
      <c r="AM235" s="564"/>
      <c r="AN235" s="564"/>
      <c r="AO235" s="564"/>
      <c r="AP235" s="564"/>
      <c r="AQ235" s="564"/>
      <c r="AR235" s="564"/>
      <c r="AS235" s="564"/>
      <c r="AT235" s="564"/>
      <c r="AU235" s="564"/>
      <c r="AV235" s="564"/>
      <c r="AW235" s="564"/>
      <c r="AX235" s="564"/>
      <c r="AY235" s="564"/>
      <c r="AZ235" s="564"/>
      <c r="BA235" s="564"/>
      <c r="BB235" s="564"/>
      <c r="BC235" s="564"/>
      <c r="BD235" s="564"/>
      <c r="BE235" s="564"/>
      <c r="BF235" s="564"/>
      <c r="BG235" s="564"/>
      <c r="BH235" s="564"/>
      <c r="BI235" s="564"/>
      <c r="BJ235" s="564"/>
      <c r="BK235" s="564"/>
      <c r="BL235" s="564"/>
      <c r="BM235" s="564"/>
      <c r="BN235" s="564"/>
      <c r="BO235" s="564"/>
      <c r="BP235" s="564"/>
      <c r="BQ235" s="564"/>
      <c r="BR235" s="564"/>
      <c r="BS235" s="564"/>
      <c r="BT235" s="564"/>
      <c r="BU235" s="564"/>
      <c r="BV235" s="564"/>
      <c r="BW235" s="564"/>
      <c r="BX235" s="564"/>
      <c r="BY235" s="564"/>
      <c r="BZ235" s="564"/>
      <c r="CA235" s="564"/>
      <c r="CB235" s="564"/>
      <c r="CC235" s="564"/>
      <c r="CD235" s="564"/>
      <c r="CE235" s="564"/>
      <c r="CF235" s="564"/>
      <c r="CG235" s="564"/>
      <c r="CH235" s="564"/>
      <c r="CI235" s="564"/>
      <c r="CJ235" s="564"/>
      <c r="CK235" s="564"/>
      <c r="CL235" s="564"/>
      <c r="CM235" s="564"/>
      <c r="CN235" s="564"/>
      <c r="CO235" s="564"/>
      <c r="CP235" s="564"/>
      <c r="CQ235" s="564"/>
      <c r="EN235" s="564"/>
      <c r="EO235" s="564"/>
      <c r="EP235" s="564"/>
      <c r="EQ235" s="564"/>
    </row>
    <row r="236" spans="2:147" ht="15" customHeight="1" x14ac:dyDescent="0.2">
      <c r="B236" s="56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  <c r="AB236" s="564"/>
      <c r="AC236" s="564"/>
      <c r="AD236" s="564"/>
      <c r="AE236" s="564"/>
      <c r="AF236" s="564"/>
      <c r="AG236" s="564"/>
      <c r="AH236" s="564"/>
      <c r="AI236" s="564"/>
      <c r="AJ236" s="564"/>
      <c r="AK236" s="564"/>
      <c r="AL236" s="564"/>
      <c r="AM236" s="564"/>
      <c r="AN236" s="564"/>
      <c r="AO236" s="564"/>
      <c r="AP236" s="564"/>
      <c r="AQ236" s="564"/>
      <c r="AR236" s="564"/>
      <c r="AS236" s="564"/>
      <c r="AT236" s="564"/>
      <c r="AU236" s="564"/>
      <c r="AV236" s="564"/>
      <c r="AW236" s="564"/>
      <c r="AX236" s="564"/>
      <c r="AY236" s="564"/>
      <c r="AZ236" s="564"/>
      <c r="BA236" s="564"/>
      <c r="BB236" s="564"/>
      <c r="BC236" s="564"/>
      <c r="BD236" s="564"/>
      <c r="BE236" s="564"/>
      <c r="BF236" s="564"/>
      <c r="BG236" s="564"/>
      <c r="BH236" s="564"/>
      <c r="BI236" s="564"/>
      <c r="BJ236" s="564"/>
      <c r="BK236" s="564"/>
      <c r="BL236" s="564"/>
      <c r="BM236" s="564"/>
      <c r="BN236" s="564"/>
      <c r="BO236" s="564"/>
      <c r="BP236" s="564"/>
      <c r="BQ236" s="564"/>
      <c r="BR236" s="564"/>
      <c r="BS236" s="564"/>
      <c r="BT236" s="564"/>
      <c r="BU236" s="564"/>
      <c r="BV236" s="564"/>
      <c r="BW236" s="564"/>
      <c r="BX236" s="564"/>
      <c r="BY236" s="564"/>
      <c r="BZ236" s="564"/>
      <c r="CA236" s="564"/>
      <c r="CB236" s="564"/>
      <c r="CC236" s="564"/>
      <c r="CD236" s="564"/>
      <c r="CE236" s="564"/>
      <c r="CF236" s="564"/>
      <c r="CG236" s="564"/>
      <c r="CH236" s="564"/>
      <c r="CI236" s="564"/>
      <c r="CJ236" s="564"/>
      <c r="CK236" s="564"/>
      <c r="CL236" s="564"/>
      <c r="CM236" s="564"/>
      <c r="CN236" s="564"/>
      <c r="CO236" s="564"/>
      <c r="CP236" s="564"/>
      <c r="CQ236" s="564"/>
      <c r="EN236" s="564"/>
      <c r="EO236" s="564"/>
      <c r="EP236" s="564"/>
      <c r="EQ236" s="564"/>
    </row>
    <row r="237" spans="2:147" ht="15" customHeight="1" x14ac:dyDescent="0.2">
      <c r="B237" s="564"/>
      <c r="C237" s="868"/>
      <c r="D237" s="564"/>
      <c r="E237" s="564"/>
      <c r="F237" s="868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  <c r="AB237" s="564"/>
      <c r="AC237" s="564"/>
      <c r="AD237" s="564"/>
      <c r="AE237" s="564"/>
      <c r="AF237" s="564"/>
      <c r="AG237" s="564"/>
      <c r="AH237" s="564"/>
      <c r="AI237" s="564"/>
      <c r="AJ237" s="564"/>
      <c r="AK237" s="564"/>
      <c r="AL237" s="564"/>
      <c r="AM237" s="564"/>
      <c r="AN237" s="564"/>
      <c r="AO237" s="564"/>
      <c r="AP237" s="564"/>
      <c r="AQ237" s="564"/>
      <c r="AR237" s="564"/>
      <c r="AS237" s="564"/>
      <c r="AT237" s="564"/>
      <c r="AU237" s="564"/>
      <c r="AV237" s="564"/>
      <c r="AW237" s="564"/>
      <c r="AX237" s="564"/>
      <c r="AY237" s="564"/>
      <c r="AZ237" s="564"/>
      <c r="BA237" s="564"/>
      <c r="BB237" s="564"/>
      <c r="BC237" s="564"/>
      <c r="BD237" s="564"/>
      <c r="BE237" s="564"/>
      <c r="BF237" s="564"/>
      <c r="BG237" s="564"/>
      <c r="BH237" s="564"/>
      <c r="BI237" s="564"/>
      <c r="BJ237" s="564"/>
      <c r="BK237" s="564"/>
      <c r="BL237" s="564"/>
      <c r="BM237" s="564"/>
      <c r="BN237" s="564"/>
      <c r="BO237" s="564"/>
      <c r="BP237" s="564"/>
      <c r="BQ237" s="564"/>
      <c r="BR237" s="564"/>
      <c r="BS237" s="564"/>
      <c r="BT237" s="564"/>
      <c r="BU237" s="564"/>
      <c r="BV237" s="564"/>
      <c r="BW237" s="564"/>
      <c r="BX237" s="564"/>
      <c r="BY237" s="564"/>
      <c r="BZ237" s="564"/>
      <c r="CA237" s="564"/>
      <c r="CB237" s="564"/>
      <c r="CC237" s="564"/>
      <c r="CD237" s="564"/>
      <c r="CE237" s="564"/>
      <c r="CF237" s="564"/>
      <c r="CG237" s="564"/>
      <c r="CH237" s="564"/>
      <c r="CI237" s="564"/>
      <c r="CJ237" s="564"/>
      <c r="CK237" s="564"/>
      <c r="CL237" s="564"/>
      <c r="CM237" s="564"/>
      <c r="CN237" s="564"/>
      <c r="CO237" s="564"/>
      <c r="CP237" s="564"/>
      <c r="CQ237" s="564"/>
      <c r="EN237" s="564"/>
      <c r="EO237" s="564"/>
      <c r="EP237" s="564"/>
      <c r="EQ237" s="564"/>
    </row>
    <row r="238" spans="2:147" ht="15" customHeight="1" x14ac:dyDescent="0.2">
      <c r="B238" s="564"/>
      <c r="C238" s="564"/>
      <c r="D238" s="868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  <c r="AB238" s="564"/>
      <c r="AC238" s="564"/>
      <c r="AD238" s="564"/>
      <c r="AE238" s="564"/>
      <c r="AF238" s="564"/>
      <c r="AG238" s="564"/>
      <c r="AH238" s="564"/>
      <c r="AI238" s="564"/>
      <c r="AJ238" s="564"/>
      <c r="AK238" s="564"/>
      <c r="AL238" s="564"/>
      <c r="AM238" s="564"/>
      <c r="AN238" s="564"/>
      <c r="AO238" s="564"/>
      <c r="AP238" s="564"/>
      <c r="AQ238" s="564"/>
      <c r="AR238" s="564"/>
      <c r="AS238" s="564"/>
      <c r="AT238" s="564"/>
      <c r="AU238" s="564"/>
      <c r="AV238" s="564"/>
      <c r="AW238" s="564"/>
      <c r="AX238" s="564"/>
      <c r="AY238" s="564"/>
      <c r="AZ238" s="564"/>
      <c r="BA238" s="564"/>
      <c r="BB238" s="564"/>
      <c r="BC238" s="564"/>
      <c r="BD238" s="564"/>
      <c r="BE238" s="564"/>
      <c r="BF238" s="564"/>
      <c r="BG238" s="564"/>
      <c r="BH238" s="564"/>
      <c r="BI238" s="564"/>
      <c r="BJ238" s="564"/>
      <c r="BK238" s="564"/>
      <c r="BL238" s="564"/>
      <c r="BM238" s="564"/>
      <c r="BN238" s="564"/>
      <c r="BO238" s="564"/>
      <c r="BP238" s="564"/>
      <c r="BQ238" s="564"/>
      <c r="BR238" s="564"/>
      <c r="BS238" s="564"/>
      <c r="BT238" s="564"/>
      <c r="BU238" s="564"/>
      <c r="BV238" s="564"/>
      <c r="BW238" s="564"/>
      <c r="BX238" s="564"/>
      <c r="BY238" s="564"/>
      <c r="BZ238" s="564"/>
      <c r="CA238" s="564"/>
      <c r="CB238" s="564"/>
      <c r="CC238" s="564"/>
      <c r="CD238" s="564"/>
      <c r="CE238" s="564"/>
      <c r="CF238" s="564"/>
      <c r="CG238" s="564"/>
      <c r="CH238" s="564"/>
      <c r="CI238" s="564"/>
      <c r="CJ238" s="564"/>
      <c r="CK238" s="564"/>
      <c r="CL238" s="564"/>
      <c r="CM238" s="564"/>
      <c r="CN238" s="564"/>
      <c r="CO238" s="564"/>
      <c r="CP238" s="564"/>
      <c r="CQ238" s="564"/>
      <c r="EN238" s="564"/>
      <c r="EO238" s="564"/>
      <c r="EP238" s="564"/>
      <c r="EQ238" s="564"/>
    </row>
    <row r="239" spans="2:147" ht="15" customHeight="1" x14ac:dyDescent="0.2">
      <c r="B239" s="56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  <c r="AB239" s="564"/>
      <c r="AC239" s="564"/>
      <c r="AD239" s="564"/>
      <c r="AE239" s="564"/>
      <c r="AF239" s="564"/>
      <c r="AG239" s="564"/>
      <c r="AH239" s="564"/>
      <c r="AI239" s="564"/>
      <c r="AJ239" s="564"/>
      <c r="AK239" s="564"/>
      <c r="AL239" s="564"/>
      <c r="AM239" s="564"/>
      <c r="AN239" s="564"/>
      <c r="AO239" s="564"/>
      <c r="AP239" s="564"/>
      <c r="AQ239" s="564"/>
      <c r="AR239" s="564"/>
      <c r="AS239" s="564"/>
      <c r="AT239" s="564"/>
      <c r="AU239" s="564"/>
      <c r="AV239" s="564"/>
      <c r="AW239" s="564"/>
      <c r="AX239" s="564"/>
      <c r="AY239" s="564"/>
      <c r="AZ239" s="564"/>
      <c r="BA239" s="564"/>
      <c r="BB239" s="564"/>
      <c r="BC239" s="564"/>
      <c r="BD239" s="564"/>
      <c r="BE239" s="564"/>
      <c r="BF239" s="564"/>
      <c r="BG239" s="564"/>
      <c r="BH239" s="564"/>
      <c r="BI239" s="564"/>
      <c r="BJ239" s="564"/>
      <c r="BK239" s="564"/>
      <c r="BL239" s="564"/>
      <c r="BM239" s="564"/>
      <c r="BN239" s="564"/>
      <c r="BO239" s="564"/>
      <c r="BP239" s="564"/>
      <c r="BQ239" s="564"/>
      <c r="BR239" s="564"/>
      <c r="BS239" s="564"/>
      <c r="BT239" s="564"/>
      <c r="BU239" s="564"/>
      <c r="BV239" s="564"/>
      <c r="BW239" s="564"/>
      <c r="BX239" s="564"/>
      <c r="BY239" s="564"/>
      <c r="BZ239" s="564"/>
      <c r="CA239" s="564"/>
      <c r="CB239" s="564"/>
      <c r="CC239" s="564"/>
      <c r="CD239" s="564"/>
      <c r="CE239" s="564"/>
      <c r="CF239" s="564"/>
      <c r="CG239" s="564"/>
      <c r="CH239" s="564"/>
      <c r="CI239" s="564"/>
      <c r="CJ239" s="564"/>
      <c r="CK239" s="564"/>
      <c r="CL239" s="564"/>
      <c r="CM239" s="564"/>
      <c r="CN239" s="564"/>
      <c r="CO239" s="564"/>
      <c r="CP239" s="564"/>
      <c r="CQ239" s="564"/>
      <c r="EN239" s="564"/>
      <c r="EO239" s="564"/>
      <c r="EP239" s="564"/>
      <c r="EQ239" s="564"/>
    </row>
    <row r="240" spans="2:147" ht="15" customHeight="1" x14ac:dyDescent="0.2"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  <c r="AB240" s="564"/>
      <c r="AC240" s="564"/>
      <c r="AD240" s="564"/>
      <c r="AE240" s="564"/>
      <c r="AF240" s="564"/>
      <c r="AG240" s="564"/>
      <c r="AH240" s="564"/>
      <c r="AI240" s="564"/>
      <c r="AJ240" s="564"/>
      <c r="AK240" s="564"/>
      <c r="AL240" s="564"/>
      <c r="AM240" s="564"/>
      <c r="AN240" s="564"/>
      <c r="AO240" s="564"/>
      <c r="AP240" s="564"/>
      <c r="AQ240" s="564"/>
      <c r="AR240" s="564"/>
      <c r="AS240" s="564"/>
      <c r="AT240" s="564"/>
      <c r="AU240" s="564"/>
      <c r="AV240" s="564"/>
      <c r="AW240" s="564"/>
      <c r="AX240" s="564"/>
      <c r="AY240" s="564"/>
      <c r="AZ240" s="564"/>
      <c r="BA240" s="564"/>
      <c r="BB240" s="564"/>
      <c r="BC240" s="564"/>
      <c r="BD240" s="564"/>
      <c r="BE240" s="564"/>
      <c r="BF240" s="564"/>
      <c r="BG240" s="564"/>
      <c r="BH240" s="564"/>
      <c r="BI240" s="564"/>
      <c r="BJ240" s="564"/>
      <c r="BK240" s="564"/>
      <c r="BL240" s="564"/>
      <c r="BM240" s="564"/>
      <c r="BN240" s="564"/>
      <c r="BO240" s="564"/>
      <c r="BP240" s="564"/>
      <c r="BQ240" s="564"/>
      <c r="BR240" s="564"/>
      <c r="BS240" s="564"/>
      <c r="BT240" s="564"/>
      <c r="BU240" s="564"/>
      <c r="BV240" s="564"/>
      <c r="BW240" s="564"/>
      <c r="BX240" s="564"/>
      <c r="BY240" s="564"/>
      <c r="BZ240" s="564"/>
      <c r="CA240" s="564"/>
      <c r="CB240" s="564"/>
      <c r="CC240" s="564"/>
      <c r="CD240" s="564"/>
      <c r="CE240" s="564"/>
      <c r="CF240" s="564"/>
      <c r="CG240" s="564"/>
      <c r="CH240" s="564"/>
      <c r="CI240" s="564"/>
      <c r="CJ240" s="564"/>
      <c r="CK240" s="564"/>
      <c r="CL240" s="564"/>
      <c r="CM240" s="564"/>
      <c r="CN240" s="564"/>
      <c r="CO240" s="564"/>
      <c r="CP240" s="564"/>
      <c r="CQ240" s="564"/>
      <c r="EN240" s="564"/>
      <c r="EO240" s="564"/>
      <c r="EP240" s="564"/>
      <c r="EQ240" s="564"/>
    </row>
    <row r="241" spans="2:147" ht="15" customHeight="1" x14ac:dyDescent="0.2">
      <c r="B241" s="56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  <c r="AB241" s="564"/>
      <c r="AC241" s="564"/>
      <c r="AD241" s="564"/>
      <c r="AE241" s="564"/>
      <c r="AF241" s="564"/>
      <c r="AG241" s="564"/>
      <c r="AH241" s="564"/>
      <c r="AI241" s="564"/>
      <c r="AJ241" s="564"/>
      <c r="AK241" s="564"/>
      <c r="AL241" s="564"/>
      <c r="AM241" s="564"/>
      <c r="AN241" s="564"/>
      <c r="AO241" s="564"/>
      <c r="AP241" s="564"/>
      <c r="AQ241" s="564"/>
      <c r="AR241" s="564"/>
      <c r="AS241" s="564"/>
      <c r="AT241" s="564"/>
      <c r="AU241" s="564"/>
      <c r="AV241" s="564"/>
      <c r="AW241" s="564"/>
      <c r="AX241" s="564"/>
      <c r="AY241" s="564"/>
      <c r="AZ241" s="564"/>
      <c r="BA241" s="564"/>
      <c r="BB241" s="564"/>
      <c r="BC241" s="564"/>
      <c r="BD241" s="564"/>
      <c r="BE241" s="564"/>
      <c r="BF241" s="564"/>
      <c r="BG241" s="564"/>
      <c r="BH241" s="564"/>
      <c r="BI241" s="564"/>
      <c r="BJ241" s="564"/>
      <c r="BK241" s="564"/>
      <c r="BL241" s="564"/>
      <c r="BM241" s="564"/>
      <c r="BN241" s="564"/>
      <c r="BO241" s="564"/>
      <c r="BP241" s="564"/>
      <c r="BQ241" s="564"/>
      <c r="BR241" s="564"/>
      <c r="BS241" s="564"/>
      <c r="BT241" s="564"/>
      <c r="BU241" s="564"/>
      <c r="BV241" s="564"/>
      <c r="BW241" s="564"/>
      <c r="BX241" s="564"/>
      <c r="BY241" s="564"/>
      <c r="BZ241" s="564"/>
      <c r="CA241" s="564"/>
      <c r="CB241" s="564"/>
      <c r="CC241" s="564"/>
      <c r="CD241" s="564"/>
      <c r="CE241" s="564"/>
      <c r="CF241" s="564"/>
      <c r="CG241" s="564"/>
      <c r="CH241" s="564"/>
      <c r="CI241" s="564"/>
      <c r="CJ241" s="564"/>
      <c r="CK241" s="564"/>
      <c r="CL241" s="564"/>
      <c r="CM241" s="564"/>
      <c r="CN241" s="564"/>
      <c r="CO241" s="564"/>
      <c r="CP241" s="564"/>
      <c r="CQ241" s="564"/>
      <c r="EN241" s="564"/>
      <c r="EO241" s="564"/>
      <c r="EP241" s="564"/>
      <c r="EQ241" s="564"/>
    </row>
    <row r="242" spans="2:147" ht="15" customHeight="1" x14ac:dyDescent="0.2">
      <c r="B242" s="56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  <c r="AB242" s="564"/>
      <c r="AC242" s="564"/>
      <c r="AD242" s="564"/>
      <c r="AE242" s="564"/>
      <c r="AF242" s="564"/>
      <c r="AG242" s="564"/>
      <c r="AH242" s="564"/>
      <c r="AI242" s="564"/>
      <c r="AJ242" s="564"/>
      <c r="AK242" s="564"/>
      <c r="AL242" s="564"/>
      <c r="AM242" s="564"/>
      <c r="AN242" s="564"/>
      <c r="AO242" s="564"/>
      <c r="AP242" s="564"/>
      <c r="AQ242" s="564"/>
      <c r="AR242" s="564"/>
      <c r="AS242" s="564"/>
      <c r="AT242" s="564"/>
      <c r="AU242" s="564"/>
      <c r="AV242" s="564"/>
      <c r="AW242" s="564"/>
      <c r="AX242" s="564"/>
      <c r="AY242" s="564"/>
      <c r="AZ242" s="564"/>
      <c r="BA242" s="564"/>
      <c r="BB242" s="564"/>
      <c r="BC242" s="564"/>
      <c r="BD242" s="564"/>
      <c r="BE242" s="564"/>
      <c r="BF242" s="564"/>
      <c r="BG242" s="564"/>
      <c r="BH242" s="564"/>
      <c r="BI242" s="564"/>
      <c r="BJ242" s="564"/>
      <c r="BK242" s="564"/>
      <c r="BL242" s="564"/>
      <c r="BM242" s="564"/>
      <c r="BN242" s="564"/>
      <c r="BO242" s="564"/>
      <c r="BP242" s="564"/>
      <c r="BQ242" s="564"/>
      <c r="BR242" s="564"/>
      <c r="BS242" s="564"/>
      <c r="BT242" s="564"/>
      <c r="BU242" s="564"/>
      <c r="BV242" s="564"/>
      <c r="BW242" s="564"/>
      <c r="BX242" s="564"/>
      <c r="BY242" s="564"/>
      <c r="BZ242" s="564"/>
      <c r="CA242" s="564"/>
      <c r="CB242" s="564"/>
      <c r="CC242" s="564"/>
      <c r="CD242" s="564"/>
      <c r="CE242" s="564"/>
      <c r="CF242" s="564"/>
      <c r="CG242" s="564"/>
      <c r="CH242" s="564"/>
      <c r="CI242" s="564"/>
      <c r="CJ242" s="564"/>
      <c r="CK242" s="564"/>
      <c r="CL242" s="564"/>
      <c r="CM242" s="564"/>
      <c r="CN242" s="564"/>
      <c r="CO242" s="564"/>
      <c r="CP242" s="564"/>
      <c r="CQ242" s="564"/>
      <c r="EN242" s="564"/>
      <c r="EO242" s="564"/>
      <c r="EP242" s="564"/>
      <c r="EQ242" s="564"/>
    </row>
    <row r="243" spans="2:147" ht="15" customHeight="1" x14ac:dyDescent="0.2">
      <c r="B243" s="56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  <c r="AB243" s="564"/>
      <c r="AC243" s="564"/>
      <c r="AD243" s="564"/>
      <c r="AE243" s="564"/>
      <c r="AF243" s="564"/>
      <c r="AG243" s="564"/>
      <c r="AH243" s="564"/>
      <c r="AI243" s="564"/>
      <c r="AJ243" s="564"/>
      <c r="AK243" s="564"/>
      <c r="AL243" s="564"/>
      <c r="AM243" s="564"/>
      <c r="AN243" s="564"/>
      <c r="AO243" s="564"/>
      <c r="AP243" s="564"/>
      <c r="AQ243" s="564"/>
      <c r="AR243" s="564"/>
      <c r="AS243" s="564"/>
      <c r="AT243" s="564"/>
      <c r="AU243" s="564"/>
      <c r="AV243" s="564"/>
      <c r="AW243" s="564"/>
      <c r="AX243" s="564"/>
      <c r="AY243" s="564"/>
      <c r="AZ243" s="564"/>
      <c r="BA243" s="564"/>
      <c r="BB243" s="564"/>
      <c r="BC243" s="564"/>
      <c r="BD243" s="564"/>
      <c r="BE243" s="564"/>
      <c r="BF243" s="564"/>
      <c r="BG243" s="564"/>
      <c r="BH243" s="564"/>
      <c r="BI243" s="564"/>
      <c r="BJ243" s="564"/>
      <c r="BK243" s="564"/>
      <c r="BL243" s="564"/>
      <c r="BM243" s="564"/>
      <c r="BN243" s="564"/>
      <c r="BO243" s="564"/>
      <c r="BP243" s="564"/>
      <c r="BQ243" s="564"/>
      <c r="BR243" s="564"/>
      <c r="BS243" s="564"/>
      <c r="BT243" s="564"/>
      <c r="BU243" s="564"/>
      <c r="BV243" s="564"/>
      <c r="BW243" s="564"/>
      <c r="BX243" s="564"/>
      <c r="BY243" s="564"/>
      <c r="BZ243" s="564"/>
      <c r="CA243" s="564"/>
      <c r="CB243" s="564"/>
      <c r="CC243" s="564"/>
      <c r="CD243" s="564"/>
      <c r="CE243" s="564"/>
      <c r="CF243" s="564"/>
      <c r="CG243" s="564"/>
      <c r="CH243" s="564"/>
      <c r="CI243" s="564"/>
      <c r="CJ243" s="564"/>
      <c r="CK243" s="564"/>
      <c r="CL243" s="564"/>
      <c r="CM243" s="564"/>
      <c r="CN243" s="564"/>
      <c r="CO243" s="564"/>
      <c r="CP243" s="564"/>
      <c r="CQ243" s="564"/>
    </row>
    <row r="244" spans="2:147" ht="15" customHeight="1" x14ac:dyDescent="0.2">
      <c r="B244" s="56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  <c r="AB244" s="564"/>
      <c r="AC244" s="564"/>
      <c r="AD244" s="564"/>
      <c r="AE244" s="564"/>
      <c r="AF244" s="564"/>
      <c r="AG244" s="564"/>
      <c r="AH244" s="564"/>
      <c r="AI244" s="564"/>
      <c r="AJ244" s="564"/>
      <c r="AK244" s="564"/>
      <c r="AL244" s="564"/>
      <c r="AM244" s="564"/>
      <c r="AN244" s="564"/>
      <c r="AO244" s="564"/>
      <c r="AP244" s="564"/>
      <c r="AQ244" s="564"/>
      <c r="AR244" s="564"/>
      <c r="AS244" s="564"/>
      <c r="AT244" s="564"/>
      <c r="AU244" s="564"/>
      <c r="AV244" s="564"/>
      <c r="AW244" s="564"/>
      <c r="AX244" s="564"/>
      <c r="AY244" s="564"/>
      <c r="AZ244" s="564"/>
      <c r="BA244" s="564"/>
      <c r="BB244" s="564"/>
      <c r="BC244" s="564"/>
      <c r="BD244" s="564"/>
      <c r="BE244" s="564"/>
      <c r="BF244" s="564"/>
      <c r="BG244" s="564"/>
      <c r="BH244" s="564"/>
      <c r="BI244" s="564"/>
      <c r="BJ244" s="564"/>
      <c r="BK244" s="564"/>
      <c r="BL244" s="564"/>
      <c r="BM244" s="564"/>
      <c r="BN244" s="564"/>
      <c r="BO244" s="564"/>
      <c r="BP244" s="564"/>
      <c r="BQ244" s="564"/>
      <c r="BR244" s="564"/>
      <c r="BS244" s="564"/>
      <c r="BT244" s="564"/>
      <c r="BU244" s="564"/>
      <c r="BV244" s="564"/>
      <c r="BW244" s="564"/>
      <c r="BX244" s="564"/>
      <c r="BY244" s="564"/>
      <c r="BZ244" s="564"/>
      <c r="CA244" s="564"/>
      <c r="CB244" s="564"/>
      <c r="CC244" s="564"/>
      <c r="CD244" s="564"/>
      <c r="CE244" s="564"/>
      <c r="CF244" s="564"/>
      <c r="CG244" s="564"/>
      <c r="CH244" s="564"/>
      <c r="CI244" s="564"/>
      <c r="CJ244" s="564"/>
      <c r="CK244" s="564"/>
      <c r="CL244" s="564"/>
      <c r="CM244" s="564"/>
      <c r="CN244" s="564"/>
      <c r="CO244" s="564"/>
      <c r="CP244" s="564"/>
      <c r="CQ244" s="564"/>
    </row>
    <row r="245" spans="2:147" ht="15" customHeight="1" x14ac:dyDescent="0.2">
      <c r="B245" s="56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  <c r="AB245" s="564"/>
      <c r="AC245" s="564"/>
      <c r="AD245" s="564"/>
      <c r="AE245" s="564"/>
      <c r="AF245" s="564"/>
      <c r="AG245" s="564"/>
      <c r="AH245" s="564"/>
      <c r="AI245" s="564"/>
      <c r="AJ245" s="564"/>
      <c r="AK245" s="564"/>
      <c r="AL245" s="564"/>
      <c r="AM245" s="564"/>
      <c r="AN245" s="564"/>
      <c r="AO245" s="564"/>
      <c r="AP245" s="564"/>
      <c r="AQ245" s="564"/>
      <c r="AR245" s="564"/>
      <c r="AS245" s="564"/>
      <c r="AT245" s="564"/>
      <c r="AU245" s="564"/>
      <c r="AV245" s="564"/>
      <c r="AW245" s="564"/>
      <c r="AX245" s="564"/>
      <c r="AY245" s="564"/>
      <c r="AZ245" s="564"/>
      <c r="BA245" s="564"/>
      <c r="BB245" s="564"/>
      <c r="BC245" s="564"/>
      <c r="BD245" s="564"/>
      <c r="BE245" s="564"/>
      <c r="BF245" s="564"/>
      <c r="BG245" s="564"/>
      <c r="BH245" s="564"/>
      <c r="BI245" s="564"/>
      <c r="BJ245" s="564"/>
      <c r="BK245" s="564"/>
      <c r="BL245" s="564"/>
      <c r="BM245" s="564"/>
      <c r="BN245" s="564"/>
      <c r="BO245" s="564"/>
      <c r="BP245" s="564"/>
      <c r="BQ245" s="564"/>
      <c r="BR245" s="564"/>
      <c r="BS245" s="564"/>
      <c r="BT245" s="564"/>
      <c r="BU245" s="564"/>
      <c r="BV245" s="564"/>
      <c r="BW245" s="564"/>
      <c r="BX245" s="564"/>
      <c r="BY245" s="564"/>
      <c r="BZ245" s="564"/>
      <c r="CA245" s="564"/>
      <c r="CB245" s="564"/>
      <c r="CC245" s="564"/>
      <c r="CD245" s="564"/>
      <c r="CE245" s="564"/>
      <c r="CF245" s="564"/>
      <c r="CG245" s="564"/>
      <c r="CH245" s="564"/>
      <c r="CI245" s="564"/>
      <c r="CJ245" s="564"/>
      <c r="CK245" s="564"/>
      <c r="CL245" s="564"/>
      <c r="CM245" s="564"/>
      <c r="CN245" s="564"/>
      <c r="CO245" s="564"/>
      <c r="CP245" s="564"/>
      <c r="CQ245" s="564"/>
    </row>
    <row r="246" spans="2:147" ht="15" customHeight="1" x14ac:dyDescent="0.2">
      <c r="B246" s="56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  <c r="AB246" s="564"/>
      <c r="AC246" s="564"/>
      <c r="AD246" s="564"/>
      <c r="AE246" s="564"/>
      <c r="AF246" s="564"/>
      <c r="AG246" s="564"/>
      <c r="AH246" s="564"/>
      <c r="AI246" s="564"/>
      <c r="AJ246" s="564"/>
      <c r="AK246" s="564"/>
      <c r="AL246" s="564"/>
      <c r="AM246" s="564"/>
      <c r="AN246" s="564"/>
      <c r="AO246" s="564"/>
      <c r="AP246" s="564"/>
      <c r="AQ246" s="564"/>
      <c r="AR246" s="564"/>
      <c r="AS246" s="564"/>
      <c r="AT246" s="564"/>
      <c r="AU246" s="564"/>
      <c r="AV246" s="564"/>
      <c r="AW246" s="564"/>
      <c r="AX246" s="564"/>
      <c r="AY246" s="564"/>
      <c r="AZ246" s="564"/>
      <c r="BA246" s="564"/>
      <c r="BB246" s="564"/>
      <c r="BC246" s="564"/>
      <c r="BD246" s="564"/>
      <c r="BE246" s="564"/>
      <c r="BF246" s="564"/>
      <c r="BG246" s="564"/>
      <c r="BH246" s="564"/>
      <c r="BI246" s="564"/>
      <c r="BJ246" s="564"/>
      <c r="BK246" s="564"/>
      <c r="BL246" s="564"/>
      <c r="BM246" s="564"/>
      <c r="BN246" s="564"/>
      <c r="BO246" s="564"/>
      <c r="BP246" s="564"/>
      <c r="BQ246" s="564"/>
      <c r="BR246" s="564"/>
      <c r="BS246" s="564"/>
      <c r="BT246" s="564"/>
      <c r="BU246" s="564"/>
      <c r="BV246" s="564"/>
      <c r="BW246" s="564"/>
      <c r="BX246" s="564"/>
      <c r="BY246" s="564"/>
      <c r="BZ246" s="564"/>
      <c r="CA246" s="564"/>
      <c r="CB246" s="564"/>
      <c r="CC246" s="564"/>
      <c r="CD246" s="564"/>
      <c r="CE246" s="564"/>
      <c r="CF246" s="564"/>
      <c r="CG246" s="564"/>
      <c r="CH246" s="564"/>
      <c r="CI246" s="564"/>
      <c r="CJ246" s="564"/>
      <c r="CK246" s="564"/>
      <c r="CL246" s="564"/>
      <c r="CM246" s="564"/>
      <c r="CN246" s="564"/>
      <c r="CO246" s="564"/>
      <c r="CP246" s="564"/>
      <c r="CQ246" s="564"/>
    </row>
    <row r="247" spans="2:147" ht="15" customHeight="1" x14ac:dyDescent="0.2">
      <c r="B247" s="56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  <c r="AB247" s="564"/>
      <c r="AC247" s="564"/>
      <c r="AD247" s="564"/>
      <c r="AE247" s="564"/>
      <c r="AF247" s="564"/>
      <c r="AG247" s="564"/>
      <c r="AH247" s="564"/>
      <c r="AI247" s="564"/>
      <c r="AJ247" s="564"/>
      <c r="AK247" s="564"/>
      <c r="AL247" s="564"/>
      <c r="AM247" s="564"/>
      <c r="AN247" s="564"/>
      <c r="AO247" s="564"/>
      <c r="AP247" s="564"/>
      <c r="AQ247" s="564"/>
      <c r="AR247" s="564"/>
      <c r="AS247" s="564"/>
      <c r="AT247" s="564"/>
      <c r="AU247" s="564"/>
      <c r="AV247" s="564"/>
      <c r="AW247" s="564"/>
      <c r="AX247" s="564"/>
      <c r="AY247" s="564"/>
      <c r="AZ247" s="564"/>
      <c r="BA247" s="564"/>
      <c r="BB247" s="564"/>
      <c r="BC247" s="564"/>
      <c r="BD247" s="564"/>
      <c r="BE247" s="564"/>
      <c r="BF247" s="564"/>
      <c r="BG247" s="564"/>
      <c r="BH247" s="564"/>
      <c r="BI247" s="564"/>
      <c r="BJ247" s="564"/>
      <c r="BK247" s="564"/>
      <c r="BL247" s="564"/>
      <c r="BM247" s="564"/>
      <c r="BN247" s="564"/>
      <c r="BO247" s="564"/>
      <c r="BP247" s="564"/>
      <c r="BQ247" s="564"/>
      <c r="BR247" s="564"/>
      <c r="BS247" s="564"/>
      <c r="BT247" s="564"/>
      <c r="BU247" s="564"/>
      <c r="BV247" s="564"/>
      <c r="BW247" s="564"/>
      <c r="BX247" s="564"/>
      <c r="BY247" s="564"/>
      <c r="BZ247" s="564"/>
      <c r="CA247" s="564"/>
      <c r="CB247" s="564"/>
      <c r="CC247" s="564"/>
      <c r="CD247" s="564"/>
      <c r="CE247" s="564"/>
      <c r="CF247" s="564"/>
      <c r="CG247" s="564"/>
      <c r="CH247" s="564"/>
      <c r="CI247" s="564"/>
      <c r="CJ247" s="564"/>
      <c r="CK247" s="564"/>
      <c r="CL247" s="564"/>
      <c r="CM247" s="564"/>
      <c r="CN247" s="564"/>
      <c r="CO247" s="564"/>
      <c r="CP247" s="564"/>
      <c r="CQ247" s="564"/>
    </row>
    <row r="248" spans="2:147" ht="15" customHeight="1" x14ac:dyDescent="0.2">
      <c r="B248" s="56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  <c r="AB248" s="564"/>
      <c r="AC248" s="564"/>
      <c r="AD248" s="564"/>
      <c r="AE248" s="564"/>
      <c r="AF248" s="564"/>
      <c r="AG248" s="564"/>
      <c r="AH248" s="564"/>
      <c r="AI248" s="564"/>
      <c r="AJ248" s="564"/>
      <c r="AK248" s="564"/>
      <c r="AL248" s="564"/>
      <c r="AM248" s="564"/>
      <c r="AN248" s="564"/>
      <c r="AO248" s="564"/>
      <c r="AP248" s="564"/>
      <c r="AQ248" s="564"/>
      <c r="AR248" s="564"/>
      <c r="AS248" s="564"/>
      <c r="AT248" s="564"/>
      <c r="AU248" s="564"/>
      <c r="AV248" s="564"/>
      <c r="AW248" s="564"/>
      <c r="AX248" s="564"/>
      <c r="AY248" s="564"/>
      <c r="AZ248" s="564"/>
      <c r="BA248" s="564"/>
      <c r="BB248" s="564"/>
      <c r="BC248" s="564"/>
      <c r="BD248" s="564"/>
      <c r="BE248" s="564"/>
      <c r="BF248" s="564"/>
      <c r="BG248" s="564"/>
      <c r="BH248" s="564"/>
      <c r="BI248" s="564"/>
      <c r="BJ248" s="564"/>
      <c r="BK248" s="564"/>
      <c r="BL248" s="564"/>
      <c r="BM248" s="564"/>
      <c r="BN248" s="564"/>
      <c r="BO248" s="564"/>
      <c r="BP248" s="564"/>
      <c r="BQ248" s="564"/>
      <c r="BR248" s="564"/>
      <c r="BS248" s="564"/>
      <c r="BT248" s="564"/>
      <c r="BU248" s="564"/>
      <c r="BV248" s="564"/>
      <c r="BW248" s="564"/>
      <c r="BX248" s="564"/>
      <c r="BY248" s="564"/>
      <c r="BZ248" s="564"/>
      <c r="CA248" s="564"/>
      <c r="CB248" s="564"/>
      <c r="CC248" s="564"/>
      <c r="CD248" s="564"/>
      <c r="CE248" s="564"/>
      <c r="CF248" s="564"/>
      <c r="CG248" s="564"/>
      <c r="CH248" s="564"/>
      <c r="CI248" s="564"/>
      <c r="CJ248" s="564"/>
      <c r="CK248" s="564"/>
      <c r="CL248" s="564"/>
      <c r="CM248" s="564"/>
      <c r="CN248" s="564"/>
      <c r="CO248" s="564"/>
      <c r="CP248" s="564"/>
      <c r="CQ248" s="564"/>
    </row>
    <row r="249" spans="2:147" ht="15" customHeight="1" x14ac:dyDescent="0.2">
      <c r="B249" s="56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  <c r="AB249" s="564"/>
      <c r="AC249" s="564"/>
      <c r="AD249" s="564"/>
      <c r="AE249" s="564"/>
      <c r="AF249" s="564"/>
      <c r="AG249" s="564"/>
      <c r="AH249" s="564"/>
      <c r="AI249" s="564"/>
      <c r="AJ249" s="564"/>
      <c r="AK249" s="564"/>
      <c r="AL249" s="564"/>
      <c r="AM249" s="564"/>
      <c r="AN249" s="564"/>
      <c r="AO249" s="564"/>
      <c r="AP249" s="564"/>
      <c r="AQ249" s="564"/>
      <c r="AR249" s="564"/>
      <c r="AS249" s="564"/>
      <c r="AT249" s="564"/>
      <c r="AU249" s="564"/>
      <c r="AV249" s="564"/>
      <c r="AW249" s="564"/>
      <c r="AX249" s="564"/>
      <c r="AY249" s="564"/>
      <c r="AZ249" s="564"/>
      <c r="BA249" s="564"/>
      <c r="BB249" s="564"/>
      <c r="BC249" s="564"/>
      <c r="BD249" s="564"/>
      <c r="BE249" s="564"/>
      <c r="BF249" s="564"/>
      <c r="BG249" s="564"/>
      <c r="BH249" s="564"/>
      <c r="BI249" s="564"/>
      <c r="BJ249" s="564"/>
      <c r="BK249" s="564"/>
      <c r="BL249" s="564"/>
      <c r="BM249" s="564"/>
      <c r="BN249" s="564"/>
      <c r="BO249" s="564"/>
      <c r="BP249" s="564"/>
      <c r="BQ249" s="564"/>
      <c r="BR249" s="564"/>
      <c r="BS249" s="564"/>
      <c r="BT249" s="564"/>
      <c r="BU249" s="564"/>
      <c r="BV249" s="564"/>
      <c r="BW249" s="564"/>
      <c r="BX249" s="564"/>
      <c r="BY249" s="564"/>
      <c r="BZ249" s="564"/>
      <c r="CA249" s="564"/>
      <c r="CB249" s="564"/>
      <c r="CC249" s="564"/>
      <c r="CD249" s="564"/>
      <c r="CE249" s="564"/>
      <c r="CF249" s="564"/>
      <c r="CG249" s="564"/>
      <c r="CH249" s="564"/>
      <c r="CI249" s="564"/>
      <c r="CJ249" s="564"/>
      <c r="CK249" s="564"/>
      <c r="CL249" s="564"/>
      <c r="CM249" s="564"/>
      <c r="CN249" s="564"/>
      <c r="CO249" s="564"/>
      <c r="CP249" s="564"/>
      <c r="CQ249" s="564"/>
    </row>
    <row r="250" spans="2:147" ht="15" customHeight="1" x14ac:dyDescent="0.2"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  <c r="AB250" s="564"/>
      <c r="AC250" s="564"/>
      <c r="AD250" s="564"/>
      <c r="AE250" s="564"/>
      <c r="AF250" s="564"/>
      <c r="AG250" s="564"/>
      <c r="AH250" s="564"/>
      <c r="AI250" s="564"/>
      <c r="AJ250" s="564"/>
      <c r="AK250" s="564"/>
      <c r="AL250" s="564"/>
      <c r="AM250" s="564"/>
      <c r="AN250" s="564"/>
      <c r="AO250" s="564"/>
      <c r="AP250" s="564"/>
      <c r="AQ250" s="564"/>
      <c r="AR250" s="564"/>
      <c r="AS250" s="564"/>
      <c r="AT250" s="564"/>
      <c r="AU250" s="564"/>
      <c r="AV250" s="564"/>
      <c r="AW250" s="564"/>
      <c r="AX250" s="564"/>
      <c r="AY250" s="564"/>
      <c r="AZ250" s="564"/>
      <c r="BA250" s="564"/>
      <c r="BB250" s="564"/>
      <c r="BC250" s="564"/>
      <c r="BD250" s="564"/>
      <c r="BE250" s="564"/>
      <c r="BF250" s="564"/>
      <c r="BG250" s="564"/>
      <c r="BH250" s="564"/>
      <c r="BI250" s="564"/>
      <c r="BJ250" s="564"/>
      <c r="BK250" s="564"/>
      <c r="BL250" s="564"/>
      <c r="BM250" s="564"/>
      <c r="BN250" s="564"/>
      <c r="BO250" s="564"/>
      <c r="BP250" s="564"/>
      <c r="BQ250" s="564"/>
      <c r="BR250" s="564"/>
      <c r="BS250" s="564"/>
      <c r="BT250" s="564"/>
      <c r="BU250" s="564"/>
      <c r="BV250" s="564"/>
      <c r="BW250" s="564"/>
      <c r="BX250" s="564"/>
      <c r="BY250" s="564"/>
      <c r="BZ250" s="564"/>
      <c r="CA250" s="564"/>
      <c r="CB250" s="564"/>
      <c r="CC250" s="564"/>
      <c r="CD250" s="564"/>
      <c r="CE250" s="564"/>
      <c r="CF250" s="564"/>
      <c r="CG250" s="564"/>
      <c r="CH250" s="564"/>
      <c r="CI250" s="564"/>
      <c r="CJ250" s="564"/>
      <c r="CK250" s="564"/>
      <c r="CL250" s="564"/>
      <c r="CM250" s="564"/>
      <c r="CN250" s="564"/>
      <c r="CO250" s="564"/>
      <c r="CP250" s="564"/>
      <c r="CQ250" s="564"/>
    </row>
    <row r="251" spans="2:147" ht="15" customHeight="1" x14ac:dyDescent="0.2">
      <c r="B251" s="56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  <c r="AB251" s="564"/>
      <c r="AC251" s="564"/>
      <c r="AD251" s="564"/>
      <c r="AE251" s="564"/>
      <c r="AF251" s="564"/>
      <c r="AG251" s="564"/>
      <c r="AH251" s="564"/>
      <c r="AI251" s="564"/>
      <c r="AJ251" s="564"/>
      <c r="AK251" s="564"/>
      <c r="AL251" s="564"/>
      <c r="AM251" s="564"/>
      <c r="AN251" s="564"/>
      <c r="AO251" s="564"/>
      <c r="AP251" s="564"/>
      <c r="AQ251" s="564"/>
      <c r="AR251" s="564"/>
      <c r="AS251" s="564"/>
      <c r="AT251" s="564"/>
      <c r="AU251" s="564"/>
      <c r="AV251" s="564"/>
      <c r="AW251" s="564"/>
      <c r="AX251" s="564"/>
      <c r="AY251" s="564"/>
      <c r="AZ251" s="564"/>
      <c r="BA251" s="564"/>
      <c r="BB251" s="564"/>
      <c r="BC251" s="564"/>
      <c r="BD251" s="564"/>
      <c r="BE251" s="564"/>
      <c r="BF251" s="564"/>
      <c r="BG251" s="564"/>
      <c r="BH251" s="564"/>
      <c r="BI251" s="564"/>
      <c r="BJ251" s="564"/>
      <c r="BK251" s="564"/>
      <c r="BL251" s="564"/>
      <c r="BM251" s="564"/>
      <c r="BN251" s="564"/>
      <c r="BO251" s="564"/>
      <c r="BP251" s="564"/>
      <c r="BQ251" s="564"/>
      <c r="BR251" s="564"/>
      <c r="BS251" s="564"/>
      <c r="BT251" s="564"/>
      <c r="BU251" s="564"/>
      <c r="BV251" s="564"/>
      <c r="BW251" s="564"/>
      <c r="BX251" s="564"/>
      <c r="BY251" s="564"/>
      <c r="BZ251" s="564"/>
      <c r="CA251" s="564"/>
      <c r="CB251" s="564"/>
      <c r="CC251" s="564"/>
      <c r="CD251" s="564"/>
      <c r="CE251" s="564"/>
      <c r="CF251" s="564"/>
      <c r="CG251" s="564"/>
      <c r="CH251" s="564"/>
      <c r="CI251" s="564"/>
      <c r="CJ251" s="564"/>
      <c r="CK251" s="564"/>
      <c r="CL251" s="564"/>
      <c r="CM251" s="564"/>
      <c r="CN251" s="564"/>
      <c r="CO251" s="564"/>
      <c r="CP251" s="564"/>
      <c r="CQ251" s="564"/>
    </row>
    <row r="252" spans="2:147" ht="15" customHeight="1" x14ac:dyDescent="0.2">
      <c r="B252" s="56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  <c r="AB252" s="564"/>
      <c r="AC252" s="564"/>
      <c r="AD252" s="564"/>
      <c r="AE252" s="564"/>
      <c r="AF252" s="564"/>
      <c r="AG252" s="564"/>
      <c r="AH252" s="564"/>
      <c r="AI252" s="564"/>
      <c r="AJ252" s="564"/>
      <c r="AK252" s="564"/>
      <c r="AL252" s="564"/>
      <c r="AM252" s="564"/>
      <c r="AN252" s="564"/>
      <c r="AO252" s="564"/>
      <c r="AP252" s="564"/>
      <c r="AQ252" s="564"/>
      <c r="AR252" s="564"/>
      <c r="AS252" s="564"/>
      <c r="AT252" s="564"/>
      <c r="AU252" s="564"/>
      <c r="AV252" s="564"/>
      <c r="AW252" s="564"/>
      <c r="AX252" s="564"/>
      <c r="AY252" s="564"/>
      <c r="AZ252" s="564"/>
      <c r="BA252" s="564"/>
      <c r="BB252" s="564"/>
      <c r="BC252" s="564"/>
      <c r="BD252" s="564"/>
      <c r="BE252" s="564"/>
      <c r="BF252" s="564"/>
      <c r="BG252" s="564"/>
      <c r="BH252" s="564"/>
      <c r="BI252" s="564"/>
      <c r="BJ252" s="564"/>
      <c r="BK252" s="564"/>
      <c r="BL252" s="564"/>
      <c r="BM252" s="564"/>
      <c r="BN252" s="564"/>
      <c r="BO252" s="564"/>
      <c r="BP252" s="564"/>
      <c r="BQ252" s="564"/>
      <c r="BR252" s="564"/>
      <c r="BS252" s="564"/>
      <c r="BT252" s="564"/>
      <c r="BU252" s="564"/>
      <c r="BV252" s="564"/>
      <c r="BW252" s="564"/>
      <c r="BX252" s="564"/>
      <c r="BY252" s="564"/>
      <c r="BZ252" s="564"/>
      <c r="CA252" s="564"/>
      <c r="CB252" s="564"/>
      <c r="CC252" s="564"/>
      <c r="CD252" s="564"/>
      <c r="CE252" s="564"/>
      <c r="CF252" s="564"/>
      <c r="CG252" s="564"/>
      <c r="CH252" s="564"/>
      <c r="CI252" s="564"/>
      <c r="CJ252" s="564"/>
      <c r="CK252" s="564"/>
      <c r="CL252" s="564"/>
      <c r="CM252" s="564"/>
      <c r="CN252" s="564"/>
      <c r="CO252" s="564"/>
      <c r="CP252" s="564"/>
      <c r="CQ252" s="564"/>
    </row>
  </sheetData>
  <mergeCells count="36">
    <mergeCell ref="EX3:EZ3"/>
    <mergeCell ref="DU4:DW4"/>
    <mergeCell ref="DR5:DT5"/>
    <mergeCell ref="EA3:EC3"/>
    <mergeCell ref="ED3:EF3"/>
    <mergeCell ref="EG3:EI3"/>
    <mergeCell ref="EO3:EQ3"/>
    <mergeCell ref="C5:S5"/>
    <mergeCell ref="DC5:DE5"/>
    <mergeCell ref="DF5:DH5"/>
    <mergeCell ref="DI5:DK5"/>
    <mergeCell ref="DL5:DN5"/>
    <mergeCell ref="FT5:FV5"/>
    <mergeCell ref="DU5:DW5"/>
    <mergeCell ref="EA5:EC5"/>
    <mergeCell ref="ED5:EF5"/>
    <mergeCell ref="EG5:EI5"/>
    <mergeCell ref="EO5:EQ5"/>
    <mergeCell ref="ER5:ET5"/>
    <mergeCell ref="EX5:EZ5"/>
    <mergeCell ref="FE5:FG5"/>
    <mergeCell ref="FH5:FJ5"/>
    <mergeCell ref="FN5:FP5"/>
    <mergeCell ref="FQ5:FS5"/>
    <mergeCell ref="CA35:CJ35"/>
    <mergeCell ref="C19:S19"/>
    <mergeCell ref="L33:U33"/>
    <mergeCell ref="X33:AG33"/>
    <mergeCell ref="AJ33:AS33"/>
    <mergeCell ref="BF33:BO33"/>
    <mergeCell ref="CA33:CJ33"/>
    <mergeCell ref="L35:U35"/>
    <mergeCell ref="X35:AG35"/>
    <mergeCell ref="AJ35:AS35"/>
    <mergeCell ref="AT35:BB35"/>
    <mergeCell ref="BF35:BO35"/>
  </mergeCells>
  <conditionalFormatting sqref="EN6:EN127">
    <cfRule type="cellIs" dxfId="2" priority="1" operator="equal">
      <formula>$CS$33</formula>
    </cfRule>
  </conditionalFormatting>
  <pageMargins left="0.7" right="0.7" top="0.75" bottom="0.75" header="0.3" footer="0.3"/>
  <pageSetup paperSize="9" orientation="portrait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9217" r:id="rId4">
          <objectPr defaultSize="0" autoPict="0" r:id="rId5">
            <anchor moveWithCells="1">
              <from>
                <xdr:col>22</xdr:col>
                <xdr:colOff>0</xdr:colOff>
                <xdr:row>7</xdr:row>
                <xdr:rowOff>9525</xdr:rowOff>
              </from>
              <to>
                <xdr:col>26</xdr:col>
                <xdr:colOff>0</xdr:colOff>
                <xdr:row>12</xdr:row>
                <xdr:rowOff>9525</xdr:rowOff>
              </to>
            </anchor>
          </objectPr>
        </oleObject>
      </mc:Choice>
      <mc:Fallback>
        <oleObject progId="Equation.3" shapeId="9217" r:id="rId4"/>
      </mc:Fallback>
    </mc:AlternateContent>
    <mc:AlternateContent xmlns:mc="http://schemas.openxmlformats.org/markup-compatibility/2006">
      <mc:Choice Requires="x14">
        <oleObject progId="Equation.3" shapeId="9218" r:id="rId6">
          <objectPr defaultSize="0" autoPict="0" r:id="rId7">
            <anchor moveWithCells="1">
              <from>
                <xdr:col>20</xdr:col>
                <xdr:colOff>190500</xdr:colOff>
                <xdr:row>12</xdr:row>
                <xdr:rowOff>104775</xdr:rowOff>
              </from>
              <to>
                <xdr:col>27</xdr:col>
                <xdr:colOff>19050</xdr:colOff>
                <xdr:row>16</xdr:row>
                <xdr:rowOff>152400</xdr:rowOff>
              </to>
            </anchor>
          </objectPr>
        </oleObject>
      </mc:Choice>
      <mc:Fallback>
        <oleObject progId="Equation.3" shapeId="9218" r:id="rId6"/>
      </mc:Fallback>
    </mc:AlternateContent>
    <mc:AlternateContent xmlns:mc="http://schemas.openxmlformats.org/markup-compatibility/2006">
      <mc:Choice Requires="x14">
        <oleObject progId="Equation.3" shapeId="9219" r:id="rId8">
          <objectPr defaultSize="0" autoPict="0" r:id="rId9">
            <anchor moveWithCells="1">
              <from>
                <xdr:col>22</xdr:col>
                <xdr:colOff>19050</xdr:colOff>
                <xdr:row>17</xdr:row>
                <xdr:rowOff>28575</xdr:rowOff>
              </from>
              <to>
                <xdr:col>26</xdr:col>
                <xdr:colOff>142875</xdr:colOff>
                <xdr:row>18</xdr:row>
                <xdr:rowOff>142875</xdr:rowOff>
              </to>
            </anchor>
          </objectPr>
        </oleObject>
      </mc:Choice>
      <mc:Fallback>
        <oleObject progId="Equation.3" shapeId="9219" r:id="rId8"/>
      </mc:Fallback>
    </mc:AlternateContent>
    <mc:AlternateContent xmlns:mc="http://schemas.openxmlformats.org/markup-compatibility/2006">
      <mc:Choice Requires="x14">
        <oleObject progId="Equation.3" shapeId="9220" r:id="rId10">
          <objectPr defaultSize="0" autoPict="0" r:id="rId11">
            <anchor moveWithCells="1">
              <from>
                <xdr:col>91</xdr:col>
                <xdr:colOff>28575</xdr:colOff>
                <xdr:row>2</xdr:row>
                <xdr:rowOff>28575</xdr:rowOff>
              </from>
              <to>
                <xdr:col>100</xdr:col>
                <xdr:colOff>190500</xdr:colOff>
                <xdr:row>7</xdr:row>
                <xdr:rowOff>161925</xdr:rowOff>
              </to>
            </anchor>
          </objectPr>
        </oleObject>
      </mc:Choice>
      <mc:Fallback>
        <oleObject progId="Equation.3" shapeId="9220" r:id="rId10"/>
      </mc:Fallback>
    </mc:AlternateContent>
    <mc:AlternateContent xmlns:mc="http://schemas.openxmlformats.org/markup-compatibility/2006">
      <mc:Choice Requires="x14">
        <oleObject progId="Equation.3" shapeId="9221" r:id="rId12">
          <objectPr defaultSize="0" autoPict="0" r:id="rId13">
            <anchor moveWithCells="1">
              <from>
                <xdr:col>98</xdr:col>
                <xdr:colOff>66675</xdr:colOff>
                <xdr:row>20</xdr:row>
                <xdr:rowOff>9525</xdr:rowOff>
              </from>
              <to>
                <xdr:col>102</xdr:col>
                <xdr:colOff>19050</xdr:colOff>
                <xdr:row>22</xdr:row>
                <xdr:rowOff>180975</xdr:rowOff>
              </to>
            </anchor>
          </objectPr>
        </oleObject>
      </mc:Choice>
      <mc:Fallback>
        <oleObject progId="Equation.3" shapeId="9221" r:id="rId12"/>
      </mc:Fallback>
    </mc:AlternateContent>
    <mc:AlternateContent xmlns:mc="http://schemas.openxmlformats.org/markup-compatibility/2006">
      <mc:Choice Requires="x14">
        <oleObject progId="Equation.3" shapeId="9222" r:id="rId14">
          <objectPr defaultSize="0" autoPict="0" r:id="rId15">
            <anchor moveWithCells="1">
              <from>
                <xdr:col>90</xdr:col>
                <xdr:colOff>381000</xdr:colOff>
                <xdr:row>12</xdr:row>
                <xdr:rowOff>66675</xdr:rowOff>
              </from>
              <to>
                <xdr:col>93</xdr:col>
                <xdr:colOff>438150</xdr:colOff>
                <xdr:row>14</xdr:row>
                <xdr:rowOff>133350</xdr:rowOff>
              </to>
            </anchor>
          </objectPr>
        </oleObject>
      </mc:Choice>
      <mc:Fallback>
        <oleObject progId="Equation.3" shapeId="9222" r:id="rId14"/>
      </mc:Fallback>
    </mc:AlternateContent>
    <mc:AlternateContent xmlns:mc="http://schemas.openxmlformats.org/markup-compatibility/2006">
      <mc:Choice Requires="x14">
        <oleObject progId="Equation.3" shapeId="9223" r:id="rId16">
          <objectPr defaultSize="0" autoPict="0" r:id="rId17">
            <anchor moveWithCells="1">
              <from>
                <xdr:col>98</xdr:col>
                <xdr:colOff>190500</xdr:colOff>
                <xdr:row>23</xdr:row>
                <xdr:rowOff>171450</xdr:rowOff>
              </from>
              <to>
                <xdr:col>100</xdr:col>
                <xdr:colOff>352425</xdr:colOff>
                <xdr:row>26</xdr:row>
                <xdr:rowOff>0</xdr:rowOff>
              </to>
            </anchor>
          </objectPr>
        </oleObject>
      </mc:Choice>
      <mc:Fallback>
        <oleObject progId="Equation.3" shapeId="9223" r:id="rId16"/>
      </mc:Fallback>
    </mc:AlternateContent>
    <mc:AlternateContent xmlns:mc="http://schemas.openxmlformats.org/markup-compatibility/2006">
      <mc:Choice Requires="x14">
        <oleObject progId="Equation.3" shapeId="9224" r:id="rId18">
          <objectPr defaultSize="0" autoPict="0" r:id="rId19">
            <anchor moveWithCells="1">
              <from>
                <xdr:col>97</xdr:col>
                <xdr:colOff>390525</xdr:colOff>
                <xdr:row>15</xdr:row>
                <xdr:rowOff>95250</xdr:rowOff>
              </from>
              <to>
                <xdr:col>100</xdr:col>
                <xdr:colOff>390525</xdr:colOff>
                <xdr:row>18</xdr:row>
                <xdr:rowOff>9525</xdr:rowOff>
              </to>
            </anchor>
          </objectPr>
        </oleObject>
      </mc:Choice>
      <mc:Fallback>
        <oleObject progId="Equation.3" shapeId="9224" r:id="rId18"/>
      </mc:Fallback>
    </mc:AlternateContent>
    <mc:AlternateContent xmlns:mc="http://schemas.openxmlformats.org/markup-compatibility/2006">
      <mc:Choice Requires="x14">
        <oleObject progId="Equation.3" shapeId="9225" r:id="rId20">
          <objectPr defaultSize="0" autoPict="0" r:id="rId21">
            <anchor moveWithCells="1">
              <from>
                <xdr:col>97</xdr:col>
                <xdr:colOff>419100</xdr:colOff>
                <xdr:row>27</xdr:row>
                <xdr:rowOff>28575</xdr:rowOff>
              </from>
              <to>
                <xdr:col>101</xdr:col>
                <xdr:colOff>9525</xdr:colOff>
                <xdr:row>29</xdr:row>
                <xdr:rowOff>133350</xdr:rowOff>
              </to>
            </anchor>
          </objectPr>
        </oleObject>
      </mc:Choice>
      <mc:Fallback>
        <oleObject progId="Equation.3" shapeId="9225" r:id="rId20"/>
      </mc:Fallback>
    </mc:AlternateContent>
    <mc:AlternateContent xmlns:mc="http://schemas.openxmlformats.org/markup-compatibility/2006">
      <mc:Choice Requires="x14">
        <oleObject progId="Equation.3" shapeId="9226" r:id="rId22">
          <objectPr defaultSize="0" autoPict="0" r:id="rId23">
            <anchor moveWithCells="1">
              <from>
                <xdr:col>97</xdr:col>
                <xdr:colOff>76200</xdr:colOff>
                <xdr:row>12</xdr:row>
                <xdr:rowOff>57150</xdr:rowOff>
              </from>
              <to>
                <xdr:col>100</xdr:col>
                <xdr:colOff>438150</xdr:colOff>
                <xdr:row>14</xdr:row>
                <xdr:rowOff>142875</xdr:rowOff>
              </to>
            </anchor>
          </objectPr>
        </oleObject>
      </mc:Choice>
      <mc:Fallback>
        <oleObject progId="Equation.3" shapeId="9226" r:id="rId22"/>
      </mc:Fallback>
    </mc:AlternateContent>
    <mc:AlternateContent xmlns:mc="http://schemas.openxmlformats.org/markup-compatibility/2006">
      <mc:Choice Requires="x14">
        <oleObject progId="Equation.3" shapeId="9227" r:id="rId24">
          <objectPr defaultSize="0" autoPict="0" r:id="rId25">
            <anchor moveWithCells="1">
              <from>
                <xdr:col>90</xdr:col>
                <xdr:colOff>428625</xdr:colOff>
                <xdr:row>8</xdr:row>
                <xdr:rowOff>142875</xdr:rowOff>
              </from>
              <to>
                <xdr:col>99</xdr:col>
                <xdr:colOff>209550</xdr:colOff>
                <xdr:row>11</xdr:row>
                <xdr:rowOff>142875</xdr:rowOff>
              </to>
            </anchor>
          </objectPr>
        </oleObject>
      </mc:Choice>
      <mc:Fallback>
        <oleObject progId="Equation.3" shapeId="9227" r:id="rId24"/>
      </mc:Fallback>
    </mc:AlternateContent>
    <mc:AlternateContent xmlns:mc="http://schemas.openxmlformats.org/markup-compatibility/2006">
      <mc:Choice Requires="x14">
        <oleObject progId="Equation.3" shapeId="9228" r:id="rId26">
          <objectPr defaultSize="0" autoPict="0" r:id="rId27">
            <anchor moveWithCells="1">
              <from>
                <xdr:col>90</xdr:col>
                <xdr:colOff>0</xdr:colOff>
                <xdr:row>15</xdr:row>
                <xdr:rowOff>57150</xdr:rowOff>
              </from>
              <to>
                <xdr:col>97</xdr:col>
                <xdr:colOff>152400</xdr:colOff>
                <xdr:row>18</xdr:row>
                <xdr:rowOff>114300</xdr:rowOff>
              </to>
            </anchor>
          </objectPr>
        </oleObject>
      </mc:Choice>
      <mc:Fallback>
        <oleObject progId="Equation.3" shapeId="9228" r:id="rId26"/>
      </mc:Fallback>
    </mc:AlternateContent>
    <mc:AlternateContent xmlns:mc="http://schemas.openxmlformats.org/markup-compatibility/2006">
      <mc:Choice Requires="x14">
        <oleObject progId="Equation.3" shapeId="9229" r:id="rId28">
          <objectPr defaultSize="0" autoPict="0" r:id="rId29">
            <anchor moveWithCells="1">
              <from>
                <xdr:col>71</xdr:col>
                <xdr:colOff>314325</xdr:colOff>
                <xdr:row>23</xdr:row>
                <xdr:rowOff>47625</xdr:rowOff>
              </from>
              <to>
                <xdr:col>88</xdr:col>
                <xdr:colOff>190500</xdr:colOff>
                <xdr:row>28</xdr:row>
                <xdr:rowOff>47625</xdr:rowOff>
              </to>
            </anchor>
          </objectPr>
        </oleObject>
      </mc:Choice>
      <mc:Fallback>
        <oleObject progId="Equation.3" shapeId="9229" r:id="rId28"/>
      </mc:Fallback>
    </mc:AlternateContent>
    <mc:AlternateContent xmlns:mc="http://schemas.openxmlformats.org/markup-compatibility/2006">
      <mc:Choice Requires="x14">
        <oleObject progId="Equation.3" shapeId="9230" r:id="rId30">
          <objectPr defaultSize="0" autoPict="0" r:id="rId31">
            <anchor moveWithCells="1">
              <from>
                <xdr:col>181</xdr:col>
                <xdr:colOff>257175</xdr:colOff>
                <xdr:row>2</xdr:row>
                <xdr:rowOff>47625</xdr:rowOff>
              </from>
              <to>
                <xdr:col>187</xdr:col>
                <xdr:colOff>171450</xdr:colOff>
                <xdr:row>7</xdr:row>
                <xdr:rowOff>171450</xdr:rowOff>
              </to>
            </anchor>
          </objectPr>
        </oleObject>
      </mc:Choice>
      <mc:Fallback>
        <oleObject progId="Equation.3" shapeId="9230" r:id="rId30"/>
      </mc:Fallback>
    </mc:AlternateContent>
    <mc:AlternateContent xmlns:mc="http://schemas.openxmlformats.org/markup-compatibility/2006">
      <mc:Choice Requires="x14">
        <oleObject progId="Equation.3" shapeId="9231" r:id="rId32">
          <objectPr defaultSize="0" autoPict="0" r:id="rId33">
            <anchor moveWithCells="1">
              <from>
                <xdr:col>181</xdr:col>
                <xdr:colOff>409575</xdr:colOff>
                <xdr:row>11</xdr:row>
                <xdr:rowOff>0</xdr:rowOff>
              </from>
              <to>
                <xdr:col>189</xdr:col>
                <xdr:colOff>419100</xdr:colOff>
                <xdr:row>15</xdr:row>
                <xdr:rowOff>95250</xdr:rowOff>
              </to>
            </anchor>
          </objectPr>
        </oleObject>
      </mc:Choice>
      <mc:Fallback>
        <oleObject progId="Equation.3" shapeId="9231" r:id="rId32"/>
      </mc:Fallback>
    </mc:AlternateContent>
    <mc:AlternateContent xmlns:mc="http://schemas.openxmlformats.org/markup-compatibility/2006">
      <mc:Choice Requires="x14">
        <oleObject progId="Equation.3" shapeId="9232" r:id="rId34">
          <objectPr defaultSize="0" autoPict="0" r:id="rId35">
            <anchor moveWithCells="1">
              <from>
                <xdr:col>181</xdr:col>
                <xdr:colOff>390525</xdr:colOff>
                <xdr:row>8</xdr:row>
                <xdr:rowOff>180975</xdr:rowOff>
              </from>
              <to>
                <xdr:col>187</xdr:col>
                <xdr:colOff>161925</xdr:colOff>
                <xdr:row>10</xdr:row>
                <xdr:rowOff>123825</xdr:rowOff>
              </to>
            </anchor>
          </objectPr>
        </oleObject>
      </mc:Choice>
      <mc:Fallback>
        <oleObject progId="Equation.3" shapeId="9232" r:id="rId34"/>
      </mc:Fallback>
    </mc:AlternateContent>
    <mc:AlternateContent xmlns:mc="http://schemas.openxmlformats.org/markup-compatibility/2006">
      <mc:Choice Requires="x14">
        <oleObject progId="Equation.3" shapeId="9233" r:id="rId36">
          <objectPr defaultSize="0" autoPict="0" r:id="rId37">
            <anchor moveWithCells="1">
              <from>
                <xdr:col>20</xdr:col>
                <xdr:colOff>219075</xdr:colOff>
                <xdr:row>1</xdr:row>
                <xdr:rowOff>95250</xdr:rowOff>
              </from>
              <to>
                <xdr:col>29</xdr:col>
                <xdr:colOff>304800</xdr:colOff>
                <xdr:row>6</xdr:row>
                <xdr:rowOff>152400</xdr:rowOff>
              </to>
            </anchor>
          </objectPr>
        </oleObject>
      </mc:Choice>
      <mc:Fallback>
        <oleObject progId="Equation.3" shapeId="9233" r:id="rId3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densidad electrolito</vt:lpstr>
      <vt:lpstr>Curva DOD Pb ác</vt:lpstr>
      <vt:lpstr>Curva DOD Ion-Li</vt:lpstr>
      <vt:lpstr>Constantes físicas</vt:lpstr>
      <vt:lpstr>Circuto equivalente</vt:lpstr>
      <vt:lpstr>Curva de carga Pb sellada</vt:lpstr>
      <vt:lpstr>Curva de carga Li</vt:lpstr>
      <vt:lpstr>6V50A09 2 parámetros</vt:lpstr>
      <vt:lpstr>100 A 39, 3 par. rev.</vt:lpstr>
      <vt:lpstr>100 A 39; Q = f(I)</vt:lpstr>
      <vt:lpstr>100 A 39; Q = f(I) (2)</vt:lpstr>
      <vt:lpstr>SLPB68106100 4 parámetros</vt:lpstr>
      <vt:lpstr>Superficie 100 A 63</vt:lpstr>
      <vt:lpstr>Conductividad H2 O</vt:lpstr>
      <vt:lpstr>corrección temperatura</vt:lpstr>
      <vt:lpstr>'Superficie 100 A 63'!Área_de_impresión</vt:lpstr>
    </vt:vector>
  </TitlesOfParts>
  <Manager/>
  <Company>uReloaded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Illusion V2</dc:creator>
  <cp:keywords/>
  <dc:description/>
  <cp:lastModifiedBy>hp</cp:lastModifiedBy>
  <cp:revision/>
  <dcterms:created xsi:type="dcterms:W3CDTF">2010-07-02T23:38:06Z</dcterms:created>
  <dcterms:modified xsi:type="dcterms:W3CDTF">2019-05-13T22:43:28Z</dcterms:modified>
  <cp:category/>
  <cp:contentStatus/>
</cp:coreProperties>
</file>